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6747c87cbe9b4d70" Type="http://schemas.microsoft.com/office/2007/relationships/ui/extensibility" Target="customUI/customUI14.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30" codeName="{DD97A8EA-9A9A-E61F-A557-7D5A7D7259CE}"/>
  <workbookPr codeName="ThisWorkbook"/>
  <mc:AlternateContent xmlns:mc="http://schemas.openxmlformats.org/markup-compatibility/2006">
    <mc:Choice Requires="x15">
      <x15ac:absPath xmlns:x15ac="http://schemas.microsoft.com/office/spreadsheetml/2010/11/ac" url="C:\Users\pchacon\Downloads\"/>
    </mc:Choice>
  </mc:AlternateContent>
  <xr:revisionPtr revIDLastSave="0" documentId="13_ncr:1_{AB35D580-B94B-4F08-9581-C3D9442CF384}" xr6:coauthVersionLast="47" xr6:coauthVersionMax="47" xr10:uidLastSave="{00000000-0000-0000-0000-000000000000}"/>
  <bookViews>
    <workbookView xWindow="-120" yWindow="-120" windowWidth="29040" windowHeight="15720" tabRatio="839" firstSheet="11" activeTab="14" xr2:uid="{00000000-000D-0000-FFFF-FFFF00000000}"/>
  </bookViews>
  <sheets>
    <sheet name="Sheet1" sheetId="2" state="veryHidden" r:id="rId1"/>
    <sheet name="OUTPUT TABS ==&gt;" sheetId="3" r:id="rId2"/>
    <sheet name="Summary " sheetId="4" r:id="rId3"/>
    <sheet name="Assumptions " sheetId="5" r:id="rId4"/>
    <sheet name="Income Build " sheetId="6" r:id="rId5"/>
    <sheet name="Summary" sheetId="7" r:id="rId6"/>
    <sheet name="Renovations" sheetId="8" r:id="rId7"/>
    <sheet name="Historical CF" sheetId="9" r:id="rId8"/>
    <sheet name="Historical CF " sheetId="10" r:id="rId9"/>
    <sheet name="Property CF" sheetId="11" r:id="rId10"/>
    <sheet name="Cash Flow" sheetId="12" r:id="rId11"/>
    <sheet name="Sensitivity Analysis" sheetId="13" r:id="rId12"/>
    <sheet name="Sources &amp; Uses" sheetId="14" r:id="rId13"/>
    <sheet name="INPUT TABS ==&gt; " sheetId="15" r:id="rId14"/>
    <sheet name="Input" sheetId="16" r:id="rId15"/>
    <sheet name="Select Historicals" sheetId="17" r:id="rId16"/>
    <sheet name="Adjustments &amp; Notes" sheetId="18" r:id="rId17"/>
    <sheet name="Multiple Assumable Loans" sheetId="19" state="veryHidden" r:id="rId18"/>
    <sheet name="Commercial CF" sheetId="20" r:id="rId19"/>
    <sheet name="CALCULATION TABS ==&gt;" sheetId="21" r:id="rId20"/>
    <sheet name="Operating Calculations" sheetId="22" r:id="rId21"/>
    <sheet name="CF Calculations" sheetId="23" r:id="rId22"/>
    <sheet name="Waterfall" sheetId="24" r:id="rId23"/>
    <sheet name="GenValidation" sheetId="25" r:id="rId24"/>
    <sheet name="Sheet2" sheetId="26" r:id="rId25"/>
    <sheet name="Sheet3" sheetId="27" r:id="rId26"/>
    <sheet name="T12" sheetId="28" r:id="rId27"/>
    <sheet name="Claude Log" sheetId="29" r:id="rId28"/>
  </sheets>
  <functionGroups builtInGroupCount="19"/>
  <definedNames>
    <definedName name="AcqAndDispAreUngrouped" hidden="1">Sheet2!$A$5</definedName>
    <definedName name="AcqAndDispAreUngroupedFlag" hidden="1">Sheet2!$A$6</definedName>
    <definedName name="AcqAndDispSection" hidden="1">Input!$A$28:$A$45</definedName>
    <definedName name="AcqPriceMethod" hidden="1">GenValidation!$V$5:$V$9</definedName>
    <definedName name="AcquisitionCost" hidden="1">'CF Calculations'!$S$13</definedName>
    <definedName name="AcquisitionFeeToSponsor" hidden="1">Input!#REF!</definedName>
    <definedName name="AcqValuationMethodType" hidden="1">GenValidation!$A$16</definedName>
    <definedName name="Address1" hidden="1">GenValidation!$A$11</definedName>
    <definedName name="Address2" hidden="1">GenValidation!$A$12</definedName>
    <definedName name="AdjHistOutCommInc" hidden="1">'Historical CF '!$B$23</definedName>
    <definedName name="AdjstedHistSelection" hidden="1">'Adjustments &amp; Notes'!$D$9</definedName>
    <definedName name="AdjustedHistoricalNOI" hidden="1">GenValidation!$A$18</definedName>
    <definedName name="AdministrativeExpensesAdjustment" hidden="1">'Adjustments &amp; Notes'!$F$45</definedName>
    <definedName name="AdministrativeExpensesNotes" hidden="1">'Adjustments &amp; Notes'!$O$45</definedName>
    <definedName name="AllInCost" hidden="1">'CF Calculations'!$O$115</definedName>
    <definedName name="AllInCostForwardCapRate" hidden="1">GenValidation!#REF!</definedName>
    <definedName name="AllInCostForwardRentMult" hidden="1">GenValidation!#REF!</definedName>
    <definedName name="AllInCostTrailingCapRate" hidden="1">GenValidation!#REF!</definedName>
    <definedName name="AllInCostTrailingRentMult" hidden="1">GenValidation!#REF!</definedName>
    <definedName name="ALTASurveyValue" hidden="1">Input!$AD$33</definedName>
    <definedName name="AnalysisStartDate" hidden="1">Input!$M$10</definedName>
    <definedName name="AnnualEGRCF" hidden="1">'Operating Calculations'!$C$83:$M$83</definedName>
    <definedName name="AnnualExpenseInflationInputCutOff" comment="used for mapping" hidden="1">GenValidation!$A$90</definedName>
    <definedName name="AnnualExpenseInflationListCount" comment="used for mapping" hidden="1">GenValidation!$A$91</definedName>
    <definedName name="AnnualHistoricalDates" hidden="1">'Select Historicals'!$AB$10:$AF$10</definedName>
    <definedName name="Annually" hidden="1">GenValidation!$K$5</definedName>
    <definedName name="AnnualNOI" hidden="1">'CF Calculations'!$E$62:$N$62</definedName>
    <definedName name="AnnualOrMonthlyDetail" hidden="1">GenValidation!$AE$5:$AE$6</definedName>
    <definedName name="AnnualPartnershipExpenses" hidden="1">Input!#REF!</definedName>
    <definedName name="AreSameNumberOfUnits" hidden="1">GenValidation!$V$126</definedName>
    <definedName name="AreSameNumberOfUnitsOld" hidden="1">GenValidation!$V$132</definedName>
    <definedName name="AssessRatioAtClosing" hidden="1">Input!$E$162</definedName>
    <definedName name="AssessRatioAtExit" hidden="1">Input!$G$162</definedName>
    <definedName name="AssessValueAtClosing" hidden="1">Input!$D$163</definedName>
    <definedName name="AssessValueAtExit" hidden="1">Input!$F$163</definedName>
    <definedName name="AssetQualityId" hidden="1">GenValidation!$A$9</definedName>
    <definedName name="Assum1AmortPer" hidden="1">'Multiple Assumable Loans'!$E$26</definedName>
    <definedName name="Assum1BseIndx" hidden="1">'Multiple Assumable Loans'!$E$32</definedName>
    <definedName name="Assum1BseRate" hidden="1">'Multiple Assumable Loans'!$E$33</definedName>
    <definedName name="Assum1Cap" hidden="1">'Multiple Assumable Loans'!$K$29</definedName>
    <definedName name="Assum1CurrBal" hidden="1">'Multiple Assumable Loans'!$E$22</definedName>
    <definedName name="Assum1Fee" hidden="1">'Multiple Assumable Loans'!$E$38</definedName>
    <definedName name="Assum1FlCap" hidden="1">'Multiple Assumable Loans'!$K$28:$K$29</definedName>
    <definedName name="Assum1FloatingInputs" hidden="1">'Multiple Assumable Loans'!$K$17:$K$29</definedName>
    <definedName name="Assum1FloatingYr1" hidden="1">'Multiple Assumable Loans'!$K$17</definedName>
    <definedName name="Assum1Floor" hidden="1">'Multiple Assumable Loans'!$K$28</definedName>
    <definedName name="Assum1IntCalc" hidden="1">'CF Calculations'!$B$145:$C$146</definedName>
    <definedName name="Assum1IntRate" hidden="1">'Multiple Assumable Loans'!$E$35</definedName>
    <definedName name="Assum1IntSprd" hidden="1">'Multiple Assumable Loans'!$E$34</definedName>
    <definedName name="Assum1IntType" hidden="1">'Multiple Assumable Loans'!$E$28</definedName>
    <definedName name="Assum1OrigBal" hidden="1">'Multiple Assumable Loans'!$E$21</definedName>
    <definedName name="Assum1PmntDropDown" hidden="1">IF(Assumable1InterestRateType=150,FixedPmt,IF(NOT(Assumable1HasAmort),VariablePmt,PaymentType))</definedName>
    <definedName name="Assum1PmtType" hidden="1">'Multiple Assumable Loans'!$E$29</definedName>
    <definedName name="Assum1PrpyFee" hidden="1">'Multiple Assumable Loans'!$E$39</definedName>
    <definedName name="Assum1PydwnMnth" hidden="1">'Multiple Assumable Loans'!$E$18</definedName>
    <definedName name="Assum1RemainTerm" hidden="1">'Multiple Assumable Loans'!$E$17</definedName>
    <definedName name="Assum2AmortPer" hidden="1">'Multiple Assumable Loans'!$F$26</definedName>
    <definedName name="Assum2BseIndx" hidden="1">'Multiple Assumable Loans'!$F$32</definedName>
    <definedName name="Assum2BseRate" hidden="1">'Multiple Assumable Loans'!$F$33</definedName>
    <definedName name="Assum2Cap" hidden="1">'Multiple Assumable Loans'!$L$29</definedName>
    <definedName name="Assum2CurrBal" hidden="1">'Multiple Assumable Loans'!$F$22</definedName>
    <definedName name="Assum2Fee" hidden="1">'Multiple Assumable Loans'!$F$38</definedName>
    <definedName name="Assum2FlCap" hidden="1">'Multiple Assumable Loans'!$L$28:$L$29</definedName>
    <definedName name="Assum2FloatingInputs" hidden="1">'Multiple Assumable Loans'!$L$17:$L$29</definedName>
    <definedName name="Assum2FloatingYr1" hidden="1">'Multiple Assumable Loans'!$L$17</definedName>
    <definedName name="Assum2Floor" hidden="1">'Multiple Assumable Loans'!$L$28</definedName>
    <definedName name="Assum2IntCalc" hidden="1">'CF Calculations'!$B$168:$B$169</definedName>
    <definedName name="Assum2IntRate" hidden="1">'Multiple Assumable Loans'!$F$35</definedName>
    <definedName name="Assum2IntSprd" hidden="1">'Multiple Assumable Loans'!$F$34</definedName>
    <definedName name="Assum2IntType" hidden="1">'Multiple Assumable Loans'!$F$28</definedName>
    <definedName name="Assum2OrigBal" hidden="1">'Multiple Assumable Loans'!$F$21</definedName>
    <definedName name="Assum2PmntDropDown" hidden="1">IF(Assumable2InterestRateType=150,FixedPmt,IF(NOT(Assumable2HasAmort),VariablePmt,PaymentType))</definedName>
    <definedName name="Assum2PmtType" hidden="1">'Multiple Assumable Loans'!$F$29</definedName>
    <definedName name="Assum2PrpyFee" hidden="1">'Multiple Assumable Loans'!$F$39</definedName>
    <definedName name="Assum2PydwnMnth" hidden="1">'Multiple Assumable Loans'!$F$18</definedName>
    <definedName name="Assum2RemainTerm" hidden="1">'Multiple Assumable Loans'!$F$17</definedName>
    <definedName name="Assum3AmortPer" hidden="1">'Multiple Assumable Loans'!$G$26</definedName>
    <definedName name="Assum3BseIndx" hidden="1">'Multiple Assumable Loans'!$G$32</definedName>
    <definedName name="Assum3BseRate" hidden="1">'Multiple Assumable Loans'!$G$33</definedName>
    <definedName name="Assum3Cap" hidden="1">'Multiple Assumable Loans'!$M$29</definedName>
    <definedName name="Assum3CurrBal" hidden="1">'Multiple Assumable Loans'!$G$22</definedName>
    <definedName name="Assum3Fee" hidden="1">'Multiple Assumable Loans'!$G$38</definedName>
    <definedName name="Assum3FlCap" hidden="1">'Multiple Assumable Loans'!$M$28:$M$29</definedName>
    <definedName name="Assum3FloatingInputs" hidden="1">'Multiple Assumable Loans'!$M$17:$M$29</definedName>
    <definedName name="Assum3FloatingYr1" hidden="1">'Multiple Assumable Loans'!$M$17</definedName>
    <definedName name="Assum3Floor" hidden="1">'Multiple Assumable Loans'!$M$28</definedName>
    <definedName name="Assum3IntCalc" hidden="1">'CF Calculations'!$B$191:$B$192</definedName>
    <definedName name="Assum3IntRate" hidden="1">'Multiple Assumable Loans'!$G$35</definedName>
    <definedName name="Assum3IntSprd" hidden="1">'Multiple Assumable Loans'!$G$34</definedName>
    <definedName name="Assum3IntType" hidden="1">'Multiple Assumable Loans'!$G$28</definedName>
    <definedName name="Assum3OrigBal" hidden="1">'Multiple Assumable Loans'!$G$21</definedName>
    <definedName name="Assum3PmntDropDown" hidden="1">IF(Assumable3InterestRateType=150,FixedPmt,IF(NOT(Assumable3HasAmort),VariablePmt,PaymentType))</definedName>
    <definedName name="Assum3PmtType" hidden="1">'Multiple Assumable Loans'!$G$29</definedName>
    <definedName name="Assum3PrpyFee" hidden="1">'Multiple Assumable Loans'!$G$39</definedName>
    <definedName name="Assum3PydwnMnth" hidden="1">'Multiple Assumable Loans'!$G$18</definedName>
    <definedName name="Assum3RemainTerm" hidden="1">'Multiple Assumable Loans'!$G$17</definedName>
    <definedName name="Assumable1HasAmort" hidden="1">GenValidation!$A$48</definedName>
    <definedName name="Assumable1InterestRateType" hidden="1">GenValidation!$A$49</definedName>
    <definedName name="Assumable1PaymentType" hidden="1">GenValidation!$A$50</definedName>
    <definedName name="Assumable2HasAmort" hidden="1">GenValidation!$A$51</definedName>
    <definedName name="Assumable2InterestRateType" hidden="1">GenValidation!$A$52</definedName>
    <definedName name="Assumable2PaymentType" hidden="1">GenValidation!$A$53</definedName>
    <definedName name="Assumable3HasAmort" hidden="1">GenValidation!$A$54</definedName>
    <definedName name="Assumable3InterestRateType" hidden="1">GenValidation!$A$55</definedName>
    <definedName name="Assumable3PaymentType" hidden="1">GenValidation!$A$56</definedName>
    <definedName name="AssumableHasAmort" hidden="1">GenValidation!$A$45</definedName>
    <definedName name="AssumableInterestRateType" hidden="1">GenValidation!$A$46</definedName>
    <definedName name="AssumableLoanBaseRateInputCutOff" hidden="1">GenValidation!$BF$36</definedName>
    <definedName name="AssumableLoanInputCutOff" hidden="1">GenValidation!$BF$34</definedName>
    <definedName name="AssumableLoanInterestRatesListCount" hidden="1">GenValidation!$BF$37</definedName>
    <definedName name="AssumableLoansListCount" hidden="1">GenValidation!$BF$35</definedName>
    <definedName name="AssumablePaymentType" hidden="1">GenValidation!$A$47</definedName>
    <definedName name="AssumAmortPer" hidden="1">Input!$E$205</definedName>
    <definedName name="AssumBseIndx" hidden="1">Input!$D$211</definedName>
    <definedName name="AssumBseRate" hidden="1">Input!$E$212</definedName>
    <definedName name="AssumCurrBal" hidden="1">Input!$D$201</definedName>
    <definedName name="AssumCurrBalUnlock" hidden="1">Input!$E$201</definedName>
    <definedName name="Assume1BaseRateAnn" hidden="1">'Multiple Assumable Loans'!$K$17:$K$26</definedName>
    <definedName name="Assume1IOPer" hidden="1">'Multiple Assumable Loans'!$E$27</definedName>
    <definedName name="Assume1ResetRange" hidden="1">'Multiple Assumable Loans'!$E$16:$E$18,'Multiple Assumable Loans'!$E$21,'Multiple Assumable Loans'!$E$22,'Multiple Assumable Loans'!$E$26:$E$29,'Multiple Assumable Loans'!$E$32,'Multiple Assumable Loans'!$E$33,'Multiple Assumable Loans'!$E$34,'Multiple Assumable Loans'!$E$38,'Multiple Assumable Loans'!$E$39</definedName>
    <definedName name="Assume2BaseRateAnn" hidden="1">'Multiple Assumable Loans'!$L$17:$L$26</definedName>
    <definedName name="Assume2IOPer" hidden="1">'Multiple Assumable Loans'!$F$27</definedName>
    <definedName name="Assume3BaseRateAnn" hidden="1">'Multiple Assumable Loans'!$M$17:$M$26</definedName>
    <definedName name="Assume3IOPer" hidden="1">'Multiple Assumable Loans'!$G$27</definedName>
    <definedName name="Assume4ResetRange" hidden="1">Input!$E$195:$E$197,Input!$D$200,Input!$D$201,Input!$E$205:$E$208,Input!$D$211,Input!$E$212,Input!$E$213,Input!$E$217,Input!$D$218</definedName>
    <definedName name="AssumeBaseRateAnn" hidden="1">Input!$U$196:$U$205</definedName>
    <definedName name="AssumeIOPer" hidden="1">Input!$E$206</definedName>
    <definedName name="AssumFee" hidden="1">Input!$E$217</definedName>
    <definedName name="AssumFlCap" hidden="1">Input!$U$207:$U$208</definedName>
    <definedName name="AssumIntCalc" hidden="1">'CF Calculations'!$B$145:$B$146</definedName>
    <definedName name="AssumIntRate" hidden="1">Input!$E$214</definedName>
    <definedName name="AssumIntSprd" hidden="1">Input!$E$213</definedName>
    <definedName name="AssumIntType" hidden="1">Input!$E$207</definedName>
    <definedName name="AssumLoan1Assump" hidden="1">'Multiple Assumable Loans'!$E$16,'Multiple Assumable Loans'!$E$26:$E$29</definedName>
    <definedName name="AssumLoan1Term" hidden="1">'Multiple Assumable Loans'!$E$16</definedName>
    <definedName name="AssumLoan2Assump" hidden="1">'Multiple Assumable Loans'!$F$16,'Multiple Assumable Loans'!$F$26:$F$29</definedName>
    <definedName name="AssumLoan2Term" hidden="1">'Multiple Assumable Loans'!$F$16</definedName>
    <definedName name="AssumLoan3Assump" hidden="1">'Multiple Assumable Loans'!$G$16,'Multiple Assumable Loans'!$G$26:$G$29</definedName>
    <definedName name="AssumLoan3Term" hidden="1">'Multiple Assumable Loans'!$G$16</definedName>
    <definedName name="AssumLoanAssump" hidden="1">Input!$E$195,Input!$E$205:$E$208</definedName>
    <definedName name="AssumLoanTerm" hidden="1">Input!$E$195</definedName>
    <definedName name="AssumOrigBal" hidden="1">Input!$D$200</definedName>
    <definedName name="AssumOrigCap" hidden="1">Input!$U$208</definedName>
    <definedName name="AssumOrigFloor" hidden="1">Input!$U$207</definedName>
    <definedName name="AssumOrigLockInputs" hidden="1">Input!$B$194:$E$219</definedName>
    <definedName name="AssumOrigToMAL" hidden="1">'Multiple Assumable Loans'!$E$16:$E$18,'Multiple Assumable Loans'!$E$21:$E$22,'Multiple Assumable Loans'!$E$26:$E$29,'Multiple Assumable Loans'!$E$32:$E$34,'Multiple Assumable Loans'!$E$38:$E$39,'Multiple Assumable Loans'!$K$17:$K$26</definedName>
    <definedName name="AssumPmntDropDown" hidden="1">IF(AssumableInterestRateType=150,FixedPmt,IF(NOT(AssumableHasAmort),VariablePmt,PaymentType))</definedName>
    <definedName name="AssumPmtType" hidden="1">Input!$E$208</definedName>
    <definedName name="AssumPrpyFee" hidden="1">Input!$D$218</definedName>
    <definedName name="AssumptionSetID" hidden="1">GenValidation!$DJ$2</definedName>
    <definedName name="AssumPydwnMnth" hidden="1">Input!$E$197</definedName>
    <definedName name="AssumRemainTerm" hidden="1">Input!$E$196</definedName>
    <definedName name="AverageRenovCost" hidden="1">Input!$D$81</definedName>
    <definedName name="AverageRenovPremium" hidden="1">Input!$E$81</definedName>
    <definedName name="AverageUnitSize" hidden="1">Input!$F$56</definedName>
    <definedName name="AvgAnnualAssetMgtFee" hidden="1">Input!#REF!</definedName>
    <definedName name="BackDuePropertyTaxesValue" hidden="1">Input!$W$35</definedName>
    <definedName name="BaseHistoricalDate" hidden="1">'Adjustments &amp; Notes'!$D$10</definedName>
    <definedName name="BaseHistoricalExpenses" hidden="1">Input!$D$129:$D$148</definedName>
    <definedName name="BaseHistoricalRETaxes" hidden="1">'Adjustments &amp; Notes'!$D$52</definedName>
    <definedName name="BaseRate" hidden="1">GenValidation!$Y$5:$Y$19</definedName>
    <definedName name="BaseRentalRevenueNotes" hidden="1">'Adjustments &amp; Notes'!$O$20</definedName>
    <definedName name="BedsfromRR" hidden="1">GenValidation!$L$124:$L$125</definedName>
    <definedName name="BridgeLTCTest" hidden="1">AND(Loan1Amount=IFERROR(BRIDGELOANAMOUNT,0),IFERROR(BRIDGELOANAMOUNT,0)&gt;0)</definedName>
    <definedName name="BrokerCommissionValue" hidden="1">Input!$E$37</definedName>
    <definedName name="CalcLeveredCF_HF" hidden="1">'CF Calculations'!$B$414:$O$414,'CF Calculations'!$Q$414,'CF Calculations'!$S$414:$EI$414,'CF Calculations'!$S$7:$EI$7,'CF Calculations'!$Q$7,'CF Calculations'!$B$7:$O$7</definedName>
    <definedName name="CalcLeveredCF_HT" hidden="1">'CF Calculations'!$B$7,'CF Calculations'!$S$7,'CF Calculations'!$B$414,'CF Calculations'!$S$414</definedName>
    <definedName name="CalcLeveredCF_SHT" hidden="1">'CF Calculations'!$B$2,'CF Calculations'!$O$2,'CF Calculations'!$B$9,'CF Calculations'!$B$17,'CF Calculations'!$B$38,'CF Calculations'!$B$58,'CF Calculations'!$B$66,'CF Calculations'!$B$76,'CF Calculations'!$B$79,'CF Calculations'!$B$86,'CF Calculations'!$B$89,'CF Calculations'!$B$99,'CF Calculations'!$B$108,'CF Calculations'!$B$111,'CF Calculations'!$B$121,'CF Calculations'!$B$129:$B$130,'CF Calculations'!$B$136,'CF Calculations'!$B$143,'CF Calculations'!$B$152:$B$153,'CF Calculations'!$B$159,'CF Calculations'!$B$166,'CF Calculations'!$B$175:$B$176,'CF Calculations'!$B$182,'CF Calculations'!$B$189,'CF Calculations'!$B$198:$B$199,'CF Calculations'!$B$204,'CF Calculations'!$B$211,'CF Calculations'!$B$218:$B$219,'CF Calculations'!$B$226,'CF Calculations'!$B$233,'CF Calculations'!$B$240,'CF Calculations'!$B$249,'CF Calculations'!$B$262:$B$263,'CF Calculations'!$B$268,'CF Calculations'!$B$275,'CF Calculations'!$B$284:$B$285,'CF Calculations'!$B$290,'CF Calculations'!$B$297,'CF Calculations'!$B$306,'CF Calculations'!$B$314,'CF Calculations'!$B$323,'CF Calculations'!$B$372,'CF Calculations'!$B$416,'CF Calculations'!$B$424,'CF Calculations'!$B$431,'CF Calculations'!$B$438,'CF Calculations'!$B$441,'CF Calculations'!$Q$4:$Q$5,'CF Calculations'!$C$5:$O$5,'CF Calculations'!$S$5:$EI$5</definedName>
    <definedName name="CalcLeveredCF_SHT_P" hidden="1">'CF Calculations'!#REF!,'CF Calculations'!#REF!,'CF Calculations'!#REF!,'CF Calculations'!#REF!,'CF Calculations'!#REF!</definedName>
    <definedName name="CalcLeveredCF_Title" hidden="1">'CF Calculations'!$E$2</definedName>
    <definedName name="CalcLeveredCF0_HF" hidden="1">'CF Calculations'!$B$414:$O$414</definedName>
    <definedName name="CalcLeveredCF0_HT" hidden="1">'CF Calculations'!$B$7</definedName>
    <definedName name="CalcLeveredCF0_SHT" hidden="1">'CF Calculations'!$B$2</definedName>
    <definedName name="CalcLeveredCF0_SHT_P" hidden="1">'CF Calculations'!#REF!</definedName>
    <definedName name="CalcLeveredCF1_HF" hidden="1">'CF Calculations'!$Q$414</definedName>
    <definedName name="CalcLeveredCF1_HT" hidden="1">'CF Calculations'!$S$7</definedName>
    <definedName name="CalcLeveredCF1_SHT" hidden="1">'CF Calculations'!$O$2</definedName>
    <definedName name="CalcLeveredCF1_SHT_P" hidden="1">'CF Calculations'!#REF!</definedName>
    <definedName name="CalcLeveredCF10_SHT" hidden="1">'CF Calculations'!$B$89</definedName>
    <definedName name="CalcLeveredCF11_SHT" hidden="1">'CF Calculations'!$B$99</definedName>
    <definedName name="CalcLeveredCF12_SHT" hidden="1">'CF Calculations'!$B$108</definedName>
    <definedName name="CalcLeveredCF13_SHT" hidden="1">'CF Calculations'!$B$111</definedName>
    <definedName name="CalcLeveredCF14_SHT" hidden="1">'CF Calculations'!$B$121</definedName>
    <definedName name="CalcLeveredCF15_SHT" hidden="1">'CF Calculations'!$B$129:$B$130</definedName>
    <definedName name="CalcLeveredCF16_SHT" hidden="1">'CF Calculations'!$B$136</definedName>
    <definedName name="CalcLeveredCF17_SHT" hidden="1">'CF Calculations'!$B$143</definedName>
    <definedName name="CalcLeveredCF18_SHT" hidden="1">'CF Calculations'!$B$152:$B$153</definedName>
    <definedName name="CalcLeveredCF19_SHT" hidden="1">'CF Calculations'!$B$159</definedName>
    <definedName name="CalcLeveredCF2_HF" hidden="1">'CF Calculations'!$S$414:$EI$414</definedName>
    <definedName name="CalcLeveredCF2_HT" hidden="1">'CF Calculations'!$B$414</definedName>
    <definedName name="CalcLeveredCF2_SHT" hidden="1">'CF Calculations'!$B$9</definedName>
    <definedName name="CalcLeveredCF2_SHT_P" hidden="1">'CF Calculations'!#REF!</definedName>
    <definedName name="CalcLeveredCF20_SHT" hidden="1">'CF Calculations'!$B$166</definedName>
    <definedName name="CalcLeveredCF21_SHT" hidden="1">'CF Calculations'!$B$175:$B$176</definedName>
    <definedName name="CalcLeveredCF22_SHT" hidden="1">'CF Calculations'!$B$182</definedName>
    <definedName name="CalcLeveredCF23_SHT" hidden="1">'CF Calculations'!$B$189</definedName>
    <definedName name="CalcLeveredCF24_SHT" hidden="1">'CF Calculations'!$B$198:$B$199</definedName>
    <definedName name="CalcLeveredCF25_SHT" hidden="1">'CF Calculations'!$B$204</definedName>
    <definedName name="CalcLeveredCF26_SHT" hidden="1">'CF Calculations'!$B$211</definedName>
    <definedName name="CalcLeveredCF27_SHT" hidden="1">'CF Calculations'!$B$218:$B$219</definedName>
    <definedName name="CalcLeveredCF28_SHT" hidden="1">'CF Calculations'!$B$226</definedName>
    <definedName name="CalcLeveredCF29_SHT" hidden="1">'CF Calculations'!$B$233</definedName>
    <definedName name="CalcLeveredCF3_HF" hidden="1">'CF Calculations'!$S$7:$EI$7</definedName>
    <definedName name="CalcLeveredCF3_HT" hidden="1">'CF Calculations'!$S$414</definedName>
    <definedName name="CalcLeveredCF3_SHT" hidden="1">'CF Calculations'!$B$17</definedName>
    <definedName name="CalcLeveredCF3_SHT_P" hidden="1">'CF Calculations'!#REF!</definedName>
    <definedName name="CalcLeveredCF30_SHT" hidden="1">'CF Calculations'!$B$240</definedName>
    <definedName name="CalcLeveredCF31_SHT" hidden="1">'CF Calculations'!$B$249</definedName>
    <definedName name="CalcLeveredCF32_SHT" hidden="1">'CF Calculations'!$B$262:$B$263</definedName>
    <definedName name="CalcLeveredCF33_SHT" hidden="1">'CF Calculations'!$B$268</definedName>
    <definedName name="CalcLeveredCF34_SHT" hidden="1">'CF Calculations'!$B$275</definedName>
    <definedName name="CalcLeveredCF35_SHT" hidden="1">'CF Calculations'!$B$284:$B$285</definedName>
    <definedName name="CalcLeveredCF36_SHT" hidden="1">'CF Calculations'!$B$290</definedName>
    <definedName name="CalcLeveredCF37_SHT" hidden="1">'CF Calculations'!$B$297</definedName>
    <definedName name="CalcLeveredCF38_SHT" hidden="1">'CF Calculations'!$B$306</definedName>
    <definedName name="CalcLeveredCF39_SHT" hidden="1">'CF Calculations'!$B$314</definedName>
    <definedName name="CalcLeveredCF4_HF" hidden="1">'CF Calculations'!$Q$7</definedName>
    <definedName name="CalcLeveredCF4_SHT" hidden="1">'CF Calculations'!$B$38</definedName>
    <definedName name="CalcLeveredCF4_SHT_P" hidden="1">'CF Calculations'!#REF!</definedName>
    <definedName name="CalcLeveredCF40_SHT" hidden="1">'CF Calculations'!$B$323</definedName>
    <definedName name="CalcLeveredCF41_SHT" hidden="1">'CF Calculations'!$B$372</definedName>
    <definedName name="CalcLeveredCF42_SHT" hidden="1">'CF Calculations'!$B$416</definedName>
    <definedName name="CalcLeveredCF43_SHT" hidden="1">'CF Calculations'!$B$424</definedName>
    <definedName name="CalcLeveredCF44_SHT" hidden="1">'CF Calculations'!$B$431</definedName>
    <definedName name="CalcLeveredCF45_SHT" hidden="1">'CF Calculations'!$B$438</definedName>
    <definedName name="CalcLeveredCF46_SHT" hidden="1">'CF Calculations'!$B$441</definedName>
    <definedName name="CalcLeveredCF47_SHT" hidden="1">'CF Calculations'!$Q$4:$Q$5</definedName>
    <definedName name="CalcLeveredCF48_SHT" hidden="1">'CF Calculations'!$C$5:$O$5</definedName>
    <definedName name="CalcLeveredCF49_SHT" hidden="1">'CF Calculations'!$S$5:$EI$5</definedName>
    <definedName name="CalcLeveredCF5_HF" hidden="1">'CF Calculations'!$B$7:$O$7</definedName>
    <definedName name="CalcLeveredCF5_SHT" hidden="1">'CF Calculations'!$B$58</definedName>
    <definedName name="CalcLeveredCF6_SHT" hidden="1">'CF Calculations'!$B$66</definedName>
    <definedName name="CalcLeveredCF7_SHT" hidden="1">'CF Calculations'!$B$76</definedName>
    <definedName name="CalcLeveredCF8_SHT" hidden="1">'CF Calculations'!$B$79</definedName>
    <definedName name="CalcLeveredCF9_SHT" hidden="1">'CF Calculations'!$B$86</definedName>
    <definedName name="CalcResidCF_HF" hidden="1">'Operating Calculations'!$Q$156:$ES$156,'Operating Calculations'!$B$156:$O$156,'Operating Calculations'!$B$112:$M$112,'Operating Calculations'!$O$112,'Operating Calculations'!$Q$112:$BA$112,'Operating Calculations'!$B$66:$M$66,'Operating Calculations'!$O$66,'Operating Calculations'!$Q$66:$ES$66,'Operating Calculations'!$Q$41:$ES$41,'Operating Calculations'!$O$41,'Operating Calculations'!$B$41:$M$41,'Operating Calculations'!$B$7:$M$7,'Operating Calculations'!$O$7,'Operating Calculations'!$Q$7:$ES$7</definedName>
    <definedName name="CalcResidCF_HT" hidden="1">'Operating Calculations'!$B$7,'Operating Calculations'!$Q$7,'Operating Calculations'!$B$41,'Operating Calculations'!$Q$41,'Operating Calculations'!$B$66,'Operating Calculations'!$Q$66,'Operating Calculations'!$B$112,'Operating Calculations'!$Q$112,'Operating Calculations'!$B$156,'Operating Calculations'!$Q$156</definedName>
    <definedName name="CalcResidCF_SHT" hidden="1">'Operating Calculations'!$B$140,'Operating Calculations'!$B$114,'Operating Calculations'!$B$87,'Operating Calculations'!$B$68,'Operating Calculations'!$B$61,'Operating Calculations'!$B$52:$B$53,'Operating Calculations'!$B$43:$B$44,'Operating Calculations'!$B$33,'Operating Calculations'!$B$30,'Operating Calculations'!$B$24,'Operating Calculations'!$B$17:$B$18,'Operating Calculations'!$B$9,'Operating Calculations'!$B$2,'Operating Calculations'!$C$5:$M$5,'Operating Calculations'!$L$2,'Operating Calculations'!$O$4:$O$5,'Operating Calculations'!$Q$5:$ES$5</definedName>
    <definedName name="CalcResidCF_Title" hidden="1">'Operating Calculations'!$E$2</definedName>
    <definedName name="CalcResidCF0_HF" hidden="1">'Operating Calculations'!$Q$156:$ES$156</definedName>
    <definedName name="CalcResidCF0_HT" hidden="1">'Operating Calculations'!$B$7</definedName>
    <definedName name="CalcResidCF0_SHT" hidden="1">'Operating Calculations'!$B$140</definedName>
    <definedName name="CalcResidCF1_HF" hidden="1">'Operating Calculations'!$B$156:$O$156</definedName>
    <definedName name="CalcResidCF1_HT" hidden="1">'Operating Calculations'!$Q$7</definedName>
    <definedName name="CalcResidCF1_SHT" hidden="1">'Operating Calculations'!$B$114</definedName>
    <definedName name="CalcResidCF10_HF" hidden="1">'Operating Calculations'!$B$41:$M$41</definedName>
    <definedName name="CalcResidCF10_SHT" hidden="1">'Operating Calculations'!$B$17:$B$18</definedName>
    <definedName name="CalcResidCF11_HF" hidden="1">'Operating Calculations'!$B$7:$M$7</definedName>
    <definedName name="CalcResidCF11_SHT" hidden="1">'Operating Calculations'!$B$9</definedName>
    <definedName name="CalcResidCF12_HF" hidden="1">'Operating Calculations'!$O$7</definedName>
    <definedName name="CalcResidCF12_SHT" hidden="1">'Operating Calculations'!$B$2</definedName>
    <definedName name="CalcResidCF13_HF" hidden="1">'Operating Calculations'!$Q$7:$ES$7</definedName>
    <definedName name="CalcResidCF13_SHT" hidden="1">'Operating Calculations'!$C$5:$M$5</definedName>
    <definedName name="CalcResidCF14_SHT" hidden="1">'Operating Calculations'!$L$2</definedName>
    <definedName name="CalcResidCF15_SHT" hidden="1">'Operating Calculations'!$O$4:$O$5</definedName>
    <definedName name="CalcResidCF16_SHT" hidden="1">'Operating Calculations'!$Q$5:$ES$5</definedName>
    <definedName name="CalcResidCF2_HF" hidden="1">'Operating Calculations'!$B$112:$M$112</definedName>
    <definedName name="CalcResidCF2_HT" hidden="1">'Operating Calculations'!$B$41</definedName>
    <definedName name="CalcResidCF2_SHT" hidden="1">'Operating Calculations'!$B$87</definedName>
    <definedName name="CalcResidCF3_HF" hidden="1">'Operating Calculations'!$O$112</definedName>
    <definedName name="CalcResidCF3_HT" hidden="1">'Operating Calculations'!$Q$41</definedName>
    <definedName name="CalcResidCF3_SHT" hidden="1">'Operating Calculations'!$B$68</definedName>
    <definedName name="CalcResidCF4_HF" hidden="1">'Operating Calculations'!$Q$112:$BA$112</definedName>
    <definedName name="CalcResidCF4_HT" hidden="1">'Operating Calculations'!$B$66</definedName>
    <definedName name="CalcResidCF4_SHT" hidden="1">'Operating Calculations'!$B$61</definedName>
    <definedName name="CalcResidCF5_HF" hidden="1">'Operating Calculations'!$B$66:$M$66</definedName>
    <definedName name="CalcResidCF5_HT" hidden="1">'Operating Calculations'!$Q$66</definedName>
    <definedName name="CalcResidCF5_SHT" hidden="1">'Operating Calculations'!$B$52:$B$53</definedName>
    <definedName name="CalcResidCF6_HF" hidden="1">'Operating Calculations'!$O$66</definedName>
    <definedName name="CalcResidCF6_HT" hidden="1">'Operating Calculations'!$B$112</definedName>
    <definedName name="CalcResidCF6_SHT" hidden="1">'Operating Calculations'!$B$43:$B$44</definedName>
    <definedName name="CalcResidCF7_HF" hidden="1">'Operating Calculations'!$Q$66:$ES$66</definedName>
    <definedName name="CalcResidCF7_HT" hidden="1">'Operating Calculations'!$Q$112</definedName>
    <definedName name="CalcResidCF7_SHT" hidden="1">'Operating Calculations'!$B$33</definedName>
    <definedName name="CalcResidCF8_HF" hidden="1">'Operating Calculations'!$Q$41:$ES$41</definedName>
    <definedName name="CalcResidCF8_HT" hidden="1">'Operating Calculations'!$B$156</definedName>
    <definedName name="CalcResidCF8_SHT" hidden="1">'Operating Calculations'!$B$30</definedName>
    <definedName name="CalcResidCF9_HF" hidden="1">'Operating Calculations'!$O$41</definedName>
    <definedName name="CalcResidCF9_HT" hidden="1">'Operating Calculations'!$Q$156</definedName>
    <definedName name="CalcResidCF9_SHT" hidden="1">'Operating Calculations'!$B$24</definedName>
    <definedName name="CalcWaterfall_HF" hidden="1">Waterfall!#REF!,Waterfall!#REF!</definedName>
    <definedName name="CalcWaterfall_HT" hidden="1">Waterfall!#REF!,Waterfall!#REF!</definedName>
    <definedName name="CalcWaterfall_SHT" hidden="1">Waterfall!#REF!,Waterfall!#REF!,Waterfall!#REF!,Waterfall!#REF!,Waterfall!#REF!,Waterfall!#REF!,Waterfall!#REF!,Waterfall!#REF!</definedName>
    <definedName name="CalcWaterfall_Title" hidden="1">Waterfall!#REF!</definedName>
    <definedName name="CalcWaterfall0_HF" hidden="1">Waterfall!#REF!</definedName>
    <definedName name="CalcWaterfall0_HT" hidden="1">Waterfall!#REF!</definedName>
    <definedName name="CalcWaterfall0_SHT" hidden="1">Waterfall!#REF!</definedName>
    <definedName name="CalcWaterfall1_HF" hidden="1">Waterfall!#REF!</definedName>
    <definedName name="CalcWaterfall1_HT" hidden="1">Waterfall!#REF!</definedName>
    <definedName name="CalcWaterfall1_SHT" hidden="1">Waterfall!#REF!</definedName>
    <definedName name="CalcWaterfall2_SHT" hidden="1">Waterfall!#REF!</definedName>
    <definedName name="CalcWaterfall3_SHT" hidden="1">Waterfall!#REF!</definedName>
    <definedName name="CalcWaterfall4_SHT" hidden="1">Waterfall!#REF!</definedName>
    <definedName name="CalcWaterfall5_SHT" hidden="1">Waterfall!#REF!</definedName>
    <definedName name="CalcWaterfall6_SHT" hidden="1">Waterfall!#REF!</definedName>
    <definedName name="CalcWaterfall7_SHT" hidden="1">Waterfall!#REF!</definedName>
    <definedName name="CapExEnterSelection" hidden="1">Input!$D$177</definedName>
    <definedName name="CapExInputDetailType" hidden="1">GenValidation!$A$44</definedName>
    <definedName name="CapitalExpenditures" hidden="1">Input!$AB$197</definedName>
    <definedName name="CappedInPLaceNOI" hidden="1">GenValidation!$V$8</definedName>
    <definedName name="CappedPrFrmaNOI" hidden="1">GenValidation!$V$7</definedName>
    <definedName name="CapRateHistoricals" hidden="1">GenValidation!#REF!</definedName>
    <definedName name="CapRateSensitivityTable" hidden="1">Input!$Z$248:$AE$254</definedName>
    <definedName name="CapRateSensitivityTableDelete" hidden="1">Input!$AA$249:$AE$254</definedName>
    <definedName name="CFCalcCommInc" hidden="1">'CF Calculations'!$B$31</definedName>
    <definedName name="CFCapEx" hidden="1">'CF Calculations'!$S$71:$EI$71</definedName>
    <definedName name="CFCapExPaidFromUpfrontAccnt" hidden="1">'CF Calculations'!$S$72:$EI$72</definedName>
    <definedName name="CFDates" hidden="1">'CF Calculations'!$S$4:$EI$4</definedName>
    <definedName name="CFEGR" hidden="1">'CF Calculations'!$S$34:$EI$34</definedName>
    <definedName name="CFFinancingCashFlow" hidden="1">'CF Calculations'!$S$95:$EI$95</definedName>
    <definedName name="CFLeveredCashFlow" hidden="1">'CF Calculations'!$S$108:$EI$108</definedName>
    <definedName name="CFLoanReserves" hidden="1">'CF Calculations'!$S$104:$EI$104</definedName>
    <definedName name="CFMnths" hidden="1">'CF Calculations'!$T$5:$EI$5</definedName>
    <definedName name="CFNetSalesProceeds" hidden="1">'CF Calculations'!$S$82:$EI$82</definedName>
    <definedName name="CFNOIAfterReserves" hidden="1">'CF Calculations'!$S$62:$EI$62</definedName>
    <definedName name="CFNOIBefReserves" hidden="1">'CF Calculations'!$S$59:$EI$59</definedName>
    <definedName name="CFOperatingCashFlow" hidden="1">'CF Calculations'!$S$76:$EI$76</definedName>
    <definedName name="CFRepReserves" hidden="1">'CF Calculations'!$S$60:$EI$60</definedName>
    <definedName name="CFTotalExpenses" hidden="1">'CF Calculations'!$S$54:$EI$54</definedName>
    <definedName name="CFUnleveredCashFlow" hidden="1">'CF Calculations'!$S$86:$EI$86</definedName>
    <definedName name="CFYears" hidden="1">'CF Calculations'!$E$5:$N$5</definedName>
    <definedName name="City" hidden="1">GenValidation!$A$13</definedName>
    <definedName name="ClosingDate" hidden="1">GenValidation!$AH$5</definedName>
    <definedName name="CollectionLoss" hidden="1">Input!$G$94</definedName>
    <definedName name="CollectionLossAdjustment" hidden="1">'Adjustments &amp; Notes'!$F$19</definedName>
    <definedName name="CollectionLossNotes" hidden="1">'Adjustments &amp; Notes'!$O$19</definedName>
    <definedName name="ColumnHeader" hidden="1">'Select Historicals'!$D$9</definedName>
    <definedName name="CommercialCapExListCount" hidden="1">GenValidation!$A$115</definedName>
    <definedName name="CommercialCashFlowInputCutOff" hidden="1">GenValidation!$A$113</definedName>
    <definedName name="CommercialNetIncomeAdjustment" hidden="1">'Adjustments &amp; Notes'!$F$30</definedName>
    <definedName name="CommercialNetIncomeNotes" hidden="1">'Adjustments &amp; Notes'!$O$30</definedName>
    <definedName name="CommercialNOI" hidden="1">'Commercial CF'!$D$18</definedName>
    <definedName name="CommercialNOIListCount" hidden="1">GenValidation!$A$114</definedName>
    <definedName name="CommercialPopulated" hidden="1">GenValidation!$BF$5</definedName>
    <definedName name="CommercialTI" hidden="1">'Commercial CF'!$D$19</definedName>
    <definedName name="CommGrossInp" hidden="1">'Commercial CF'!$D$10</definedName>
    <definedName name="CommNetInp" hidden="1">'Commercial CF'!$F$10</definedName>
    <definedName name="ConcessionsAdjustment" hidden="1">'Adjustments &amp; Notes'!$F$17</definedName>
    <definedName name="ConcessionsGPR" hidden="1">Input!$G$93</definedName>
    <definedName name="ConcessionsNotes" hidden="1">'Adjustments &amp; Notes'!$O$17</definedName>
    <definedName name="ContractServicesAdjustment" hidden="1">'Adjustments &amp; Notes'!$F$39</definedName>
    <definedName name="ContractServicesNotes" hidden="1">'Adjustments &amp; Notes'!$O$39</definedName>
    <definedName name="CostsIncludedLTCCalc" hidden="1">GenValidation!$AN$45</definedName>
    <definedName name="CounterId" hidden="1">Input!$E$11</definedName>
    <definedName name="CreatedBy" hidden="1">GenValidation!$A$5</definedName>
    <definedName name="CurrentLeaseExpirationTable" hidden="1">GenValidation!$BW$136:INDEX(GenValidation!$BZ:$BZ,ROW(GenValidation!$BZ$136)+TotalDealUnits-1)</definedName>
    <definedName name="CustExpLabel1" hidden="1">Input!$B$147</definedName>
    <definedName name="CustExpLabel2" hidden="1">Input!$B$148</definedName>
    <definedName name="CustomDistributionName" hidden="1">Input!$Z$129</definedName>
    <definedName name="CustomExpenseDistributionInputCutOff" hidden="1">GenValidation!$A$92</definedName>
    <definedName name="CustomExpenseDistributionListCount" hidden="1">GenValidation!$A$93</definedName>
    <definedName name="CustomExpenseDistributions" hidden="1">Input!$AB$129:$AM$148</definedName>
    <definedName name="CustomExpInput" hidden="1">Input!$G$146:$G$147</definedName>
    <definedName name="CustomMarketRentGrowth" hidden="1">Input!$S$69:$BB$69</definedName>
    <definedName name="CustomOtherRentGrowth" hidden="1">Input!$S$70:$BB$70</definedName>
    <definedName name="CWAssumptionsRenovatedRents" hidden="1">'Assumptions '!#REF!</definedName>
    <definedName name="CWAssumptionsRenovationDowntime" hidden="1">'Assumptions '!#REF!</definedName>
    <definedName name="CWSummaryRenovationAssumptions" hidden="1">'Summary '!#REF!</definedName>
    <definedName name="DashBoardLabels" hidden="1">GenValidation!$AY$5:$AZ$23</definedName>
    <definedName name="DataFromRentRoll" hidden="1">GenValidation!$AE$124:$AE$125</definedName>
    <definedName name="DataFromRentRollOld" hidden="1">GenValidation!$AE$130:$AE$131</definedName>
    <definedName name="DateOfExit" hidden="1">Input!$M$12</definedName>
    <definedName name="DealName" hidden="1">Input!$E$10</definedName>
    <definedName name="DebtAreUngrouped" hidden="1">Sheet2!$A$7</definedName>
    <definedName name="DebtAreUngroupedFlag" hidden="1">Sheet2!$A$8</definedName>
    <definedName name="DebtService" hidden="1">Input!$AB$198</definedName>
    <definedName name="DeferredMaintenance" hidden="1">Input!$AD$34</definedName>
    <definedName name="DeltaColumnSelection" hidden="1">GenValidation!$BC$12:$BC$17</definedName>
    <definedName name="DetailCCAcq" hidden="1">Input!$W$31:$X$33,Input!$W$35:$X$37,Input!$AC$31,Input!$AD$32:$AE$33,Input!$AC$35,Input!$AD$34,Input!$AD$37</definedName>
    <definedName name="DetailedAssumptionsInputs" hidden="1">Input!$N$1:$BB$1</definedName>
    <definedName name="DiscReversionTax" hidden="1">Input!$AG$240</definedName>
    <definedName name="DiscReversionYr" hidden="1">Input!$AG$226:$AG$245</definedName>
    <definedName name="DispositionFee" hidden="1">Input!#REF!</definedName>
    <definedName name="DispValuationAssump" hidden="1">Input!$L$32:$M$33,Input!$K$38:$M$38</definedName>
    <definedName name="DispValuationBasisType" hidden="1">GenValidation!$A$21</definedName>
    <definedName name="DispValuationType" hidden="1">GenValidation!$A$22</definedName>
    <definedName name="Divider1_HF" hidden="1">'OUTPUT TABS ==&gt;'!$B$4:$K$4</definedName>
    <definedName name="Divider1_HT" hidden="1">'OUTPUT TABS ==&gt;'!$B$4</definedName>
    <definedName name="Divider1HistoricalIndex" hidden="1">'OUTPUT TABS ==&gt;'!$A$18:$A$19</definedName>
    <definedName name="Divider1RenovationIndex" hidden="1">'OUTPUT TABS ==&gt;'!$A$16:$A$17</definedName>
    <definedName name="Divider2_HF" hidden="1">'INPUT TABS ==&gt; '!$B$4:$K$4</definedName>
    <definedName name="Divider2_HT" hidden="1">'INPUT TABS ==&gt; '!$B$4</definedName>
    <definedName name="Divider3_HF" hidden="1">'CALCULATION TABS ==&gt;'!$B$4:$K$4</definedName>
    <definedName name="Divider3_HT" hidden="1">'CALCULATION TABS ==&gt;'!$B$4</definedName>
    <definedName name="DollarsPerSFFromRentRoll" hidden="1">GenValidation!$U$124:$U$125</definedName>
    <definedName name="DollarsPerSFFromRentRollOld" hidden="1">GenValidation!$U$130:$U$131</definedName>
    <definedName name="DollarUnitType" hidden="1">GenValidation!$AB$5:$AB$6</definedName>
    <definedName name="EarlyTaxPmntDiscnt" hidden="1">Input!$L$160</definedName>
    <definedName name="EffectiveGrossRevenueNotes" hidden="1">'Adjustments &amp; Notes'!$O$33</definedName>
    <definedName name="EGR" hidden="1">GenValidation!$AC$8</definedName>
    <definedName name="ElectricityAdjustment" hidden="1">'Adjustments &amp; Notes'!$F$47</definedName>
    <definedName name="ElectricityNotes" hidden="1">'Adjustments &amp; Notes'!$O$47</definedName>
    <definedName name="EnableShowModel" hidden="1">GenValidation!$A$79</definedName>
    <definedName name="EnvironmentalReportsValue" hidden="1">Input!$W$32</definedName>
    <definedName name="EquityPartner" hidden="1">Input!#REF!</definedName>
    <definedName name="EquityPartnerEquityMult" hidden="1">GenValidation!#REF!</definedName>
    <definedName name="EquityPartnerFundingReq" hidden="1">GenValidation!#REF!</definedName>
    <definedName name="EquityPartnerIRR" hidden="1">GenValidation!#REF!</definedName>
    <definedName name="ExitCapRate" hidden="1">Input!$M$33</definedName>
    <definedName name="ExitCapRateSensitivityIncrement" hidden="1">Input!$E$240</definedName>
    <definedName name="ExitCapRateSensitivityInput" hidden="1">Input!$E$239</definedName>
    <definedName name="ExitPriceMethod" hidden="1">GenValidation!$U$5:$U$6</definedName>
    <definedName name="ExitValBasis" hidden="1">Input!$L$31</definedName>
    <definedName name="ExpCategory" hidden="1">GenValidation!$N$5:$N$24</definedName>
    <definedName name="ExpDistribution" hidden="1">GenValidation!$AD$5:$AD$6</definedName>
    <definedName name="ExpenseAssumpSection" hidden="1">Input!$A$125:$A$189</definedName>
    <definedName name="ExpenseDeleteExplanation" hidden="1">GenValidation!$BF$8</definedName>
    <definedName name="ExpenseReimbursementsAdjustment" hidden="1">'Adjustments &amp; Notes'!$F$24</definedName>
    <definedName name="ExpenseReimbursementsNotes" hidden="1">'Adjustments &amp; Notes'!$O$24</definedName>
    <definedName name="ExpensesAreUngrouped" hidden="1">Sheet2!$A$1</definedName>
    <definedName name="ExpensesAreUngroupedFlag" hidden="1">Sheet2!$A$2</definedName>
    <definedName name="ExpEntryMethodSelectionType" hidden="1">GenValidation!$A$34</definedName>
    <definedName name="ExpInpSelection" hidden="1">Input!$F$128</definedName>
    <definedName name="ExpirationNote" hidden="1">Input!$B$63</definedName>
    <definedName name="ExpirationScheduleSummary" hidden="1">GenValidation!$BH$8:$BS$8</definedName>
    <definedName name="ExpirationScheduleSummaryOld" hidden="1">GenValidation!$BH$16:$BS$16</definedName>
    <definedName name="ExpReimbInOtherIncomeTable" hidden="1">Input!$B$120:$C$120</definedName>
    <definedName name="ExpUnitTotal" hidden="1">GenValidation!$AC$7</definedName>
    <definedName name="ExpUnitType" hidden="1">IF(IsHistoricalComponent,GenValidation!$AB$5:$AB$9,GenValidation!$AB$5:$AB$8)</definedName>
    <definedName name="ExpUnitTypeId" hidden="1">IF(IsHistoricalComponent,GenValidation!$AC$5:$AC$9,GenValidation!$AC$5:$AC$8)</definedName>
    <definedName name="ExpUnitTypeSelection" hidden="1">GenValidation!$AB$11</definedName>
    <definedName name="FileFirstOpen" hidden="1">GenValidation!$BF$7</definedName>
    <definedName name="FindersFeesValue" hidden="1">Input!$AC$35</definedName>
    <definedName name="FirstGeneration" hidden="1">GenValidation!$A$77</definedName>
    <definedName name="FirstMonthOfExpSchedule" hidden="1">Input!$B$61</definedName>
    <definedName name="FiscalYearMonthEnd" hidden="1">GenValidation!$A$88</definedName>
    <definedName name="FixedInterest" hidden="1">GenValidation!$W$5</definedName>
    <definedName name="FixedPmt" hidden="1">GenValidation!$X$5</definedName>
    <definedName name="FloatingInterest" hidden="1">GenValidation!$W$6</definedName>
    <definedName name="FloorCapListCount" hidden="1">GenValidation!$A$118</definedName>
    <definedName name="FloorPlanDesignation" hidden="1">Input!$D$53:$D$54</definedName>
    <definedName name="FloorPlanInputs" hidden="1">Input!$B$53:$O$54</definedName>
    <definedName name="FloorPlanNames" hidden="1">Input!$B$53:$B$54</definedName>
    <definedName name="FloorPlanRenovStatus" hidden="1">GenValidation!$AA$5</definedName>
    <definedName name="FloorPlansFromRR" hidden="1">GenValidation!$G$124:$G$125</definedName>
    <definedName name="FlushAssumableLoan1Inputs" hidden="1">'Multiple Assumable Loans'!$E$16:$E$17,'Multiple Assumable Loans'!$E$21,'Multiple Assumable Loans'!$E$26:$E$27,'Multiple Assumable Loans'!$E$32:$E$34,'Multiple Assumable Loans'!$E$38:$E$39</definedName>
    <definedName name="FlushAssumableLoan2Inputs" hidden="1">'Multiple Assumable Loans'!$F$16:$F$17,'Multiple Assumable Loans'!$F$21,'Multiple Assumable Loans'!$F$26:$F$27,'Multiple Assumable Loans'!$F$32:$F$34,'Multiple Assumable Loans'!$F$38:$F$39</definedName>
    <definedName name="FlushAssumableLoan3Inputs" hidden="1">'Multiple Assumable Loans'!$G$16:$G$17,'Multiple Assumable Loans'!$G$21,'Multiple Assumable Loans'!$G$26:$G$27,'Multiple Assumable Loans'!$G$32:$G$34,'Multiple Assumable Loans'!$G$38:$G$39</definedName>
    <definedName name="FlushAssumableLoanInputs" comment="Used in VBA" hidden="1">Input!$E$195:$E$196,Input!$D$200,Input!$E$205:$E$206,Input!$D$211,Input!$E$217,Input!$D$218,Input!$E$212</definedName>
    <definedName name="FlushLoan1Inputs" comment="For VBa only" hidden="1">Input!$I$195:$I$196,Input!$I$199,Input!$H$201,Input!$I$205:$I$206,Input!$H$211,Input!$I$212,Input!$I$217:$I$218,Input!$V$215:$V$217,Input!$W$214,Input!$AB$196:$AC$199</definedName>
    <definedName name="FlushLoan2Inputs" comment="for VBA only" hidden="1">Input!$K$195:$K$196,Input!$K$199,Input!$J$201,Input!$K$205:$K$206,Input!$J$211,Input!$K$212:$K$213,Input!$K$217:$K$218,Input!$Z$215:$Z$217,Input!$AA$214</definedName>
    <definedName name="FlushLoan3Inputs" hidden="1">Input!$M$195:$M$196,Input!$M$199,Input!$L$201,Input!$M$205:$M$206,Input!$L$211,Input!$M$212:$M$213,Input!$M$217:$M$218,Input!$AD$215:$AD$217,Input!$AE$214</definedName>
    <definedName name="Forward" hidden="1">GenValidation!$U$5</definedName>
    <definedName name="FPBeds" hidden="1">Input!$G$53:$G$54</definedName>
    <definedName name="FPBedsOld" hidden="1">GenValidation!$L$130:$L$131</definedName>
    <definedName name="FPInPlacePerSF" hidden="1">Input!$T$53:$T$54</definedName>
    <definedName name="FPInPlaceRent" hidden="1">Input!$M$53:$M$54</definedName>
    <definedName name="FPInPlaceRentOld" hidden="1">GenValidation!$R$130</definedName>
    <definedName name="FPIsRenovated" hidden="1">Input!$O$53:$O$54</definedName>
    <definedName name="FPIsRenovatedOld" hidden="1">GenValidation!$T$130:$T$131</definedName>
    <definedName name="FPLeaseType" hidden="1">Input!$N$53:$N$54</definedName>
    <definedName name="FPLeaseTypeOld" hidden="1">GenValidation!$S$130:$S$131</definedName>
    <definedName name="FPMarketRent" hidden="1">Input!$L$53</definedName>
    <definedName name="FPMarketRentOld" hidden="1">GenValidation!$Q$130</definedName>
    <definedName name="FPNonRevUnits" hidden="1">Input!$K$53</definedName>
    <definedName name="FPNonRevUnitsOld" hidden="1">GenValidation!$P$130</definedName>
    <definedName name="FPNumOfUnits" hidden="1">Input!$H$53:$H$54</definedName>
    <definedName name="FPNumOfUnitsOld" hidden="1">GenValidation!$M$130</definedName>
    <definedName name="FPOccupiedUnits" hidden="1">Input!$I$53:$I$54</definedName>
    <definedName name="FPUnitSize" hidden="1">Input!$F$53:$F$54</definedName>
    <definedName name="FPUnitSizeOld" hidden="1">GenValidation!$K$130</definedName>
    <definedName name="FPVacantUnits" hidden="1">Input!$J$53</definedName>
    <definedName name="FPVacantUnitsOld" hidden="1">GenValidation!$O$130</definedName>
    <definedName name="FuelGasOilAdjustment" hidden="1">'Adjustments &amp; Notes'!$F$48</definedName>
    <definedName name="FuelGasOilNotes" hidden="1">'Adjustments &amp; Notes'!$O$48</definedName>
    <definedName name="GarageParkingAdjustment" hidden="1">'Adjustments &amp; Notes'!$F$22</definedName>
    <definedName name="GarageParkingNotes" hidden="1">'Adjustments &amp; Notes'!$O$22</definedName>
    <definedName name="GenerationId" hidden="1">GenValidation!$A$4</definedName>
    <definedName name="GoingInCapRate" hidden="1">Input!$F$33</definedName>
    <definedName name="GoingInCapRatePercent" hidden="1">GenValidation!$AL$33</definedName>
    <definedName name="GoingInCapRateSensitivityInput" hidden="1">Input!$E$238</definedName>
    <definedName name="GoingInCapRateSensitivityType" hidden="1">GenValidation!$A$75</definedName>
    <definedName name="GrossPotentialRevenueNotes" hidden="1">'Adjustments &amp; Notes'!$O$14</definedName>
    <definedName name="Grown" hidden="1">GenValidation!$S$5</definedName>
    <definedName name="GrownOverHistoricals" hidden="1">GenValidation!$AB$9</definedName>
    <definedName name="HasAffordableUnits" hidden="1">GenValidation!$A$28</definedName>
    <definedName name="HasAssumableDebt" hidden="1">GenValidation!$BF$10</definedName>
    <definedName name="HasAssumableDebt1" hidden="1">GenValidation!$BF$12</definedName>
    <definedName name="HasAssumableDebt2" hidden="1">GenValidation!$BF$13</definedName>
    <definedName name="HasAssumableDebt3" hidden="1">GenValidation!$BF$14</definedName>
    <definedName name="HasFPLeaseTypeOld" hidden="1">GenValidation!$S$132</definedName>
    <definedName name="HasHistoricalComponent" hidden="1">GenValidation!$A$87</definedName>
    <definedName name="HasLeaseTypeFromRR" hidden="1">GenValidation!$S$126</definedName>
    <definedName name="HasLoan1" hidden="1">GenValidation!$BF$15</definedName>
    <definedName name="HasLoan2" hidden="1">GenValidation!$BF$16</definedName>
    <definedName name="HasLoan3" hidden="1">GenValidation!$BF$17</definedName>
    <definedName name="HasProforma" hidden="1">GenValidation!$A$81</definedName>
    <definedName name="HistColumnHeaderCleanup" hidden="1">'Select Historicals'!$D$9:$M$9</definedName>
    <definedName name="HistCommIncome" hidden="1">'Select Historicals'!$B$26</definedName>
    <definedName name="HistCommIncomeAdjustmentsTab" hidden="1">'Adjustments &amp; Notes'!$B$30</definedName>
    <definedName name="HistoricalColumnHeaderInputCutOff" hidden="1">GenValidation!$A$123</definedName>
    <definedName name="HistoricalsDownloaded" hidden="1">GenValidation!$BF$27</definedName>
    <definedName name="HistOutCommInc" hidden="1">'Historical CF'!$B$23</definedName>
    <definedName name="IdAccount" hidden="1">GenValidation!$A$6</definedName>
    <definedName name="IncBuildChartDates" localSheetId="4" hidden="1">INDEX('Income Build '!#REF!,IFERROR(MATCH("Month to Month",'Income Build '!#REF!,),1),):INDEX('Income Build '!#REF!,IFERROR(MATCH("Month to Month",'Income Build '!#REF!,),1)+12,)</definedName>
    <definedName name="IncBuildChartGrossPotential" localSheetId="4" hidden="1">INDEX('Income Build '!#REF!,IFERROR(MATCH("Month to Month",'Income Build '!#REF!,),1),):INDEX('Income Build '!#REF!,IFERROR(MATCH("Month to Month",'Income Build '!#REF!,),1)+12,)</definedName>
    <definedName name="IncBuildChartMonthlyGain" localSheetId="4" hidden="1">INDEX('Income Build '!#REF!,IFERROR(MATCH("Month to Month",'Income Build '!#REF!,),1),):INDEX('Income Build '!#REF!,IFERROR(MATCH("Month to Month",'Income Build '!#REF!,),1)+12,)</definedName>
    <definedName name="IncrementalCapInfl" hidden="1">GenValidation!$AL$37</definedName>
    <definedName name="InflRate" hidden="1">Input!$G$151:$P$151</definedName>
    <definedName name="InpCommercialCF_HF" hidden="1">'Commercial CF'!$B$7:$F$7,'Commercial CF'!$B$14:$EE$14</definedName>
    <definedName name="InpCommercialCF_HT" hidden="1">'Commercial CF'!$B$7,'Commercial CF'!$B$14</definedName>
    <definedName name="InpCommercialCF_SHT" hidden="1">'Commercial CF'!$B$4,'Commercial CF'!$O$4,'Commercial CF'!$B$9,'Commercial CF'!$D$9,'Commercial CF'!$F$9,'Commercial CF'!$B$16,'Commercial CF'!$B$17,'Commercial CF'!$D$17:$EE$17</definedName>
    <definedName name="InpCommercialCF_Title" hidden="1">'Commercial CF'!$H$4</definedName>
    <definedName name="InpCommercialCF0_HF" hidden="1">'Commercial CF'!$B$7:$F$7</definedName>
    <definedName name="InpCommercialCF0_HT" hidden="1">'Commercial CF'!$B$7</definedName>
    <definedName name="InpCommercialCF0_SHT" hidden="1">'Commercial CF'!$B$4</definedName>
    <definedName name="InpCommercialCF1_HF" hidden="1">'Commercial CF'!$B$14:$EE$14</definedName>
    <definedName name="InpCommercialCF1_HT" hidden="1">'Commercial CF'!$B$14</definedName>
    <definedName name="InpCommercialCF1_SHT" hidden="1">'Commercial CF'!$O$4</definedName>
    <definedName name="InpCommercialCF2_SHT" hidden="1">'Commercial CF'!$B$9</definedName>
    <definedName name="InpCommercialCF3_SHT" hidden="1">'Commercial CF'!$D$9</definedName>
    <definedName name="InpCommercialCF4_SHT" hidden="1">'Commercial CF'!$F$9</definedName>
    <definedName name="InpCommercialCF5_SHT" hidden="1">'Commercial CF'!$B$16</definedName>
    <definedName name="InpCommercialCF6_SHT" hidden="1">'Commercial CF'!$B$17</definedName>
    <definedName name="InpCommercialCF7_SHT" hidden="1">'Commercial CF'!$D$17:$EE$17</definedName>
    <definedName name="InpGeneral_HF" hidden="1">Input!$B$7:$Q$7,Input!$B$27:$Q$27,Input!$S$27:$AE$27,Input!$B$47:$Q$47,Input!$S$47:$BB$47,Input!$B$124:$Q$124,Input!$S$124:$AK$124,Input!$B$191:$Q$191,Input!$S$191:$AF$191,Input!$B$222:$AG$222</definedName>
    <definedName name="InpGeneral_HF_P" hidden="1">Input!#REF!</definedName>
    <definedName name="InpGeneral_HT" hidden="1">Input!$B$7,Input!$B$27,Input!$S$27,Input!$B$47,Input!$S$47,Input!$B$124,Input!$S$124,Input!$B$191,Input!$S$191,Input!$B$222</definedName>
    <definedName name="InpGeneral_HT_P" hidden="1">Input!#REF!</definedName>
    <definedName name="InpGeneral_SHT" hidden="1">Input!$B$4,Input!$M$4,Input!$B$9,Input!$G$9,Input!$K$9,Input!$B$16,Input!$B$29,Input!$B$30,Input!$B$35,Input!$B$41,Input!$E$35:$G$35,Input!$I$29,Input!$I$30,Input!$I$35,Input!$K$35:$M$35,Input!$S$29,Input!$V$30:$X$30,Input!$AC$30:$AE$30,Input!$B$49,Input!$B$52,Input!$F$52:$H$52,Input!$I$51:$K$52,Input!$L$50:$M$52,Input!$N$51:$O$52,Input!$S$49,Input!$S$51:$V$52,Input!$W$50:$X$52,Input!$B$60,Input!$B$61:$M$61,Input!$B$66,Input!$B$68:$Q$68,Input!$S$66,Input!$S$68:$BB$68,Input!$S$77:$BB$77,Input!$S$74,Input!$Q$76:$Q$77,Input!$G$77:$P$77,Input!$G$76:$P$76,Input!$B$74,Input!$B$77,Input!$D$76:$F$77,Input!$B$88,Input!$B$89,Input!$F$89,Input!$G$89:$Q$89,Input!$B$104,Input!$B$105,Input!$E$105:$Q$105,Input!$B$126,Input!$B$128,Input!$E$127:$E$128,Input!$F$127,Input!$G$127:$Q$128,Input!$S$127:$T$128,Input!$V$126,Input!$V$128:$X$128,Input!$Z$126,Input!$Z$128,Input!$AB$127:$AM$128,Input!$AN$128,Input!$B$158,Input!$E$159,Input!$G$159,Input!$B$169,Input!$B$170,Input!$G$170:$Q$170,Input!$B$176,Input!$B$179,Input!$F$178:$F$179,Input!$G$178:$Q$179,Input!$S$176,Input!$S$179:$BB$179,Input!$B$193,Input!$B$194,Input!$B$199,Input!$B$204,Input!$B$210,Input!$B$216,Input!$G$193:$M$193,Input!$G$194,Input!$G$198,Input!$G$204,Input!$G$210,Input!$G$216,Input!$S$193:$X$195,Input!$Z$193,Input!$S$212:$AF$212,Input!$B$224,Input!$B$226,Input!$B$231,Input!$B$237,Input!$B$242,Input!$B$246,Input!$G$224:$M$225,Input!$G$235:$M$236,Input!$G$246:$M$247,Input!$O$224,Input!$R$225:$V$225,Input!$O$227,Input!$O$235,Input!$O$238,Input!$R$236:$V$236,Input!$O$246,Input!$O$249,Input!$R$247:$V$247,Input!$X$224,Input!$AA$225:$AE$225,Input!$X$227,Input!$X$235,Input!$AA$236:$AE$236,Input!$X$238,Input!$X$246,Input!$AA$247:$AE$247,Input!$X$249,Input!$AG$224:$AG$225,Input!$Y$50:$AB$52,Input!$Z$194:$AF$195,Input!$S$213:$AF$213</definedName>
    <definedName name="InpGeneral_SHT_P" hidden="1">Input!#REF!,Input!#REF!,Input!#REF!,Input!#REF!,Input!#REF!,Input!#REF!,Input!#REF!,Input!#REF!,Input!#REF!,Input!#REF!,Input!#REF!</definedName>
    <definedName name="InpGeneral_Title" hidden="1">Input!$G$4</definedName>
    <definedName name="InpGeneral0_HF" hidden="1">Input!$B$7:$Q$7</definedName>
    <definedName name="InpGeneral0_HT" hidden="1">Input!$B$7</definedName>
    <definedName name="InpGeneral0_SHT" hidden="1">Input!$B$4</definedName>
    <definedName name="InpGeneral0_SHT_P" hidden="1">Input!#REF!</definedName>
    <definedName name="InpGeneral1_HF" hidden="1">Input!$B$27:$Q$27</definedName>
    <definedName name="InpGeneral1_HT" hidden="1">Input!$B$27</definedName>
    <definedName name="InpGeneral1_SHT" hidden="1">Input!$M$4</definedName>
    <definedName name="InpGeneral1_SHT_P" hidden="1">Input!#REF!</definedName>
    <definedName name="InpGeneral10_SHT" hidden="1">Input!$E$35:$G$35</definedName>
    <definedName name="InpGeneral10_SHT_P" hidden="1">Input!#REF!</definedName>
    <definedName name="InpGeneral100_SHT" hidden="1">Input!$O$238</definedName>
    <definedName name="InpGeneral101_SHT" hidden="1">Input!$R$236:$V$236</definedName>
    <definedName name="InpGeneral102_SHT" hidden="1">Input!$O$246</definedName>
    <definedName name="InpGeneral103_SHT" hidden="1">Input!$O$249</definedName>
    <definedName name="InpGeneral104_SHT" hidden="1">Input!$R$247:$V$247</definedName>
    <definedName name="InpGeneral105_SHT" hidden="1">Input!$X$224</definedName>
    <definedName name="InpGeneral106_SHT" hidden="1">Input!$AA$225:$AE$225</definedName>
    <definedName name="InpGeneral107_SHT" hidden="1">Input!$X$227</definedName>
    <definedName name="InpGeneral108_SHT" hidden="1">Input!$X$235</definedName>
    <definedName name="InpGeneral109_SHT" hidden="1">Input!$AA$236:$AE$236</definedName>
    <definedName name="InpGeneral11_SHT" hidden="1">Input!$I$29</definedName>
    <definedName name="InpGeneral110_SHT" hidden="1">Input!$X$238</definedName>
    <definedName name="InpGeneral111_SHT" hidden="1">Input!$X$246</definedName>
    <definedName name="InpGeneral112_SHT" hidden="1">Input!$AA$247:$AE$247</definedName>
    <definedName name="InpGeneral113_SHT" hidden="1">Input!$X$249</definedName>
    <definedName name="InpGeneral114_SHT" hidden="1">Input!$AG$224:$AG$225</definedName>
    <definedName name="InpGeneral115_SHT" hidden="1">Input!$Y$50:$AB$52</definedName>
    <definedName name="InpGeneral116_SHT" hidden="1">Input!$Z$194:$AF$195</definedName>
    <definedName name="InpGeneral117_SHT" hidden="1">Input!$S$213:$AF$213</definedName>
    <definedName name="InpGeneral12_SHT" hidden="1">Input!$I$30</definedName>
    <definedName name="InpGeneral13_SHT" hidden="1">Input!$I$35</definedName>
    <definedName name="InpGeneral14_SHT" hidden="1">Input!$K$35:$M$35</definedName>
    <definedName name="InpGeneral15_SHT" hidden="1">Input!$S$29</definedName>
    <definedName name="InpGeneral16_SHT" hidden="1">Input!$V$30:$X$30</definedName>
    <definedName name="InpGeneral17_SHT" hidden="1">Input!$AC$30:$AE$30</definedName>
    <definedName name="InpGeneral18_SHT" hidden="1">Input!$B$49</definedName>
    <definedName name="InpGeneral19_SHT" hidden="1">Input!$B$52</definedName>
    <definedName name="InpGeneral2_HF" hidden="1">Input!$S$27:$AE$27</definedName>
    <definedName name="InpGeneral2_HT" hidden="1">Input!$S$27</definedName>
    <definedName name="InpGeneral2_SHT" hidden="1">Input!$B$9</definedName>
    <definedName name="InpGeneral2_SHT_P" hidden="1">Input!#REF!</definedName>
    <definedName name="InpGeneral20_SHT" hidden="1">Input!$F$52:$H$52</definedName>
    <definedName name="InpGeneral21_SHT" hidden="1">Input!$I$51:$K$52</definedName>
    <definedName name="InpGeneral22_SHT" hidden="1">Input!$L$50:$M$52</definedName>
    <definedName name="InpGeneral23_SHT" hidden="1">Input!$N$51:$O$52</definedName>
    <definedName name="InpGeneral24_SHT" hidden="1">Input!$S$49</definedName>
    <definedName name="InpGeneral25_SHT" hidden="1">Input!$S$51:$V$52</definedName>
    <definedName name="InpGeneral26_SHT" hidden="1">Input!$W$50:$X$52</definedName>
    <definedName name="InpGeneral27_SHT" hidden="1">Input!$B$60</definedName>
    <definedName name="InpGeneral28_SHT" hidden="1">Input!$B$61:$M$61</definedName>
    <definedName name="InpGeneral29_SHT" hidden="1">Input!$B$66</definedName>
    <definedName name="InpGeneral3_HF" hidden="1">Input!$B$47:$Q$47</definedName>
    <definedName name="InpGeneral3_HT" hidden="1">Input!$B$47</definedName>
    <definedName name="InpGeneral3_SHT" hidden="1">Input!$G$9</definedName>
    <definedName name="InpGeneral3_SHT_P" hidden="1">Input!#REF!</definedName>
    <definedName name="InpGeneral30_SHT" hidden="1">Input!$B$68:$Q$68</definedName>
    <definedName name="InpGeneral31_SHT" hidden="1">Input!$S$66</definedName>
    <definedName name="InpGeneral32_SHT" hidden="1">Input!$S$68:$BB$68</definedName>
    <definedName name="InpGeneral33_SHT" hidden="1">Input!$S$77:$BB$77</definedName>
    <definedName name="InpGeneral34_SHT" hidden="1">Input!$S$74</definedName>
    <definedName name="InpGeneral35_SHT" hidden="1">Input!$Q$76:$Q$77</definedName>
    <definedName name="InpGeneral36_SHT" hidden="1">Input!$G$77:$P$77</definedName>
    <definedName name="InpGeneral37_SHT" hidden="1">Input!$G$76:$P$76</definedName>
    <definedName name="InpGeneral38_SHT" hidden="1">Input!$B$74</definedName>
    <definedName name="InpGeneral39_SHT" hidden="1">Input!$B$77</definedName>
    <definedName name="InpGeneral4_HF" hidden="1">Input!$S$47:$BB$47</definedName>
    <definedName name="InpGeneral4_HT" hidden="1">Input!$S$47</definedName>
    <definedName name="InpGeneral4_SHT" hidden="1">Input!$K$9</definedName>
    <definedName name="InpGeneral4_SHT_P" hidden="1">Input!#REF!</definedName>
    <definedName name="InpGeneral40_SHT" hidden="1">Input!$D$76:$F$77</definedName>
    <definedName name="InpGeneral41_SHT" hidden="1">Input!$B$88</definedName>
    <definedName name="InpGeneral42_SHT" hidden="1">Input!$B$89</definedName>
    <definedName name="InpGeneral43_SHT" hidden="1">Input!$F$89</definedName>
    <definedName name="InpGeneral44_SHT" hidden="1">Input!$G$89:$Q$89</definedName>
    <definedName name="InpGeneral45_SHT" hidden="1">Input!$B$104</definedName>
    <definedName name="InpGeneral46_SHT" hidden="1">Input!$B$105</definedName>
    <definedName name="InpGeneral47_SHT" hidden="1">Input!$E$105:$Q$105</definedName>
    <definedName name="InpGeneral48_SHT" hidden="1">Input!$B$126</definedName>
    <definedName name="InpGeneral49_SHT" hidden="1">Input!$B$128</definedName>
    <definedName name="InpGeneral5_HF" hidden="1">Input!$B$124:$Q$124</definedName>
    <definedName name="InpGeneral5_HT" hidden="1">Input!$B$124</definedName>
    <definedName name="InpGeneral5_SHT" hidden="1">Input!$B$16</definedName>
    <definedName name="InpGeneral5_SHT_P" hidden="1">Input!#REF!</definedName>
    <definedName name="InpGeneral50_SHT" hidden="1">Input!$E$127:$E$128</definedName>
    <definedName name="InpGeneral51_SHT" hidden="1">Input!$F$127</definedName>
    <definedName name="InpGeneral52_SHT" hidden="1">Input!$G$127:$Q$128</definedName>
    <definedName name="InpGeneral53_SHT" hidden="1">Input!$S$127:$T$128</definedName>
    <definedName name="InpGeneral54_SHT" hidden="1">Input!$V$126</definedName>
    <definedName name="InpGeneral55_SHT" hidden="1">Input!$V$128:$X$128</definedName>
    <definedName name="InpGeneral56_SHT" hidden="1">Input!$Z$126</definedName>
    <definedName name="InpGeneral57_SHT" hidden="1">Input!$Z$128</definedName>
    <definedName name="InpGeneral58_SHT" hidden="1">Input!$AB$127:$AM$128</definedName>
    <definedName name="InpGeneral59_SHT" hidden="1">Input!$AN$128</definedName>
    <definedName name="InpGeneral6_HF" hidden="1">Input!$S$124:$AK$124</definedName>
    <definedName name="InpGeneral6_HT" hidden="1">Input!$S$124</definedName>
    <definedName name="InpGeneral6_SHT" hidden="1">Input!$B$29</definedName>
    <definedName name="InpGeneral6_SHT_P" hidden="1">Input!#REF!</definedName>
    <definedName name="InpGeneral60_SHT" hidden="1">Input!$B$158</definedName>
    <definedName name="InpGeneral61_SHT" hidden="1">Input!$E$159</definedName>
    <definedName name="InpGeneral62_SHT" hidden="1">Input!$G$159</definedName>
    <definedName name="InpGeneral63_SHT" hidden="1">Input!$B$169</definedName>
    <definedName name="InpGeneral64_SHT" hidden="1">Input!$B$170</definedName>
    <definedName name="InpGeneral65_SHT" hidden="1">Input!$G$170:$Q$170</definedName>
    <definedName name="InpGeneral66_SHT" hidden="1">Input!$B$176</definedName>
    <definedName name="InpGeneral67_SHT" hidden="1">Input!$B$179</definedName>
    <definedName name="InpGeneral68_SHT" hidden="1">Input!$F$178:$F$179</definedName>
    <definedName name="InpGeneral69_SHT" hidden="1">Input!$G$178:$Q$179</definedName>
    <definedName name="InpGeneral7_HF" hidden="1">Input!$B$191:$Q$191</definedName>
    <definedName name="InpGeneral7_HT" hidden="1">Input!$B$191</definedName>
    <definedName name="InpGeneral7_SHT" hidden="1">Input!$B$30</definedName>
    <definedName name="InpGeneral7_SHT_P" hidden="1">Input!#REF!</definedName>
    <definedName name="InpGeneral70_SHT" hidden="1">Input!$S$176</definedName>
    <definedName name="InpGeneral71_SHT" hidden="1">Input!$S$179:$BB$179</definedName>
    <definedName name="InpGeneral72_SHT" hidden="1">Input!$B$193</definedName>
    <definedName name="InpGeneral73_SHT" hidden="1">Input!$B$194</definedName>
    <definedName name="InpGeneral74_SHT" hidden="1">Input!$B$199</definedName>
    <definedName name="InpGeneral75_SHT" hidden="1">Input!$B$204</definedName>
    <definedName name="InpGeneral76_SHT" hidden="1">Input!$B$210</definedName>
    <definedName name="InpGeneral77_SHT" hidden="1">Input!$B$216</definedName>
    <definedName name="InpGeneral78_SHT" hidden="1">Input!$G$193:$M$193</definedName>
    <definedName name="InpGeneral79_SHT" hidden="1">Input!$G$194</definedName>
    <definedName name="InpGeneral8_HF" hidden="1">Input!$S$191:$AF$191</definedName>
    <definedName name="InpGeneral8_HT" hidden="1">Input!$S$191</definedName>
    <definedName name="InpGeneral8_SHT" hidden="1">Input!$B$35</definedName>
    <definedName name="InpGeneral8_SHT_P" hidden="1">Input!#REF!</definedName>
    <definedName name="InpGeneral80_SHT" hidden="1">Input!$G$198</definedName>
    <definedName name="InpGeneral81_SHT" hidden="1">Input!$G$204</definedName>
    <definedName name="InpGeneral82_SHT" hidden="1">Input!$G$210</definedName>
    <definedName name="InpGeneral83_SHT" hidden="1">Input!$G$216</definedName>
    <definedName name="InpGeneral84_SHT" hidden="1">Input!$S$193:$X$195</definedName>
    <definedName name="InpGeneral85_SHT" hidden="1">Input!$Z$193</definedName>
    <definedName name="InpGeneral86_SHT" hidden="1">Input!$S$212:$AF$212</definedName>
    <definedName name="InpGeneral87_SHT" hidden="1">Input!$B$224</definedName>
    <definedName name="InpGeneral88_SHT" hidden="1">Input!$B$226</definedName>
    <definedName name="InpGeneral89_SHT" hidden="1">Input!$B$231</definedName>
    <definedName name="InpGeneral9_HF" hidden="1">Input!$B$222:$AG$222</definedName>
    <definedName name="InpGeneral9_HT" hidden="1">Input!$B$222</definedName>
    <definedName name="InpGeneral9_SHT" hidden="1">Input!$B$41</definedName>
    <definedName name="InpGeneral9_SHT_P" hidden="1">Input!#REF!</definedName>
    <definedName name="InpGeneral90_SHT" hidden="1">Input!$B$237</definedName>
    <definedName name="InpGeneral91_SHT" hidden="1">Input!$B$242</definedName>
    <definedName name="InpGeneral92_SHT" hidden="1">Input!$B$246</definedName>
    <definedName name="InpGeneral93_SHT" hidden="1">Input!$G$224:$M$225</definedName>
    <definedName name="InpGeneral94_SHT" hidden="1">Input!$G$235:$M$236</definedName>
    <definedName name="InpGeneral95_SHT" hidden="1">Input!$G$246:$M$247</definedName>
    <definedName name="InpGeneral96_SHT" hidden="1">Input!$O$224</definedName>
    <definedName name="InpGeneral97_SHT" hidden="1">Input!$R$225:$V$225</definedName>
    <definedName name="InpGeneral98_SHT" hidden="1">Input!$O$227</definedName>
    <definedName name="InpGeneral99_SHT" hidden="1">Input!$O$235</definedName>
    <definedName name="InpHistoricalAdjustments_HF" hidden="1">'Adjustments &amp; Notes'!$B$7:$M$7,'Adjustments &amp; Notes'!$O$7</definedName>
    <definedName name="InpHistoricalAdjustments_HT" hidden="1">'Adjustments &amp; Notes'!$E$7,'Adjustments &amp; Notes'!$B$7,'Adjustments &amp; Notes'!$O$7</definedName>
    <definedName name="InpHistoricalAdjustments_SHT" hidden="1">'Adjustments &amp; Notes'!$B$4,'Adjustments &amp; Notes'!$M$4,'Adjustments &amp; Notes'!$P$4,'Adjustments &amp; Notes'!$B$11,'Adjustments &amp; Notes'!$B$37,'Adjustments &amp; Notes'!$B$62,'Adjustments &amp; Notes'!$D$10:$E$10,'Adjustments &amp; Notes'!$F$9:$M$10</definedName>
    <definedName name="InpHistoricalAdjustments_Title" hidden="1">'Adjustments &amp; Notes'!$N$4,'Adjustments &amp; Notes'!$E$4</definedName>
    <definedName name="InpHistoricalAdjustments0_HF" hidden="1">'Adjustments &amp; Notes'!$B$7:$M$7</definedName>
    <definedName name="InpHistoricalAdjustments0_HT" hidden="1">'Adjustments &amp; Notes'!$E$7</definedName>
    <definedName name="InpHistoricalAdjustments0_SHT" hidden="1">'Adjustments &amp; Notes'!$B$4</definedName>
    <definedName name="InpHistoricalAdjustments0_Title" hidden="1">'Adjustments &amp; Notes'!$N$4</definedName>
    <definedName name="InpHistoricalAdjustments1_HF" hidden="1">'Adjustments &amp; Notes'!$O$7</definedName>
    <definedName name="InpHistoricalAdjustments1_HT" hidden="1">'Adjustments &amp; Notes'!$B$7</definedName>
    <definedName name="InpHistoricalAdjustments1_SHT" hidden="1">'Adjustments &amp; Notes'!$M$4</definedName>
    <definedName name="InpHistoricalAdjustments1_Title" hidden="1">'Adjustments &amp; Notes'!$E$4</definedName>
    <definedName name="InpHistoricalAdjustments2_HT" hidden="1">'Adjustments &amp; Notes'!$O$7</definedName>
    <definedName name="InpHistoricalAdjustments2_SHT" hidden="1">'Adjustments &amp; Notes'!$P$4</definedName>
    <definedName name="InpHistoricalAdjustments3_SHT" hidden="1">'Adjustments &amp; Notes'!$B$11</definedName>
    <definedName name="InpHistoricalAdjustments4_SHT" hidden="1">'Adjustments &amp; Notes'!$B$37</definedName>
    <definedName name="InpHistoricalAdjustments5_SHT" hidden="1">'Adjustments &amp; Notes'!$B$62</definedName>
    <definedName name="InpHistoricalAdjustments6_SHT" hidden="1">'Adjustments &amp; Notes'!$D$10:$E$10</definedName>
    <definedName name="InpHistoricalAdjustments7_SHT" hidden="1">'Adjustments &amp; Notes'!$F$9:$M$10</definedName>
    <definedName name="InpHistoricals_HF" hidden="1">'Select Historicals'!$B$7:$M$7,'Select Historicals'!$O$7:$Z$7,'Select Historicals'!$AB$7:$AF$7</definedName>
    <definedName name="InpHistoricals_HT" hidden="1">'Select Historicals'!$B$7,'Select Historicals'!$O$7,'Select Historicals'!$AB$7</definedName>
    <definedName name="InpHistoricals_SHT" hidden="1">'Select Historicals'!$B$4,'Select Historicals'!$M$4,'Select Historicals'!$O$4,'Select Historicals'!$D$10:$M$10,'Select Historicals'!$O$10:$Z$10,'Select Historicals'!$AB$9:$AF$10,'Select Historicals'!$B$11,'Select Historicals'!$B$33,'Select Historicals'!$B$58</definedName>
    <definedName name="InpHistoricals_Title" hidden="1">'Select Historicals'!$F$4</definedName>
    <definedName name="InpHistoricals0_HF" hidden="1">'Select Historicals'!$B$7:$M$7</definedName>
    <definedName name="InpHistoricals0_HT" hidden="1">'Select Historicals'!$B$7</definedName>
    <definedName name="InpHistoricals0_SHT" hidden="1">'Select Historicals'!$B$4</definedName>
    <definedName name="InpHistoricals1_HF" hidden="1">'Select Historicals'!$O$7:$Z$7</definedName>
    <definedName name="InpHistoricals1_HT" hidden="1">'Select Historicals'!$O$7</definedName>
    <definedName name="InpHistoricals1_SHT" hidden="1">'Select Historicals'!$M$4</definedName>
    <definedName name="InpHistoricals2_HF" hidden="1">'Select Historicals'!$AB$7:$AF$7</definedName>
    <definedName name="InpHistoricals2_HT" hidden="1">'Select Historicals'!$AB$7</definedName>
    <definedName name="InpHistoricals2_SHT" hidden="1">'Select Historicals'!$O$4</definedName>
    <definedName name="InpHistoricals3_SHT" hidden="1">'Select Historicals'!$D$10:$M$10</definedName>
    <definedName name="InpHistoricals4_SHT" hidden="1">'Select Historicals'!$O$10:$Z$10</definedName>
    <definedName name="InpHistoricals5_SHT" hidden="1">'Select Historicals'!$AB$9:$AF$10</definedName>
    <definedName name="InpHistoricals6_SHT" hidden="1">'Select Historicals'!$B$11</definedName>
    <definedName name="InpHistoricals7_SHT" hidden="1">'Select Historicals'!$B$33</definedName>
    <definedName name="InpHistoricals8_SHT" hidden="1">'Select Historicals'!$B$58</definedName>
    <definedName name="InplacefromRR" hidden="1">GenValidation!$R$124:$R$125</definedName>
    <definedName name="InPlaceNOI" hidden="1">IF(OR(AdjustedHistoricalNOI,IsAdjustedHistoricalNOIWithReassessedTaxes),'Adjustments &amp; Notes'!$G$66,'Adjustments &amp; Notes'!$D$66)</definedName>
    <definedName name="InPlaceNOILessTaxes" hidden="1">'Adjustments &amp; Notes'!$G$33-SUM('Adjustments &amp; Notes'!$G$38:$G$51,'Adjustments &amp; Notes'!$G$53:$G$56,'Adjustments &amp; Notes'!$G$64)</definedName>
    <definedName name="InpMultiAssumLoan_HF" hidden="1">'Multiple Assumable Loans'!$B$6:$M$6</definedName>
    <definedName name="InpMultiAssumLoan_HT" hidden="1">'Multiple Assumable Loans'!$B$6</definedName>
    <definedName name="InpMultiAssumLoan_SHT" hidden="1">'Multiple Assumable Loans'!$B$4,'Multiple Assumable Loans'!$M$4,'Multiple Assumable Loans'!$I$14,'Multiple Assumable Loans'!$I$16,'Multiple Assumable Loans'!$K$14,'Multiple Assumable Loans'!$L$14,'Multiple Assumable Loans'!$M$14,'Multiple Assumable Loans'!$B$37,'Multiple Assumable Loans'!$B$31,'Multiple Assumable Loans'!$B$25,'Multiple Assumable Loans'!$B$20,'Multiple Assumable Loans'!$B$15,'Multiple Assumable Loans'!$B$14,'Multiple Assumable Loans'!$B$8,'Multiple Assumable Loans'!$E$14,'Multiple Assumable Loans'!$F$14,'Multiple Assumable Loans'!$G$14</definedName>
    <definedName name="InpMultiAssumLoan_Title" hidden="1">'Multiple Assumable Loans'!$G$4</definedName>
    <definedName name="InpMultiAssumLoan0_SHT" hidden="1">'Multiple Assumable Loans'!$B$4</definedName>
    <definedName name="InpMultiAssumLoan1_SHT" hidden="1">'Multiple Assumable Loans'!$M$4</definedName>
    <definedName name="InpMultiAssumLoan10_SHT" hidden="1">'Multiple Assumable Loans'!$B$20</definedName>
    <definedName name="InpMultiAssumLoan11_SHT" hidden="1">'Multiple Assumable Loans'!$B$15</definedName>
    <definedName name="InpMultiAssumLoan12_SHT" hidden="1">'Multiple Assumable Loans'!$B$14</definedName>
    <definedName name="InpMultiAssumLoan13_SHT" hidden="1">'Multiple Assumable Loans'!$B$8</definedName>
    <definedName name="InpMultiAssumLoan14_SHT" hidden="1">'Multiple Assumable Loans'!$E$14</definedName>
    <definedName name="InpMultiAssumLoan15_SHT" hidden="1">'Multiple Assumable Loans'!$F$14</definedName>
    <definedName name="InpMultiAssumLoan16_SHT" hidden="1">'Multiple Assumable Loans'!$G$14</definedName>
    <definedName name="InpMultiAssumLoan2_SHT" hidden="1">'Multiple Assumable Loans'!$I$14</definedName>
    <definedName name="InpMultiAssumLoan3_SHT" hidden="1">'Multiple Assumable Loans'!$I$16</definedName>
    <definedName name="InpMultiAssumLoan4_SHT" hidden="1">'Multiple Assumable Loans'!$K$14</definedName>
    <definedName name="InpMultiAssumLoan5_SHT" hidden="1">'Multiple Assumable Loans'!$L$14</definedName>
    <definedName name="InpMultiAssumLoan6_SHT" hidden="1">'Multiple Assumable Loans'!$M$14</definedName>
    <definedName name="InpMultiAssumLoan7_SHT" hidden="1">'Multiple Assumable Loans'!$B$37</definedName>
    <definedName name="InpMultiAssumLoan8_SHT" hidden="1">'Multiple Assumable Loans'!$B$31</definedName>
    <definedName name="InpMultiAssumLoan9_SHT" hidden="1">'Multiple Assumable Loans'!$B$25</definedName>
    <definedName name="InputDetailIsAnnually" hidden="1">GenValidation!$AE$5</definedName>
    <definedName name="InputDetailIsMonthly" hidden="1">GenValidation!$AE$6</definedName>
    <definedName name="InsuranceAdjustment" hidden="1">'Adjustments &amp; Notes'!$F$51</definedName>
    <definedName name="InsuranceNotes" hidden="1">'Adjustments &amp; Notes'!$O$51</definedName>
    <definedName name="InterestRatesListCount" hidden="1">GenValidation!$A$117</definedName>
    <definedName name="IntRateType" hidden="1">GenValidation!$W$5:$W$6</definedName>
    <definedName name="InvestmentVehicleType" hidden="1">Input!#REF!</definedName>
    <definedName name="IrrCalc" hidden="1">GenValidation!$Z$5:$Z$6</definedName>
    <definedName name="IrrCalculationType" hidden="1">GenValidation!$A$76</definedName>
    <definedName name="IsAdjustedHistoricalNOIWithReassessedTaxes" hidden="1">GenValidation!$A$19</definedName>
    <definedName name="IsCommercialComponent" hidden="1">GenValidation!$A$82</definedName>
    <definedName name="IsCushWake" hidden="1">GenValidation!$A$78</definedName>
    <definedName name="IsDetExpTab" hidden="1">GenValidation!$A$35</definedName>
    <definedName name="IsHistoricalComponent" hidden="1">GenValidation!$A$86</definedName>
    <definedName name="IsHistWorksheet" hidden="1">GenValidation!$A$36</definedName>
    <definedName name="IsInflated" hidden="1">GenValidation!$S$5:$S$6</definedName>
    <definedName name="IsLeaseExpiration" hidden="1">GenValidation!$A$29</definedName>
    <definedName name="IsMAL" hidden="1">GenValidation!$BF$11</definedName>
    <definedName name="IsPartnership" hidden="1">GenValidation!$A$84</definedName>
    <definedName name="IsReassAtClosing" hidden="1">GenValidation!$A$38</definedName>
    <definedName name="IsReassAtExit" hidden="1">GenValidation!$A$41</definedName>
    <definedName name="IsRenov" hidden="1">GenValidation!$A$83</definedName>
    <definedName name="IsRenovatedFromRR" hidden="1">GenValidation!$T$124:$T$125</definedName>
    <definedName name="IsRentRollInput" hidden="1">GenValidation!$A$25</definedName>
    <definedName name="IsSameExpirationSch" hidden="1">GenValidation!$BT$8</definedName>
    <definedName name="IsSameExpirationSchOld" hidden="1">GenValidation!$BT$16</definedName>
    <definedName name="IsSimpleLossToLease" hidden="1">GenValidation!$A$85</definedName>
    <definedName name="IsUpfrontFunding" hidden="1">GenValidation!$A$20</definedName>
    <definedName name="L1HasAmort" hidden="1">GenValidation!$A$58</definedName>
    <definedName name="L2HasAmort" hidden="1">GenValidation!$A$63</definedName>
    <definedName name="L3HasAmort" hidden="1">GenValidation!$A$68</definedName>
    <definedName name="LandscapingGroundsAdjustment" hidden="1">'Adjustments &amp; Notes'!$F$41</definedName>
    <definedName name="LandscapingGroundsNotes" hidden="1">'Adjustments &amp; Notes'!$O$41</definedName>
    <definedName name="LastMonthOfExpSchedule" hidden="1">Input!$M$61</definedName>
    <definedName name="LatestRRDateStamp" hidden="1">GenValidation!$A$27</definedName>
    <definedName name="LeaseExpirationdateFromRR" hidden="1">GenValidation!$CA$136</definedName>
    <definedName name="LeaseExpirationInPlacetRentFromRR" hidden="1">GenValidation!$CD$136</definedName>
    <definedName name="LeaseExpirationMarketRentFromRR" hidden="1">GenValidation!$CC$136</definedName>
    <definedName name="LeaseExpirationMonths" hidden="1">Input!$B$61:$M$61</definedName>
    <definedName name="LeaseExpirationNoOfUnitsFromRR" hidden="1">GenValidation!$CB$136</definedName>
    <definedName name="LeaseExpirationRows" hidden="1">Input!$A$58:$A$63</definedName>
    <definedName name="LeaseExpirationSchedule" hidden="1">Input!$B$62:$M$62</definedName>
    <definedName name="LeaseExpirationScheduleAssumnptionsInputCutOff" hidden="1">GenValidation!$A$119</definedName>
    <definedName name="LeaseTypeFromRR" hidden="1">GenValidation!$S$124:$S$125</definedName>
    <definedName name="LeaseTypeMarket" hidden="1">GenValidation!$AF$5</definedName>
    <definedName name="LeasingCommissionsAdjustment" hidden="1">'Adjustments &amp; Notes'!$F$44</definedName>
    <definedName name="LeasingCommissionsNotes" hidden="1">'Adjustments &amp; Notes'!$O$44</definedName>
    <definedName name="LeasingCommToPayroll" hidden="1">Input!$G$153</definedName>
    <definedName name="LegalCostsEquityPartner" hidden="1">Input!#REF!</definedName>
    <definedName name="LegalCostsSponsor" hidden="1">Input!#REF!</definedName>
    <definedName name="LegalFeesValue" hidden="1">Input!$AD$32</definedName>
    <definedName name="LevEqMultSensitivityTable" hidden="1">Input!$Z$237:$AE$241</definedName>
    <definedName name="LevEqMultSensitivityTableDelete" hidden="1">Input!$AA$238:$AE$241</definedName>
    <definedName name="LeveragedIRRSensitivityType" hidden="1">GenValidation!$A$74</definedName>
    <definedName name="LeveredCFRenDwntme" hidden="1">'CF Calculations'!$B$23</definedName>
    <definedName name="LeveredEquityMult" hidden="1">GenValidation!#REF!</definedName>
    <definedName name="LeveredFundingReq" hidden="1">'CF Calculations'!$O$318</definedName>
    <definedName name="LeveredIRR" hidden="1">'CF Calculations'!$C$108</definedName>
    <definedName name="LevIRRSensitivityTable" hidden="1">Input!$Z$226:$AE$230</definedName>
    <definedName name="LevIRRSensitivityTableDelete" hidden="1">Input!$AA$227:$AE$230</definedName>
    <definedName name="Loan1AmortPer" hidden="1">Input!$I$205</definedName>
    <definedName name="Loan1Amount" hidden="1">Input!$H$201</definedName>
    <definedName name="Loan1AmountType" hidden="1">GenValidation!$A$57</definedName>
    <definedName name="Loan1Assump" hidden="1">Input!$I$195,Input!$I$196,Input!$I$199,Input!$H$201,Input!$I$205,Input!$I$206,Input!$I$207,Input!$I$218,Input!$V$215:$V$217,Input!$W$214</definedName>
    <definedName name="Loan1BaseRateAnn" hidden="1">Input!$V$196:$V$205</definedName>
    <definedName name="Loan1BseIndex" hidden="1">Input!$H$211</definedName>
    <definedName name="Loan1BseRate" hidden="1">Input!$I$212</definedName>
    <definedName name="Loan1CCType" hidden="1">GenValidation!$A$61</definedName>
    <definedName name="Loan1DetCC" hidden="1">Input!$V$215:$V$217,Input!$W$214</definedName>
    <definedName name="Loan1DetCCTotal" hidden="1">Input!$V$218</definedName>
    <definedName name="Loan1DSCR" hidden="1">Input!$I$200</definedName>
    <definedName name="Loan1FlCap" hidden="1">Input!$V$207:$V$208</definedName>
    <definedName name="Loan1IntCalc" hidden="1">'CF Calculations'!$B$213:$B$214</definedName>
    <definedName name="Loan1InterestRateType" hidden="1">GenValidation!$A$59</definedName>
    <definedName name="Loan1IntRate" hidden="1">Input!$I$214</definedName>
    <definedName name="Loan1IntSprd" hidden="1">Input!$I$213</definedName>
    <definedName name="Loan1IntType" hidden="1">Input!$I$207</definedName>
    <definedName name="Loan1IOPer" hidden="1">Input!$I$206</definedName>
    <definedName name="Loan1LegalFees" hidden="1">Input!$W$214</definedName>
    <definedName name="Loan1LTV" hidden="1">Input!$I$199</definedName>
    <definedName name="Loan1MiscCosts" hidden="1">Input!$V$217</definedName>
    <definedName name="Loan1MtgeBrokerFee" hidden="1">Input!$V$215</definedName>
    <definedName name="Loan1OrigDate" hidden="1">Input!$I$194</definedName>
    <definedName name="Loan1OrigMnth" hidden="1">Input!$I$195</definedName>
    <definedName name="Loan1OtherCC" hidden="1">Input!$I$218</definedName>
    <definedName name="Loan1PaymentType" hidden="1">GenValidation!$A$60</definedName>
    <definedName name="Loan1PmntDropdown" hidden="1">IF(Loan1InterestRateType=150,FixedPmt,IF(NOT(L1HasAmort),VariablePmt,PaymentType))</definedName>
    <definedName name="Loan1PmtType" hidden="1">Input!$I$208</definedName>
    <definedName name="Loan1PointsPct" hidden="1">Input!$I$217</definedName>
    <definedName name="Loan1RecordFee" hidden="1">Input!$V$216</definedName>
    <definedName name="Loan1Term" hidden="1">Input!$I$196</definedName>
    <definedName name="Loan2AmortPer" hidden="1">Input!$K$205</definedName>
    <definedName name="Loan2Amount" hidden="1">Input!$J$201</definedName>
    <definedName name="Loan2AmountType" hidden="1">GenValidation!$A$62</definedName>
    <definedName name="Loan2Assump" hidden="1">Input!$K$195:$K$196,Input!$K$199,Input!$J$201,Input!$K$205:$K$207,Input!$K$218,Input!$Z$215,Input!$Z$215:$Z$217,Input!$AA$214</definedName>
    <definedName name="Loan2BaseRateAnn" hidden="1">Input!$W$196:$W$205</definedName>
    <definedName name="Loan2BseIndex" hidden="1">Input!$J$211</definedName>
    <definedName name="Loan2BseRate" hidden="1">Input!$K$212</definedName>
    <definedName name="Loan2CCType" hidden="1">GenValidation!$A$66</definedName>
    <definedName name="Loan2DetCC" hidden="1">Input!$Z$215:$Z$217,Input!$AA$214</definedName>
    <definedName name="Loan2DetCCTotal" hidden="1">Input!$Z$218</definedName>
    <definedName name="Loan2DSCR" hidden="1">Input!$K$200</definedName>
    <definedName name="Loan2FlCap" hidden="1">Input!$W$207:$W$208</definedName>
    <definedName name="Loan2IntCalc" hidden="1">'CF Calculations'!$B$277:$B$278</definedName>
    <definedName name="Loan2InterestRateType" hidden="1">GenValidation!$A$64</definedName>
    <definedName name="Loan2IntRate" hidden="1">Input!$K$214</definedName>
    <definedName name="Loan2IntSprd" hidden="1">Input!$K$213</definedName>
    <definedName name="Loan2IntType" hidden="1">Input!$K$207</definedName>
    <definedName name="Loan2IOPer" hidden="1">Input!$K$206</definedName>
    <definedName name="Loan2LegalFees" hidden="1">Input!$AA$214</definedName>
    <definedName name="Loan2LTV" hidden="1">Input!$K$199</definedName>
    <definedName name="Loan2MiscCosts" hidden="1">Input!$Z$217</definedName>
    <definedName name="Loan2MtgeBrokerFee" hidden="1">Input!$Z$215</definedName>
    <definedName name="Loan2OrigMnth" hidden="1">Input!$K$195</definedName>
    <definedName name="Loan2OtherCC" hidden="1">Input!$K$218</definedName>
    <definedName name="Loan2PaymentType" hidden="1">GenValidation!$A$65</definedName>
    <definedName name="Loan2PmntDropdown" hidden="1">IF(Loan2InterestRateType=150,FixedPmt,IF(NOT(L2HasAmort),VariablePmt,PaymentType))</definedName>
    <definedName name="Loan2PmtType" hidden="1">Input!$K$208</definedName>
    <definedName name="Loan2PointsPct" hidden="1">Input!$K$217</definedName>
    <definedName name="Loan2RecordFee" hidden="1">Input!$Z$216</definedName>
    <definedName name="Loan2Term" hidden="1">Input!$K$196</definedName>
    <definedName name="Loan3AmortPer" hidden="1">Input!$M$205</definedName>
    <definedName name="Loan3Amount" hidden="1">Input!$L$201</definedName>
    <definedName name="Loan3AmountType" hidden="1">GenValidation!$A$67</definedName>
    <definedName name="Loan3Assump" hidden="1">Input!$M$195:$M$196,Input!$M$199,Input!$L$201,Input!$M$205,Input!$M$206,Input!$M$206,Input!$M$206:$M$207,Input!$M$218,Input!$AD$215,Input!$AD$215,Input!$AD$215:$AD$217,Input!$AE$214</definedName>
    <definedName name="Loan3BaseRateAnn" hidden="1">Input!$X$196:$X$205</definedName>
    <definedName name="Loan3BseIndex" hidden="1">Input!$L$211</definedName>
    <definedName name="Loan3BseRate" hidden="1">Input!$M$212</definedName>
    <definedName name="Loan3CCType" hidden="1">GenValidation!$A$71</definedName>
    <definedName name="Loan3DetCC" hidden="1">Input!$AD$215:$AD$217,Input!$AE$214</definedName>
    <definedName name="Loan3DetCCTotal" hidden="1">Input!$AD$218</definedName>
    <definedName name="Loan3DSCR" hidden="1">Input!$M$200</definedName>
    <definedName name="Loan3FlCap" hidden="1">Input!$X$207:$X$208</definedName>
    <definedName name="Loan3IntCalc" hidden="1">'CF Calculations'!$B$299:$B$300</definedName>
    <definedName name="Loan3InterestRateType" hidden="1">GenValidation!$A$69</definedName>
    <definedName name="Loan3IntRate" hidden="1">Input!$M$214</definedName>
    <definedName name="Loan3IntSprd" hidden="1">Input!$M$213</definedName>
    <definedName name="Loan3IntType" hidden="1">Input!$M$207</definedName>
    <definedName name="Loan3IOPer" hidden="1">Input!$M$206</definedName>
    <definedName name="Loan3LegalFees" hidden="1">Input!$AE$214</definedName>
    <definedName name="Loan3LTV" hidden="1">Input!$M$199</definedName>
    <definedName name="Loan3MiscCosts" hidden="1">Input!$AD$217</definedName>
    <definedName name="Loan3MtgeBrokerFee" hidden="1">Input!$AD$215</definedName>
    <definedName name="Loan3OrigMnth" hidden="1">Input!$M$195</definedName>
    <definedName name="Loan3OtherCC" hidden="1">Input!$M$218</definedName>
    <definedName name="Loan3PaymentType" hidden="1">GenValidation!$A$70</definedName>
    <definedName name="Loan3PmntDropdown" hidden="1">IF(Loan3InterestRateType=150,FixedPmt,IF(NOT(L3HasAmort),VariablePmt,PaymentType))</definedName>
    <definedName name="Loan3PmtType" hidden="1">Input!$M$208</definedName>
    <definedName name="Loan3PointsPct" hidden="1">Input!$M$217</definedName>
    <definedName name="Loan3RecordFee" hidden="1">Input!$AD$216</definedName>
    <definedName name="Loan3Term" hidden="1">Input!$M$196</definedName>
    <definedName name="LoanBaseRateInputCutOff" hidden="1">GenValidation!$A$116</definedName>
    <definedName name="LoanRnkg" hidden="1">GenValidation!$AK$5:$AN$5</definedName>
    <definedName name="LocationQualityId" hidden="1">GenValidation!$A$10</definedName>
    <definedName name="LossFactorAssumptions" hidden="1">Input!$G$90:$Q$94</definedName>
    <definedName name="LossToLease" hidden="1">Input!$G$92</definedName>
    <definedName name="LosstoLeaseGaintoLeaseAdjustment" hidden="1">'Adjustments &amp; Notes'!$F$13</definedName>
    <definedName name="LosstoLeaseGaintoLeaseNotes" hidden="1">'Adjustments &amp; Notes'!$O$13</definedName>
    <definedName name="LossToLeaseOldRR" hidden="1">GenValidation!$AH$132</definedName>
    <definedName name="LossToLeaseOldRRforUpload" hidden="1">Input!$F$92</definedName>
    <definedName name="LTVAllCosts" hidden="1">IF(IsPartnership,'Sources &amp; Uses'!#REF!,'Sources &amp; Uses'!$E$18)</definedName>
    <definedName name="MainExpInput" hidden="1">Input!$G$129:$G$146</definedName>
    <definedName name="MarketfromRR" hidden="1">GenValidation!$Q$124:$Q$125</definedName>
    <definedName name="MarketingAdvertisingAdjustment" hidden="1">'Adjustments &amp; Notes'!$F$43</definedName>
    <definedName name="MarketingAdvertisingNotes" hidden="1">'Adjustments &amp; Notes'!$O$43</definedName>
    <definedName name="MarketRentGrowthType" hidden="1">GenValidation!$A$30</definedName>
    <definedName name="MarketRentRenovated" hidden="1">'Operating Calculations'!$B$54:$B$55</definedName>
    <definedName name="MarketRentSensitivityDollarIncrement" hidden="1">Input!$E$228</definedName>
    <definedName name="MarketRentSensitivityIncrementType" hidden="1">GenValidation!$A$73</definedName>
    <definedName name="MarketRentSensitivityInput" hidden="1">Input!$G$228</definedName>
    <definedName name="MarketRentSensitivityPcntIncrement" hidden="1">Input!$E$229</definedName>
    <definedName name="MarketRentSensitivityTable" hidden="1">Input!$G$225:$M$230</definedName>
    <definedName name="MarketRentSensitivityTableDelete" hidden="1">Input!$H$226:$M$230</definedName>
    <definedName name="MarketRentUnrenovated" hidden="1">'Operating Calculations'!$B$45:$B$46</definedName>
    <definedName name="MasterControl" hidden="1">GenValidation!$AL$49</definedName>
    <definedName name="MaxLoanTerm" hidden="1">GenValidation!$BF$20</definedName>
    <definedName name="MillRateAtClosing" hidden="1">Input!$E$164</definedName>
    <definedName name="MillRateAtExit" hidden="1">Input!$G$164</definedName>
    <definedName name="MiscellaniousClosingCosts" hidden="1">Input!$AD$37</definedName>
    <definedName name="MktRentDist" hidden="1">GenValidation!$K$5:$K$7</definedName>
    <definedName name="MktRentGrwthSelection" hidden="1">Input!$D$69</definedName>
    <definedName name="MktRentGrwthYrs" hidden="1">Input!$S$71:$BB$71</definedName>
    <definedName name="MktValueAtClosing" hidden="1">Input!$D$161</definedName>
    <definedName name="MktValueAtClosingType" hidden="1">GenValidation!$A$39</definedName>
    <definedName name="MktValueAtClosingUnlock" hidden="1">Input!$E$161</definedName>
    <definedName name="MktValueAtExit" hidden="1">Input!$F$161</definedName>
    <definedName name="Mnth1CapExInput" hidden="1">Input!$S$180</definedName>
    <definedName name="Mnth1MktRentGrwth" hidden="1">Input!$S$69</definedName>
    <definedName name="Mnth1RehabUnit" hidden="1">Input!$S$78</definedName>
    <definedName name="MnthlyCapexInputs" hidden="1">Input!$S$180:$BB$186</definedName>
    <definedName name="MnthlyRehabUnits" hidden="1">Input!$S$78:$BB$79</definedName>
    <definedName name="MnthlyUniform" hidden="1">GenValidation!$K$6</definedName>
    <definedName name="Mnths1to12OfRenovation" hidden="1">Input!$S$77:$AD$77</definedName>
    <definedName name="MonthlyAdministrativeExpenses" hidden="1">'Select Historicals'!$O$41</definedName>
    <definedName name="MonthlyAdministrativeExpensesFromHistoricals" hidden="1">GenValidation!$CJ$80</definedName>
    <definedName name="MonthlyAdministrativeExpensesOld" hidden="1">GenValidation!$CJ$35</definedName>
    <definedName name="MonthlyCapitalExpensesListCount" hidden="1">GenValidation!$A$94</definedName>
    <definedName name="MonthlyCollectionLoss" hidden="1">'Select Historicals'!$O$19</definedName>
    <definedName name="MonthlyCollectionLossFromHistoricals" hidden="1">GenValidation!$CJ$58</definedName>
    <definedName name="MonthlyCollectionLossOld" hidden="1">GenValidation!$CJ$13</definedName>
    <definedName name="MonthlyCommercialNetIncome" hidden="1">'Select Historicals'!$O$26</definedName>
    <definedName name="MonthlyCommercialNetIncomeFromHistoricals" hidden="1">GenValidation!$CJ$65</definedName>
    <definedName name="MonthlyCommercialNetIncomeOld" hidden="1">GenValidation!$CJ$20</definedName>
    <definedName name="MonthlyConcessions" hidden="1">'Select Historicals'!$O$17</definedName>
    <definedName name="MonthlyConcessionsFromHistoricals" hidden="1">GenValidation!$CJ$56</definedName>
    <definedName name="MonthlyConcessionsOld" hidden="1">GenValidation!$CJ$11</definedName>
    <definedName name="MonthlyContractServices" hidden="1">'Select Historicals'!$O$35</definedName>
    <definedName name="MonthlyContractServicesFromHistoricals" hidden="1">GenValidation!$CJ$74</definedName>
    <definedName name="MonthlyContractServicesOld" hidden="1">GenValidation!$CJ$29</definedName>
    <definedName name="MonthlyDates" hidden="1">'Select Historicals'!$O$10</definedName>
    <definedName name="MonthlyDatesFromHistoricals" hidden="1">GenValidation!$CJ$49</definedName>
    <definedName name="MonthlyDatesOld" hidden="1">GenValidation!$CJ$4</definedName>
    <definedName name="MonthlyElectricity" hidden="1">'Select Historicals'!$O$43</definedName>
    <definedName name="MonthlyElectricityFromHistoricals" hidden="1">GenValidation!$CJ$82</definedName>
    <definedName name="MonthlyElectricityOld" hidden="1">GenValidation!$CJ$37</definedName>
    <definedName name="MonthlyExpenseReimbursements" hidden="1">'Select Historicals'!$O$24</definedName>
    <definedName name="MonthlyExpenseReimbursementsFromHistoricals" hidden="1">GenValidation!$CJ$63</definedName>
    <definedName name="MonthlyExpenseReimbursementsOld" hidden="1">GenValidation!$CJ$18</definedName>
    <definedName name="MonthlyFuelGasOil" hidden="1">'Select Historicals'!$O$44</definedName>
    <definedName name="MonthlyFuelGasOilFromHistoricals" hidden="1">GenValidation!$CJ$83</definedName>
    <definedName name="MonthlyFuelGasOilOld" hidden="1">GenValidation!$CJ$38</definedName>
    <definedName name="MonthlyGarageParking" hidden="1">'Select Historicals'!$O$22</definedName>
    <definedName name="MonthlyGarageParkingFromHistoricals" hidden="1">GenValidation!$CJ$61</definedName>
    <definedName name="MonthlyGarageParkingOld" hidden="1">GenValidation!$CJ$16</definedName>
    <definedName name="MonthlyHistoricalInputCutOff" hidden="1">GenValidation!$A$121</definedName>
    <definedName name="MonthlyInsurance" hidden="1">'Select Historicals'!$O$47</definedName>
    <definedName name="MonthlyInsuranceFromHistoricals" hidden="1">GenValidation!$CJ$86</definedName>
    <definedName name="MonthlyInsuranceOld" hidden="1">GenValidation!$CJ$41</definedName>
    <definedName name="MonthlyLandscapingGrounds" hidden="1">'Select Historicals'!$O$37</definedName>
    <definedName name="MonthlyLandscapingGroundsFromHistoricals" hidden="1">GenValidation!$CJ$76</definedName>
    <definedName name="MonthlyLandscapingGroundsOld" hidden="1">GenValidation!$CJ$31</definedName>
    <definedName name="MonthlyLeasingCommissions" hidden="1">'Select Historicals'!$O$40</definedName>
    <definedName name="MonthlyLeasingCommissionsFromHistoricals" hidden="1">GenValidation!$CJ$79</definedName>
    <definedName name="MonthlyLeasingCommissionsOld" hidden="1">GenValidation!$CJ$34</definedName>
    <definedName name="MonthlyLosstoLeaseGaintoLease" hidden="1">'Select Historicals'!$O$13</definedName>
    <definedName name="MonthlyLosstoLeaseGaintoLeaseFromHistoricals" hidden="1">GenValidation!$CJ$52</definedName>
    <definedName name="MonthlyLosstoLeaseGaintoLeaseOld" hidden="1">GenValidation!$CJ$7</definedName>
    <definedName name="MonthlyMarketingAdvertising" hidden="1">'Select Historicals'!$O$39</definedName>
    <definedName name="MonthlyMarketingAdvertisingFromHistoricals" hidden="1">GenValidation!$CJ$78</definedName>
    <definedName name="MonthlyMarketingAdvertisingOld" hidden="1">GenValidation!$CJ$33</definedName>
    <definedName name="MonthlyNonRevenueUnits" hidden="1">'Select Historicals'!$O$18</definedName>
    <definedName name="MonthlyNonRevenueUnitsFromHistoricals" hidden="1">GenValidation!$CJ$57</definedName>
    <definedName name="MonthlyNonRevenueUnitsOld" hidden="1">GenValidation!$CJ$12</definedName>
    <definedName name="MonthlyOtherOperatingExpenses" hidden="1">'Select Historicals'!$O$51</definedName>
    <definedName name="MonthlyOtherOperatingExpensesFromHistoricals" hidden="1">GenValidation!$CJ$90</definedName>
    <definedName name="MonthlyOtherOperatingExpensesOld" hidden="1">GenValidation!$CJ$45</definedName>
    <definedName name="MonthlyOtherPropertyTaxes" hidden="1">'Select Historicals'!$O$49</definedName>
    <definedName name="MonthlyOtherPropertyTaxesFromHistoricals" hidden="1">GenValidation!$CJ$88</definedName>
    <definedName name="MonthlyOtherPropertyTaxesOld" hidden="1">GenValidation!$CJ$43</definedName>
    <definedName name="MonthlyOtherResidentialIncome" hidden="1">'Select Historicals'!$O$25</definedName>
    <definedName name="MonthlyOtherResidentialIncomeFromHistoricals" hidden="1">GenValidation!$CJ$64</definedName>
    <definedName name="MonthlyOtherResidentialIncomeOld" hidden="1">GenValidation!$CJ$19</definedName>
    <definedName name="MonthlyOtherUtilities" hidden="1">'Select Historicals'!$O$46</definedName>
    <definedName name="MonthlyOtherUtilitiesFromHistoricals" hidden="1">GenValidation!$CJ$85</definedName>
    <definedName name="MonthlyOtherUtilitiesOld" hidden="1">GenValidation!$CJ$40</definedName>
    <definedName name="MonthlyPersonnel" hidden="1">'Select Historicals'!$O$38</definedName>
    <definedName name="MonthlyPersonnelFromHistoricals" hidden="1">GenValidation!$CJ$77</definedName>
    <definedName name="MonthlyPersonnelOld" hidden="1">GenValidation!$CJ$32</definedName>
    <definedName name="MonthlyPotentialMarketRent" hidden="1">'Select Historicals'!$O$12</definedName>
    <definedName name="MonthlyPotentialMarketRentFromHistoricals" hidden="1">GenValidation!$CJ$51</definedName>
    <definedName name="MonthlyPotentialMarketRentOld" hidden="1">GenValidation!$CJ$6</definedName>
    <definedName name="MonthlyPropertyManagementFee" hidden="1">'Select Historicals'!$O$50</definedName>
    <definedName name="MonthlyPropertyManagementFeeFromHistoricals" hidden="1">GenValidation!$CJ$89</definedName>
    <definedName name="MonthlyPropertyManagementFeeOld" hidden="1">GenValidation!$CJ$44</definedName>
    <definedName name="MonthlyPropertyWideCapitalExpensesInputCutOff" hidden="1">GenValidation!$A$95</definedName>
    <definedName name="MonthlyRealEstateTaxes" hidden="1">'Select Historicals'!$O$48</definedName>
    <definedName name="MonthlyRealEstateTaxesFromHistoricals" hidden="1">GenValidation!$CJ$87</definedName>
    <definedName name="MonthlyRealEstateTaxesOld" hidden="1">GenValidation!$CJ$42</definedName>
    <definedName name="MonthlyReimbursements" hidden="1">'Select Historicals'!$O$52</definedName>
    <definedName name="MonthlyReimbursementsFromHistoricals" hidden="1">GenValidation!$CJ$91</definedName>
    <definedName name="MonthlyReimbursementsOld" hidden="1">GenValidation!$CJ$46</definedName>
    <definedName name="MonthlyRenovationInputCutOff" hidden="1">GenValidation!$A$96</definedName>
    <definedName name="MonthlyRenovationsListCount" hidden="1">GenValidation!$A$97</definedName>
    <definedName name="MonthlyRepairMaintenance" hidden="1">'Select Historicals'!$O$34</definedName>
    <definedName name="MonthlyRepairMaintenanceFromHistoricals" hidden="1">GenValidation!$CJ$73</definedName>
    <definedName name="MonthlyRepairMaintenanceOld" hidden="1">GenValidation!$CJ$28</definedName>
    <definedName name="MonthlySecurity" hidden="1">'Select Historicals'!$O$36</definedName>
    <definedName name="MonthlySecurityFromHistoricals" hidden="1">GenValidation!$CJ$75</definedName>
    <definedName name="MonthlySecurityOld" hidden="1">GenValidation!$CJ$30</definedName>
    <definedName name="MonthlyStorage" hidden="1">'Select Historicals'!$O$23</definedName>
    <definedName name="MonthlyStorageFromHistoricals" hidden="1">GenValidation!$CJ$62</definedName>
    <definedName name="MonthlyStorageOld" hidden="1">GenValidation!$CJ$17</definedName>
    <definedName name="MonthlyTurnoverMakeReady" hidden="1">'Select Historicals'!$O$42</definedName>
    <definedName name="MonthlyTurnoverMakeReadyFromHistoricals" hidden="1">GenValidation!$CJ$81</definedName>
    <definedName name="MonthlyTurnoverMakeReadyOld" hidden="1">GenValidation!$CJ$36</definedName>
    <definedName name="MonthlyVacancy" hidden="1">'Select Historicals'!$O$16</definedName>
    <definedName name="MonthlyVacancyFromHistoricals" hidden="1">GenValidation!$CJ$55</definedName>
    <definedName name="MonthlyVacancyOld" hidden="1">GenValidation!$CJ$10</definedName>
    <definedName name="MonthlyWaterSewer" hidden="1">'Select Historicals'!$O$45</definedName>
    <definedName name="MonthlyWaterSewerFromHistoricals" hidden="1">GenValidation!$CJ$84</definedName>
    <definedName name="MonthlyWaterSewerOld" hidden="1">GenValidation!$CJ$39</definedName>
    <definedName name="MontlyMarketRentGrowthAssumptionsInputCutOff" hidden="1">GenValidation!$A$98</definedName>
    <definedName name="na" hidden="1">GenValidation!$X$7</definedName>
    <definedName name="NetOperatingIncomeAfterReservesNotes" hidden="1">'Adjustments &amp; Notes'!$O$66</definedName>
    <definedName name="NewLeaseExpirationTable" hidden="1">GenValidation!$CA$136:INDEX(GenValidation!$CD:$CD,ROW(GenValidation!$CD$136)+TotalDealUnits-1)</definedName>
    <definedName name="NonRevenueRateOldRR" hidden="1">GenValidation!$AG$132</definedName>
    <definedName name="NonRevenueRateOldRRforUpload" hidden="1">Input!$F$91</definedName>
    <definedName name="NonRevenueUnits" hidden="1">Input!$G$91</definedName>
    <definedName name="NonRevenueUnitsAdjustment" hidden="1">'Adjustments &amp; Notes'!$F$18</definedName>
    <definedName name="NonRevenueUnitsNotes" hidden="1">'Adjustments &amp; Notes'!$O$18</definedName>
    <definedName name="NonRevfromRR" hidden="1">GenValidation!$P$124:$P$125</definedName>
    <definedName name="NumberOfFlPlInRR" hidden="1">GenValidation!$G$126</definedName>
    <definedName name="NumberOfUnitFloorPlans" hidden="1">GenValidation!$A$89</definedName>
    <definedName name="NumLoansOutput" hidden="1">GenValidation!$AK$13</definedName>
    <definedName name="OccupancyStatusByFlPl" comment="used in VBA" hidden="1">Input!$I$53:$K$54</definedName>
    <definedName name="OIFreq" hidden="1">GenValidation!$J$5:$J$6</definedName>
    <definedName name="OIUnitType" hidden="1">GenValidation!$I$5:$I$7</definedName>
    <definedName name="OldFloorPlansFromRR" hidden="1">GenValidation!$G$130:$G$131</definedName>
    <definedName name="OldLeaseExpirationDate" hidden="1">GenValidation!$BW$136</definedName>
    <definedName name="OldLeaseExpirationInPlaceRent" hidden="1">GenValidation!$BZ$136</definedName>
    <definedName name="OldLeaseExpirationMarketRent" hidden="1">GenValidation!$BY$136</definedName>
    <definedName name="OldLeaseExpirationNoOfUnits" hidden="1">GenValidation!$BX$136</definedName>
    <definedName name="OldLeaseExpirationTable" hidden="1">GenValidation!$CE$136:INDEX(GenValidation!$CH:$CH,ROW(GenValidation!$CH$136)+TotalDealUnits-1)</definedName>
    <definedName name="OldNumberOfFlPls" hidden="1">GenValidation!$G$132</definedName>
    <definedName name="OperatingDeficits" hidden="1">Input!$AB$199</definedName>
    <definedName name="OperatingExpenseInputCutOff" hidden="1">GenValidation!$A$99</definedName>
    <definedName name="OperatingExpensesAmount" hidden="1">Input!$E$129:$E$148</definedName>
    <definedName name="OperatingExpensesListCount" hidden="1">GenValidation!$A$100</definedName>
    <definedName name="OperatingExpensesName" hidden="1">Input!$B$129:$B$146</definedName>
    <definedName name="OperatingExpenseUnit" hidden="1">Input!$F$129:$F$148</definedName>
    <definedName name="OpExpAnnualInpTable" hidden="1">Input!$G$129:$Q$148</definedName>
    <definedName name="OpexUnitSelection" hidden="1">Input!$F$128</definedName>
    <definedName name="OpExYrsHeader" hidden="1">Input!$G$128:$Q$128</definedName>
    <definedName name="OriginalDealID" hidden="1">GenValidation!$A$80</definedName>
    <definedName name="OriginatedLoansListCount" hidden="1">GenValidation!$A$112</definedName>
    <definedName name="OtherAssumedLiabilitiesValue" hidden="1">Input!$W$37</definedName>
    <definedName name="OtherCCAcqType" hidden="1">GenValidation!$A$17</definedName>
    <definedName name="OtherCCDispType" hidden="1">GenValidation!$A$23</definedName>
    <definedName name="OtherDueDiligenceCostsValue" hidden="1">Input!$W$33</definedName>
    <definedName name="OtherExpenseInput" hidden="1">Input!$G$148</definedName>
    <definedName name="OtherFeestoSponsorAmount" hidden="1">Input!#REF!</definedName>
    <definedName name="OtherFeestoSponsorLabel" hidden="1">Input!#REF!</definedName>
    <definedName name="OtherIncomeAssumptions" hidden="1">Input!$G$106</definedName>
    <definedName name="OtherIncomeAssumptionsInputCutOff" hidden="1">GenValidation!$A$101</definedName>
    <definedName name="OtherIncomeFrequency" hidden="1">Input!$F$106</definedName>
    <definedName name="OtherIncomeInflation" hidden="1">Input!$G$118</definedName>
    <definedName name="OtherIncomeInflationInputCutOff" hidden="1">GenValidation!$A$102</definedName>
    <definedName name="OtherIncomeListCount" hidden="1">GenValidation!$A$103</definedName>
    <definedName name="OtherIncomeName" hidden="1">Input!$B$106</definedName>
    <definedName name="OtherIncomeNotes" hidden="1">'Adjustments &amp; Notes'!$O$31</definedName>
    <definedName name="OtherIncomeUnit" hidden="1">Input!$E$106</definedName>
    <definedName name="OtherOperatingExpensesAdjustment" hidden="1">'Adjustments &amp; Notes'!$F$55</definedName>
    <definedName name="OtherOperatingExpensesNotes" hidden="1">'Adjustments &amp; Notes'!$O$55</definedName>
    <definedName name="OtherPropertyTaxesAdjustment" hidden="1">'Adjustments &amp; Notes'!$F$53</definedName>
    <definedName name="OtherPropertyTaxesNotes" hidden="1">'Adjustments &amp; Notes'!$O$53</definedName>
    <definedName name="OtherRentGrowthType" hidden="1">GenValidation!$A$31</definedName>
    <definedName name="OtherRentGrwthSelection" hidden="1">Input!$D$70</definedName>
    <definedName name="OtherResidentialIncomeAdjustment" hidden="1">'Adjustments &amp; Notes'!$F$25</definedName>
    <definedName name="OtherResidentialIncomeNotes" hidden="1">'Adjustments &amp; Notes'!$O$25</definedName>
    <definedName name="OtherUtilitiesAdjustment" hidden="1">'Adjustments &amp; Notes'!$F$50</definedName>
    <definedName name="OtherUtilitiesNotes" hidden="1">'Adjustments &amp; Notes'!$O$50</definedName>
    <definedName name="OutAssumptions_HF" hidden="1">'Assumptions '!#REF!,'Assumptions '!#REF!,'Assumptions '!#REF!,'Assumptions '!#REF!,'Assumptions '!#REF!,'Assumptions '!#REF!</definedName>
    <definedName name="OutAssumptions_HT" hidden="1">'Assumptions '!#REF!,'Assumptions '!#REF!,'Assumptions '!#REF!,'Assumptions '!#REF!,'Assumptions '!#REF!,'Assumptions '!#REF!</definedName>
    <definedName name="OutAssumptions_SHT" hidden="1">'Assumptions '!#REF!,'Assumptions '!#REF!,'Assumptions '!#REF!,'Assumptions '!#REF!,'Assumptions '!#REF!,'Assumptions '!#REF!,'Assumptions '!#REF!,'Assumptions '!#REF!,'Assumptions '!#REF!,'Assumptions '!#REF!,'Assumptions '!#REF!,'Assumptions '!#REF!,'Assumptions '!#REF!,'Assumptions '!#REF!,'Assumptions '!#REF!</definedName>
    <definedName name="OutAssumptions_Title" hidden="1">'Assumptions '!#REF!</definedName>
    <definedName name="OutAssumptions0_HF" hidden="1">'Assumptions '!#REF!</definedName>
    <definedName name="OutAssumptions0_HT" hidden="1">'Assumptions '!#REF!</definedName>
    <definedName name="OutAssumptions0_SHT" hidden="1">'Assumptions '!#REF!</definedName>
    <definedName name="OutAssumptions1_HF" hidden="1">'Assumptions '!#REF!</definedName>
    <definedName name="OutAssumptions1_HT" hidden="1">'Assumptions '!#REF!</definedName>
    <definedName name="OutAssumptions1_SHT" hidden="1">'Assumptions '!#REF!</definedName>
    <definedName name="OutAssumptions10_SHT" hidden="1">'Assumptions '!#REF!</definedName>
    <definedName name="OutAssumptions11_SHT" hidden="1">'Assumptions '!#REF!</definedName>
    <definedName name="OutAssumptions12_SHT" hidden="1">'Assumptions '!#REF!</definedName>
    <definedName name="OutAssumptions13_SHT" hidden="1">'Assumptions '!#REF!</definedName>
    <definedName name="OutAssumptions14_SHT" hidden="1">'Assumptions '!#REF!</definedName>
    <definedName name="OutAssumptions2_HF" hidden="1">'Assumptions '!#REF!</definedName>
    <definedName name="OutAssumptions2_HT" hidden="1">'Assumptions '!#REF!</definedName>
    <definedName name="OutAssumptions2_SHT" hidden="1">'Assumptions '!#REF!</definedName>
    <definedName name="OutAssumptions3_HF" hidden="1">'Assumptions '!#REF!</definedName>
    <definedName name="OutAssumptions3_HT" hidden="1">'Assumptions '!#REF!</definedName>
    <definedName name="OutAssumptions3_SHT" hidden="1">'Assumptions '!#REF!</definedName>
    <definedName name="OutAssumptions4_HF" hidden="1">'Assumptions '!#REF!</definedName>
    <definedName name="OutAssumptions4_HT" hidden="1">'Assumptions '!#REF!</definedName>
    <definedName name="OutAssumptions4_SHT" hidden="1">'Assumptions '!#REF!</definedName>
    <definedName name="OutAssumptions5_HF" hidden="1">'Assumptions '!#REF!</definedName>
    <definedName name="OutAssumptions5_HT" hidden="1">'Assumptions '!#REF!</definedName>
    <definedName name="OutAssumptions5_SHT" hidden="1">'Assumptions '!#REF!</definedName>
    <definedName name="OutAssumptions6_SHT" hidden="1">'Assumptions '!#REF!</definedName>
    <definedName name="OutAssumptions7_SHT" hidden="1">'Assumptions '!#REF!</definedName>
    <definedName name="OutAssumptions8_SHT" hidden="1">'Assumptions '!#REF!</definedName>
    <definedName name="OutAssumptions9_SHT" hidden="1">'Assumptions '!#REF!</definedName>
    <definedName name="OutCashFlow_HF" hidden="1">'Cash Flow'!$B$7:$O$7</definedName>
    <definedName name="OutCashFlow_HT" hidden="1">'Cash Flow'!$B$7</definedName>
    <definedName name="OutCashFlow_SHT" hidden="1">'Cash Flow'!$B$2,'Cash Flow'!$O$2,'Cash Flow'!$C$5:$O$5,'Cash Flow'!$B$9,'Cash Flow'!$B$17,'Cash Flow'!$B$29,'Cash Flow'!$B$36,'Cash Flow'!$B$39,'Cash Flow'!$B$49,'Cash Flow'!$B$57,'Cash Flow'!$B$60</definedName>
    <definedName name="OutCashFlow_SHT_P" hidden="1">'Cash Flow'!#REF!</definedName>
    <definedName name="OutCashFlow_Title" hidden="1">'Cash Flow'!$E$2</definedName>
    <definedName name="OutCashFlow0_SHT" hidden="1">'Cash Flow'!$B$2</definedName>
    <definedName name="OutCashFlow1_SHT" hidden="1">'Cash Flow'!$O$2</definedName>
    <definedName name="OutCashFlow10_SHT" hidden="1">'Cash Flow'!$B$60</definedName>
    <definedName name="OutCashFlow2_SHT" hidden="1">'Cash Flow'!$C$5:$O$5</definedName>
    <definedName name="OutCashFlow3_SHT" hidden="1">'Cash Flow'!$B$9</definedName>
    <definedName name="OutCashFlow4_SHT" hidden="1">'Cash Flow'!$B$17</definedName>
    <definedName name="OutCashFlow5_SHT" hidden="1">'Cash Flow'!$B$29</definedName>
    <definedName name="OutCashFlow6_SHT" hidden="1">'Cash Flow'!$B$36</definedName>
    <definedName name="OutCashFlow7_SHT" hidden="1">'Cash Flow'!$B$39</definedName>
    <definedName name="OutCashFlow8_SHT" hidden="1">'Cash Flow'!$B$49</definedName>
    <definedName name="OutCashFlow9_SHT" hidden="1">'Cash Flow'!$B$57</definedName>
    <definedName name="OutHistoricals_HF" hidden="1">'Historical CF'!$B$5:$R$5,'Historical CF'!$T$5:$W$5,'Historical CF'!$Y$5:$AR$5,'Historical CF'!$B$69:$W$69</definedName>
    <definedName name="OutHistoricals_HT" hidden="1">'Historical CF'!$B$5,'Historical CF'!$T$5,'Historical CF'!$Y$5,'Historical CF'!$B$69</definedName>
    <definedName name="OutHistoricals_SHT" hidden="1">'Historical CF'!$B$2,'Historical CF'!$W$2,'Historical CF'!$D$6:$W$7,'Historical CF'!$B$8,'Historical CF'!$B$30,'Historical CF'!$B$55,'Historical CF'!$B$63</definedName>
    <definedName name="OutHistoricals_Title" hidden="1">'Historical CF'!$G$2</definedName>
    <definedName name="OutHistoricals0_HF" hidden="1">'Historical CF'!$B$5:$R$5</definedName>
    <definedName name="OutHistoricals0_HT" hidden="1">'Historical CF'!$B$5</definedName>
    <definedName name="OutHistoricals0_SHT" hidden="1">'Historical CF'!$B$2</definedName>
    <definedName name="OutHistoricals1_HF" hidden="1">'Historical CF'!$T$5:$W$5</definedName>
    <definedName name="OutHistoricals1_HT" hidden="1">'Historical CF'!$T$5</definedName>
    <definedName name="OutHistoricals1_SHT" hidden="1">'Historical CF'!$W$2</definedName>
    <definedName name="OutHistoricals2_HF" hidden="1">'Historical CF'!$Y$5:$AR$5</definedName>
    <definedName name="OutHistoricals2_HT" hidden="1">'Historical CF'!$Y$5</definedName>
    <definedName name="OutHistoricals2_SHT" hidden="1">'Historical CF'!$D$6:$W$7</definedName>
    <definedName name="OutHistoricals3_HF" hidden="1">'Historical CF'!$B$69:$W$69</definedName>
    <definedName name="OutHistoricals3_HT" hidden="1">'Historical CF'!$B$69</definedName>
    <definedName name="OutHistoricals3_SHT" hidden="1">'Historical CF'!$B$8</definedName>
    <definedName name="OutHistoricals4_SHT" hidden="1">'Historical CF'!$B$30</definedName>
    <definedName name="OutHistoricals5_SHT" hidden="1">'Historical CF'!$B$55</definedName>
    <definedName name="OutHistoricals6_SHT" hidden="1">'Historical CF'!$B$63</definedName>
    <definedName name="OutHistoricalsAdjusted_HF" hidden="1">'Historical CF '!$B$5:$I$5,'Historical CF '!$K$5:$O$5,'Historical CF '!$Q$5:$AJ$5,'Historical CF '!$B$69:$O$69</definedName>
    <definedName name="OutHistoricalsAdjusted_HT" hidden="1">'Historical CF '!$B$5,'Historical CF '!$K$5,'Historical CF '!$Q$5,'Historical CF '!$B$69</definedName>
    <definedName name="OutHistoricalsAdjusted_SHT" hidden="1">'Historical CF '!$B$2,'Historical CF '!$O$2,'Historical CF '!$D$6:$O$7,'Historical CF '!$B$8,'Historical CF '!$B$30,'Historical CF '!$B$55,'Historical CF '!$B$63</definedName>
    <definedName name="OutHistoricalsAdjusted_Title" hidden="1">'Historical CF '!$E$2</definedName>
    <definedName name="OutHistoricalsAdjusted0_HF" hidden="1">'Historical CF '!$B$5:$I$5</definedName>
    <definedName name="OutHistoricalsAdjusted0_HT" hidden="1">'Historical CF '!$B$5</definedName>
    <definedName name="OutHistoricalsAdjusted0_SHT" hidden="1">'Historical CF '!$B$2</definedName>
    <definedName name="OutHistoricalsAdjusted1_HF" hidden="1">'Historical CF '!$K$5:$O$5</definedName>
    <definedName name="OutHistoricalsAdjusted1_HT" hidden="1">'Historical CF '!$K$5</definedName>
    <definedName name="OutHistoricalsAdjusted1_SHT" hidden="1">'Historical CF '!$O$2</definedName>
    <definedName name="OutHistoricalsAdjusted2_HF" hidden="1">'Historical CF '!$Q$5:$AJ$5</definedName>
    <definedName name="OutHistoricalsAdjusted2_HT" hidden="1">'Historical CF '!$Q$5</definedName>
    <definedName name="OutHistoricalsAdjusted2_SHT" hidden="1">'Historical CF '!$D$6:$O$7</definedName>
    <definedName name="OutHistoricalsAdjusted3_HF" hidden="1">'Historical CF '!$B$69:$O$69</definedName>
    <definedName name="OutHistoricalsAdjusted3_HT" hidden="1">'Historical CF '!$B$69</definedName>
    <definedName name="OutHistoricalsAdjusted3_SHT" hidden="1">'Historical CF '!$B$8</definedName>
    <definedName name="OutHistoricalsAdjusted4_SHT" hidden="1">'Historical CF '!$B$30</definedName>
    <definedName name="OutHistoricalsAdjusted5_SHT" hidden="1">'Historical CF '!$B$55</definedName>
    <definedName name="OutHistoricalsAdjusted6_SHT" hidden="1">'Historical CF '!$B$63</definedName>
    <definedName name="OutIncomeBuild_CW_HF" hidden="1">'Income Build '!#REF!,'Income Build '!#REF!,'Income Build '!#REF!</definedName>
    <definedName name="OutIncomeBuild_CW_HT" hidden="1">'Income Build '!#REF!,'Income Build '!#REF!,'Income Build '!#REF!</definedName>
    <definedName name="OutIncomeBuild_CW_SHT" hidden="1">'Income Build '!#REF!,'Income Build '!#REF!,'Income Build '!#REF!</definedName>
    <definedName name="OutIncomeBuild_CW_Title" hidden="1">'Income Build '!#REF!</definedName>
    <definedName name="OutIncomeBuild_CW0_HF" hidden="1">'Income Build '!#REF!</definedName>
    <definedName name="OutIncomeBuild_CW0_HT" hidden="1">'Income Build '!#REF!</definedName>
    <definedName name="OutIncomeBuild_CW0_SHT" hidden="1">'Income Build '!#REF!</definedName>
    <definedName name="OutIncomeBuild_CW1_HF" hidden="1">'Income Build '!#REF!</definedName>
    <definedName name="OutIncomeBuild_CW1_HT" hidden="1">'Income Build '!#REF!</definedName>
    <definedName name="OutIncomeBuild_CW1_SHT" hidden="1">'Income Build '!#REF!</definedName>
    <definedName name="OutIncomeBuild_CW2_HF" hidden="1">'Income Build '!#REF!</definedName>
    <definedName name="OutIncomeBuild_CW2_HT" hidden="1">'Income Build '!#REF!</definedName>
    <definedName name="OutIncomeBuild_CW2_SHT" hidden="1">'Income Build '!#REF!</definedName>
    <definedName name="OutProFormaCF_HF" hidden="1">'Property CF'!$P$7,'Property CF'!$B$7:$N$7,'Property CF'!$B$72:$N$72</definedName>
    <definedName name="OutProFormaCF_HT" hidden="1">'Property CF'!$B$7,'Property CF'!$B$72</definedName>
    <definedName name="OutProFormaCF_SHT" hidden="1">'Property CF'!$B$2,'Property CF'!$J$2,'Property CF'!$C$5:$N$5,'Property CF'!$P$4:$P$5,'Property CF'!$B$9,'Property CF'!$B$31,'Property CF'!$B$51,'Property CF'!$B$59,'Property CF'!$B$69,'Property CF'!$B$74,'Property CF'!$B$80,'Property CF'!$B$89</definedName>
    <definedName name="OutProFormaCF_Title" hidden="1">'Property CF'!$D$2</definedName>
    <definedName name="OutProFormaCF0_HF" hidden="1">'Property CF'!$P$7</definedName>
    <definedName name="OutProFormaCF0_HT" hidden="1">'Property CF'!$B$7</definedName>
    <definedName name="OutProFormaCF0_SHT" hidden="1">'Property CF'!$B$2</definedName>
    <definedName name="OutProFormaCF1_HF" hidden="1">'Property CF'!$B$7:$N$7</definedName>
    <definedName name="OutProFormaCF1_HT" hidden="1">'Property CF'!$B$72</definedName>
    <definedName name="OutProFormaCF1_SHT" hidden="1">'Property CF'!$J$2</definedName>
    <definedName name="OutProFormaCF10_SHT" hidden="1">'Property CF'!$B$80</definedName>
    <definedName name="OutProFormaCF11_SHT" hidden="1">'Property CF'!$B$89</definedName>
    <definedName name="OutProFormaCF2_HF" hidden="1">'Property CF'!$B$72:$N$72</definedName>
    <definedName name="OutProFormaCF2_SHT" hidden="1">'Property CF'!$C$5:$N$5</definedName>
    <definedName name="OutProFormaCF3_SHT" hidden="1">'Property CF'!$P$4:$P$5</definedName>
    <definedName name="OutProFormaCF4_SHT" hidden="1">'Property CF'!$B$9</definedName>
    <definedName name="OutProFormaCF5_SHT" hidden="1">'Property CF'!$B$31</definedName>
    <definedName name="OutProFormaCF6_SHT" hidden="1">'Property CF'!$B$51</definedName>
    <definedName name="OutProFormaCF7_SHT" hidden="1">'Property CF'!$B$59</definedName>
    <definedName name="OutProFormaCF8_SHT" hidden="1">'Property CF'!$B$69</definedName>
    <definedName name="OutProFormaCF9_SHT" hidden="1">'Property CF'!$B$74</definedName>
    <definedName name="OutProformaRenovDwntme" hidden="1">'Property CF'!$B$16</definedName>
    <definedName name="OutRenov_HF" hidden="1">Renovations!$G$5:$O$5,Renovations!$B$15:$O$15,Renovations!$B$5:$E$5,Renovations!$B$29:$O$29,Renovations!$B$44:$O$44</definedName>
    <definedName name="OutRenov_HT" hidden="1">Renovations!$B$44,Renovations!$B$29,Renovations!$B$15,Renovations!$B$5,Renovations!$G$5</definedName>
    <definedName name="OutRenov_SHT" hidden="1">Renovations!$B$2,Renovations!$O$2,Renovations!$E$17,Renovations!$E$18,Renovations!$E$19:$G$19,Renovations!$I$17,Renovations!$I$18,Renovations!$I$19:$K$19,Renovations!$M$17,Renovations!$M$18,Renovations!$M$19:$O$19,Renovations!$E$31,Renovations!$E$32:$F$32,Renovations!$G$30,Renovations!$G$31,Renovations!$G$32:$H$32,Renovations!$I$30,Renovations!$I$31,Renovations!$I$32:$J$32,Renovations!$L$31,Renovations!$L$32:$O$32,Renovations!$B$46:$O$46,Renovations!$B$56:$O$56</definedName>
    <definedName name="OutRenov_Title" hidden="1">Renovations!$H$2</definedName>
    <definedName name="OutRenov0_HF" hidden="1">Renovations!$G$5:$O$5</definedName>
    <definedName name="OutRenov0_HT" hidden="1">Renovations!$B$44</definedName>
    <definedName name="OutRenov0_SHT" hidden="1">Renovations!$B$2</definedName>
    <definedName name="OutRenov1_HF" hidden="1">Renovations!$B$15:$O$15</definedName>
    <definedName name="OutRenov1_HT" hidden="1">Renovations!$B$29</definedName>
    <definedName name="OutRenov1_SHT" hidden="1">Renovations!$O$2</definedName>
    <definedName name="OutRenov10_SHT" hidden="1">Renovations!$M$19:$O$19</definedName>
    <definedName name="OutRenov11_SHT" hidden="1">Renovations!$E$31</definedName>
    <definedName name="OutRenov12_SHT" hidden="1">Renovations!$E$32:$F$32</definedName>
    <definedName name="OutRenov13_SHT" hidden="1">Renovations!$G$30</definedName>
    <definedName name="OutRenov14_SHT" hidden="1">Renovations!$G$31</definedName>
    <definedName name="OutRenov15_SHT" hidden="1">Renovations!$G$32:$H$32</definedName>
    <definedName name="OutRenov16_SHT" hidden="1">Renovations!$I$30</definedName>
    <definedName name="OutRenov17_SHT" hidden="1">Renovations!$I$31</definedName>
    <definedName name="OutRenov18_SHT" hidden="1">Renovations!$I$32:$J$32</definedName>
    <definedName name="OutRenov19_SHT" hidden="1">Renovations!$L$31</definedName>
    <definedName name="OutRenov2_HF" hidden="1">Renovations!$B$5:$E$5</definedName>
    <definedName name="OutRenov2_HT" hidden="1">Renovations!$B$15</definedName>
    <definedName name="OutRenov2_SHT" hidden="1">Renovations!$E$17</definedName>
    <definedName name="OutRenov20_SHT" hidden="1">Renovations!$L$32:$O$32</definedName>
    <definedName name="OutRenov21_SHT" hidden="1">Renovations!$B$46:$O$46</definedName>
    <definedName name="OutRenov22_SHT" hidden="1">Renovations!$B$56:$O$56</definedName>
    <definedName name="OutRenov3_HF" hidden="1">Renovations!$B$29:$O$29</definedName>
    <definedName name="OutRenov3_HT" hidden="1">Renovations!$B$5</definedName>
    <definedName name="OutRenov3_SHT" hidden="1">Renovations!$E$18</definedName>
    <definedName name="OutRenov4_HF" hidden="1">Renovations!$B$44:$O$44</definedName>
    <definedName name="OutRenov4_HT" hidden="1">Renovations!$G$5</definedName>
    <definedName name="OutRenov4_SHT" hidden="1">Renovations!$E$19:$G$19</definedName>
    <definedName name="OutRenov5_SHT" hidden="1">Renovations!$I$17</definedName>
    <definedName name="OutRenov6_SHT" hidden="1">Renovations!$I$18</definedName>
    <definedName name="OutRenov7_SHT" hidden="1">Renovations!$I$19:$K$19</definedName>
    <definedName name="OutRenov8_SHT" hidden="1">Renovations!$M$17</definedName>
    <definedName name="OutRenov9_SHT" hidden="1">Renovations!$M$18</definedName>
    <definedName name="OutSensitivity_HF" hidden="1">'Sensitivity Analysis'!$B$4:$H$4,'Sensitivity Analysis'!$B$19:$H$19,'Sensitivity Analysis'!$B$36:$H$36,'Sensitivity Analysis'!$J$36:$P$36,'Sensitivity Analysis'!$J$19:$P$19,'Sensitivity Analysis'!$J$4:$P$4</definedName>
    <definedName name="OutSensitivity_HT" hidden="1">'Sensitivity Analysis'!$B$36,'Sensitivity Analysis'!$J$36,'Sensitivity Analysis'!$J$19,'Sensitivity Analysis'!$B$19,'Sensitivity Analysis'!$B$4,'Sensitivity Analysis'!$J$4</definedName>
    <definedName name="OutSensitivity_SensMF" hidden="1">'Sensitivity Analysis'!$F$7:$F$10,'Sensitivity Analysis'!$F$12,'Sensitivity Analysis'!$F$14,'Sensitivity Analysis'!$N$7:$N$10,'Sensitivity Analysis'!$N$12,'Sensitivity Analysis'!$N$14,'Sensitivity Analysis'!$F$22:$F$24,'Sensitivity Analysis'!$F$26,'Sensitivity Analysis'!$F$28,'Sensitivity Analysis'!$F$30:$F$32,'Sensitivity Analysis'!$N$22,'Sensitivity Analysis'!$K$23:$P$24,'Sensitivity Analysis'!$N$25:$N$26,'Sensitivity Analysis'!$N$29:$N$30,'Sensitivity Analysis'!$F$39:$F$40,'Sensitivity Analysis'!$F$42,'Sensitivity Analysis'!$F$43,'Sensitivity Analysis'!$F$45:$F$46,'Sensitivity Analysis'!$F$48,'Sensitivity Analysis'!$K$40:$P$41,'Sensitivity Analysis'!$N$39,'Sensitivity Analysis'!$N$42:$N$43,'Sensitivity Analysis'!$N$46:$N$47</definedName>
    <definedName name="OutSensitivity_SensSF" hidden="1">'Sensitivity Analysis'!$F$11,'Sensitivity Analysis'!$F$13,'Sensitivity Analysis'!$F$15,'Sensitivity Analysis'!$F$25,'Sensitivity Analysis'!$F$27,'Sensitivity Analysis'!$F$29,'Sensitivity Analysis'!$F$41,'Sensitivity Analysis'!$F$44,'Sensitivity Analysis'!$F$47,'Sensitivity Analysis'!$F$49,'Sensitivity Analysis'!$N$48:$N$49,'Sensitivity Analysis'!$N$44:$N$45,'Sensitivity Analysis'!$N$31:$N$32,'Sensitivity Analysis'!$N$27:$N$28,'Sensitivity Analysis'!$N$15,'Sensitivity Analysis'!$N$13,'Sensitivity Analysis'!$N$11</definedName>
    <definedName name="OutSensitivity_SHT" hidden="1">'Sensitivity Analysis'!$B$2,'Sensitivity Analysis'!$P$2,'Sensitivity Analysis'!$B$6:$H$6,'Sensitivity Analysis'!$J$6:$P$6,'Sensitivity Analysis'!$B$7:$B$17,'Sensitivity Analysis'!$J$7,'Sensitivity Analysis'!$B$21:$H$21,'Sensitivity Analysis'!$B$22:$B$34,'Sensitivity Analysis'!$J$22:$J$34,'Sensitivity Analysis'!$J$21:$P$21,'Sensitivity Analysis'!$J$38:$P$38,'Sensitivity Analysis'!$J$39:$J$51,'Sensitivity Analysis'!$B$39:$B$51,'Sensitivity Analysis'!$B$38:$H$38</definedName>
    <definedName name="OutSensitivity_Title" hidden="1">'Sensitivity Analysis'!$H$2</definedName>
    <definedName name="OutSensitivity0_HF" hidden="1">'Sensitivity Analysis'!$B$4:$H$4</definedName>
    <definedName name="OutSensitivity0_HT" hidden="1">'Sensitivity Analysis'!$B$36</definedName>
    <definedName name="OutSensitivity0_SensMF" hidden="1">'Sensitivity Analysis'!$F$7:$F$10</definedName>
    <definedName name="OutSensitivity0_SensSF" hidden="1">'Sensitivity Analysis'!$F$11</definedName>
    <definedName name="OutSensitivity0_SHT" hidden="1">'Sensitivity Analysis'!$B$2</definedName>
    <definedName name="OutSensitivity1_HF" hidden="1">'Sensitivity Analysis'!$B$19:$H$19</definedName>
    <definedName name="OutSensitivity1_HT" hidden="1">'Sensitivity Analysis'!$J$36</definedName>
    <definedName name="OutSensitivity1_SensMF" hidden="1">'Sensitivity Analysis'!$F$12</definedName>
    <definedName name="OutSensitivity1_SensSF" hidden="1">'Sensitivity Analysis'!$F$13</definedName>
    <definedName name="OutSensitivity1_SHT" hidden="1">'Sensitivity Analysis'!$P$2</definedName>
    <definedName name="OutSensitivity10_SensMF" hidden="1">'Sensitivity Analysis'!$N$22</definedName>
    <definedName name="OutSensitivity10_SensSF" hidden="1">'Sensitivity Analysis'!$N$48:$N$49</definedName>
    <definedName name="OutSensitivity10_SHT" hidden="1">'Sensitivity Analysis'!$J$38:$P$38</definedName>
    <definedName name="OutSensitivity11_SensMF" hidden="1">'Sensitivity Analysis'!$K$23:$P$24</definedName>
    <definedName name="OutSensitivity11_SensSF" hidden="1">'Sensitivity Analysis'!$N$44:$N$45</definedName>
    <definedName name="OutSensitivity11_SHT" hidden="1">'Sensitivity Analysis'!$J$39:$J$51</definedName>
    <definedName name="OutSensitivity12_SensMF" hidden="1">'Sensitivity Analysis'!$N$25:$N$26</definedName>
    <definedName name="OutSensitivity12_SensSF" hidden="1">'Sensitivity Analysis'!$N$31:$N$32</definedName>
    <definedName name="OutSensitivity12_SHT" hidden="1">'Sensitivity Analysis'!$B$39:$B$51</definedName>
    <definedName name="OutSensitivity13_SensMF" hidden="1">'Sensitivity Analysis'!$N$29:$N$30</definedName>
    <definedName name="OutSensitivity13_SensSF" hidden="1">'Sensitivity Analysis'!$N$27:$N$28</definedName>
    <definedName name="OutSensitivity13_SHT" hidden="1">'Sensitivity Analysis'!$B$38:$H$38</definedName>
    <definedName name="OutSensitivity14_SensMF" hidden="1">'Sensitivity Analysis'!$F$39:$F$40</definedName>
    <definedName name="OutSensitivity14_SensSF" hidden="1">'Sensitivity Analysis'!$N$15</definedName>
    <definedName name="OutSensitivity15_SensMF" hidden="1">'Sensitivity Analysis'!$F$42</definedName>
    <definedName name="OutSensitivity15_SensSF" hidden="1">'Sensitivity Analysis'!$N$13</definedName>
    <definedName name="OutSensitivity16_SensMF" hidden="1">'Sensitivity Analysis'!$F$43</definedName>
    <definedName name="OutSensitivity16_SensSF" hidden="1">'Sensitivity Analysis'!$N$11</definedName>
    <definedName name="OutSensitivity17_SensMF" hidden="1">'Sensitivity Analysis'!$F$45:$F$46</definedName>
    <definedName name="OutSensitivity18_SensMF" hidden="1">'Sensitivity Analysis'!$F$48</definedName>
    <definedName name="OutSensitivity19_SensMF" hidden="1">'Sensitivity Analysis'!$K$40:$P$41</definedName>
    <definedName name="OutSensitivity2_HF" hidden="1">'Sensitivity Analysis'!$B$36:$H$36</definedName>
    <definedName name="OutSensitivity2_HT" hidden="1">'Sensitivity Analysis'!$J$19</definedName>
    <definedName name="OutSensitivity2_SensMF" hidden="1">'Sensitivity Analysis'!$F$14</definedName>
    <definedName name="OutSensitivity2_SensSF" hidden="1">'Sensitivity Analysis'!$F$15</definedName>
    <definedName name="OutSensitivity2_SHT" hidden="1">'Sensitivity Analysis'!$B$6:$H$6</definedName>
    <definedName name="OutSensitivity20_SensMF" hidden="1">'Sensitivity Analysis'!$N$39</definedName>
    <definedName name="OutSensitivity21_SensMF" hidden="1">'Sensitivity Analysis'!$N$42:$N$43</definedName>
    <definedName name="OutSensitivity22_SensMF" hidden="1">'Sensitivity Analysis'!$N$46:$N$47</definedName>
    <definedName name="OutSensitivity3_HF" hidden="1">'Sensitivity Analysis'!$J$36:$P$36</definedName>
    <definedName name="OutSensitivity3_HT" hidden="1">'Sensitivity Analysis'!$B$19</definedName>
    <definedName name="OutSensitivity3_SensMF" hidden="1">'Sensitivity Analysis'!$N$7:$N$10</definedName>
    <definedName name="OutSensitivity3_SensSF" hidden="1">'Sensitivity Analysis'!$F$25</definedName>
    <definedName name="OutSensitivity3_SHT" hidden="1">'Sensitivity Analysis'!$J$6:$P$6</definedName>
    <definedName name="OutSensitivity4_HF" hidden="1">'Sensitivity Analysis'!$J$19:$P$19</definedName>
    <definedName name="OutSensitivity4_HT" hidden="1">'Sensitivity Analysis'!$B$4</definedName>
    <definedName name="OutSensitivity4_SensMF" hidden="1">'Sensitivity Analysis'!$N$12</definedName>
    <definedName name="OutSensitivity4_SensSF" hidden="1">'Sensitivity Analysis'!$F$27</definedName>
    <definedName name="OutSensitivity4_SHT" hidden="1">'Sensitivity Analysis'!$B$7:$B$17</definedName>
    <definedName name="OutSensitivity5_HF" hidden="1">'Sensitivity Analysis'!$J$4:$P$4</definedName>
    <definedName name="OutSensitivity5_HT" hidden="1">'Sensitivity Analysis'!$J$4</definedName>
    <definedName name="OutSensitivity5_SensMF" hidden="1">'Sensitivity Analysis'!$N$14</definedName>
    <definedName name="OutSensitivity5_SensSF" hidden="1">'Sensitivity Analysis'!$F$29</definedName>
    <definedName name="OutSensitivity5_SHT" hidden="1">'Sensitivity Analysis'!$J$7</definedName>
    <definedName name="OutSensitivity6_SensMF" hidden="1">'Sensitivity Analysis'!$F$22:$F$24</definedName>
    <definedName name="OutSensitivity6_SensSF" hidden="1">'Sensitivity Analysis'!$F$41</definedName>
    <definedName name="OutSensitivity6_SHT" hidden="1">'Sensitivity Analysis'!$B$21:$H$21</definedName>
    <definedName name="OutSensitivity7_SensMF" hidden="1">'Sensitivity Analysis'!$F$26</definedName>
    <definedName name="OutSensitivity7_SensSF" hidden="1">'Sensitivity Analysis'!$F$44</definedName>
    <definedName name="OutSensitivity7_SHT" hidden="1">'Sensitivity Analysis'!$B$22:$B$34</definedName>
    <definedName name="OutSensitivity8_SensMF" hidden="1">'Sensitivity Analysis'!$F$28</definedName>
    <definedName name="OutSensitivity8_SensSF" hidden="1">'Sensitivity Analysis'!$F$47</definedName>
    <definedName name="OutSensitivity8_SHT" hidden="1">'Sensitivity Analysis'!$J$22:$J$34</definedName>
    <definedName name="OutSensitivity9_SensMF" hidden="1">'Sensitivity Analysis'!$F$30:$F$32</definedName>
    <definedName name="OutSensitivity9_SensSF" hidden="1">'Sensitivity Analysis'!$F$49</definedName>
    <definedName name="OutSensitivity9_SHT" hidden="1">'Sensitivity Analysis'!$J$21:$P$21</definedName>
    <definedName name="OutSourcesAndUses_HF" hidden="1">'Sources &amp; Uses'!$B$24:$J$24,'Sources &amp; Uses'!$B$5:$J$5</definedName>
    <definedName name="OutSourcesAndUses_HT" hidden="1">'Sources &amp; Uses'!$B$24,'Sources &amp; Uses'!$B$5</definedName>
    <definedName name="OutSourcesAndUses_SHT" hidden="1">'Sources &amp; Uses'!$B$2,'Sources &amp; Uses'!$J$2,'Sources &amp; Uses'!$B$8:$E$8,'Sources &amp; Uses'!$G$8:$J$8,'Sources &amp; Uses'!$G$9,'Sources &amp; Uses'!$B$9,'Sources &amp; Uses'!$B$14,'Sources &amp; Uses'!$G$15,'Sources &amp; Uses'!$G$27:$J$27,'Sources &amp; Uses'!$B$27:$E$27,'Sources &amp; Uses'!$B$28,'Sources &amp; Uses'!$B$33,'Sources &amp; Uses'!$B$42,'Sources &amp; Uses'!$G$28,'Sources &amp; Uses'!$G$33,'Sources &amp; Uses'!$G$38,'Sources &amp; Uses'!$G$45</definedName>
    <definedName name="OutSourcesAndUses_SHT_P" hidden="1">'Sources &amp; Uses'!#REF!,'Sources &amp; Uses'!#REF!</definedName>
    <definedName name="OutSourcesAndUses_Title" hidden="1">'Sources &amp; Uses'!$F$2</definedName>
    <definedName name="OutSourcesAndUses0_HF" hidden="1">'Sources &amp; Uses'!$B$24:$J$24</definedName>
    <definedName name="OutSourcesAndUses0_HT" hidden="1">'Sources &amp; Uses'!$B$24</definedName>
    <definedName name="OutSourcesAndUses0_SHT" hidden="1">'Sources &amp; Uses'!$B$2</definedName>
    <definedName name="OutSourcesAndUses0_SHT_P" hidden="1">'Sources &amp; Uses'!#REF!</definedName>
    <definedName name="OutSourcesAndUses1_HF" hidden="1">'Sources &amp; Uses'!$B$5:$J$5</definedName>
    <definedName name="OutSourcesAndUses1_HT" hidden="1">'Sources &amp; Uses'!$B$5</definedName>
    <definedName name="OutSourcesAndUses1_SHT" hidden="1">'Sources &amp; Uses'!$J$2</definedName>
    <definedName name="OutSourcesAndUses1_SHT_P" hidden="1">'Sources &amp; Uses'!#REF!</definedName>
    <definedName name="OutSourcesAndUses10_SHT" hidden="1">'Sources &amp; Uses'!$B$28</definedName>
    <definedName name="OutSourcesAndUses11_SHT" hidden="1">'Sources &amp; Uses'!$B$33</definedName>
    <definedName name="OutSourcesAndUses12_SHT" hidden="1">'Sources &amp; Uses'!$B$42</definedName>
    <definedName name="OutSourcesAndUses13_SHT" hidden="1">'Sources &amp; Uses'!$G$28</definedName>
    <definedName name="OutSourcesAndUses14_SHT" hidden="1">'Sources &amp; Uses'!$G$33</definedName>
    <definedName name="OutSourcesAndUses15_SHT" hidden="1">'Sources &amp; Uses'!$G$38</definedName>
    <definedName name="OutSourcesAndUses16_SHT" hidden="1">'Sources &amp; Uses'!$G$45</definedName>
    <definedName name="OutSourcesAndUses2_SHT" hidden="1">'Sources &amp; Uses'!$B$8:$E$8</definedName>
    <definedName name="OutSourcesAndUses3_SHT" hidden="1">'Sources &amp; Uses'!$G$8:$J$8</definedName>
    <definedName name="OutSourcesAndUses4_SHT" hidden="1">'Sources &amp; Uses'!$G$9</definedName>
    <definedName name="OutSourcesAndUses5_SHT" hidden="1">'Sources &amp; Uses'!$B$9</definedName>
    <definedName name="OutSourcesAndUses6_SHT" hidden="1">'Sources &amp; Uses'!$B$14</definedName>
    <definedName name="OutSourcesAndUses7_SHT" hidden="1">'Sources &amp; Uses'!$G$15</definedName>
    <definedName name="OutSourcesAndUses8_SHT" hidden="1">'Sources &amp; Uses'!$G$27:$J$27</definedName>
    <definedName name="OutSourcesAndUses9_SHT" hidden="1">'Sources &amp; Uses'!$B$27:$E$27</definedName>
    <definedName name="OutstandingLiensAndChargesValue" hidden="1">Input!$W$36</definedName>
    <definedName name="OutSummary_CW_HF" hidden="1">'Summary '!#REF!,'Summary '!#REF!,'Summary '!#REF!,'Summary '!#REF!,'Summary '!#REF!,'Summary '!#REF!,'Summary '!#REF!</definedName>
    <definedName name="OutSummary_CW_HT" hidden="1">'Summary '!#REF!,'Summary '!#REF!,'Summary '!#REF!,'Summary '!#REF!,'Summary '!#REF!,'Summary '!#REF!,'Summary '!#REF!</definedName>
    <definedName name="OutSummary_CW_SHT" hidden="1">'Summary '!#REF!,'Summary '!#REF!,'Summary '!#REF!,'Summary '!#REF!,'Summary '!#REF!,'Summary '!#REF!,'Summary '!#REF!,'Summary '!#REF!,'Summary '!#REF!,'Summary '!#REF!,'Summary '!#REF!,'Summary '!#REF!,'Summary '!#REF!,'Summary '!#REF!</definedName>
    <definedName name="OutSummary_CW_Title" hidden="1">'Summary '!#REF!</definedName>
    <definedName name="OutSummary_CW0_HF" hidden="1">'Summary '!#REF!</definedName>
    <definedName name="OutSummary_CW0_HT" hidden="1">'Summary '!#REF!</definedName>
    <definedName name="OutSummary_CW0_SHT" hidden="1">'Summary '!#REF!</definedName>
    <definedName name="OutSummary_CW1_HF" hidden="1">'Summary '!#REF!</definedName>
    <definedName name="OutSummary_CW1_HT" hidden="1">'Summary '!#REF!</definedName>
    <definedName name="OutSummary_CW1_SHT" hidden="1">'Summary '!#REF!</definedName>
    <definedName name="OutSummary_CW10_SHT" hidden="1">'Summary '!#REF!</definedName>
    <definedName name="OutSummary_CW11_SHT" hidden="1">'Summary '!#REF!</definedName>
    <definedName name="OutSummary_CW12_SHT" hidden="1">'Summary '!#REF!</definedName>
    <definedName name="OutSummary_CW13_SHT" hidden="1">'Summary '!#REF!</definedName>
    <definedName name="OutSummary_CW2_HF" hidden="1">'Summary '!#REF!</definedName>
    <definedName name="OutSummary_CW2_HT" hidden="1">'Summary '!#REF!</definedName>
    <definedName name="OutSummary_CW2_SHT" hidden="1">'Summary '!#REF!</definedName>
    <definedName name="OutSummary_CW3_HF" hidden="1">'Summary '!#REF!</definedName>
    <definedName name="OutSummary_CW3_HT" hidden="1">'Summary '!#REF!</definedName>
    <definedName name="OutSummary_CW3_SHT" hidden="1">'Summary '!#REF!</definedName>
    <definedName name="OutSummary_CW4_HF" hidden="1">'Summary '!#REF!</definedName>
    <definedName name="OutSummary_CW4_HT" hidden="1">'Summary '!#REF!</definedName>
    <definedName name="OutSummary_CW4_SHT" hidden="1">'Summary '!#REF!</definedName>
    <definedName name="OutSummary_CW5_HF" hidden="1">'Summary '!#REF!</definedName>
    <definedName name="OutSummary_CW5_HT" hidden="1">'Summary '!#REF!</definedName>
    <definedName name="OutSummary_CW5_SHT" hidden="1">'Summary '!#REF!</definedName>
    <definedName name="OutSummary_CW6_HF" hidden="1">'Summary '!#REF!</definedName>
    <definedName name="OutSummary_CW6_HT" hidden="1">'Summary '!#REF!</definedName>
    <definedName name="OutSummary_CW6_SHT" hidden="1">'Summary '!#REF!</definedName>
    <definedName name="OutSummary_CW7_SHT" hidden="1">'Summary '!#REF!</definedName>
    <definedName name="OutSummary_CW8_SHT" hidden="1">'Summary '!#REF!</definedName>
    <definedName name="OutSummary_CW9_SHT" hidden="1">'Summary '!#REF!</definedName>
    <definedName name="OutSummary_HF" hidden="1">Summary!$B$69:$P$69,Summary!$B$56:$P$56,Summary!$B$41:$P$41,Summary!$B$29:$P$29,Summary!$B$18:$P$18,Summary!$B$5:$H$5,Summary!$K$5:$P$5</definedName>
    <definedName name="OutSummary_HT" hidden="1">Summary!$B$5,Summary!$K$5,Summary!$B$18,Summary!$B$29,Summary!$B$41,Summary!$B$56,Summary!$B$69</definedName>
    <definedName name="OutSummary_SHT" hidden="1">Summary!$B$57,Summary!$B$46,Summary!$B$42,Summary!$F$42,Summary!$H$42,Summary!$J$42,Summary!$L$42,Summary!$N$42,Summary!$P$42,Summary!$F$30,Summary!$F$31:$J$31,Summary!$M$31,Summary!$N$31,Summary!$O$31,Summary!$P$31,Summary!$O$30,Summary!$M$30,Summary!$G$19,Summary!$G$20,Summary!$G$20,Summary!$I$20,Summary!$J$20,Summary!$M$20:$P$20,Summary!$M$19,Summary!$O$19,Summary!$N$6,Summary!$O$6,Summary!$P$6,Summary!$P$2,Summary!$B$2</definedName>
    <definedName name="OutSummary_Title" hidden="1">Summary!$G$2</definedName>
    <definedName name="OutSummary0_HF" hidden="1">Summary!$B$69:$P$69</definedName>
    <definedName name="OutSummary0_HT" hidden="1">Summary!$B$5</definedName>
    <definedName name="OutSummary0_SHT" hidden="1">Summary!$B$57</definedName>
    <definedName name="OutSummary1_HF" hidden="1">Summary!$B$56:$P$56</definedName>
    <definedName name="OutSummary1_HT" hidden="1">Summary!$K$5</definedName>
    <definedName name="OutSummary1_SHT" hidden="1">Summary!$B$46</definedName>
    <definedName name="OutSummary10_SHT" hidden="1">Summary!$F$31:$J$31</definedName>
    <definedName name="OutSummary11_SHT" hidden="1">Summary!$M$31</definedName>
    <definedName name="OutSummary12_SHT" hidden="1">Summary!$N$31</definedName>
    <definedName name="OutSummary13_SHT" hidden="1">Summary!$O$31</definedName>
    <definedName name="OutSummary14_SHT" hidden="1">Summary!$P$31</definedName>
    <definedName name="OutSummary15_SHT" hidden="1">Summary!$O$30</definedName>
    <definedName name="OutSummary16_SHT" hidden="1">Summary!$M$30</definedName>
    <definedName name="OutSummary17_SHT" hidden="1">Summary!$G$19</definedName>
    <definedName name="OutSummary18_SHT" hidden="1">Summary!$G$20</definedName>
    <definedName name="OutSummary19_SHT" hidden="1">Summary!$G$20</definedName>
    <definedName name="OutSummary2_HF" hidden="1">Summary!$B$41:$P$41</definedName>
    <definedName name="OutSummary2_HT" hidden="1">Summary!$B$18</definedName>
    <definedName name="OutSummary2_SHT" hidden="1">Summary!$B$42</definedName>
    <definedName name="OutSummary20_SHT" hidden="1">Summary!$I$20</definedName>
    <definedName name="OutSummary21_SHT" hidden="1">Summary!$J$20</definedName>
    <definedName name="OutSummary22_SHT" hidden="1">Summary!$M$20:$P$20</definedName>
    <definedName name="OutSummary23_SHT" hidden="1">Summary!$M$19</definedName>
    <definedName name="OutSummary24_SHT" hidden="1">Summary!$O$19</definedName>
    <definedName name="OutSummary25_SHT" hidden="1">Summary!$N$6</definedName>
    <definedName name="OutSummary26_SHT" hidden="1">Summary!$O$6</definedName>
    <definedName name="OutSummary27_SHT" hidden="1">Summary!$P$6</definedName>
    <definedName name="OutSummary28_SHT" hidden="1">Summary!$P$2</definedName>
    <definedName name="OutSummary29_SHT" hidden="1">Summary!$B$2</definedName>
    <definedName name="OutSummary3_HF" hidden="1">Summary!$B$29:$P$29</definedName>
    <definedName name="OutSummary3_HT" hidden="1">Summary!$B$29</definedName>
    <definedName name="OutSummary3_SHT" hidden="1">Summary!$F$42</definedName>
    <definedName name="OutSummary4_HF" hidden="1">Summary!$B$18:$P$18</definedName>
    <definedName name="OutSummary4_HT" hidden="1">Summary!$B$41</definedName>
    <definedName name="OutSummary4_SHT" hidden="1">Summary!$H$42</definedName>
    <definedName name="OutSummary5_HF" hidden="1">Summary!$B$5:$H$5</definedName>
    <definedName name="OutSummary5_HT" hidden="1">Summary!$B$56</definedName>
    <definedName name="OutSummary5_SHT" hidden="1">Summary!$J$42</definedName>
    <definedName name="OutSummary6_HF" hidden="1">Summary!$K$5:$P$5</definedName>
    <definedName name="OutSummary6_HT" hidden="1">Summary!$B$69</definedName>
    <definedName name="OutSummary6_SHT" hidden="1">Summary!$L$42</definedName>
    <definedName name="OutSummary7_SHT" hidden="1">Summary!$N$42</definedName>
    <definedName name="OutSummary8_SHT" hidden="1">Summary!$P$42</definedName>
    <definedName name="OutSummary9_SHT" hidden="1">Summary!$F$30</definedName>
    <definedName name="PartnershipAssumptions" hidden="1">Input!#REF!</definedName>
    <definedName name="PartnershipEntity1" hidden="1">Input!#REF!</definedName>
    <definedName name="PartnershipEntity2" hidden="1">Input!#REF!</definedName>
    <definedName name="PartnershipIRR" hidden="1">'CF Calculations'!#REF!</definedName>
    <definedName name="PaymentType" hidden="1">GenValidation!$X$5:$X$6</definedName>
    <definedName name="PCAReportValue" hidden="1">Input!$W$31</definedName>
    <definedName name="PctOtherCCAcq" hidden="1">Input!$E$38</definedName>
    <definedName name="PctOtherCCDisp" hidden="1">Input!$K$38</definedName>
    <definedName name="PctTotalDetailCCAcq" hidden="1">Input!$V$39</definedName>
    <definedName name="PercentOverHist" hidden="1">GenValidation!$AC$9</definedName>
    <definedName name="PerMonth" hidden="1">GenValidation!$J$6</definedName>
    <definedName name="PersonnelAdjustment" hidden="1">'Adjustments &amp; Notes'!$F$42</definedName>
    <definedName name="PersonnelNotes" hidden="1">'Adjustments &amp; Notes'!$O$42</definedName>
    <definedName name="PFNOIMnthly" hidden="1">'CF Calculations'!$T$62:$EI$62</definedName>
    <definedName name="PlacementAgentFee" hidden="1">Input!#REF!</definedName>
    <definedName name="PointerToEnvironment" hidden="1">GenValidation!$BF$33</definedName>
    <definedName name="PointertoIRibbonUI" hidden="1">GenValidation!$BF$18</definedName>
    <definedName name="PostRenovationMarketRent" hidden="1">Input!$F$78:$F$79</definedName>
    <definedName name="PostRenovationYr" hidden="1">GenValidation!$BF$29</definedName>
    <definedName name="PotentialMarketRentAdjustment" hidden="1">'Adjustments &amp; Notes'!$F$12</definedName>
    <definedName name="PotentialMarketRentNotes" hidden="1">'Adjustments &amp; Notes'!$O$12</definedName>
    <definedName name="PPSensitivityTable" hidden="1">Input!$Q$248:$V$254</definedName>
    <definedName name="PPSensitivityTableDelete" hidden="1">Input!$R$249:$V$254</definedName>
    <definedName name="PricePerUnit" hidden="1">GenValidation!$V$6</definedName>
    <definedName name="PriceSensIncrementType" hidden="1">GenValidation!$A$72</definedName>
    <definedName name="PriceSensInputCell" hidden="1">Input!$E$228</definedName>
    <definedName name="PriceSensitivityDollarIncrement" hidden="1">Input!$E$233</definedName>
    <definedName name="PriceSensitivityPcntIncrement" hidden="1">Input!$E$234</definedName>
    <definedName name="PriceSensitivityRoundedToNearest" hidden="1">Input!$E$235</definedName>
    <definedName name="PricingInputLabel" hidden="1">Input!$B$33</definedName>
    <definedName name="_xlnm.Print_Area" localSheetId="16">'Adjustments &amp; Notes'!$B$4:$O$67</definedName>
    <definedName name="_xlnm.Print_Area" localSheetId="19">'CALCULATION TABS ==&gt;'!$B$2:$K$22</definedName>
    <definedName name="_xlnm.Print_Area" localSheetId="10">'Cash Flow'!$B$2:$O$64</definedName>
    <definedName name="_xlnm.Print_Area" localSheetId="21">'CF Calculations'!$B$2:$O$126</definedName>
    <definedName name="_xlnm.Print_Area" localSheetId="18">'Commercial CF'!$B$4:$O$22</definedName>
    <definedName name="_xlnm.Print_Area" localSheetId="7">'Historical CF'!$B$2:$W$107</definedName>
    <definedName name="_xlnm.Print_Area" localSheetId="8">'Historical CF '!$B$2:$O$107</definedName>
    <definedName name="_xlnm.Print_Area" localSheetId="14">Input!$B$4:$M$221</definedName>
    <definedName name="_xlnm.Print_Area" localSheetId="13">'INPUT TABS ==&gt; '!$B$2:$K$26</definedName>
    <definedName name="_xlnm.Print_Area" localSheetId="17">'Multiple Assumable Loans'!$B$4:$M$41</definedName>
    <definedName name="_xlnm.Print_Area" localSheetId="20">'Operating Calculations'!$B$2:$L$109</definedName>
    <definedName name="_xlnm.Print_Area" localSheetId="1">'OUTPUT TABS ==&gt;'!$B$2:$K$28</definedName>
    <definedName name="_xlnm.Print_Area" localSheetId="9">'Property CF'!$B$2:$J$98</definedName>
    <definedName name="_xlnm.Print_Area" localSheetId="6">Renovations!$B$2:$O$68</definedName>
    <definedName name="_xlnm.Print_Area" localSheetId="15">'Select Historicals'!$B$4:$M$63</definedName>
    <definedName name="_xlnm.Print_Area" localSheetId="11">'Sensitivity Analysis'!$B$2:$P$51</definedName>
    <definedName name="_xlnm.Print_Area" localSheetId="12">'Sources &amp; Uses'!$B$2:$J$53</definedName>
    <definedName name="_xlnm.Print_Area" localSheetId="5">Summary!$B$2:$P$78</definedName>
    <definedName name="_xlnm.Print_Titles" localSheetId="16">'Adjustments &amp; Notes'!$B:$C</definedName>
    <definedName name="_xlnm.Print_Titles" localSheetId="3">'Assumptions '!$2:$4</definedName>
    <definedName name="_xlnm.Print_Titles" localSheetId="10">'Cash Flow'!$2:$8</definedName>
    <definedName name="_xlnm.Print_Titles" localSheetId="21">'CF Calculations'!$2:$8</definedName>
    <definedName name="_xlnm.Print_Titles" localSheetId="7">'Historical CF'!$2:$4</definedName>
    <definedName name="_xlnm.Print_Titles" localSheetId="8">'Historical CF '!$2:$4</definedName>
    <definedName name="_xlnm.Print_Titles" localSheetId="14">Input!$4:$6</definedName>
    <definedName name="_xlnm.Print_Titles" localSheetId="20">'Operating Calculations'!$B:$B,'Operating Calculations'!$2:$5</definedName>
    <definedName name="_xlnm.Print_Titles" localSheetId="9">'Property CF'!$2:$5</definedName>
    <definedName name="_xlnm.Print_Titles" localSheetId="6">Renovations!$2:$4</definedName>
    <definedName name="_xlnm.Print_Titles" localSheetId="15">'Select Historicals'!$B:$C,'Select Historicals'!$4:$8</definedName>
    <definedName name="_xlnm.Print_Titles" localSheetId="2">'Summary '!$2:$4</definedName>
    <definedName name="_xlnm.Print_Titles" localSheetId="22">Waterfall!$2:$8</definedName>
    <definedName name="PrintFormat" hidden="1">GenValidation!$BF$6</definedName>
    <definedName name="ProFormaCashOnCash" hidden="1">'CF Calculations'!$E$123</definedName>
    <definedName name="ProformaCat" hidden="1">GenValidation!$P$5:$P$24</definedName>
    <definedName name="ProformaCategory" hidden="1">Input!$V$129</definedName>
    <definedName name="ProformaCommInc" hidden="1">'Property CF'!$B$24</definedName>
    <definedName name="ProformaCommTI" hidden="1">'Property CF'!$B$62</definedName>
    <definedName name="ProFormaNOILessTaxes" hidden="1">SUM('Operating Calculations'!$C$71:$C$79,'Operating Calculations'!$C$81:$C$82,'Operating Calculations'!$C$88:$C$101,'Operating Calculations'!$C$103:$C$107,'Operating Calculations'!$C$115:$C$128,'Operating Calculations'!$C$130:$C$134,'CF Calculations'!$E$60)</definedName>
    <definedName name="ProjectedReserves" hidden="1">Input!$G$171</definedName>
    <definedName name="Promote" hidden="1">Input!#REF!</definedName>
    <definedName name="PromoteStructureListCount" hidden="1">GenValidation!$A$111</definedName>
    <definedName name="PropCFRenovPremium" hidden="1">'Property CF'!$A$11</definedName>
    <definedName name="PropCFRentGrowthInclRenov" hidden="1">'Property CF'!$A$82</definedName>
    <definedName name="PropertyCFMetrics" hidden="1">'Property CF'!$A$72:$A$96</definedName>
    <definedName name="PropertyLeaseExpirationListCount" hidden="1">GenValidation!$A$120</definedName>
    <definedName name="PropertyManagementFeeAdjustment" hidden="1">'Adjustments &amp; Notes'!$F$54</definedName>
    <definedName name="PropertyManagementFeeNotes" hidden="1">'Adjustments &amp; Notes'!$O$54</definedName>
    <definedName name="PropertyNotes" hidden="1">Input!$B$17</definedName>
    <definedName name="PurchasePrice" hidden="1">Input!$F$32</definedName>
    <definedName name="PurchasePriceForwardRentMult" hidden="1">GenValidation!#REF!</definedName>
    <definedName name="PurchasePriceGoingInCapRate" hidden="1">GenValidation!#REF!</definedName>
    <definedName name="PurchasePriceInput" hidden="1">GenValidation!$V$5</definedName>
    <definedName name="PurchasePriceSensitivityInput" hidden="1">Input!$D$232</definedName>
    <definedName name="PurchasePriceTrailingRentMult" hidden="1">GenValidation!#REF!</definedName>
    <definedName name="PurchasePriceUnlock" hidden="1">Input!$G$32</definedName>
    <definedName name="RealEstateTaxEGR" hidden="1">Input!$F$143</definedName>
    <definedName name="RealEstateTaxes" hidden="1">Input!$AB$196</definedName>
    <definedName name="RealEstateTaxesAdjustment" hidden="1">'Adjustments &amp; Notes'!$F$52</definedName>
    <definedName name="RealEstateTaxesNotes" hidden="1">'Adjustments &amp; Notes'!$O$52</definedName>
    <definedName name="ReassAtClosing" hidden="1">Input!$E$160</definedName>
    <definedName name="ReassAtExit" hidden="1">Input!$G$160</definedName>
    <definedName name="RehabInputDetailType" hidden="1">GenValidation!$A$32</definedName>
    <definedName name="RehabUnitsEnterSelection" hidden="1">Input!$D$75</definedName>
    <definedName name="ReimbColumnHeader" hidden="1">Input!$T$127</definedName>
    <definedName name="ReimbInput" hidden="1">Input!$T$129:$T$148</definedName>
    <definedName name="ReimbMethod" hidden="1">GenValidation!$H$5:$H$6</definedName>
    <definedName name="ReimbMethodInput" hidden="1">Input!$G$154</definedName>
    <definedName name="ReimbMethodType" hidden="1">GenValidation!$A$37</definedName>
    <definedName name="ReimbUnitTypeHelper" hidden="1">Input!$D$120</definedName>
    <definedName name="ReimbursementsAdjustment" hidden="1">'Adjustments &amp; Notes'!$F$56</definedName>
    <definedName name="ReimbursementsNotes" hidden="1">'Adjustments &amp; Notes'!$O$56</definedName>
    <definedName name="RenovAnnualUnits" hidden="1">Input!$G$78:$P$79</definedName>
    <definedName name="RenovatedUnits" hidden="1">'Operating Calculations'!$B$34:$B$35</definedName>
    <definedName name="RenovationBumps" hidden="1">Input!$E$78:$E$79</definedName>
    <definedName name="RenovationCost" hidden="1">Input!$D$78:$D$79</definedName>
    <definedName name="RenovationDowntimeCalculations" hidden="1">'Operating Calculations'!$B$72</definedName>
    <definedName name="RenovationIRR" hidden="1">'CF Calculations'!$C$438</definedName>
    <definedName name="RenovationPopulated" hidden="1">GenValidation!$BF$9</definedName>
    <definedName name="RenovationPotentialRent" hidden="1">'Operating Calculations'!$B$69:$B$70</definedName>
    <definedName name="RenovationRentCalculations" hidden="1">'Operating Calculations'!$B$52:$B$60</definedName>
    <definedName name="RenovationROI" hidden="1">'CF Calculations'!$C$442</definedName>
    <definedName name="RenovationVacancyOutput" hidden="1">Input!$B$97:$B$101</definedName>
    <definedName name="RenovCostPlaceHolder" hidden="1">Input!$C$78:$C$79</definedName>
    <definedName name="RenovCostSensitivityInput" hidden="1">Input!$E$247</definedName>
    <definedName name="RenovCostSensitivityTable" hidden="1">Input!$H$247:$M$252</definedName>
    <definedName name="RenovCostSensitivityTableDelete" hidden="1">Input!$I$248:$M$252</definedName>
    <definedName name="RenovCostsGrownOrNotType" hidden="1">GenValidation!$A$33</definedName>
    <definedName name="RenovCostsInfl" hidden="1">Input!$D$83</definedName>
    <definedName name="RenovDwntmDays" hidden="1">Input!$J$83</definedName>
    <definedName name="RenovMetricsLabels" hidden="1">GenValidation!$BA$5:$BB$14</definedName>
    <definedName name="RenovPremiumSensitivityInput" hidden="1">Input!$E$243</definedName>
    <definedName name="RenovPremiumSensitivityTable" hidden="1">Input!$H$236:$M$241</definedName>
    <definedName name="RenovPremiumSensitivityTableDelete" hidden="1">Input!$I$237:$M$241</definedName>
    <definedName name="RenovSchedule" hidden="1">Input!$B$74:$B$87</definedName>
    <definedName name="RentLossFactorsInputCutOff" hidden="1">GenValidation!$A$104</definedName>
    <definedName name="RentRollDateStamp" hidden="1">GenValidation!$A$26</definedName>
    <definedName name="RentRollDownloaded" hidden="1">GenValidation!$BF$23</definedName>
    <definedName name="RentRollLTLRate" hidden="1">GenValidation!$AH$126</definedName>
    <definedName name="RentRollNonRevenueRate" hidden="1">GenValidation!$AG$126</definedName>
    <definedName name="RentRollSummary" comment="used in vba =OFFSET(GenValidation!$G$120,,,SUMPRODUCT(--(FloorPlansFromRR&lt;&gt;&quot;&quot;)),11)" hidden="1">GenValidation!$G$124:$T$125</definedName>
    <definedName name="RentRollSummaryOld" hidden="1">GenValidation!$G$130:$T$131</definedName>
    <definedName name="RentRollVacancyRate" hidden="1">GenValidation!$AF$126</definedName>
    <definedName name="RepairMaintenanceAdjustment" hidden="1">'Adjustments &amp; Notes'!$F$38</definedName>
    <definedName name="RepairMaintenanceNotes" hidden="1">'Adjustments &amp; Notes'!$O$38</definedName>
    <definedName name="ReplacementReservesInputCutOff" hidden="1">GenValidation!$A$105</definedName>
    <definedName name="ReplacementReservesNotes" hidden="1">'Adjustments &amp; Notes'!$O$64</definedName>
    <definedName name="ResCalcCommInc" hidden="1">'Operating Calculations'!$B$82</definedName>
    <definedName name="ReserveInflationMethod" hidden="1">Input!$E$171</definedName>
    <definedName name="ReservesGrownOrNotType" hidden="1">GenValidation!$A$42</definedName>
    <definedName name="RestoreHistoricals" hidden="1">GenValidation!$BF$25</definedName>
    <definedName name="RestoreIncomeBuildLeaseExp" hidden="1">GenValidation!$CE$136</definedName>
    <definedName name="RETaxes" comment="???????" hidden="1">GenValidation!$L$15</definedName>
    <definedName name="RETInfRate" hidden="1">Input!$G$152:$P$152</definedName>
    <definedName name="RETReimb" hidden="1">Input!$T$143</definedName>
    <definedName name="RevenueAssumpSection" hidden="1">Input!$A$48:$A$122</definedName>
    <definedName name="RevenueInpMethodType" hidden="1">GenValidation!$A$24</definedName>
    <definedName name="RevenueInpMethodTypeOld" hidden="1">GenValidation!$H$132</definedName>
    <definedName name="RevenueInpMethodTypeOverride" hidden="1">GenValidation!$BF$22</definedName>
    <definedName name="RevenuesAreUngrouped" hidden="1">Sheet2!$A$3</definedName>
    <definedName name="RevenuesAreUngroupedFlag" hidden="1">Sheet2!$A$4</definedName>
    <definedName name="ReversionNOI" hidden="1">'CF Calculations'!$Q$62</definedName>
    <definedName name="ReversionNOILessTaxes" hidden="1">SUM('Operating Calculations'!$O$71:$O$79,'Operating Calculations'!$O$81:$O$82,'Operating Calculations'!$O$88:$O$101,'Operating Calculations'!$O$103:$O$107,'Operating Calculations'!$O$115:$O$128,'Operating Calculations'!$O$130:$O$134,'CF Calculations'!$Q$60)</definedName>
    <definedName name="ReversionReserveInflMethod" hidden="1">Input!$E$172</definedName>
    <definedName name="ReversionReserveInput" hidden="1">Input!$D$172</definedName>
    <definedName name="ReversionTaxExpInput" hidden="1">Input!$S$143</definedName>
    <definedName name="ReversionYear" hidden="1">Input!$S$128</definedName>
    <definedName name="ReversionYrInput" hidden="1">Input!$S$129:$S$148</definedName>
    <definedName name="RevInpSelection" hidden="1">Input!$B$50</definedName>
    <definedName name="RevReservesGrownOrNotType" hidden="1">GenValidation!$A$43</definedName>
    <definedName name="RMExpCat" hidden="1">GenValidation!$M1048267</definedName>
    <definedName name="RMExpLinesExCustom" hidden="1">GenValidation!$M$5:$M$21</definedName>
    <definedName name="RMHistExp" hidden="1">GenValidation!$Q$5:$Q$23</definedName>
    <definedName name="RMHistExpAlloc" hidden="1">GenValidation!$R$5:$R$23</definedName>
    <definedName name="RMHistExpenseCategory" hidden="1">GenValidation!$O$5:$O$24</definedName>
    <definedName name="RMMainCat" hidden="1">GenValidation!$L$5:$L$17</definedName>
    <definedName name="RRDateForExpirationTable" hidden="1">GenValidation!$BW$135</definedName>
    <definedName name="RRDateOld" hidden="1">GenValidation!$K$132</definedName>
    <definedName name="RunSensitivity" hidden="1">GenValidation!$BF$30</definedName>
    <definedName name="rxbtnDetailedAssumptionsInputs" hidden="1">TRUE</definedName>
    <definedName name="rxbtnEnableCalcPurchasePrice" hidden="1">FALSE</definedName>
    <definedName name="rxbtnEnablePopulateFromRR" hidden="1">GenValidation!$BF$21</definedName>
    <definedName name="rxbtnShowModel" hidden="1">TRUE</definedName>
    <definedName name="SalesCommission" hidden="1">Input!$K$37</definedName>
    <definedName name="SalesPrice" hidden="1">Input!$L$32</definedName>
    <definedName name="SalesPriceForwardCapRate" hidden="1">GenValidation!$A$142</definedName>
    <definedName name="SalesPriceForwardRentMult" hidden="1">GenValidation!$A$143</definedName>
    <definedName name="SalesPriceTrailingCapRate" hidden="1">GenValidation!$A$140</definedName>
    <definedName name="SalesPriceTrailingRentMult" hidden="1">GenValidation!$A$141</definedName>
    <definedName name="SameRRFloorPlans" hidden="1">GenValidation!$V$126:$AD$126</definedName>
    <definedName name="SameRRFloorPlansOld" hidden="1">GenValidation!$V$132:$AD$132</definedName>
    <definedName name="SecurityAdjustment" hidden="1">'Adjustments &amp; Notes'!$F$40</definedName>
    <definedName name="SecurityNotes" hidden="1">'Adjustments &amp; Notes'!$O$40</definedName>
    <definedName name="SelectionIsNo" hidden="1">GenValidation!$T$6</definedName>
    <definedName name="SelectionIsYes" hidden="1">GenValidation!$T$5</definedName>
    <definedName name="SelectRenovatedFloorPlan" hidden="1">INDEX(FloorPlanDesignation,ROW()-ROW(Yr1RehabUnits)+1,)</definedName>
    <definedName name="SensitivityTableAssump" comment="used in VBA" hidden="1">Input!$E$233:$E$234,Input!$E$227:$E$229</definedName>
    <definedName name="ShowBridgeRefiControl" hidden="1">GenValidation!$AL$47</definedName>
    <definedName name="ShowDownloadPopup" hidden="1">GenValidation!$BF$31</definedName>
    <definedName name="ShowLogoPopup" hidden="1">GenValidation!$BF$24</definedName>
    <definedName name="ShowModelBackUp" hidden="1">GenValidation!$AL$48</definedName>
    <definedName name="ShowSensitivityPopup" hidden="1">GenValidation!$BF$19</definedName>
    <definedName name="SpillCheckCell" hidden="1">GenValidation!$DH$2</definedName>
    <definedName name="SpillCheckFormula" hidden="1">GenValidation!$DG$2</definedName>
    <definedName name="Sponsor" hidden="1">Input!#REF!</definedName>
    <definedName name="SponsorEquityMult" hidden="1">GenValidation!#REF!</definedName>
    <definedName name="SponsorFundingReq" hidden="1">GenValidation!#REF!</definedName>
    <definedName name="SponsorIRR" hidden="1">'CF Calculations'!#REF!</definedName>
    <definedName name="StartingMarketRents" hidden="1">Input!$P$53:$P$54</definedName>
    <definedName name="State" hidden="1">GenValidation!$A$14</definedName>
    <definedName name="StorageAdjustment" hidden="1">'Adjustments &amp; Notes'!$F$23</definedName>
    <definedName name="StorageNotes" hidden="1">'Adjustments &amp; Notes'!$O$23</definedName>
    <definedName name="StructuralVacancy" hidden="1">Input!$G$90</definedName>
    <definedName name="SummarySensTable" hidden="1">Summary!$A$54:$A$66</definedName>
    <definedName name="T12HitoricalExpenses" hidden="1">'Adjustments &amp; Notes'!$D$38:$D$55</definedName>
    <definedName name="TargetIRR" hidden="1">GenValidation!$V$9</definedName>
    <definedName name="TargetMarketRentPerSF" hidden="1">Input!$E$227</definedName>
    <definedName name="TaxReassessAssump" hidden="1">Input!$D$160:$E$161,Input!$E$165,Input!$G$160,Input!$E$162,Input!$E$164</definedName>
    <definedName name="TitleInsuranceValue" hidden="1">Input!$AC$31</definedName>
    <definedName name="ToIrr" hidden="1">Input!#REF!</definedName>
    <definedName name="TotalCostForBridgeLTC" hidden="1">GenValidation!$AR$43</definedName>
    <definedName name="TotalDealUnits" hidden="1">GenValidation!$A$2</definedName>
    <definedName name="TotalExpiration" hidden="1">GenValidation!$BU$8</definedName>
    <definedName name="TotalExpirationOld" hidden="1">GenValidation!$BU$16</definedName>
    <definedName name="TotalOperatingExpensesNotes" hidden="1">'Adjustments &amp; Notes'!$O$58</definedName>
    <definedName name="TotalOtherCCAcq" hidden="1">Input!$F$38</definedName>
    <definedName name="TotalOtherCCDisp" hidden="1">Input!$L$38</definedName>
    <definedName name="TotalRentRollUnits" hidden="1">GenValidation!$M$126</definedName>
    <definedName name="TotalUnits" hidden="1">Input!$H$56</definedName>
    <definedName name="TotalUnitsOld" hidden="1">GenValidation!$M$132</definedName>
    <definedName name="TransferTaxAtSale" hidden="1">Input!$K$36</definedName>
    <definedName name="TransferTaxValue" hidden="1">Input!$E$36</definedName>
    <definedName name="TravelDueDiligenceExpenses" hidden="1">Input!#REF!</definedName>
    <definedName name="TrendRepoCol" hidden="1">GenValidation!$BC$5:$BC$9</definedName>
    <definedName name="TrendReportColumnDropdowns" comment="used on Hist tab =OFFSET(INDEX(TrendRepoCol,1),ROWS(TrendRepoCol)-SUMPRODUCT(--(TrendRepoCol&lt;&gt;&quot;&quot;)),,SUMPRODUCT(--(TrendRepoCol&lt;&gt;&quot;&quot;))+IF(COUNTIF(AnnualHistoricalDates,&quot;&lt;&gt;&quot;&amp;&quot;&quot;)=0,1,))" hidden="1">TRUE</definedName>
    <definedName name="TurnoverMakeReadyAdjustment" hidden="1">'Adjustments &amp; Notes'!$F$46</definedName>
    <definedName name="TurnoverMakeReadyNotes" hidden="1">'Adjustments &amp; Notes'!$O$46</definedName>
    <definedName name="UniformDist" hidden="1">GenValidation!$AD$5</definedName>
    <definedName name="UniqueDealId" hidden="1">GenValidation!$A$3</definedName>
    <definedName name="UnitRenovationCalculations" hidden="1">'Operating Calculations'!$B$17:$B$40</definedName>
    <definedName name="UnitsBeingRenovated" hidden="1">'Operating Calculations'!$B$25:$B$26</definedName>
    <definedName name="UnitsfromRR" hidden="1">GenValidation!$M$124:$M$125</definedName>
    <definedName name="UnitSizefromRR" hidden="1">GenValidation!$K$124:$K$125</definedName>
    <definedName name="UnitsUnderManagement" hidden="1">'Operating Calculations'!$B$10:$B$11</definedName>
    <definedName name="UnlevEqMultSensitivityTable" hidden="1">Input!$Q$237:$V$241</definedName>
    <definedName name="UnlevEqMultSensitivityTableDelete" hidden="1">Input!$R$238:$V$241</definedName>
    <definedName name="UnleveredEquityMult" hidden="1">GenValidation!$A$125</definedName>
    <definedName name="UnleveredFundingReq" hidden="1">GenValidation!$A$124</definedName>
    <definedName name="UnLeveredIRR" hidden="1">'CF Calculations'!$C$86</definedName>
    <definedName name="UnlevIRRSensitivityTable" hidden="1">Input!$Q$226:$V$230</definedName>
    <definedName name="UnlevIRRSensitivityTableDelete" hidden="1">Input!$R$227:$V$230</definedName>
    <definedName name="UnrenovatedUnits" hidden="1">'Operating Calculations'!$B$19:$B$20</definedName>
    <definedName name="UnselectTabs" hidden="1">GenValidation!$BF$28</definedName>
    <definedName name="UnusedReservesReleasedAt" hidden="1">Input!$AE$198</definedName>
    <definedName name="UpdateHistoricals" hidden="1">GenValidation!$BF$26</definedName>
    <definedName name="UpfrontFunding" hidden="1">Input!$G$41</definedName>
    <definedName name="UserDefined" hidden="1">GenValidation!$K$7</definedName>
    <definedName name="Username" hidden="1">GenValidation!$BF$32</definedName>
    <definedName name="VacancyAdjustment" hidden="1">'Adjustments &amp; Notes'!$F$16</definedName>
    <definedName name="VacancyNotes" hidden="1">'Adjustments &amp; Notes'!$O$16</definedName>
    <definedName name="VacancyRateOldRR" hidden="1">GenValidation!$AF$132</definedName>
    <definedName name="VacancyRateOldRRforUpload" hidden="1">Input!$F$90</definedName>
    <definedName name="VacantfromRR" hidden="1">GenValidation!$O$124:$O$125</definedName>
    <definedName name="ValuationMethodAssump" hidden="1">Input!$F$31,Input!$F$33,Input!$E$38:$G$38,Input!$W$31:$X$33,Input!$W$35:$X$37,Input!$AC$31,Input!$AD$32:$AE$33,Input!$AC$35,Input!$AD$34,Input!$AD$37</definedName>
    <definedName name="ValuationMethodSelection" hidden="1">Input!$F$31</definedName>
    <definedName name="VariablePmt" hidden="1">GenValidation!$X$6</definedName>
    <definedName name="WaterSewerAdjustment" hidden="1">'Adjustments &amp; Notes'!$F$49</definedName>
    <definedName name="WaterSewerNotes" hidden="1">'Adjustments &amp; Notes'!$O$49</definedName>
    <definedName name="Year1Expense" hidden="1">Input!$G$129:$G$148</definedName>
    <definedName name="Year1NOI" hidden="1">'CF Calculations'!$E$62</definedName>
    <definedName name="YearBuilt" hidden="1">GenValidation!$A$7</definedName>
    <definedName name="YearEndingDate" hidden="1">'Select Historicals'!$AB$10</definedName>
    <definedName name="YearEndingDateFromHistoricals" hidden="1">GenValidation!$CW$49</definedName>
    <definedName name="YearEndingDateOld" hidden="1">GenValidation!$CW$4</definedName>
    <definedName name="YearlyAdministrativeExpenses" hidden="1">'Select Historicals'!$AB$41</definedName>
    <definedName name="YearlyAdministrativeExpensesFromHistoricals" hidden="1">GenValidation!$CW$80</definedName>
    <definedName name="YearlyAdministrativeExpensesOld" hidden="1">GenValidation!$CW$35</definedName>
    <definedName name="YearlyCapitalExpensesListCount" hidden="1">GenValidation!$A$108</definedName>
    <definedName name="YearlyCapitalExpensesName" hidden="1">Input!$B$180</definedName>
    <definedName name="YearlyCapitalExpensesPercent" hidden="1">Input!$F$180</definedName>
    <definedName name="YearlyCollectionLoss" hidden="1">'Select Historicals'!$AB$19</definedName>
    <definedName name="YearlyCollectionLossFromHistoricals" hidden="1">GenValidation!$CW$58</definedName>
    <definedName name="YearlyCollectionLossOld" hidden="1">GenValidation!$CW$13</definedName>
    <definedName name="YearlyCommercialNetIncome" hidden="1">'Select Historicals'!$AB$26</definedName>
    <definedName name="YearlyCommercialNetIncomeFromHistoricals" hidden="1">GenValidation!$CW$65</definedName>
    <definedName name="YearlyCommercialNetIncomeOld" hidden="1">GenValidation!$CW$20</definedName>
    <definedName name="YearlyConcessions" hidden="1">'Select Historicals'!$AB$17</definedName>
    <definedName name="YearlyConcessionsFromHistoricals" hidden="1">GenValidation!$CW$56</definedName>
    <definedName name="YearlyConcessionsOld" hidden="1">GenValidation!$CW$11</definedName>
    <definedName name="YearlyContractServices" hidden="1">'Select Historicals'!$AB$35</definedName>
    <definedName name="YearlyContractServicesFromHistoricals" hidden="1">GenValidation!$CW$74</definedName>
    <definedName name="YearlyContractServicesOld" hidden="1">GenValidation!$CW$29</definedName>
    <definedName name="YearlyElectricity" hidden="1">'Select Historicals'!$AB$43</definedName>
    <definedName name="YearlyElectricityFromHistoricals" hidden="1">GenValidation!$CW$82</definedName>
    <definedName name="YearlyElectricityOld" hidden="1">GenValidation!$CW$37</definedName>
    <definedName name="YearlyExpenseReimbursements" hidden="1">'Select Historicals'!$AB$24</definedName>
    <definedName name="YearlyExpenseReimbursementsFromHistoricals" hidden="1">GenValidation!$CW$63</definedName>
    <definedName name="YearlyExpenseReimbursementsOld" hidden="1">GenValidation!$CW$18</definedName>
    <definedName name="YearlyFuelGasOil" hidden="1">'Select Historicals'!$AB$44</definedName>
    <definedName name="YearlyFuelGasOilFromHistoricals" hidden="1">GenValidation!$CW$83</definedName>
    <definedName name="YearlyFuelGasOilOld" hidden="1">GenValidation!$CW$38</definedName>
    <definedName name="YearlyGarageParking" hidden="1">'Select Historicals'!$AB$22</definedName>
    <definedName name="YearlyGarageParkingFromHistoricals" hidden="1">GenValidation!$CW$61</definedName>
    <definedName name="YearlyGarageParkingOld" hidden="1">GenValidation!$CW$16</definedName>
    <definedName name="YearlyHistoricalInputCutOff" hidden="1">GenValidation!$A$122</definedName>
    <definedName name="YearlyInsurance" hidden="1">'Select Historicals'!$AB$47</definedName>
    <definedName name="YearlyInsuranceFromHistoricals" hidden="1">GenValidation!$CW$86</definedName>
    <definedName name="YearlyInsuranceOld" hidden="1">GenValidation!$CW$41</definedName>
    <definedName name="YearlyLandscapingGrounds" hidden="1">'Select Historicals'!$AB$37</definedName>
    <definedName name="YearlyLandscapingGroundsFromHistoricals" hidden="1">GenValidation!$CW$76</definedName>
    <definedName name="YearlyLandscapingGroundsOld" hidden="1">GenValidation!$CW$31</definedName>
    <definedName name="YearlyLeasingCommissions" hidden="1">'Select Historicals'!$AB$40</definedName>
    <definedName name="YearlyLeasingCommissionsFromHistoricals" hidden="1">GenValidation!$CW$79</definedName>
    <definedName name="YearlyLeasingCommissionsOld" hidden="1">GenValidation!$CW$34</definedName>
    <definedName name="YearlyLosstoLeaseGaintoLease" hidden="1">'Select Historicals'!$AB$13</definedName>
    <definedName name="YearlyLosstoLeaseGaintoLeaseFromHistoricals" hidden="1">GenValidation!$CW$52</definedName>
    <definedName name="YearlyLosstoLeaseGaintoLeaseOld" hidden="1">GenValidation!$CW$7</definedName>
    <definedName name="YearlyMarketingAdvertising" hidden="1">'Select Historicals'!$AB$39</definedName>
    <definedName name="YearlyMarketingAdvertisingFromHistoricals" hidden="1">GenValidation!$CW$78</definedName>
    <definedName name="YearlyMarketingAdvertisingOld" hidden="1">GenValidation!$CW$33</definedName>
    <definedName name="YearlyMarketRentGrowthAssumnptionsInputCutOff" hidden="1">GenValidation!$A$106</definedName>
    <definedName name="YearlyNonRevenueUnits" hidden="1">'Select Historicals'!$AB$18</definedName>
    <definedName name="YearlyNonRevenueUnitsFromHistoricals" hidden="1">GenValidation!$CW$57</definedName>
    <definedName name="YearlyNonRevenueUnitsOld" hidden="1">GenValidation!$CW$12</definedName>
    <definedName name="YearlyOtherOperatingExpenses" hidden="1">'Select Historicals'!$AB$51</definedName>
    <definedName name="YearlyOtherOperatingExpensesFromHistoricals" hidden="1">GenValidation!$CW$90</definedName>
    <definedName name="YearlyOtherOperatingExpensesOld" hidden="1">GenValidation!$CW$45</definedName>
    <definedName name="YearlyOtherPropertyTaxes" hidden="1">'Select Historicals'!$AB$49</definedName>
    <definedName name="YearlyOtherPropertyTaxesFromHistoricals" hidden="1">GenValidation!$CW$88</definedName>
    <definedName name="YearlyOtherPropertyTaxesOld" hidden="1">GenValidation!$CW$43</definedName>
    <definedName name="YearlyOtherResidentialIncome" hidden="1">'Select Historicals'!$AB$25</definedName>
    <definedName name="YearlyOtherResidentialIncomeFromHistoricals" hidden="1">GenValidation!$CW$64</definedName>
    <definedName name="YearlyOtherResidentialIncomeOld" hidden="1">GenValidation!$CW$19</definedName>
    <definedName name="YearlyOtherUtilities" hidden="1">'Select Historicals'!$AB$46</definedName>
    <definedName name="YearlyOtherUtilitiesFromHistoricals" hidden="1">GenValidation!$CW$85</definedName>
    <definedName name="YearlyOtherUtilitiesOld" hidden="1">GenValidation!$CW$40</definedName>
    <definedName name="YearlyPersonnel" hidden="1">'Select Historicals'!$AB$38</definedName>
    <definedName name="YearlyPersonnelFromHistoricals" hidden="1">GenValidation!$CW$77</definedName>
    <definedName name="YearlyPersonnelOld" hidden="1">GenValidation!$CW$32</definedName>
    <definedName name="YearlyPotentialMarketRent" hidden="1">'Select Historicals'!$AB$12</definedName>
    <definedName name="YearlyPotentialMarketRentFromHistoricals" hidden="1">GenValidation!$CW$51</definedName>
    <definedName name="YearlyPotentialMarketRentOld" hidden="1">GenValidation!$CW$6</definedName>
    <definedName name="YearlyPropertyManagementFee" hidden="1">'Select Historicals'!$AB$50</definedName>
    <definedName name="YearlyPropertyManagementFeeFromHistoricals" hidden="1">GenValidation!$CW$89</definedName>
    <definedName name="YearlyPropertyManagementFeeOld" hidden="1">GenValidation!$CW$44</definedName>
    <definedName name="YearlyPropertyWideCapitalExpensesInputCutOff" hidden="1">GenValidation!$A$107</definedName>
    <definedName name="YearlyRealEstateTaxes" hidden="1">'Select Historicals'!$AB$48</definedName>
    <definedName name="YearlyRealEstateTaxesFromHistoricals" hidden="1">GenValidation!$CW$87</definedName>
    <definedName name="YearlyRealEstateTaxesOld" hidden="1">GenValidation!$CW$42</definedName>
    <definedName name="YearlyReimbursements" hidden="1">'Select Historicals'!$AB$52</definedName>
    <definedName name="YearlyReimbursementsFromHistoricals" hidden="1">GenValidation!$CW$91</definedName>
    <definedName name="YearlyReimbursementsOld" hidden="1">GenValidation!$CW$46</definedName>
    <definedName name="YearlyRenovationInputCutOff" hidden="1">GenValidation!$A$109</definedName>
    <definedName name="YearlyRenovationsListCount" hidden="1">GenValidation!$A$110</definedName>
    <definedName name="YearlyRepairMaintenance" hidden="1">'Select Historicals'!$AB$34</definedName>
    <definedName name="YearlyRepairMaintenanceFromHistoricals" hidden="1">GenValidation!$CW$73</definedName>
    <definedName name="YearlyRepairMaintenanceOld" hidden="1">GenValidation!$CW$28</definedName>
    <definedName name="YearlySecurity" hidden="1">'Select Historicals'!$AB$36</definedName>
    <definedName name="YearlySecurityFromHistoricals" hidden="1">GenValidation!$CW$75</definedName>
    <definedName name="YearlySecurityOld" hidden="1">GenValidation!$CW$30</definedName>
    <definedName name="YearlyStorage" hidden="1">'Select Historicals'!$AB$23</definedName>
    <definedName name="YearlyStorageFromHistoricals" hidden="1">GenValidation!$CW$62</definedName>
    <definedName name="YearlyStorageOld" hidden="1">GenValidation!$CW$17</definedName>
    <definedName name="YearlyTurnoverMakeReady" hidden="1">'Select Historicals'!$AB$42</definedName>
    <definedName name="YearlyTurnoverMakeReadyFromHistoricals" hidden="1">GenValidation!$CW$81</definedName>
    <definedName name="YearlyTurnoverMakeReadyOld" hidden="1">GenValidation!$CW$36</definedName>
    <definedName name="YearlyVacancy" hidden="1">'Select Historicals'!$AB$16</definedName>
    <definedName name="YearlyVacancyFromHistoricals" hidden="1">GenValidation!$CW$55</definedName>
    <definedName name="YearlyVacancyOld" hidden="1">GenValidation!$CW$10</definedName>
    <definedName name="YearlyWaterSewer" hidden="1">'Select Historicals'!$AB$45</definedName>
    <definedName name="YearlyWaterSewerFromHistoricals" hidden="1">GenValidation!$CW$84</definedName>
    <definedName name="YearlyWaterSewerOld" hidden="1">GenValidation!$CW$39</definedName>
    <definedName name="YearRenovated" hidden="1">GenValidation!$A$8</definedName>
    <definedName name="YesOrNo" hidden="1">GenValidation!$T$5:$T$6</definedName>
    <definedName name="Yr1AnnualCapEx" hidden="1">Input!$G$180</definedName>
    <definedName name="Yr1EGR" hidden="1">'Operating Calculations'!$C$83</definedName>
    <definedName name="Yr1MktGrwth" hidden="1">Input!$G$69</definedName>
    <definedName name="Yr1RehabUnits" hidden="1">Input!$G$78</definedName>
    <definedName name="Yr1TaxExpInput" hidden="1">Input!$G$143</definedName>
    <definedName name="Yr1to3AnnualCapExInput" hidden="1">Input!$G$180:$I$186</definedName>
    <definedName name="Yr1to3AnnualMarketGrwth" hidden="1">Input!$G$69:$I$69</definedName>
    <definedName name="Yr1to3AnnualOtherGrwth" hidden="1">Input!$G$70:$I$70</definedName>
    <definedName name="Yr1to3AnnualRehabInput" hidden="1">Input!$G$78:$I$79</definedName>
    <definedName name="YrOfExit" hidden="1">Input!$M$11</definedName>
    <definedName name="YrReassBegins" hidden="1">Input!$E$165</definedName>
    <definedName name="YrReassBeginsValue" hidden="1">GenValidation!$A$40</definedName>
    <definedName name="Zip" hidden="1">GenValidation!$A$15</definedName>
  </definedNames>
  <calcPr calcId="191029" calcMode="autoNoTable" iterate="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V178" i="28" l="1"/>
  <c r="V176" i="28"/>
  <c r="V173" i="28"/>
  <c r="U178" i="28"/>
  <c r="U176" i="28"/>
  <c r="U173" i="28"/>
  <c r="T178" i="28"/>
  <c r="T176" i="28"/>
  <c r="T173" i="28"/>
  <c r="S178" i="28"/>
  <c r="S176" i="28"/>
  <c r="S173" i="28"/>
  <c r="R178" i="28"/>
  <c r="R176" i="28"/>
  <c r="R173" i="28"/>
  <c r="O172" i="28"/>
  <c r="R172" i="28" s="1"/>
  <c r="N172" i="28"/>
  <c r="M172" i="28"/>
  <c r="L172" i="28"/>
  <c r="K172" i="28"/>
  <c r="J172" i="28"/>
  <c r="I172" i="28"/>
  <c r="H172" i="28"/>
  <c r="G172" i="28"/>
  <c r="F172" i="28"/>
  <c r="E172" i="28"/>
  <c r="D172" i="28"/>
  <c r="O171" i="28"/>
  <c r="R171" i="28" s="1"/>
  <c r="N171" i="28"/>
  <c r="M171" i="28"/>
  <c r="L171" i="28"/>
  <c r="K171" i="28"/>
  <c r="J171" i="28"/>
  <c r="I171" i="28"/>
  <c r="H171" i="28"/>
  <c r="G171" i="28"/>
  <c r="F171" i="28"/>
  <c r="E171" i="28"/>
  <c r="D171" i="28"/>
  <c r="O170" i="28"/>
  <c r="R170" i="28" s="1"/>
  <c r="N170" i="28"/>
  <c r="M170" i="28"/>
  <c r="L170" i="28"/>
  <c r="K170" i="28"/>
  <c r="J170" i="28"/>
  <c r="I170" i="28"/>
  <c r="H170" i="28"/>
  <c r="G170" i="28"/>
  <c r="F170" i="28"/>
  <c r="E170" i="28"/>
  <c r="D170" i="28"/>
  <c r="O169" i="28"/>
  <c r="R169" i="28" s="1"/>
  <c r="N169" i="28"/>
  <c r="M169" i="28"/>
  <c r="L169" i="28"/>
  <c r="K169" i="28"/>
  <c r="J169" i="28"/>
  <c r="I169" i="28"/>
  <c r="H169" i="28"/>
  <c r="G169" i="28"/>
  <c r="F169" i="28"/>
  <c r="E169" i="28"/>
  <c r="D169" i="28"/>
  <c r="O168" i="28"/>
  <c r="R168" i="28" s="1"/>
  <c r="N168" i="28"/>
  <c r="M168" i="28"/>
  <c r="L168" i="28"/>
  <c r="K168" i="28"/>
  <c r="J168" i="28"/>
  <c r="I168" i="28"/>
  <c r="H168" i="28"/>
  <c r="G168" i="28"/>
  <c r="F168" i="28"/>
  <c r="E168" i="28"/>
  <c r="D168" i="28"/>
  <c r="O167" i="28"/>
  <c r="R167" i="28" s="1"/>
  <c r="N167" i="28"/>
  <c r="M167" i="28"/>
  <c r="L167" i="28"/>
  <c r="K167" i="28"/>
  <c r="J167" i="28"/>
  <c r="I167" i="28"/>
  <c r="H167" i="28"/>
  <c r="G167" i="28"/>
  <c r="F167" i="28"/>
  <c r="E167" i="28"/>
  <c r="D167" i="28"/>
  <c r="O166" i="28"/>
  <c r="R166" i="28" s="1"/>
  <c r="N166" i="28"/>
  <c r="M166" i="28"/>
  <c r="L166" i="28"/>
  <c r="K166" i="28"/>
  <c r="J166" i="28"/>
  <c r="I166" i="28"/>
  <c r="H166" i="28"/>
  <c r="G166" i="28"/>
  <c r="F166" i="28"/>
  <c r="E166" i="28"/>
  <c r="D166" i="28"/>
  <c r="O165" i="28"/>
  <c r="R165" i="28" s="1"/>
  <c r="N165" i="28"/>
  <c r="M165" i="28"/>
  <c r="L165" i="28"/>
  <c r="K165" i="28"/>
  <c r="J165" i="28"/>
  <c r="I165" i="28"/>
  <c r="H165" i="28"/>
  <c r="G165" i="28"/>
  <c r="F165" i="28"/>
  <c r="E165" i="28"/>
  <c r="D165" i="28"/>
  <c r="O164" i="28"/>
  <c r="R164" i="28" s="1"/>
  <c r="N164" i="28"/>
  <c r="M164" i="28"/>
  <c r="L164" i="28"/>
  <c r="K164" i="28"/>
  <c r="J164" i="28"/>
  <c r="I164" i="28"/>
  <c r="H164" i="28"/>
  <c r="G164" i="28"/>
  <c r="F164" i="28"/>
  <c r="E164" i="28"/>
  <c r="D164" i="28"/>
  <c r="O163" i="28"/>
  <c r="R163" i="28" s="1"/>
  <c r="N163" i="28"/>
  <c r="M163" i="28"/>
  <c r="L163" i="28"/>
  <c r="K163" i="28"/>
  <c r="J163" i="28"/>
  <c r="I163" i="28"/>
  <c r="H163" i="28"/>
  <c r="G163" i="28"/>
  <c r="F163" i="28"/>
  <c r="E163" i="28"/>
  <c r="D163" i="28"/>
  <c r="V136" i="28"/>
  <c r="U136" i="28"/>
  <c r="T136" i="28"/>
  <c r="S136" i="28"/>
  <c r="R136" i="28"/>
  <c r="V135" i="28"/>
  <c r="U135" i="28"/>
  <c r="T135" i="28"/>
  <c r="S135" i="28"/>
  <c r="R135" i="28"/>
  <c r="V134" i="28"/>
  <c r="U134" i="28"/>
  <c r="T134" i="28"/>
  <c r="S134" i="28"/>
  <c r="R134" i="28"/>
  <c r="V133" i="28"/>
  <c r="U133" i="28"/>
  <c r="T133" i="28"/>
  <c r="S133" i="28"/>
  <c r="R133" i="28"/>
  <c r="V132" i="28"/>
  <c r="U132" i="28"/>
  <c r="T132" i="28"/>
  <c r="S132" i="28"/>
  <c r="R132" i="28"/>
  <c r="V131" i="28"/>
  <c r="U131" i="28"/>
  <c r="T131" i="28"/>
  <c r="S131" i="28"/>
  <c r="R131" i="28"/>
  <c r="V130" i="28"/>
  <c r="U130" i="28"/>
  <c r="T130" i="28"/>
  <c r="S130" i="28"/>
  <c r="R130" i="28"/>
  <c r="V129" i="28"/>
  <c r="U129" i="28"/>
  <c r="T129" i="28"/>
  <c r="S129" i="28"/>
  <c r="R129" i="28"/>
  <c r="V128" i="28"/>
  <c r="U128" i="28"/>
  <c r="T128" i="28"/>
  <c r="S128" i="28"/>
  <c r="R128" i="28"/>
  <c r="V127" i="28"/>
  <c r="U127" i="28"/>
  <c r="T127" i="28"/>
  <c r="S127" i="28"/>
  <c r="R127" i="28"/>
  <c r="V126" i="28"/>
  <c r="U126" i="28"/>
  <c r="T126" i="28"/>
  <c r="S126" i="28"/>
  <c r="R126" i="28"/>
  <c r="V125" i="28"/>
  <c r="U125" i="28"/>
  <c r="T125" i="28"/>
  <c r="S125" i="28"/>
  <c r="R125" i="28"/>
  <c r="V124" i="28"/>
  <c r="U124" i="28"/>
  <c r="T124" i="28"/>
  <c r="S124" i="28"/>
  <c r="R124" i="28"/>
  <c r="V123" i="28"/>
  <c r="U123" i="28"/>
  <c r="T123" i="28"/>
  <c r="S123" i="28"/>
  <c r="R123" i="28"/>
  <c r="V122" i="28"/>
  <c r="U122" i="28"/>
  <c r="T122" i="28"/>
  <c r="S122" i="28"/>
  <c r="R122" i="28"/>
  <c r="V121" i="28"/>
  <c r="U121" i="28"/>
  <c r="T121" i="28"/>
  <c r="S121" i="28"/>
  <c r="R121" i="28"/>
  <c r="V120" i="28"/>
  <c r="U120" i="28"/>
  <c r="T120" i="28"/>
  <c r="S120" i="28"/>
  <c r="R120" i="28"/>
  <c r="V119" i="28"/>
  <c r="U119" i="28"/>
  <c r="T119" i="28"/>
  <c r="S119" i="28"/>
  <c r="R119" i="28"/>
  <c r="V118" i="28"/>
  <c r="U118" i="28"/>
  <c r="T118" i="28"/>
  <c r="S118" i="28"/>
  <c r="R118" i="28"/>
  <c r="V117" i="28"/>
  <c r="U117" i="28"/>
  <c r="T117" i="28"/>
  <c r="S117" i="28"/>
  <c r="R117" i="28"/>
  <c r="V116" i="28"/>
  <c r="U116" i="28"/>
  <c r="T116" i="28"/>
  <c r="S116" i="28"/>
  <c r="R116" i="28"/>
  <c r="V115" i="28"/>
  <c r="U115" i="28"/>
  <c r="T115" i="28"/>
  <c r="S115" i="28"/>
  <c r="R115" i="28"/>
  <c r="V114" i="28"/>
  <c r="U114" i="28"/>
  <c r="T114" i="28"/>
  <c r="S114" i="28"/>
  <c r="R114" i="28"/>
  <c r="V113" i="28"/>
  <c r="U113" i="28"/>
  <c r="T113" i="28"/>
  <c r="S113" i="28"/>
  <c r="R113" i="28"/>
  <c r="V112" i="28"/>
  <c r="U112" i="28"/>
  <c r="T112" i="28"/>
  <c r="S112" i="28"/>
  <c r="R112" i="28"/>
  <c r="V111" i="28"/>
  <c r="U111" i="28"/>
  <c r="T111" i="28"/>
  <c r="S111" i="28"/>
  <c r="R111" i="28"/>
  <c r="V110" i="28"/>
  <c r="U110" i="28"/>
  <c r="T110" i="28"/>
  <c r="S110" i="28"/>
  <c r="R110" i="28"/>
  <c r="V109" i="28"/>
  <c r="U109" i="28"/>
  <c r="T109" i="28"/>
  <c r="S109" i="28"/>
  <c r="R109" i="28"/>
  <c r="V108" i="28"/>
  <c r="U108" i="28"/>
  <c r="T108" i="28"/>
  <c r="S108" i="28"/>
  <c r="R108" i="28"/>
  <c r="V107" i="28"/>
  <c r="U107" i="28"/>
  <c r="T107" i="28"/>
  <c r="S107" i="28"/>
  <c r="R107" i="28"/>
  <c r="V106" i="28"/>
  <c r="U106" i="28"/>
  <c r="T106" i="28"/>
  <c r="S106" i="28"/>
  <c r="R106" i="28"/>
  <c r="V105" i="28"/>
  <c r="U105" i="28"/>
  <c r="T105" i="28"/>
  <c r="S105" i="28"/>
  <c r="R105" i="28"/>
  <c r="V104" i="28"/>
  <c r="U104" i="28"/>
  <c r="T104" i="28"/>
  <c r="S104" i="28"/>
  <c r="R104" i="28"/>
  <c r="V103" i="28"/>
  <c r="U103" i="28"/>
  <c r="T103" i="28"/>
  <c r="S103" i="28"/>
  <c r="R103" i="28"/>
  <c r="V102" i="28"/>
  <c r="U102" i="28"/>
  <c r="T102" i="28"/>
  <c r="S102" i="28"/>
  <c r="R102" i="28"/>
  <c r="V101" i="28"/>
  <c r="U101" i="28"/>
  <c r="T101" i="28"/>
  <c r="S101" i="28"/>
  <c r="R101" i="28"/>
  <c r="V100" i="28"/>
  <c r="U100" i="28"/>
  <c r="T100" i="28"/>
  <c r="S100" i="28"/>
  <c r="R100" i="28"/>
  <c r="V99" i="28"/>
  <c r="U99" i="28"/>
  <c r="T99" i="28"/>
  <c r="S99" i="28"/>
  <c r="R99" i="28"/>
  <c r="V98" i="28"/>
  <c r="U98" i="28"/>
  <c r="T98" i="28"/>
  <c r="S98" i="28"/>
  <c r="R98" i="28"/>
  <c r="V97" i="28"/>
  <c r="U97" i="28"/>
  <c r="T97" i="28"/>
  <c r="S97" i="28"/>
  <c r="R97" i="28"/>
  <c r="V96" i="28"/>
  <c r="U96" i="28"/>
  <c r="T96" i="28"/>
  <c r="S96" i="28"/>
  <c r="R96" i="28"/>
  <c r="V95" i="28"/>
  <c r="U95" i="28"/>
  <c r="T95" i="28"/>
  <c r="S95" i="28"/>
  <c r="R95" i="28"/>
  <c r="V94" i="28"/>
  <c r="U94" i="28"/>
  <c r="T94" i="28"/>
  <c r="S94" i="28"/>
  <c r="R94" i="28"/>
  <c r="V93" i="28"/>
  <c r="U93" i="28"/>
  <c r="T93" i="28"/>
  <c r="S93" i="28"/>
  <c r="R93" i="28"/>
  <c r="V92" i="28"/>
  <c r="U92" i="28"/>
  <c r="T92" i="28"/>
  <c r="S92" i="28"/>
  <c r="R92" i="28"/>
  <c r="V91" i="28"/>
  <c r="U91" i="28"/>
  <c r="T91" i="28"/>
  <c r="S91" i="28"/>
  <c r="R91" i="28"/>
  <c r="V90" i="28"/>
  <c r="U90" i="28"/>
  <c r="T90" i="28"/>
  <c r="S90" i="28"/>
  <c r="R90" i="28"/>
  <c r="V89" i="28"/>
  <c r="U89" i="28"/>
  <c r="T89" i="28"/>
  <c r="S89" i="28"/>
  <c r="R89" i="28"/>
  <c r="V88" i="28"/>
  <c r="U88" i="28"/>
  <c r="T88" i="28"/>
  <c r="S88" i="28"/>
  <c r="R88" i="28"/>
  <c r="V87" i="28"/>
  <c r="U87" i="28"/>
  <c r="T87" i="28"/>
  <c r="S87" i="28"/>
  <c r="R87" i="28"/>
  <c r="V86" i="28"/>
  <c r="U86" i="28"/>
  <c r="T86" i="28"/>
  <c r="S86" i="28"/>
  <c r="R86" i="28"/>
  <c r="V85" i="28"/>
  <c r="U85" i="28"/>
  <c r="T85" i="28"/>
  <c r="S85" i="28"/>
  <c r="R85" i="28"/>
  <c r="V84" i="28"/>
  <c r="U84" i="28"/>
  <c r="T84" i="28"/>
  <c r="S84" i="28"/>
  <c r="R84" i="28"/>
  <c r="V83" i="28"/>
  <c r="U83" i="28"/>
  <c r="T83" i="28"/>
  <c r="S83" i="28"/>
  <c r="R83" i="28"/>
  <c r="V82" i="28"/>
  <c r="U82" i="28"/>
  <c r="T82" i="28"/>
  <c r="S82" i="28"/>
  <c r="R82" i="28"/>
  <c r="V81" i="28"/>
  <c r="U81" i="28"/>
  <c r="T81" i="28"/>
  <c r="S81" i="28"/>
  <c r="R81" i="28"/>
  <c r="V80" i="28"/>
  <c r="U80" i="28"/>
  <c r="T80" i="28"/>
  <c r="S80" i="28"/>
  <c r="R80" i="28"/>
  <c r="V79" i="28"/>
  <c r="U79" i="28"/>
  <c r="T79" i="28"/>
  <c r="S79" i="28"/>
  <c r="R79" i="28"/>
  <c r="V78" i="28"/>
  <c r="U78" i="28"/>
  <c r="T78" i="28"/>
  <c r="S78" i="28"/>
  <c r="R78" i="28"/>
  <c r="V77" i="28"/>
  <c r="U77" i="28"/>
  <c r="T77" i="28"/>
  <c r="S77" i="28"/>
  <c r="R77" i="28"/>
  <c r="V76" i="28"/>
  <c r="U76" i="28"/>
  <c r="T76" i="28"/>
  <c r="S76" i="28"/>
  <c r="R76" i="28"/>
  <c r="V75" i="28"/>
  <c r="U75" i="28"/>
  <c r="T75" i="28"/>
  <c r="S75" i="28"/>
  <c r="R75" i="28"/>
  <c r="V74" i="28"/>
  <c r="U74" i="28"/>
  <c r="T74" i="28"/>
  <c r="S74" i="28"/>
  <c r="R74" i="28"/>
  <c r="V73" i="28"/>
  <c r="U73" i="28"/>
  <c r="T73" i="28"/>
  <c r="S73" i="28"/>
  <c r="R73" i="28"/>
  <c r="V72" i="28"/>
  <c r="U72" i="28"/>
  <c r="T72" i="28"/>
  <c r="S72" i="28"/>
  <c r="R72" i="28"/>
  <c r="V71" i="28"/>
  <c r="U71" i="28"/>
  <c r="T71" i="28"/>
  <c r="S71" i="28"/>
  <c r="R71" i="28"/>
  <c r="V70" i="28"/>
  <c r="U70" i="28"/>
  <c r="T70" i="28"/>
  <c r="S70" i="28"/>
  <c r="R70" i="28"/>
  <c r="V69" i="28"/>
  <c r="U69" i="28"/>
  <c r="T69" i="28"/>
  <c r="S69" i="28"/>
  <c r="R69" i="28"/>
  <c r="V68" i="28"/>
  <c r="U68" i="28"/>
  <c r="T68" i="28"/>
  <c r="S68" i="28"/>
  <c r="R68" i="28"/>
  <c r="V67" i="28"/>
  <c r="U67" i="28"/>
  <c r="T67" i="28"/>
  <c r="S67" i="28"/>
  <c r="R67" i="28"/>
  <c r="V66" i="28"/>
  <c r="U66" i="28"/>
  <c r="T66" i="28"/>
  <c r="S66" i="28"/>
  <c r="R66" i="28"/>
  <c r="V65" i="28"/>
  <c r="U65" i="28"/>
  <c r="T65" i="28"/>
  <c r="S65" i="28"/>
  <c r="R65" i="28"/>
  <c r="V64" i="28"/>
  <c r="U64" i="28"/>
  <c r="T64" i="28"/>
  <c r="S64" i="28"/>
  <c r="R64" i="28"/>
  <c r="V63" i="28"/>
  <c r="U63" i="28"/>
  <c r="T63" i="28"/>
  <c r="S63" i="28"/>
  <c r="R63" i="28"/>
  <c r="V62" i="28"/>
  <c r="U62" i="28"/>
  <c r="T62" i="28"/>
  <c r="S62" i="28"/>
  <c r="R62" i="28"/>
  <c r="V61" i="28"/>
  <c r="U61" i="28"/>
  <c r="T61" i="28"/>
  <c r="S61" i="28"/>
  <c r="R61" i="28"/>
  <c r="V60" i="28"/>
  <c r="U60" i="28"/>
  <c r="T60" i="28"/>
  <c r="S60" i="28"/>
  <c r="R60" i="28"/>
  <c r="V59" i="28"/>
  <c r="U59" i="28"/>
  <c r="T59" i="28"/>
  <c r="S59" i="28"/>
  <c r="R59" i="28"/>
  <c r="V58" i="28"/>
  <c r="U58" i="28"/>
  <c r="T58" i="28"/>
  <c r="S58" i="28"/>
  <c r="R58" i="28"/>
  <c r="V57" i="28"/>
  <c r="U57" i="28"/>
  <c r="T57" i="28"/>
  <c r="S57" i="28"/>
  <c r="R57" i="28"/>
  <c r="V56" i="28"/>
  <c r="U56" i="28"/>
  <c r="T56" i="28"/>
  <c r="S56" i="28"/>
  <c r="R56" i="28"/>
  <c r="V55" i="28"/>
  <c r="U55" i="28"/>
  <c r="T55" i="28"/>
  <c r="S55" i="28"/>
  <c r="R55" i="28"/>
  <c r="V54" i="28"/>
  <c r="U54" i="28"/>
  <c r="T54" i="28"/>
  <c r="S54" i="28"/>
  <c r="R54" i="28"/>
  <c r="V53" i="28"/>
  <c r="U53" i="28"/>
  <c r="T53" i="28"/>
  <c r="S53" i="28"/>
  <c r="R53" i="28"/>
  <c r="V52" i="28"/>
  <c r="U52" i="28"/>
  <c r="T52" i="28"/>
  <c r="S52" i="28"/>
  <c r="R52" i="28"/>
  <c r="V51" i="28"/>
  <c r="U51" i="28"/>
  <c r="T51" i="28"/>
  <c r="S51" i="28"/>
  <c r="R51" i="28"/>
  <c r="V50" i="28"/>
  <c r="U50" i="28"/>
  <c r="T50" i="28"/>
  <c r="S50" i="28"/>
  <c r="R50" i="28"/>
  <c r="V49" i="28"/>
  <c r="U49" i="28"/>
  <c r="T49" i="28"/>
  <c r="S49" i="28"/>
  <c r="R49" i="28"/>
  <c r="V48" i="28"/>
  <c r="U48" i="28"/>
  <c r="T48" i="28"/>
  <c r="S48" i="28"/>
  <c r="R48" i="28"/>
  <c r="V47" i="28"/>
  <c r="U47" i="28"/>
  <c r="T47" i="28"/>
  <c r="S47" i="28"/>
  <c r="R47" i="28"/>
  <c r="V46" i="28"/>
  <c r="U46" i="28"/>
  <c r="T46" i="28"/>
  <c r="S46" i="28"/>
  <c r="R46" i="28"/>
  <c r="V45" i="28"/>
  <c r="U45" i="28"/>
  <c r="T45" i="28"/>
  <c r="S45" i="28"/>
  <c r="R45" i="28"/>
  <c r="V44" i="28"/>
  <c r="U44" i="28"/>
  <c r="T44" i="28"/>
  <c r="S44" i="28"/>
  <c r="R44" i="28"/>
  <c r="V43" i="28"/>
  <c r="U43" i="28"/>
  <c r="T43" i="28"/>
  <c r="S43" i="28"/>
  <c r="R43" i="28"/>
  <c r="V42" i="28"/>
  <c r="U42" i="28"/>
  <c r="T42" i="28"/>
  <c r="S42" i="28"/>
  <c r="R42" i="28"/>
  <c r="V41" i="28"/>
  <c r="U41" i="28"/>
  <c r="T41" i="28"/>
  <c r="S41" i="28"/>
  <c r="R41" i="28"/>
  <c r="V40" i="28"/>
  <c r="U40" i="28"/>
  <c r="T40" i="28"/>
  <c r="S40" i="28"/>
  <c r="R40" i="28"/>
  <c r="V39" i="28"/>
  <c r="U39" i="28"/>
  <c r="T39" i="28"/>
  <c r="S39" i="28"/>
  <c r="R39" i="28"/>
  <c r="V38" i="28"/>
  <c r="U38" i="28"/>
  <c r="T38" i="28"/>
  <c r="S38" i="28"/>
  <c r="R38" i="28"/>
  <c r="V37" i="28"/>
  <c r="U37" i="28"/>
  <c r="T37" i="28"/>
  <c r="S37" i="28"/>
  <c r="R37" i="28"/>
  <c r="V18" i="28"/>
  <c r="U18" i="28"/>
  <c r="T18" i="28"/>
  <c r="S18" i="28"/>
  <c r="AE154" i="28"/>
  <c r="V155" i="28"/>
  <c r="U155" i="28"/>
  <c r="T155" i="28"/>
  <c r="S155" i="28"/>
  <c r="R155" i="28"/>
  <c r="O154" i="28"/>
  <c r="R154" i="28" s="1"/>
  <c r="N154" i="28"/>
  <c r="M154" i="28"/>
  <c r="L154" i="28"/>
  <c r="K154" i="28"/>
  <c r="J154" i="28"/>
  <c r="I154" i="28"/>
  <c r="H154" i="28"/>
  <c r="G154" i="28"/>
  <c r="F154" i="28"/>
  <c r="E154" i="28"/>
  <c r="D154" i="28"/>
  <c r="O153" i="28"/>
  <c r="R153" i="28" s="1"/>
  <c r="N153" i="28"/>
  <c r="M153" i="28"/>
  <c r="L153" i="28"/>
  <c r="K153" i="28"/>
  <c r="J153" i="28"/>
  <c r="I153" i="28"/>
  <c r="H153" i="28"/>
  <c r="G153" i="28"/>
  <c r="F153" i="28"/>
  <c r="E153" i="28"/>
  <c r="D153" i="28"/>
  <c r="O152" i="28"/>
  <c r="R152" i="28" s="1"/>
  <c r="N152" i="28"/>
  <c r="M152" i="28"/>
  <c r="L152" i="28"/>
  <c r="K152" i="28"/>
  <c r="J152" i="28"/>
  <c r="I152" i="28"/>
  <c r="H152" i="28"/>
  <c r="G152" i="28"/>
  <c r="F152" i="28"/>
  <c r="E152" i="28"/>
  <c r="D152" i="28"/>
  <c r="O151" i="28"/>
  <c r="R151" i="28" s="1"/>
  <c r="N151" i="28"/>
  <c r="M151" i="28"/>
  <c r="L151" i="28"/>
  <c r="K151" i="28"/>
  <c r="J151" i="28"/>
  <c r="I151" i="28"/>
  <c r="H151" i="28"/>
  <c r="G151" i="28"/>
  <c r="F151" i="28"/>
  <c r="E151" i="28"/>
  <c r="D151" i="28"/>
  <c r="O150" i="28"/>
  <c r="R150" i="28" s="1"/>
  <c r="N150" i="28"/>
  <c r="M150" i="28"/>
  <c r="L150" i="28"/>
  <c r="K150" i="28"/>
  <c r="J150" i="28"/>
  <c r="I150" i="28"/>
  <c r="H150" i="28"/>
  <c r="G150" i="28"/>
  <c r="F150" i="28"/>
  <c r="E150" i="28"/>
  <c r="D150" i="28"/>
  <c r="O149" i="28"/>
  <c r="R149" i="28" s="1"/>
  <c r="N149" i="28"/>
  <c r="M149" i="28"/>
  <c r="L149" i="28"/>
  <c r="K149" i="28"/>
  <c r="J149" i="28"/>
  <c r="I149" i="28"/>
  <c r="H149" i="28"/>
  <c r="G149" i="28"/>
  <c r="F149" i="28"/>
  <c r="E149" i="28"/>
  <c r="D149" i="28"/>
  <c r="O148" i="28"/>
  <c r="R148" i="28" s="1"/>
  <c r="N148" i="28"/>
  <c r="M148" i="28"/>
  <c r="L148" i="28"/>
  <c r="K148" i="28"/>
  <c r="J148" i="28"/>
  <c r="I148" i="28"/>
  <c r="H148" i="28"/>
  <c r="G148" i="28"/>
  <c r="F148" i="28"/>
  <c r="E148" i="28"/>
  <c r="D148" i="28"/>
  <c r="O147" i="28"/>
  <c r="R147" i="28" s="1"/>
  <c r="N147" i="28"/>
  <c r="M147" i="28"/>
  <c r="L147" i="28"/>
  <c r="K147" i="28"/>
  <c r="J147" i="28"/>
  <c r="I147" i="28"/>
  <c r="H147" i="28"/>
  <c r="G147" i="28"/>
  <c r="F147" i="28"/>
  <c r="E147" i="28"/>
  <c r="D147" i="28"/>
  <c r="O146" i="28"/>
  <c r="R146" i="28" s="1"/>
  <c r="N146" i="28"/>
  <c r="M146" i="28"/>
  <c r="L146" i="28"/>
  <c r="K146" i="28"/>
  <c r="J146" i="28"/>
  <c r="I146" i="28"/>
  <c r="H146" i="28"/>
  <c r="G146" i="28"/>
  <c r="F146" i="28"/>
  <c r="E146" i="28"/>
  <c r="D146" i="28"/>
  <c r="O145" i="28"/>
  <c r="R145" i="28" s="1"/>
  <c r="N145" i="28"/>
  <c r="M145" i="28"/>
  <c r="L145" i="28"/>
  <c r="K145" i="28"/>
  <c r="J145" i="28"/>
  <c r="I145" i="28"/>
  <c r="H145" i="28"/>
  <c r="G145" i="28"/>
  <c r="F145" i="28"/>
  <c r="E145" i="28"/>
  <c r="D145" i="28"/>
  <c r="O144" i="28"/>
  <c r="R144" i="28" s="1"/>
  <c r="N144" i="28"/>
  <c r="M144" i="28"/>
  <c r="L144" i="28"/>
  <c r="K144" i="28"/>
  <c r="J144" i="28"/>
  <c r="I144" i="28"/>
  <c r="H144" i="28"/>
  <c r="G144" i="28"/>
  <c r="F144" i="28"/>
  <c r="E144" i="28"/>
  <c r="D144" i="28"/>
  <c r="O143" i="28"/>
  <c r="N143" i="28"/>
  <c r="M143" i="28"/>
  <c r="L143" i="28"/>
  <c r="K143" i="28"/>
  <c r="J143" i="28"/>
  <c r="I143" i="28"/>
  <c r="H143" i="28"/>
  <c r="G143" i="28"/>
  <c r="F143" i="28"/>
  <c r="E143" i="28"/>
  <c r="D143" i="28"/>
  <c r="V36" i="28"/>
  <c r="V35" i="28"/>
  <c r="V34" i="28"/>
  <c r="V33" i="28"/>
  <c r="V32" i="28"/>
  <c r="V31" i="28"/>
  <c r="V30" i="28"/>
  <c r="V29" i="28"/>
  <c r="V28" i="28"/>
  <c r="V27" i="28"/>
  <c r="V26" i="28"/>
  <c r="V25" i="28"/>
  <c r="V24" i="28"/>
  <c r="V23" i="28"/>
  <c r="V22" i="28"/>
  <c r="V21" i="28"/>
  <c r="V20" i="28"/>
  <c r="V19" i="28"/>
  <c r="V17" i="28"/>
  <c r="V16" i="28"/>
  <c r="V15" i="28"/>
  <c r="V14" i="28"/>
  <c r="V13" i="28"/>
  <c r="V12" i="28"/>
  <c r="V11" i="28"/>
  <c r="V10" i="28"/>
  <c r="V9" i="28"/>
  <c r="V8" i="28"/>
  <c r="V7" i="28"/>
  <c r="V6" i="28"/>
  <c r="V5" i="28"/>
  <c r="U36" i="28"/>
  <c r="U35" i="28"/>
  <c r="U34" i="28"/>
  <c r="U33" i="28"/>
  <c r="U32" i="28"/>
  <c r="U31" i="28"/>
  <c r="U30" i="28"/>
  <c r="U29" i="28"/>
  <c r="U28" i="28"/>
  <c r="U27" i="28"/>
  <c r="U26" i="28"/>
  <c r="U25" i="28"/>
  <c r="U24" i="28"/>
  <c r="U23" i="28"/>
  <c r="U22" i="28"/>
  <c r="U21" i="28"/>
  <c r="U20" i="28"/>
  <c r="U19" i="28"/>
  <c r="U17" i="28"/>
  <c r="U16" i="28"/>
  <c r="U15" i="28"/>
  <c r="U14" i="28"/>
  <c r="U13" i="28"/>
  <c r="U12" i="28"/>
  <c r="U11" i="28"/>
  <c r="U10" i="28"/>
  <c r="U9" i="28"/>
  <c r="U8" i="28"/>
  <c r="U7" i="28"/>
  <c r="U6" i="28"/>
  <c r="U5" i="28"/>
  <c r="T36" i="28"/>
  <c r="T35" i="28"/>
  <c r="T34" i="28"/>
  <c r="T33" i="28"/>
  <c r="T32" i="28"/>
  <c r="T31" i="28"/>
  <c r="T30" i="28"/>
  <c r="T29" i="28"/>
  <c r="T28" i="28"/>
  <c r="T27" i="28"/>
  <c r="T26" i="28"/>
  <c r="T25" i="28"/>
  <c r="T24" i="28"/>
  <c r="T23" i="28"/>
  <c r="T22" i="28"/>
  <c r="T21" i="28"/>
  <c r="T20" i="28"/>
  <c r="T19" i="28"/>
  <c r="T17" i="28"/>
  <c r="T16" i="28"/>
  <c r="T15" i="28"/>
  <c r="T14" i="28"/>
  <c r="T13" i="28"/>
  <c r="T12" i="28"/>
  <c r="T11" i="28"/>
  <c r="T10" i="28"/>
  <c r="T9" i="28"/>
  <c r="T8" i="28"/>
  <c r="T7" i="28"/>
  <c r="T6" i="28"/>
  <c r="T5" i="28"/>
  <c r="S36" i="28"/>
  <c r="S35" i="28"/>
  <c r="S34" i="28"/>
  <c r="S33" i="28"/>
  <c r="S32" i="28"/>
  <c r="S31" i="28"/>
  <c r="S30" i="28"/>
  <c r="S29" i="28"/>
  <c r="S28" i="28"/>
  <c r="S27" i="28"/>
  <c r="S26" i="28"/>
  <c r="S25" i="28"/>
  <c r="S24" i="28"/>
  <c r="S23" i="28"/>
  <c r="S22" i="28"/>
  <c r="S21" i="28"/>
  <c r="S20" i="28"/>
  <c r="S19" i="28"/>
  <c r="S17" i="28"/>
  <c r="S16" i="28"/>
  <c r="S15" i="28"/>
  <c r="S14" i="28"/>
  <c r="S13" i="28"/>
  <c r="S12" i="28"/>
  <c r="S11" i="28"/>
  <c r="S10" i="28"/>
  <c r="S9" i="28"/>
  <c r="S8" i="28"/>
  <c r="S7" i="28"/>
  <c r="S6" i="28"/>
  <c r="S5" i="28"/>
  <c r="R36" i="28"/>
  <c r="R35" i="28"/>
  <c r="R34" i="28"/>
  <c r="R33" i="28"/>
  <c r="R32" i="28"/>
  <c r="R31" i="28"/>
  <c r="R30" i="28"/>
  <c r="R29" i="28"/>
  <c r="R28" i="28"/>
  <c r="R27" i="28"/>
  <c r="R26" i="28"/>
  <c r="R25" i="28"/>
  <c r="R24" i="28"/>
  <c r="R23" i="28"/>
  <c r="R22" i="28"/>
  <c r="R21" i="28"/>
  <c r="R20" i="28"/>
  <c r="R19" i="28"/>
  <c r="R18" i="28"/>
  <c r="R17" i="28"/>
  <c r="R16" i="28"/>
  <c r="R15" i="28"/>
  <c r="R14" i="28"/>
  <c r="R13" i="28"/>
  <c r="R12" i="28"/>
  <c r="R11" i="28"/>
  <c r="R10" i="28"/>
  <c r="R9" i="28"/>
  <c r="R8" i="28"/>
  <c r="R7" i="28"/>
  <c r="R6" i="28"/>
  <c r="R5" i="28"/>
  <c r="G111" i="16"/>
  <c r="AE146" i="28" s="1"/>
  <c r="S69" i="16"/>
  <c r="T69" i="16"/>
  <c r="U69" i="16"/>
  <c r="V69" i="16"/>
  <c r="W69" i="16"/>
  <c r="X69" i="16"/>
  <c r="Y69" i="16"/>
  <c r="Z69" i="16"/>
  <c r="AA69" i="16"/>
  <c r="AB69" i="16"/>
  <c r="AC69" i="16"/>
  <c r="AD69" i="16"/>
  <c r="AE69" i="16"/>
  <c r="AF69" i="16"/>
  <c r="AG69" i="16"/>
  <c r="AH69" i="16"/>
  <c r="AI69" i="16"/>
  <c r="AJ69" i="16"/>
  <c r="AK69" i="16"/>
  <c r="AL69" i="16"/>
  <c r="AM69" i="16"/>
  <c r="AN69" i="16"/>
  <c r="AO69" i="16"/>
  <c r="AP69" i="16"/>
  <c r="AQ69" i="16"/>
  <c r="AR69" i="16"/>
  <c r="AS69" i="16"/>
  <c r="AT69" i="16"/>
  <c r="AU69" i="16"/>
  <c r="AV69" i="16"/>
  <c r="AW69" i="16"/>
  <c r="AX69" i="16"/>
  <c r="AY69" i="16"/>
  <c r="AZ69" i="16"/>
  <c r="BA69" i="16"/>
  <c r="BB69" i="16"/>
  <c r="K29" i="19"/>
  <c r="K28" i="19"/>
  <c r="E39" i="19"/>
  <c r="E38" i="19"/>
  <c r="E34" i="19"/>
  <c r="E33" i="19"/>
  <c r="E32" i="19"/>
  <c r="K15" i="19" s="1"/>
  <c r="E29" i="19"/>
  <c r="E28" i="19"/>
  <c r="E27" i="19"/>
  <c r="AL28" i="25" s="1"/>
  <c r="E26" i="19"/>
  <c r="E21" i="19"/>
  <c r="E17" i="19"/>
  <c r="AL25" i="25" s="1"/>
  <c r="E16" i="19"/>
  <c r="DG2" i="25"/>
  <c r="DH2" i="25" s="1"/>
  <c r="B6" i="27"/>
  <c r="A7" i="26"/>
  <c r="A5" i="26"/>
  <c r="A3" i="26"/>
  <c r="A1" i="26"/>
  <c r="BX135" i="25"/>
  <c r="S132" i="25"/>
  <c r="M132" i="25"/>
  <c r="G132" i="25"/>
  <c r="AD131" i="25"/>
  <c r="AC131" i="25"/>
  <c r="AB131" i="25"/>
  <c r="AA131" i="25"/>
  <c r="Z131" i="25"/>
  <c r="Y131" i="25"/>
  <c r="W131" i="25"/>
  <c r="V131" i="25"/>
  <c r="AD130" i="25"/>
  <c r="AC130" i="25"/>
  <c r="AB130" i="25"/>
  <c r="AA130" i="25"/>
  <c r="Z130" i="25"/>
  <c r="Y130" i="25"/>
  <c r="W130" i="25"/>
  <c r="V130" i="25"/>
  <c r="S126" i="25"/>
  <c r="M126" i="25"/>
  <c r="G126" i="25"/>
  <c r="AD125" i="25"/>
  <c r="AC125" i="25"/>
  <c r="AB125" i="25"/>
  <c r="AA125" i="25"/>
  <c r="Z125" i="25"/>
  <c r="Y125" i="25"/>
  <c r="W125" i="25"/>
  <c r="V125" i="25"/>
  <c r="AD124" i="25"/>
  <c r="AC124" i="25"/>
  <c r="AB124" i="25"/>
  <c r="AA124" i="25"/>
  <c r="Z124" i="25"/>
  <c r="Y124" i="25"/>
  <c r="W124" i="25"/>
  <c r="V124" i="25"/>
  <c r="DA122" i="25"/>
  <c r="CZ122" i="25"/>
  <c r="CY122" i="25"/>
  <c r="CX122" i="25"/>
  <c r="CW122" i="25"/>
  <c r="CU122" i="25"/>
  <c r="CT122" i="25"/>
  <c r="CS122" i="25"/>
  <c r="CR122" i="25"/>
  <c r="CQ122" i="25"/>
  <c r="CP122" i="25"/>
  <c r="CO122" i="25"/>
  <c r="CN122" i="25"/>
  <c r="CM122" i="25"/>
  <c r="CL122" i="25"/>
  <c r="CK122" i="25"/>
  <c r="CJ122" i="25"/>
  <c r="DA121" i="25"/>
  <c r="CZ121" i="25"/>
  <c r="CY121" i="25"/>
  <c r="CX121" i="25"/>
  <c r="CW121" i="25"/>
  <c r="CU121" i="25"/>
  <c r="CT121" i="25"/>
  <c r="CS121" i="25"/>
  <c r="CR121" i="25"/>
  <c r="CQ121" i="25"/>
  <c r="CP121" i="25"/>
  <c r="CO121" i="25"/>
  <c r="CN121" i="25"/>
  <c r="CM121" i="25"/>
  <c r="CL121" i="25"/>
  <c r="CK121" i="25"/>
  <c r="CJ121" i="25"/>
  <c r="DA120" i="25"/>
  <c r="CZ120" i="25"/>
  <c r="CY120" i="25"/>
  <c r="CX120" i="25"/>
  <c r="CW120" i="25"/>
  <c r="CU120" i="25"/>
  <c r="CT120" i="25"/>
  <c r="CS120" i="25"/>
  <c r="CR120" i="25"/>
  <c r="CQ120" i="25"/>
  <c r="CP120" i="25"/>
  <c r="CO120" i="25"/>
  <c r="CN120" i="25"/>
  <c r="CM120" i="25"/>
  <c r="CL120" i="25"/>
  <c r="CK120" i="25"/>
  <c r="CJ120" i="25"/>
  <c r="A120" i="25"/>
  <c r="DA119" i="25"/>
  <c r="CZ119" i="25"/>
  <c r="CY119" i="25"/>
  <c r="CX119" i="25"/>
  <c r="CW119" i="25"/>
  <c r="CU119" i="25"/>
  <c r="CT119" i="25"/>
  <c r="CS119" i="25"/>
  <c r="CR119" i="25"/>
  <c r="CQ119" i="25"/>
  <c r="CP119" i="25"/>
  <c r="CO119" i="25"/>
  <c r="CN119" i="25"/>
  <c r="CM119" i="25"/>
  <c r="CL119" i="25"/>
  <c r="CK119" i="25"/>
  <c r="CJ119" i="25"/>
  <c r="DA118" i="25"/>
  <c r="CZ118" i="25"/>
  <c r="CY118" i="25"/>
  <c r="CX118" i="25"/>
  <c r="CW118" i="25"/>
  <c r="CU118" i="25"/>
  <c r="CT118" i="25"/>
  <c r="CS118" i="25"/>
  <c r="CR118" i="25"/>
  <c r="CQ118" i="25"/>
  <c r="CP118" i="25"/>
  <c r="CO118" i="25"/>
  <c r="CN118" i="25"/>
  <c r="CM118" i="25"/>
  <c r="CL118" i="25"/>
  <c r="CK118" i="25"/>
  <c r="CJ118" i="25"/>
  <c r="DA117" i="25"/>
  <c r="CZ117" i="25"/>
  <c r="CY117" i="25"/>
  <c r="CX117" i="25"/>
  <c r="CW117" i="25"/>
  <c r="CU117" i="25"/>
  <c r="CT117" i="25"/>
  <c r="CS117" i="25"/>
  <c r="CR117" i="25"/>
  <c r="CQ117" i="25"/>
  <c r="CP117" i="25"/>
  <c r="CO117" i="25"/>
  <c r="CN117" i="25"/>
  <c r="CM117" i="25"/>
  <c r="CL117" i="25"/>
  <c r="CK117" i="25"/>
  <c r="CJ117" i="25"/>
  <c r="DA116" i="25"/>
  <c r="CZ116" i="25"/>
  <c r="CY116" i="25"/>
  <c r="CX116" i="25"/>
  <c r="CW116" i="25"/>
  <c r="CU116" i="25"/>
  <c r="CT116" i="25"/>
  <c r="CS116" i="25"/>
  <c r="CR116" i="25"/>
  <c r="CQ116" i="25"/>
  <c r="CP116" i="25"/>
  <c r="CO116" i="25"/>
  <c r="CN116" i="25"/>
  <c r="CM116" i="25"/>
  <c r="CL116" i="25"/>
  <c r="CK116" i="25"/>
  <c r="CJ116" i="25"/>
  <c r="DA115" i="25"/>
  <c r="CZ115" i="25"/>
  <c r="CY115" i="25"/>
  <c r="CX115" i="25"/>
  <c r="CW115" i="25"/>
  <c r="CU115" i="25"/>
  <c r="CT115" i="25"/>
  <c r="CS115" i="25"/>
  <c r="CR115" i="25"/>
  <c r="CQ115" i="25"/>
  <c r="CP115" i="25"/>
  <c r="CO115" i="25"/>
  <c r="CN115" i="25"/>
  <c r="CM115" i="25"/>
  <c r="CL115" i="25"/>
  <c r="CK115" i="25"/>
  <c r="CJ115" i="25"/>
  <c r="DA114" i="25"/>
  <c r="CZ114" i="25"/>
  <c r="CY114" i="25"/>
  <c r="CX114" i="25"/>
  <c r="CW114" i="25"/>
  <c r="CU114" i="25"/>
  <c r="CT114" i="25"/>
  <c r="CS114" i="25"/>
  <c r="CR114" i="25"/>
  <c r="CQ114" i="25"/>
  <c r="CP114" i="25"/>
  <c r="CO114" i="25"/>
  <c r="CN114" i="25"/>
  <c r="CM114" i="25"/>
  <c r="CL114" i="25"/>
  <c r="CK114" i="25"/>
  <c r="CJ114" i="25"/>
  <c r="DA113" i="25"/>
  <c r="CZ113" i="25"/>
  <c r="CY113" i="25"/>
  <c r="CX113" i="25"/>
  <c r="CW113" i="25"/>
  <c r="CU113" i="25"/>
  <c r="CT113" i="25"/>
  <c r="CS113" i="25"/>
  <c r="CR113" i="25"/>
  <c r="CQ113" i="25"/>
  <c r="CP113" i="25"/>
  <c r="CO113" i="25"/>
  <c r="CN113" i="25"/>
  <c r="CM113" i="25"/>
  <c r="CL113" i="25"/>
  <c r="CK113" i="25"/>
  <c r="CJ113" i="25"/>
  <c r="DA112" i="25"/>
  <c r="CZ112" i="25"/>
  <c r="CY112" i="25"/>
  <c r="CX112" i="25"/>
  <c r="CW112" i="25"/>
  <c r="CU112" i="25"/>
  <c r="CT112" i="25"/>
  <c r="CS112" i="25"/>
  <c r="CR112" i="25"/>
  <c r="CQ112" i="25"/>
  <c r="CP112" i="25"/>
  <c r="CO112" i="25"/>
  <c r="CN112" i="25"/>
  <c r="CM112" i="25"/>
  <c r="CL112" i="25"/>
  <c r="CK112" i="25"/>
  <c r="CJ112" i="25"/>
  <c r="DA111" i="25"/>
  <c r="CZ111" i="25"/>
  <c r="CY111" i="25"/>
  <c r="CX111" i="25"/>
  <c r="CW111" i="25"/>
  <c r="CU111" i="25"/>
  <c r="CT111" i="25"/>
  <c r="CS111" i="25"/>
  <c r="CR111" i="25"/>
  <c r="CQ111" i="25"/>
  <c r="CP111" i="25"/>
  <c r="CO111" i="25"/>
  <c r="CN111" i="25"/>
  <c r="CM111" i="25"/>
  <c r="CL111" i="25"/>
  <c r="CK111" i="25"/>
  <c r="CJ111" i="25"/>
  <c r="DA110" i="25"/>
  <c r="CZ110" i="25"/>
  <c r="CY110" i="25"/>
  <c r="CX110" i="25"/>
  <c r="CW110" i="25"/>
  <c r="CU110" i="25"/>
  <c r="CT110" i="25"/>
  <c r="CS110" i="25"/>
  <c r="CR110" i="25"/>
  <c r="CQ110" i="25"/>
  <c r="CP110" i="25"/>
  <c r="CO110" i="25"/>
  <c r="CN110" i="25"/>
  <c r="CM110" i="25"/>
  <c r="CL110" i="25"/>
  <c r="CK110" i="25"/>
  <c r="CJ110" i="25"/>
  <c r="A110" i="25"/>
  <c r="A97" i="25" s="1"/>
  <c r="DA109" i="25"/>
  <c r="CZ109" i="25"/>
  <c r="CY109" i="25"/>
  <c r="CX109" i="25"/>
  <c r="CW109" i="25"/>
  <c r="CU109" i="25"/>
  <c r="CT109" i="25"/>
  <c r="CS109" i="25"/>
  <c r="CR109" i="25"/>
  <c r="CQ109" i="25"/>
  <c r="CP109" i="25"/>
  <c r="CO109" i="25"/>
  <c r="CN109" i="25"/>
  <c r="CM109" i="25"/>
  <c r="CL109" i="25"/>
  <c r="CK109" i="25"/>
  <c r="CJ109" i="25"/>
  <c r="DA108" i="25"/>
  <c r="CZ108" i="25"/>
  <c r="CY108" i="25"/>
  <c r="CX108" i="25"/>
  <c r="CW108" i="25"/>
  <c r="CU108" i="25"/>
  <c r="CT108" i="25"/>
  <c r="CS108" i="25"/>
  <c r="CR108" i="25"/>
  <c r="CQ108" i="25"/>
  <c r="CP108" i="25"/>
  <c r="CO108" i="25"/>
  <c r="CN108" i="25"/>
  <c r="CM108" i="25"/>
  <c r="CL108" i="25"/>
  <c r="CK108" i="25"/>
  <c r="CJ108" i="25"/>
  <c r="DA107" i="25"/>
  <c r="CZ107" i="25"/>
  <c r="CY107" i="25"/>
  <c r="CX107" i="25"/>
  <c r="CW107" i="25"/>
  <c r="CU107" i="25"/>
  <c r="CT107" i="25"/>
  <c r="CS107" i="25"/>
  <c r="CR107" i="25"/>
  <c r="CQ107" i="25"/>
  <c r="CP107" i="25"/>
  <c r="CO107" i="25"/>
  <c r="CN107" i="25"/>
  <c r="CM107" i="25"/>
  <c r="CL107" i="25"/>
  <c r="CK107" i="25"/>
  <c r="CJ107" i="25"/>
  <c r="DA106" i="25"/>
  <c r="CZ106" i="25"/>
  <c r="CY106" i="25"/>
  <c r="CX106" i="25"/>
  <c r="CW106" i="25"/>
  <c r="CU106" i="25"/>
  <c r="CT106" i="25"/>
  <c r="CS106" i="25"/>
  <c r="CR106" i="25"/>
  <c r="CQ106" i="25"/>
  <c r="CP106" i="25"/>
  <c r="CO106" i="25"/>
  <c r="CN106" i="25"/>
  <c r="CM106" i="25"/>
  <c r="CL106" i="25"/>
  <c r="CK106" i="25"/>
  <c r="CJ106" i="25"/>
  <c r="DA105" i="25"/>
  <c r="CZ105" i="25"/>
  <c r="CY105" i="25"/>
  <c r="CX105" i="25"/>
  <c r="CW105" i="25"/>
  <c r="CU105" i="25"/>
  <c r="CT105" i="25"/>
  <c r="CS105" i="25"/>
  <c r="CR105" i="25"/>
  <c r="CQ105" i="25"/>
  <c r="CP105" i="25"/>
  <c r="CO105" i="25"/>
  <c r="CN105" i="25"/>
  <c r="CM105" i="25"/>
  <c r="CL105" i="25"/>
  <c r="CK105" i="25"/>
  <c r="CJ105" i="25"/>
  <c r="DA104" i="25"/>
  <c r="CZ104" i="25"/>
  <c r="CY104" i="25"/>
  <c r="CX104" i="25"/>
  <c r="CW104" i="25"/>
  <c r="CU104" i="25"/>
  <c r="CT104" i="25"/>
  <c r="CS104" i="25"/>
  <c r="CR104" i="25"/>
  <c r="CQ104" i="25"/>
  <c r="CP104" i="25"/>
  <c r="CO104" i="25"/>
  <c r="CN104" i="25"/>
  <c r="CM104" i="25"/>
  <c r="CL104" i="25"/>
  <c r="CK104" i="25"/>
  <c r="CJ104" i="25"/>
  <c r="DA103" i="25"/>
  <c r="CZ103" i="25"/>
  <c r="CY103" i="25"/>
  <c r="CX103" i="25"/>
  <c r="CW103" i="25"/>
  <c r="CU103" i="25"/>
  <c r="CT103" i="25"/>
  <c r="CS103" i="25"/>
  <c r="CR103" i="25"/>
  <c r="CQ103" i="25"/>
  <c r="CP103" i="25"/>
  <c r="CO103" i="25"/>
  <c r="CN103" i="25"/>
  <c r="CM103" i="25"/>
  <c r="CL103" i="25"/>
  <c r="CK103" i="25"/>
  <c r="CJ103" i="25"/>
  <c r="DA102" i="25"/>
  <c r="CZ102" i="25"/>
  <c r="CY102" i="25"/>
  <c r="CX102" i="25"/>
  <c r="CW102" i="25"/>
  <c r="CU102" i="25"/>
  <c r="CT102" i="25"/>
  <c r="CS102" i="25"/>
  <c r="CR102" i="25"/>
  <c r="CQ102" i="25"/>
  <c r="CP102" i="25"/>
  <c r="CO102" i="25"/>
  <c r="CN102" i="25"/>
  <c r="CM102" i="25"/>
  <c r="CL102" i="25"/>
  <c r="CK102" i="25"/>
  <c r="CJ102" i="25"/>
  <c r="DA101" i="25"/>
  <c r="CZ101" i="25"/>
  <c r="CY101" i="25"/>
  <c r="CX101" i="25"/>
  <c r="CW101" i="25"/>
  <c r="CU101" i="25"/>
  <c r="CT101" i="25"/>
  <c r="CS101" i="25"/>
  <c r="CR101" i="25"/>
  <c r="CQ101" i="25"/>
  <c r="CP101" i="25"/>
  <c r="CO101" i="25"/>
  <c r="CN101" i="25"/>
  <c r="CM101" i="25"/>
  <c r="CL101" i="25"/>
  <c r="CK101" i="25"/>
  <c r="CJ101" i="25"/>
  <c r="DA100" i="25"/>
  <c r="CZ100" i="25"/>
  <c r="CY100" i="25"/>
  <c r="CX100" i="25"/>
  <c r="CW100" i="25"/>
  <c r="CU100" i="25"/>
  <c r="CT100" i="25"/>
  <c r="CS100" i="25"/>
  <c r="CR100" i="25"/>
  <c r="CQ100" i="25"/>
  <c r="CP100" i="25"/>
  <c r="CO100" i="25"/>
  <c r="CN100" i="25"/>
  <c r="CM100" i="25"/>
  <c r="CL100" i="25"/>
  <c r="CK100" i="25"/>
  <c r="CJ100" i="25"/>
  <c r="DA99" i="25"/>
  <c r="CZ99" i="25"/>
  <c r="CY99" i="25"/>
  <c r="CX99" i="25"/>
  <c r="CW99" i="25"/>
  <c r="CU99" i="25"/>
  <c r="CT99" i="25"/>
  <c r="CS99" i="25"/>
  <c r="CR99" i="25"/>
  <c r="CQ99" i="25"/>
  <c r="CP99" i="25"/>
  <c r="CO99" i="25"/>
  <c r="CN99" i="25"/>
  <c r="CM99" i="25"/>
  <c r="CL99" i="25"/>
  <c r="CK99" i="25"/>
  <c r="CJ99" i="25"/>
  <c r="DA98" i="25"/>
  <c r="CZ98" i="25"/>
  <c r="CY98" i="25"/>
  <c r="CX98" i="25"/>
  <c r="CW98" i="25"/>
  <c r="CU98" i="25"/>
  <c r="CT98" i="25"/>
  <c r="CS98" i="25"/>
  <c r="CR98" i="25"/>
  <c r="CQ98" i="25"/>
  <c r="CP98" i="25"/>
  <c r="CO98" i="25"/>
  <c r="CN98" i="25"/>
  <c r="CM98" i="25"/>
  <c r="CL98" i="25"/>
  <c r="CK98" i="25"/>
  <c r="CJ98" i="25"/>
  <c r="DA97" i="25"/>
  <c r="CZ97" i="25"/>
  <c r="CY97" i="25"/>
  <c r="CX97" i="25"/>
  <c r="CW97" i="25"/>
  <c r="CU97" i="25"/>
  <c r="CT97" i="25"/>
  <c r="CS97" i="25"/>
  <c r="CR97" i="25"/>
  <c r="CQ97" i="25"/>
  <c r="CP97" i="25"/>
  <c r="CO97" i="25"/>
  <c r="CN97" i="25"/>
  <c r="CM97" i="25"/>
  <c r="CL97" i="25"/>
  <c r="CK97" i="25"/>
  <c r="CJ97" i="25"/>
  <c r="DA96" i="25"/>
  <c r="CZ96" i="25"/>
  <c r="CY96" i="25"/>
  <c r="CX96" i="25"/>
  <c r="CW96" i="25"/>
  <c r="CU96" i="25"/>
  <c r="CT96" i="25"/>
  <c r="CS96" i="25"/>
  <c r="CR96" i="25"/>
  <c r="CQ96" i="25"/>
  <c r="CP96" i="25"/>
  <c r="CO96" i="25"/>
  <c r="CN96" i="25"/>
  <c r="CM96" i="25"/>
  <c r="CL96" i="25"/>
  <c r="CK96" i="25"/>
  <c r="CJ96" i="25"/>
  <c r="DA95" i="25"/>
  <c r="CZ95" i="25"/>
  <c r="CY95" i="25"/>
  <c r="CX95" i="25"/>
  <c r="CW95" i="25"/>
  <c r="CU95" i="25"/>
  <c r="CT95" i="25"/>
  <c r="CS95" i="25"/>
  <c r="CR95" i="25"/>
  <c r="CQ95" i="25"/>
  <c r="CP95" i="25"/>
  <c r="CO95" i="25"/>
  <c r="CN95" i="25"/>
  <c r="CM95" i="25"/>
  <c r="CL95" i="25"/>
  <c r="CK95" i="25"/>
  <c r="CJ95" i="25"/>
  <c r="DA94" i="25"/>
  <c r="CZ94" i="25"/>
  <c r="CY94" i="25"/>
  <c r="CX94" i="25"/>
  <c r="CW94" i="25"/>
  <c r="CU94" i="25"/>
  <c r="CT94" i="25"/>
  <c r="CS94" i="25"/>
  <c r="CR94" i="25"/>
  <c r="CQ94" i="25"/>
  <c r="CP94" i="25"/>
  <c r="CO94" i="25"/>
  <c r="CN94" i="25"/>
  <c r="CM94" i="25"/>
  <c r="CL94" i="25"/>
  <c r="CK94" i="25"/>
  <c r="CJ94" i="25"/>
  <c r="A94" i="25"/>
  <c r="DA93" i="25"/>
  <c r="CZ93" i="25"/>
  <c r="CY93" i="25"/>
  <c r="CX93" i="25"/>
  <c r="CW93" i="25"/>
  <c r="CU93" i="25"/>
  <c r="CT93" i="25"/>
  <c r="CS93" i="25"/>
  <c r="CR93" i="25"/>
  <c r="CQ93" i="25"/>
  <c r="CP93" i="25"/>
  <c r="CO93" i="25"/>
  <c r="CN93" i="25"/>
  <c r="CM93" i="25"/>
  <c r="CL93" i="25"/>
  <c r="CK93" i="25"/>
  <c r="CJ93" i="25"/>
  <c r="A93" i="25"/>
  <c r="DA92" i="25"/>
  <c r="CZ92" i="25"/>
  <c r="CY92" i="25"/>
  <c r="CX92" i="25"/>
  <c r="CW92" i="25"/>
  <c r="CU92" i="25"/>
  <c r="CT92" i="25"/>
  <c r="CS92" i="25"/>
  <c r="CR92" i="25"/>
  <c r="CQ92" i="25"/>
  <c r="CP92" i="25"/>
  <c r="CO92" i="25"/>
  <c r="CN92" i="25"/>
  <c r="CM92" i="25"/>
  <c r="CL92" i="25"/>
  <c r="CK92" i="25"/>
  <c r="CJ92" i="25"/>
  <c r="A74" i="25"/>
  <c r="P254" i="16" s="1"/>
  <c r="Y254" i="16" s="1"/>
  <c r="K15" i="13" s="1"/>
  <c r="A58" i="25"/>
  <c r="AL56" i="25" a="1"/>
  <c r="AL56" i="25" s="1"/>
  <c r="AL55" i="25" a="1"/>
  <c r="AL55" i="25" s="1"/>
  <c r="AL54" i="25" a="1"/>
  <c r="AL54" i="25" s="1"/>
  <c r="A54" i="25"/>
  <c r="AL53" i="25" a="1"/>
  <c r="AL53" i="25" s="1"/>
  <c r="AL52" i="25" a="1"/>
  <c r="AL52" i="25" s="1"/>
  <c r="AL51" i="25" a="1"/>
  <c r="AL51" i="25" s="1"/>
  <c r="A51" i="25"/>
  <c r="F49" i="25"/>
  <c r="AL48" i="25"/>
  <c r="F48" i="25"/>
  <c r="F47" i="25"/>
  <c r="F46" i="25"/>
  <c r="AN45" i="25" a="1"/>
  <c r="AN45" i="25" s="1"/>
  <c r="D53" i="7" s="1"/>
  <c r="F45" i="25"/>
  <c r="A45" i="25"/>
  <c r="F44" i="25"/>
  <c r="F43" i="25"/>
  <c r="AQ42" i="25"/>
  <c r="AP42" i="25"/>
  <c r="F42" i="25"/>
  <c r="A65" i="25" s="1"/>
  <c r="AQ41" i="25"/>
  <c r="F41" i="25"/>
  <c r="AQ40" i="25"/>
  <c r="AL40" i="25" a="1"/>
  <c r="AL40" i="25" s="1"/>
  <c r="AL41" i="25" s="1"/>
  <c r="F40" i="25"/>
  <c r="AQ39" i="25"/>
  <c r="AR39" i="25" s="1"/>
  <c r="AL39" i="25" a="1"/>
  <c r="AL39" i="25" s="1"/>
  <c r="AL42" i="25" s="1"/>
  <c r="F39" i="25"/>
  <c r="AQ38" i="25"/>
  <c r="F38" i="25"/>
  <c r="F37" i="25"/>
  <c r="AL35" i="25"/>
  <c r="F35" i="25"/>
  <c r="AP34" i="25" a="1"/>
  <c r="AP34" i="25" s="1"/>
  <c r="AP35" i="25" s="1"/>
  <c r="AL34" i="25"/>
  <c r="F34" i="25"/>
  <c r="F33" i="25"/>
  <c r="F32" i="25"/>
  <c r="F31" i="25"/>
  <c r="A37" i="25" s="1"/>
  <c r="AQ29" i="25"/>
  <c r="AP29" i="25"/>
  <c r="AO29" i="25"/>
  <c r="AN29" i="25"/>
  <c r="AM29" i="25"/>
  <c r="AQ28" i="25"/>
  <c r="AP28" i="25"/>
  <c r="AO28" i="25"/>
  <c r="AN28" i="25"/>
  <c r="AM28" i="25"/>
  <c r="AQ26" i="25"/>
  <c r="AP26" i="25"/>
  <c r="AO26" i="25"/>
  <c r="AN26" i="25"/>
  <c r="AM26" i="25"/>
  <c r="AQ25" i="25"/>
  <c r="AP25" i="25"/>
  <c r="AO25" i="25"/>
  <c r="AN25" i="25"/>
  <c r="AM25" i="25"/>
  <c r="O24" i="25"/>
  <c r="N24" i="25"/>
  <c r="O23" i="25"/>
  <c r="N23" i="25"/>
  <c r="F23" i="25"/>
  <c r="BF22" i="25"/>
  <c r="AZ22" i="25"/>
  <c r="P22" i="25"/>
  <c r="R22" i="25" s="1"/>
  <c r="N22" i="25"/>
  <c r="O22" i="25" s="1"/>
  <c r="F22" i="25"/>
  <c r="A43" i="25" s="1"/>
  <c r="AY21" i="25"/>
  <c r="AQ21" i="25"/>
  <c r="AQ15" i="25" s="1" a="1"/>
  <c r="AQ15" i="25" s="1"/>
  <c r="AP21" i="25"/>
  <c r="AP15" i="25" s="1" a="1"/>
  <c r="AP15" i="25" s="1"/>
  <c r="AO21" i="25"/>
  <c r="AO15" i="25" s="1" a="1"/>
  <c r="AO15" i="25" s="1"/>
  <c r="P21" i="25"/>
  <c r="R21" i="25" s="1"/>
  <c r="N21" i="25"/>
  <c r="O21" i="25" s="1"/>
  <c r="F21" i="25"/>
  <c r="A21" i="25"/>
  <c r="BF20" i="25"/>
  <c r="L49" i="13" s="1"/>
  <c r="AZ20" i="25"/>
  <c r="AY20" i="25"/>
  <c r="P20" i="25"/>
  <c r="R20" i="25" s="1"/>
  <c r="N20" i="25"/>
  <c r="O20" i="25" s="1"/>
  <c r="F20" i="25"/>
  <c r="A20" i="25"/>
  <c r="P19" i="25"/>
  <c r="R19" i="25" s="1"/>
  <c r="N19" i="25"/>
  <c r="O19" i="25" s="1"/>
  <c r="F19" i="25"/>
  <c r="P18" i="25"/>
  <c r="R18" i="25" s="1"/>
  <c r="N18" i="25"/>
  <c r="O18" i="25" s="1"/>
  <c r="F18" i="25"/>
  <c r="BF17" i="25"/>
  <c r="A68" i="25" s="1"/>
  <c r="P17" i="25"/>
  <c r="R17" i="25" s="1"/>
  <c r="N17" i="25"/>
  <c r="O17" i="25" s="1"/>
  <c r="F17" i="25"/>
  <c r="BU16" i="25"/>
  <c r="BF16" i="25"/>
  <c r="A63" i="25" s="1"/>
  <c r="AZ16" i="25"/>
  <c r="P16" i="25"/>
  <c r="R16" i="25" s="1"/>
  <c r="N16" i="25"/>
  <c r="O16" i="25" s="1"/>
  <c r="F16" i="25"/>
  <c r="BF15" i="25"/>
  <c r="AO16" i="25" s="1"/>
  <c r="AO17" i="25" s="1"/>
  <c r="P15" i="25"/>
  <c r="R15" i="25" s="1"/>
  <c r="N15" i="25"/>
  <c r="O15" i="25" s="1"/>
  <c r="F15" i="25"/>
  <c r="BF14" i="25"/>
  <c r="AN21" i="25" s="1"/>
  <c r="AY14" i="25"/>
  <c r="P14" i="25"/>
  <c r="R14" i="25" s="1"/>
  <c r="N14" i="25"/>
  <c r="O14" i="25" s="1"/>
  <c r="BF13" i="25"/>
  <c r="BA13" i="25"/>
  <c r="P13" i="25"/>
  <c r="R13" i="25" s="1"/>
  <c r="N13" i="25"/>
  <c r="O13" i="25" s="1"/>
  <c r="P12" i="25"/>
  <c r="R12" i="25" s="1"/>
  <c r="N12" i="25"/>
  <c r="O12" i="25" s="1"/>
  <c r="AB11" i="25"/>
  <c r="F148" i="16" s="1"/>
  <c r="P11" i="25"/>
  <c r="R11" i="25" s="1"/>
  <c r="N11" i="25"/>
  <c r="O11" i="25" s="1"/>
  <c r="BF10" i="25"/>
  <c r="P10" i="25"/>
  <c r="R10" i="25" s="1"/>
  <c r="N10" i="25"/>
  <c r="O10" i="25" s="1"/>
  <c r="BC9" i="25"/>
  <c r="AV9" i="25"/>
  <c r="AU9" i="25"/>
  <c r="P9" i="25"/>
  <c r="R9" i="25" s="1"/>
  <c r="N9" i="25"/>
  <c r="O9" i="25" s="1"/>
  <c r="BU8" i="25"/>
  <c r="BC8" i="25"/>
  <c r="AV8" i="25"/>
  <c r="AU8" i="25"/>
  <c r="V8" i="25"/>
  <c r="F36" i="25" s="1"/>
  <c r="P8" i="25"/>
  <c r="R8" i="25" s="1"/>
  <c r="N8" i="25"/>
  <c r="O8" i="25" s="1"/>
  <c r="F8" i="25"/>
  <c r="BC7" i="25"/>
  <c r="AX7" i="25"/>
  <c r="AV7" i="25"/>
  <c r="AU7" i="25"/>
  <c r="P7" i="25"/>
  <c r="R7" i="25" s="1"/>
  <c r="N7" i="25"/>
  <c r="O7" i="25" s="1"/>
  <c r="F7" i="25"/>
  <c r="BC6" i="25"/>
  <c r="AX6" i="25"/>
  <c r="AV6" i="25"/>
  <c r="AU6" i="25"/>
  <c r="P6" i="25"/>
  <c r="R6" i="25" s="1"/>
  <c r="N6" i="25"/>
  <c r="O6" i="25" s="1"/>
  <c r="F6" i="25"/>
  <c r="BF5" i="25"/>
  <c r="BC5" i="25"/>
  <c r="AX5" i="25"/>
  <c r="AV5" i="25"/>
  <c r="AU5" i="25"/>
  <c r="AN5" i="25"/>
  <c r="AM5" i="25"/>
  <c r="AL5" i="25"/>
  <c r="AK5" i="25"/>
  <c r="AI5" i="25"/>
  <c r="AH5" i="25"/>
  <c r="R4" i="22" s="1"/>
  <c r="S4" i="22" s="1"/>
  <c r="T4" i="22" s="1"/>
  <c r="U4" i="22" s="1"/>
  <c r="V4" i="22" s="1"/>
  <c r="W4" i="22" s="1"/>
  <c r="X4" i="22" s="1"/>
  <c r="Y4" i="22" s="1"/>
  <c r="Z4" i="22" s="1"/>
  <c r="AA4" i="22" s="1"/>
  <c r="AB4" i="22" s="1"/>
  <c r="AC4" i="22" s="1"/>
  <c r="AD4" i="22" s="1"/>
  <c r="AE4" i="22" s="1"/>
  <c r="AF4" i="22" s="1"/>
  <c r="AG4" i="22" s="1"/>
  <c r="AH4" i="22" s="1"/>
  <c r="AI4" i="22" s="1"/>
  <c r="AJ4" i="22" s="1"/>
  <c r="AK4" i="22" s="1"/>
  <c r="AL4" i="22" s="1"/>
  <c r="AM4" i="22" s="1"/>
  <c r="AN4" i="22" s="1"/>
  <c r="AO4" i="22" s="1"/>
  <c r="AP4" i="22" s="1"/>
  <c r="AQ4" i="22" s="1"/>
  <c r="AR4" i="22" s="1"/>
  <c r="AS4" i="22" s="1"/>
  <c r="AT4" i="22" s="1"/>
  <c r="AU4" i="22" s="1"/>
  <c r="AV4" i="22" s="1"/>
  <c r="AW4" i="22" s="1"/>
  <c r="AX4" i="22" s="1"/>
  <c r="AY4" i="22" s="1"/>
  <c r="AZ4" i="22" s="1"/>
  <c r="BA4" i="22" s="1"/>
  <c r="BB4" i="22" s="1"/>
  <c r="BC4" i="22" s="1"/>
  <c r="BD4" i="22" s="1"/>
  <c r="BE4" i="22" s="1"/>
  <c r="BF4" i="22" s="1"/>
  <c r="BG4" i="22" s="1"/>
  <c r="BH4" i="22" s="1"/>
  <c r="BI4" i="22" s="1"/>
  <c r="BJ4" i="22" s="1"/>
  <c r="BK4" i="22" s="1"/>
  <c r="BL4" i="22" s="1"/>
  <c r="BM4" i="22" s="1"/>
  <c r="BN4" i="22" s="1"/>
  <c r="BO4" i="22" s="1"/>
  <c r="BP4" i="22" s="1"/>
  <c r="BQ4" i="22" s="1"/>
  <c r="BR4" i="22" s="1"/>
  <c r="BS4" i="22" s="1"/>
  <c r="BT4" i="22" s="1"/>
  <c r="BU4" i="22" s="1"/>
  <c r="BV4" i="22" s="1"/>
  <c r="BW4" i="22" s="1"/>
  <c r="BX4" i="22" s="1"/>
  <c r="BY4" i="22" s="1"/>
  <c r="BZ4" i="22" s="1"/>
  <c r="CA4" i="22" s="1"/>
  <c r="CB4" i="22" s="1"/>
  <c r="CC4" i="22" s="1"/>
  <c r="CD4" i="22" s="1"/>
  <c r="CE4" i="22" s="1"/>
  <c r="CF4" i="22" s="1"/>
  <c r="CG4" i="22" s="1"/>
  <c r="CH4" i="22" s="1"/>
  <c r="CI4" i="22" s="1"/>
  <c r="CJ4" i="22" s="1"/>
  <c r="CK4" i="22" s="1"/>
  <c r="CL4" i="22" s="1"/>
  <c r="CM4" i="22" s="1"/>
  <c r="CN4" i="22" s="1"/>
  <c r="CO4" i="22" s="1"/>
  <c r="CP4" i="22" s="1"/>
  <c r="CQ4" i="22" s="1"/>
  <c r="CR4" i="22" s="1"/>
  <c r="CS4" i="22" s="1"/>
  <c r="CT4" i="22" s="1"/>
  <c r="CU4" i="22" s="1"/>
  <c r="CV4" i="22" s="1"/>
  <c r="CW4" i="22" s="1"/>
  <c r="CX4" i="22" s="1"/>
  <c r="CY4" i="22" s="1"/>
  <c r="CZ4" i="22" s="1"/>
  <c r="DA4" i="22" s="1"/>
  <c r="DB4" i="22" s="1"/>
  <c r="DC4" i="22" s="1"/>
  <c r="DD4" i="22" s="1"/>
  <c r="DE4" i="22" s="1"/>
  <c r="DF4" i="22" s="1"/>
  <c r="DG4" i="22" s="1"/>
  <c r="DH4" i="22" s="1"/>
  <c r="DI4" i="22" s="1"/>
  <c r="DJ4" i="22" s="1"/>
  <c r="DK4" i="22" s="1"/>
  <c r="DL4" i="22" s="1"/>
  <c r="DM4" i="22" s="1"/>
  <c r="DN4" i="22" s="1"/>
  <c r="DO4" i="22" s="1"/>
  <c r="DP4" i="22" s="1"/>
  <c r="DQ4" i="22" s="1"/>
  <c r="DR4" i="22" s="1"/>
  <c r="DS4" i="22" s="1"/>
  <c r="DT4" i="22" s="1"/>
  <c r="DU4" i="22" s="1"/>
  <c r="DV4" i="22" s="1"/>
  <c r="DW4" i="22" s="1"/>
  <c r="DX4" i="22" s="1"/>
  <c r="DY4" i="22" s="1"/>
  <c r="DZ4" i="22" s="1"/>
  <c r="EA4" i="22" s="1"/>
  <c r="EB4" i="22" s="1"/>
  <c r="EC4" i="22" s="1"/>
  <c r="ED4" i="22" s="1"/>
  <c r="EE4" i="22" s="1"/>
  <c r="EF4" i="22" s="1"/>
  <c r="EG4" i="22" s="1"/>
  <c r="EH4" i="22" s="1"/>
  <c r="EI4" i="22" s="1"/>
  <c r="EJ4" i="22" s="1"/>
  <c r="EK4" i="22" s="1"/>
  <c r="EL4" i="22" s="1"/>
  <c r="EM4" i="22" s="1"/>
  <c r="EN4" i="22" s="1"/>
  <c r="EO4" i="22" s="1"/>
  <c r="EP4" i="22" s="1"/>
  <c r="EQ4" i="22" s="1"/>
  <c r="ER4" i="22" s="1"/>
  <c r="ES4" i="22" s="1"/>
  <c r="P5" i="25"/>
  <c r="R5" i="25" s="1"/>
  <c r="N5" i="25"/>
  <c r="F5" i="25"/>
  <c r="S408" i="23"/>
  <c r="S407" i="23"/>
  <c r="S406" i="23"/>
  <c r="S377" i="23"/>
  <c r="S380" i="23" s="1"/>
  <c r="S354" i="23" s="1"/>
  <c r="S373" i="23"/>
  <c r="S339" i="23"/>
  <c r="S331" i="23"/>
  <c r="S329" i="23"/>
  <c r="EI327" i="23"/>
  <c r="EH327" i="23"/>
  <c r="EG327" i="23"/>
  <c r="EF327" i="23"/>
  <c r="EE327" i="23"/>
  <c r="ED327" i="23"/>
  <c r="EC327" i="23"/>
  <c r="EB327" i="23"/>
  <c r="EA327" i="23"/>
  <c r="DZ327" i="23"/>
  <c r="DY327" i="23"/>
  <c r="DX327" i="23"/>
  <c r="DW327" i="23"/>
  <c r="DV327" i="23"/>
  <c r="DU327" i="23"/>
  <c r="DT327" i="23"/>
  <c r="DS327" i="23"/>
  <c r="DR327" i="23"/>
  <c r="DQ327" i="23"/>
  <c r="DP327" i="23"/>
  <c r="DO327" i="23"/>
  <c r="DN327" i="23"/>
  <c r="DM327" i="23"/>
  <c r="DL327" i="23"/>
  <c r="DK327" i="23"/>
  <c r="DJ327" i="23"/>
  <c r="DI327" i="23"/>
  <c r="DH327" i="23"/>
  <c r="DG327" i="23"/>
  <c r="DF327" i="23"/>
  <c r="DE327" i="23"/>
  <c r="DD327" i="23"/>
  <c r="DC327" i="23"/>
  <c r="DB327" i="23"/>
  <c r="DA327" i="23"/>
  <c r="CZ327" i="23"/>
  <c r="CY327" i="23"/>
  <c r="CX327" i="23"/>
  <c r="CW327" i="23"/>
  <c r="CV327" i="23"/>
  <c r="CU327" i="23"/>
  <c r="CT327" i="23"/>
  <c r="CS327" i="23"/>
  <c r="CR327" i="23"/>
  <c r="CQ327" i="23"/>
  <c r="CP327" i="23"/>
  <c r="CO327" i="23"/>
  <c r="CN327" i="23"/>
  <c r="CM327" i="23"/>
  <c r="CL327" i="23"/>
  <c r="CK327" i="23"/>
  <c r="CJ327" i="23"/>
  <c r="CI327" i="23"/>
  <c r="CH327" i="23"/>
  <c r="CG327" i="23"/>
  <c r="CF327" i="23"/>
  <c r="CE327" i="23"/>
  <c r="CD327" i="23"/>
  <c r="CC327" i="23"/>
  <c r="CB327" i="23"/>
  <c r="CA327" i="23"/>
  <c r="BZ327" i="23"/>
  <c r="BY327" i="23"/>
  <c r="BX327" i="23"/>
  <c r="BW327" i="23"/>
  <c r="BV327" i="23"/>
  <c r="BU327" i="23"/>
  <c r="BT327" i="23"/>
  <c r="BS327" i="23"/>
  <c r="BR327" i="23"/>
  <c r="BQ327" i="23"/>
  <c r="BP327" i="23"/>
  <c r="BO327" i="23"/>
  <c r="BN327" i="23"/>
  <c r="BM327" i="23"/>
  <c r="BL327" i="23"/>
  <c r="BK327" i="23"/>
  <c r="BJ327" i="23"/>
  <c r="BI327" i="23"/>
  <c r="BH327" i="23"/>
  <c r="BG327" i="23"/>
  <c r="BF327" i="23"/>
  <c r="BE327" i="23"/>
  <c r="BD327" i="23"/>
  <c r="BC327" i="23"/>
  <c r="BB327" i="23"/>
  <c r="BA327" i="23"/>
  <c r="AZ327" i="23"/>
  <c r="AY327" i="23"/>
  <c r="AX327" i="23"/>
  <c r="AW327" i="23"/>
  <c r="AV327" i="23"/>
  <c r="AU327" i="23"/>
  <c r="AT327" i="23"/>
  <c r="AS327" i="23"/>
  <c r="AR327" i="23"/>
  <c r="AQ327" i="23"/>
  <c r="AP327" i="23"/>
  <c r="AO327" i="23"/>
  <c r="AN327" i="23"/>
  <c r="AM327" i="23"/>
  <c r="AL327" i="23"/>
  <c r="AK327" i="23"/>
  <c r="AJ327" i="23"/>
  <c r="AI327" i="23"/>
  <c r="AH327" i="23"/>
  <c r="AG327" i="23"/>
  <c r="AF327" i="23"/>
  <c r="AE327" i="23"/>
  <c r="AD327" i="23"/>
  <c r="AC327" i="23"/>
  <c r="AB327" i="23"/>
  <c r="AA327" i="23"/>
  <c r="Z327" i="23"/>
  <c r="Y327" i="23"/>
  <c r="X327" i="23"/>
  <c r="W327" i="23"/>
  <c r="V327" i="23"/>
  <c r="U327" i="23"/>
  <c r="T327" i="23"/>
  <c r="EI326" i="23"/>
  <c r="EH326" i="23"/>
  <c r="EG326" i="23"/>
  <c r="EF326" i="23"/>
  <c r="EE326" i="23"/>
  <c r="ED326" i="23"/>
  <c r="EC326" i="23"/>
  <c r="EB326" i="23"/>
  <c r="EA326" i="23"/>
  <c r="DZ326" i="23"/>
  <c r="DY326" i="23"/>
  <c r="DX326" i="23"/>
  <c r="DW326" i="23"/>
  <c r="DV326" i="23"/>
  <c r="DU326" i="23"/>
  <c r="DT326" i="23"/>
  <c r="DS326" i="23"/>
  <c r="DR326" i="23"/>
  <c r="DQ326" i="23"/>
  <c r="DP326" i="23"/>
  <c r="DO326" i="23"/>
  <c r="DN326" i="23"/>
  <c r="DM326" i="23"/>
  <c r="DL326" i="23"/>
  <c r="DK326" i="23"/>
  <c r="DJ326" i="23"/>
  <c r="DI326" i="23"/>
  <c r="DH326" i="23"/>
  <c r="DG326" i="23"/>
  <c r="DF326" i="23"/>
  <c r="DE326" i="23"/>
  <c r="DD326" i="23"/>
  <c r="DC326" i="23"/>
  <c r="DB326" i="23"/>
  <c r="DA326" i="23"/>
  <c r="CZ326" i="23"/>
  <c r="CY326" i="23"/>
  <c r="CX326" i="23"/>
  <c r="CW326" i="23"/>
  <c r="CV326" i="23"/>
  <c r="CU326" i="23"/>
  <c r="CT326" i="23"/>
  <c r="CS326" i="23"/>
  <c r="CR326" i="23"/>
  <c r="CQ326" i="23"/>
  <c r="CP326" i="23"/>
  <c r="CO326" i="23"/>
  <c r="CN326" i="23"/>
  <c r="CM326" i="23"/>
  <c r="CL326" i="23"/>
  <c r="CK326" i="23"/>
  <c r="CJ326" i="23"/>
  <c r="CI326" i="23"/>
  <c r="CH326" i="23"/>
  <c r="CG326" i="23"/>
  <c r="CF326" i="23"/>
  <c r="CE326" i="23"/>
  <c r="CD326" i="23"/>
  <c r="CC326" i="23"/>
  <c r="CB326" i="23"/>
  <c r="CA326" i="23"/>
  <c r="BZ326" i="23"/>
  <c r="BY326" i="23"/>
  <c r="BX326" i="23"/>
  <c r="BW326" i="23"/>
  <c r="BV326" i="23"/>
  <c r="BU326" i="23"/>
  <c r="BT326" i="23"/>
  <c r="BS326" i="23"/>
  <c r="BR326" i="23"/>
  <c r="BQ326" i="23"/>
  <c r="BP326" i="23"/>
  <c r="BO326" i="23"/>
  <c r="BN326" i="23"/>
  <c r="BM326" i="23"/>
  <c r="BL326" i="23"/>
  <c r="BK326" i="23"/>
  <c r="BJ326" i="23"/>
  <c r="BI326" i="23"/>
  <c r="BH326" i="23"/>
  <c r="BG326" i="23"/>
  <c r="BF326" i="23"/>
  <c r="BE326" i="23"/>
  <c r="BD326" i="23"/>
  <c r="BC326" i="23"/>
  <c r="BB326" i="23"/>
  <c r="BA326" i="23"/>
  <c r="AZ326" i="23"/>
  <c r="AY326" i="23"/>
  <c r="AX326" i="23"/>
  <c r="AW326" i="23"/>
  <c r="AV326" i="23"/>
  <c r="AU326" i="23"/>
  <c r="AT326" i="23"/>
  <c r="AS326" i="23"/>
  <c r="AR326" i="23"/>
  <c r="AQ326" i="23"/>
  <c r="AP326" i="23"/>
  <c r="AO326" i="23"/>
  <c r="AN326" i="23"/>
  <c r="AM326" i="23"/>
  <c r="AL326" i="23"/>
  <c r="AK326" i="23"/>
  <c r="AJ326" i="23"/>
  <c r="AI326" i="23"/>
  <c r="AH326" i="23"/>
  <c r="AG326" i="23"/>
  <c r="AF326" i="23"/>
  <c r="AE326" i="23"/>
  <c r="AD326" i="23"/>
  <c r="AC326" i="23"/>
  <c r="AB326" i="23"/>
  <c r="AA326" i="23"/>
  <c r="Z326" i="23"/>
  <c r="Y326" i="23"/>
  <c r="X326" i="23"/>
  <c r="W326" i="23"/>
  <c r="V326" i="23"/>
  <c r="U326" i="23"/>
  <c r="T326" i="23"/>
  <c r="EI325" i="23"/>
  <c r="EH325" i="23"/>
  <c r="EG325" i="23"/>
  <c r="EF325" i="23"/>
  <c r="EE325" i="23"/>
  <c r="ED325" i="23"/>
  <c r="EC325" i="23"/>
  <c r="EB325" i="23"/>
  <c r="EA325" i="23"/>
  <c r="DZ325" i="23"/>
  <c r="DY325" i="23"/>
  <c r="DX325" i="23"/>
  <c r="DW325" i="23"/>
  <c r="DV325" i="23"/>
  <c r="DU325" i="23"/>
  <c r="DT325" i="23"/>
  <c r="DS325" i="23"/>
  <c r="DR325" i="23"/>
  <c r="DQ325" i="23"/>
  <c r="DP325" i="23"/>
  <c r="DO325" i="23"/>
  <c r="DN325" i="23"/>
  <c r="DM325" i="23"/>
  <c r="DL325" i="23"/>
  <c r="DK325" i="23"/>
  <c r="DJ325" i="23"/>
  <c r="DI325" i="23"/>
  <c r="DH325" i="23"/>
  <c r="DG325" i="23"/>
  <c r="DF325" i="23"/>
  <c r="DE325" i="23"/>
  <c r="DD325" i="23"/>
  <c r="DC325" i="23"/>
  <c r="DB325" i="23"/>
  <c r="DA325" i="23"/>
  <c r="CZ325" i="23"/>
  <c r="CY325" i="23"/>
  <c r="CX325" i="23"/>
  <c r="CW325" i="23"/>
  <c r="CV325" i="23"/>
  <c r="CU325" i="23"/>
  <c r="CT325" i="23"/>
  <c r="CS325" i="23"/>
  <c r="CR325" i="23"/>
  <c r="CQ325" i="23"/>
  <c r="CP325" i="23"/>
  <c r="CO325" i="23"/>
  <c r="CN325" i="23"/>
  <c r="CM325" i="23"/>
  <c r="CL325" i="23"/>
  <c r="CK325" i="23"/>
  <c r="CJ325" i="23"/>
  <c r="CI325" i="23"/>
  <c r="CH325" i="23"/>
  <c r="CG325" i="23"/>
  <c r="CF325" i="23"/>
  <c r="CE325" i="23"/>
  <c r="CD325" i="23"/>
  <c r="CC325" i="23"/>
  <c r="CB325" i="23"/>
  <c r="CA325" i="23"/>
  <c r="BZ325" i="23"/>
  <c r="BY325" i="23"/>
  <c r="BX325" i="23"/>
  <c r="BW325" i="23"/>
  <c r="BV325" i="23"/>
  <c r="BU325" i="23"/>
  <c r="BT325" i="23"/>
  <c r="BS325" i="23"/>
  <c r="BR325" i="23"/>
  <c r="BQ325" i="23"/>
  <c r="BP325" i="23"/>
  <c r="BO325" i="23"/>
  <c r="BN325" i="23"/>
  <c r="BM325" i="23"/>
  <c r="BL325" i="23"/>
  <c r="BK325" i="23"/>
  <c r="BJ325" i="23"/>
  <c r="BI325" i="23"/>
  <c r="BH325" i="23"/>
  <c r="BG325" i="23"/>
  <c r="BF325" i="23"/>
  <c r="BE325" i="23"/>
  <c r="BD325" i="23"/>
  <c r="BC325" i="23"/>
  <c r="BB325" i="23"/>
  <c r="BA325" i="23"/>
  <c r="AZ325" i="23"/>
  <c r="AY325" i="23"/>
  <c r="AX325" i="23"/>
  <c r="AW325" i="23"/>
  <c r="AV325" i="23"/>
  <c r="AU325" i="23"/>
  <c r="AT325" i="23"/>
  <c r="AS325" i="23"/>
  <c r="AR325" i="23"/>
  <c r="AQ325" i="23"/>
  <c r="AP325" i="23"/>
  <c r="AO325" i="23"/>
  <c r="AN325" i="23"/>
  <c r="AM325" i="23"/>
  <c r="AL325" i="23"/>
  <c r="AK325" i="23"/>
  <c r="AJ325" i="23"/>
  <c r="AI325" i="23"/>
  <c r="AH325" i="23"/>
  <c r="AG325" i="23"/>
  <c r="AF325" i="23"/>
  <c r="AE325" i="23"/>
  <c r="AD325" i="23"/>
  <c r="AC325" i="23"/>
  <c r="AB325" i="23"/>
  <c r="AA325" i="23"/>
  <c r="Z325" i="23"/>
  <c r="Y325" i="23"/>
  <c r="X325" i="23"/>
  <c r="W325" i="23"/>
  <c r="V325" i="23"/>
  <c r="U325" i="23"/>
  <c r="T325" i="23"/>
  <c r="B298" i="23"/>
  <c r="B276" i="23"/>
  <c r="B240" i="23"/>
  <c r="B233" i="23"/>
  <c r="B226" i="23"/>
  <c r="B219" i="23"/>
  <c r="B212" i="23"/>
  <c r="B190" i="23"/>
  <c r="B167" i="23"/>
  <c r="B144" i="23"/>
  <c r="B52" i="23"/>
  <c r="B51" i="23"/>
  <c r="B50" i="23"/>
  <c r="B49" i="23"/>
  <c r="B48" i="23"/>
  <c r="B47" i="23"/>
  <c r="B46" i="23"/>
  <c r="B45" i="23"/>
  <c r="B44" i="23"/>
  <c r="B43" i="23"/>
  <c r="B42" i="23"/>
  <c r="B41" i="23"/>
  <c r="B40" i="23"/>
  <c r="B39" i="23"/>
  <c r="N13" i="23"/>
  <c r="M13" i="23"/>
  <c r="L13" i="23"/>
  <c r="K13" i="23"/>
  <c r="J13" i="23"/>
  <c r="I13" i="23"/>
  <c r="H13" i="23"/>
  <c r="G13" i="23"/>
  <c r="F13" i="23"/>
  <c r="E13" i="23"/>
  <c r="S12" i="23"/>
  <c r="S6" i="23"/>
  <c r="T5" i="23"/>
  <c r="U5" i="23" s="1"/>
  <c r="E5" i="23"/>
  <c r="F5" i="23" s="1"/>
  <c r="B2" i="23"/>
  <c r="B150" i="22"/>
  <c r="B149" i="22"/>
  <c r="B148" i="22"/>
  <c r="B147" i="22"/>
  <c r="B146" i="22"/>
  <c r="B145" i="22"/>
  <c r="B144" i="22"/>
  <c r="B143" i="22"/>
  <c r="B142" i="22"/>
  <c r="B79" i="22" s="1"/>
  <c r="B141" i="22"/>
  <c r="B78" i="22" s="1"/>
  <c r="B134" i="22"/>
  <c r="B133" i="22"/>
  <c r="B132" i="22"/>
  <c r="B131" i="22"/>
  <c r="B130" i="22"/>
  <c r="B129" i="22"/>
  <c r="B128" i="22"/>
  <c r="B127" i="22"/>
  <c r="B126" i="22"/>
  <c r="B125" i="22"/>
  <c r="B124" i="22"/>
  <c r="B123" i="22"/>
  <c r="B122" i="22"/>
  <c r="B121" i="22"/>
  <c r="B120" i="22"/>
  <c r="B119" i="22"/>
  <c r="B118" i="22"/>
  <c r="B117" i="22"/>
  <c r="B116" i="22"/>
  <c r="B115" i="22"/>
  <c r="B107" i="22"/>
  <c r="B106" i="22"/>
  <c r="B105" i="22"/>
  <c r="B48" i="9" s="1"/>
  <c r="B104" i="22"/>
  <c r="B47" i="10" s="1"/>
  <c r="B103" i="22"/>
  <c r="B46" i="9" s="1"/>
  <c r="B102" i="22"/>
  <c r="B45" i="9" s="1"/>
  <c r="B101" i="22"/>
  <c r="B44" i="10" s="1"/>
  <c r="B100" i="22"/>
  <c r="B43" i="10" s="1"/>
  <c r="B99" i="22"/>
  <c r="B42" i="9" s="1"/>
  <c r="B98" i="22"/>
  <c r="B41" i="10" s="1"/>
  <c r="B97" i="22"/>
  <c r="B40" i="10" s="1"/>
  <c r="B96" i="22"/>
  <c r="B39" i="9" s="1"/>
  <c r="B95" i="22"/>
  <c r="B38" i="9" s="1"/>
  <c r="B94" i="22"/>
  <c r="B37" i="9" s="1"/>
  <c r="B93" i="22"/>
  <c r="B36" i="10" s="1"/>
  <c r="B92" i="22"/>
  <c r="B35" i="10" s="1"/>
  <c r="B91" i="22"/>
  <c r="B34" i="10" s="1"/>
  <c r="B90" i="22"/>
  <c r="B33" i="10" s="1"/>
  <c r="B89" i="22"/>
  <c r="B32" i="9" s="1"/>
  <c r="B88" i="22"/>
  <c r="B31" i="10" s="1"/>
  <c r="ES82" i="22"/>
  <c r="ER82" i="22"/>
  <c r="EQ82" i="22"/>
  <c r="EP82" i="22"/>
  <c r="EO82" i="22"/>
  <c r="EN82" i="22"/>
  <c r="EM82" i="22"/>
  <c r="EL82" i="22"/>
  <c r="EK82" i="22"/>
  <c r="EJ82" i="22"/>
  <c r="EI82" i="22"/>
  <c r="EH82" i="22"/>
  <c r="EG82" i="22"/>
  <c r="EF82" i="22"/>
  <c r="EE82" i="22"/>
  <c r="ED82" i="22"/>
  <c r="EC82" i="22"/>
  <c r="EB82" i="22"/>
  <c r="EA82" i="22"/>
  <c r="DZ82" i="22"/>
  <c r="DY82" i="22"/>
  <c r="DX82" i="22"/>
  <c r="DW82" i="22"/>
  <c r="DV82" i="22"/>
  <c r="DU82" i="22"/>
  <c r="DT82" i="22"/>
  <c r="DS82" i="22"/>
  <c r="DR82" i="22"/>
  <c r="DQ82" i="22"/>
  <c r="DP82" i="22"/>
  <c r="DO82" i="22"/>
  <c r="DN82" i="22"/>
  <c r="DM82" i="22"/>
  <c r="DL82" i="22"/>
  <c r="DK82" i="22"/>
  <c r="DJ82" i="22"/>
  <c r="DI82" i="22"/>
  <c r="DH82" i="22"/>
  <c r="DG82" i="22"/>
  <c r="DF82" i="22"/>
  <c r="DE82" i="22"/>
  <c r="DD82" i="22"/>
  <c r="DC82" i="22"/>
  <c r="DB82" i="22"/>
  <c r="DA82" i="22"/>
  <c r="CZ82" i="22"/>
  <c r="CY82" i="22"/>
  <c r="CX82" i="22"/>
  <c r="CW82" i="22"/>
  <c r="CV82" i="22"/>
  <c r="CU82" i="22"/>
  <c r="CT82" i="22"/>
  <c r="CS82" i="22"/>
  <c r="CR82" i="22"/>
  <c r="CQ82" i="22"/>
  <c r="CP82" i="22"/>
  <c r="CO82" i="22"/>
  <c r="CN82" i="22"/>
  <c r="CM82" i="22"/>
  <c r="CL82" i="22"/>
  <c r="CK82" i="22"/>
  <c r="CJ82" i="22"/>
  <c r="CI82" i="22"/>
  <c r="CH82" i="22"/>
  <c r="CG82" i="22"/>
  <c r="CF82" i="22"/>
  <c r="CE82" i="22"/>
  <c r="CD82" i="22"/>
  <c r="CC82" i="22"/>
  <c r="CB82" i="22"/>
  <c r="CA82" i="22"/>
  <c r="BZ82" i="22"/>
  <c r="BY82" i="22"/>
  <c r="BX82" i="22"/>
  <c r="BW82" i="22"/>
  <c r="BV82" i="22"/>
  <c r="BU82" i="22"/>
  <c r="BT82" i="22"/>
  <c r="BS82" i="22"/>
  <c r="BR82" i="22"/>
  <c r="BQ82" i="22"/>
  <c r="BP82" i="22"/>
  <c r="BO82" i="22"/>
  <c r="BN82" i="22"/>
  <c r="BM82" i="22"/>
  <c r="BL82" i="22"/>
  <c r="BK82" i="22"/>
  <c r="BJ82" i="22"/>
  <c r="BI82" i="22"/>
  <c r="BH82" i="22"/>
  <c r="BG82" i="22"/>
  <c r="BF82" i="22"/>
  <c r="BE82" i="22"/>
  <c r="BD82" i="22"/>
  <c r="BC82" i="22"/>
  <c r="BB82" i="22"/>
  <c r="BA82" i="22"/>
  <c r="AZ82" i="22"/>
  <c r="AY82" i="22"/>
  <c r="AX82" i="22"/>
  <c r="AW82" i="22"/>
  <c r="AV82" i="22"/>
  <c r="AU82" i="22"/>
  <c r="AT82" i="22"/>
  <c r="AS82" i="22"/>
  <c r="AR82" i="22"/>
  <c r="AQ82" i="22"/>
  <c r="AP82" i="22"/>
  <c r="AO82" i="22"/>
  <c r="AN82" i="22"/>
  <c r="AM82" i="22"/>
  <c r="AL82" i="22"/>
  <c r="AK82" i="22"/>
  <c r="AJ82" i="22"/>
  <c r="AI82" i="22"/>
  <c r="AH82" i="22"/>
  <c r="AG82" i="22"/>
  <c r="AF82" i="22"/>
  <c r="AE82" i="22"/>
  <c r="AD82" i="22"/>
  <c r="AC82" i="22"/>
  <c r="AB82" i="22"/>
  <c r="AA82" i="22"/>
  <c r="Z82" i="22"/>
  <c r="Y82" i="22"/>
  <c r="X82" i="22"/>
  <c r="W82" i="22"/>
  <c r="V82" i="22"/>
  <c r="U82" i="22"/>
  <c r="T82" i="22"/>
  <c r="S82" i="22"/>
  <c r="R82" i="22"/>
  <c r="Q57" i="22"/>
  <c r="A55" i="22"/>
  <c r="A54" i="22"/>
  <c r="A46" i="22"/>
  <c r="A45" i="22"/>
  <c r="Q13" i="22"/>
  <c r="Q11" i="22" s="1"/>
  <c r="B11" i="22"/>
  <c r="B10" i="22"/>
  <c r="R5" i="22"/>
  <c r="B2" i="22"/>
  <c r="E16" i="21"/>
  <c r="E14" i="21"/>
  <c r="B7" i="21"/>
  <c r="EE21" i="20"/>
  <c r="ED21" i="20"/>
  <c r="EC21" i="20"/>
  <c r="EB21" i="20"/>
  <c r="EA21" i="20"/>
  <c r="DZ21" i="20"/>
  <c r="DY21" i="20"/>
  <c r="DX21" i="20"/>
  <c r="DW21" i="20"/>
  <c r="DV21" i="20"/>
  <c r="DU21" i="20"/>
  <c r="DT21" i="20"/>
  <c r="DS21" i="20"/>
  <c r="DR21" i="20"/>
  <c r="DQ21" i="20"/>
  <c r="DP21" i="20"/>
  <c r="DO21" i="20"/>
  <c r="DN21" i="20"/>
  <c r="DM21" i="20"/>
  <c r="DL21" i="20"/>
  <c r="DK21" i="20"/>
  <c r="DJ21" i="20"/>
  <c r="DI21" i="20"/>
  <c r="DH21" i="20"/>
  <c r="DG21" i="20"/>
  <c r="DF21" i="20"/>
  <c r="DE21" i="20"/>
  <c r="DD21" i="20"/>
  <c r="DC21" i="20"/>
  <c r="DB21" i="20"/>
  <c r="DA21" i="20"/>
  <c r="CZ21" i="20"/>
  <c r="CY21" i="20"/>
  <c r="CX21" i="20"/>
  <c r="CW21" i="20"/>
  <c r="CV21" i="20"/>
  <c r="CU21" i="20"/>
  <c r="CT21" i="20"/>
  <c r="CS21" i="20"/>
  <c r="CR21" i="20"/>
  <c r="CQ21" i="20"/>
  <c r="CP21" i="20"/>
  <c r="CO21" i="20"/>
  <c r="CN21" i="20"/>
  <c r="CM21" i="20"/>
  <c r="CL21" i="20"/>
  <c r="CK21" i="20"/>
  <c r="CJ21" i="20"/>
  <c r="CI21" i="20"/>
  <c r="CH21" i="20"/>
  <c r="CG21" i="20"/>
  <c r="CF21" i="20"/>
  <c r="CE21" i="20"/>
  <c r="CD21" i="20"/>
  <c r="CC21" i="20"/>
  <c r="CB21" i="20"/>
  <c r="CA21" i="20"/>
  <c r="BZ21" i="20"/>
  <c r="BY21" i="20"/>
  <c r="BX21" i="20"/>
  <c r="BW21" i="20"/>
  <c r="BV21" i="20"/>
  <c r="BU21" i="20"/>
  <c r="BT21" i="20"/>
  <c r="BS21" i="20"/>
  <c r="BR21" i="20"/>
  <c r="BQ21" i="20"/>
  <c r="BP21" i="20"/>
  <c r="BO21" i="20"/>
  <c r="BN21" i="20"/>
  <c r="BM21" i="20"/>
  <c r="BL21" i="20"/>
  <c r="BK21" i="20"/>
  <c r="BJ21" i="20"/>
  <c r="BI21" i="20"/>
  <c r="BH21" i="20"/>
  <c r="BG21" i="20"/>
  <c r="BF21" i="20"/>
  <c r="BE21" i="20"/>
  <c r="BD21" i="20"/>
  <c r="BC21" i="20"/>
  <c r="BB21" i="20"/>
  <c r="BA21" i="20"/>
  <c r="AZ21" i="20"/>
  <c r="AY21" i="20"/>
  <c r="AX21" i="20"/>
  <c r="AW21" i="20"/>
  <c r="AV21" i="20"/>
  <c r="AU21" i="20"/>
  <c r="AT21" i="20"/>
  <c r="AS21" i="20"/>
  <c r="AR21" i="20"/>
  <c r="AQ21" i="20"/>
  <c r="AP21" i="20"/>
  <c r="AO21" i="20"/>
  <c r="AN21" i="20"/>
  <c r="AM21" i="20"/>
  <c r="AL21" i="20"/>
  <c r="AK21" i="20"/>
  <c r="AJ21" i="20"/>
  <c r="AI21" i="20"/>
  <c r="AH21" i="20"/>
  <c r="AG21" i="20"/>
  <c r="AF21" i="20"/>
  <c r="AE21" i="20"/>
  <c r="AD21" i="20"/>
  <c r="AC21" i="20"/>
  <c r="AB21" i="20"/>
  <c r="AA21" i="20"/>
  <c r="Z21" i="20"/>
  <c r="Y21" i="20"/>
  <c r="X21" i="20"/>
  <c r="W21" i="20"/>
  <c r="V21" i="20"/>
  <c r="U21" i="20"/>
  <c r="T21" i="20"/>
  <c r="S21" i="20"/>
  <c r="R21" i="20"/>
  <c r="Q21" i="20"/>
  <c r="P21" i="20"/>
  <c r="O21" i="20"/>
  <c r="N21" i="20"/>
  <c r="M21" i="20"/>
  <c r="L21" i="20"/>
  <c r="K21" i="20"/>
  <c r="J21" i="20"/>
  <c r="I21" i="20"/>
  <c r="H21" i="20"/>
  <c r="G21" i="20"/>
  <c r="F21" i="20"/>
  <c r="E21" i="20"/>
  <c r="D21" i="20"/>
  <c r="E17" i="20"/>
  <c r="F17" i="20" s="1"/>
  <c r="G17" i="20" s="1"/>
  <c r="H17" i="20" s="1"/>
  <c r="I17" i="20" s="1"/>
  <c r="J17" i="20" s="1"/>
  <c r="K17" i="20" s="1"/>
  <c r="L17" i="20" s="1"/>
  <c r="M17" i="20" s="1"/>
  <c r="N17" i="20" s="1"/>
  <c r="O17" i="20" s="1"/>
  <c r="P17" i="20" s="1"/>
  <c r="Q17" i="20" s="1"/>
  <c r="R17" i="20" s="1"/>
  <c r="S17" i="20" s="1"/>
  <c r="T17" i="20" s="1"/>
  <c r="U17" i="20" s="1"/>
  <c r="V17" i="20" s="1"/>
  <c r="W17" i="20" s="1"/>
  <c r="X17" i="20" s="1"/>
  <c r="Y17" i="20" s="1"/>
  <c r="Z17" i="20" s="1"/>
  <c r="AA17" i="20" s="1"/>
  <c r="AB17" i="20" s="1"/>
  <c r="AC17" i="20" s="1"/>
  <c r="AD17" i="20" s="1"/>
  <c r="AE17" i="20" s="1"/>
  <c r="AF17" i="20" s="1"/>
  <c r="AG17" i="20" s="1"/>
  <c r="AH17" i="20" s="1"/>
  <c r="AI17" i="20" s="1"/>
  <c r="AJ17" i="20" s="1"/>
  <c r="AK17" i="20" s="1"/>
  <c r="AL17" i="20" s="1"/>
  <c r="AM17" i="20" s="1"/>
  <c r="AN17" i="20" s="1"/>
  <c r="AO17" i="20" s="1"/>
  <c r="AP17" i="20" s="1"/>
  <c r="AQ17" i="20" s="1"/>
  <c r="AR17" i="20" s="1"/>
  <c r="AS17" i="20" s="1"/>
  <c r="AT17" i="20" s="1"/>
  <c r="AU17" i="20" s="1"/>
  <c r="AV17" i="20" s="1"/>
  <c r="AW17" i="20" s="1"/>
  <c r="AX17" i="20" s="1"/>
  <c r="AY17" i="20" s="1"/>
  <c r="AZ17" i="20" s="1"/>
  <c r="BA17" i="20" s="1"/>
  <c r="BB17" i="20" s="1"/>
  <c r="BC17" i="20" s="1"/>
  <c r="BD17" i="20" s="1"/>
  <c r="BE17" i="20" s="1"/>
  <c r="BF17" i="20" s="1"/>
  <c r="F10" i="20"/>
  <c r="B4" i="20"/>
  <c r="G35" i="19"/>
  <c r="AN27" i="25" s="1"/>
  <c r="F35" i="19"/>
  <c r="AM27" i="25" s="1"/>
  <c r="G22" i="19"/>
  <c r="F22" i="19"/>
  <c r="G18" i="19"/>
  <c r="F18" i="19"/>
  <c r="M17" i="19"/>
  <c r="M18" i="19" s="1"/>
  <c r="M19" i="19" s="1"/>
  <c r="M20" i="19" s="1"/>
  <c r="M21" i="19" s="1"/>
  <c r="M22" i="19" s="1"/>
  <c r="M23" i="19" s="1"/>
  <c r="M24" i="19" s="1"/>
  <c r="M25" i="19" s="1"/>
  <c r="M26" i="19" s="1"/>
  <c r="L17" i="19"/>
  <c r="L18" i="19" s="1"/>
  <c r="L19" i="19" s="1"/>
  <c r="L20" i="19" s="1"/>
  <c r="L21" i="19" s="1"/>
  <c r="L22" i="19" s="1"/>
  <c r="L23" i="19" s="1"/>
  <c r="L24" i="19" s="1"/>
  <c r="L25" i="19" s="1"/>
  <c r="L26" i="19" s="1"/>
  <c r="M15" i="19"/>
  <c r="L15" i="19"/>
  <c r="G10" i="19"/>
  <c r="G9" i="19"/>
  <c r="B4" i="19"/>
  <c r="B56" i="18"/>
  <c r="B55" i="18"/>
  <c r="B54" i="18"/>
  <c r="B53" i="18"/>
  <c r="B52" i="18"/>
  <c r="B51" i="18"/>
  <c r="B50" i="18"/>
  <c r="B49" i="18"/>
  <c r="B48" i="18"/>
  <c r="B47" i="18"/>
  <c r="B46" i="18"/>
  <c r="B45" i="18"/>
  <c r="B44" i="18"/>
  <c r="B43" i="18"/>
  <c r="B42" i="18"/>
  <c r="B41" i="18"/>
  <c r="B40" i="18"/>
  <c r="B39" i="18"/>
  <c r="B38" i="18"/>
  <c r="F31" i="18"/>
  <c r="B16" i="18"/>
  <c r="F14" i="18"/>
  <c r="F20" i="18" s="1"/>
  <c r="D10" i="18"/>
  <c r="B5" i="10" s="1"/>
  <c r="B7" i="18"/>
  <c r="N4" i="18"/>
  <c r="B4" i="18"/>
  <c r="AF54" i="17"/>
  <c r="AE54" i="17"/>
  <c r="AD54" i="17"/>
  <c r="AC54" i="17"/>
  <c r="AB54" i="17"/>
  <c r="Z54" i="17"/>
  <c r="Y54" i="17"/>
  <c r="X54" i="17"/>
  <c r="W54" i="17"/>
  <c r="V54" i="17"/>
  <c r="U54" i="17"/>
  <c r="T54" i="17"/>
  <c r="S54" i="17"/>
  <c r="R54" i="17"/>
  <c r="Q54" i="17"/>
  <c r="P54" i="17"/>
  <c r="O54" i="17"/>
  <c r="B52" i="17"/>
  <c r="B49" i="10" s="1"/>
  <c r="B51" i="17"/>
  <c r="B50" i="17"/>
  <c r="B49" i="17"/>
  <c r="B48" i="17"/>
  <c r="B47" i="17"/>
  <c r="B46" i="17"/>
  <c r="B45" i="17"/>
  <c r="B44" i="17"/>
  <c r="B43" i="17"/>
  <c r="B42" i="17"/>
  <c r="B41" i="17"/>
  <c r="B40" i="17"/>
  <c r="B39" i="17"/>
  <c r="B38" i="17"/>
  <c r="B37" i="17"/>
  <c r="B36" i="17"/>
  <c r="B35" i="17"/>
  <c r="B34" i="17"/>
  <c r="AF27" i="17"/>
  <c r="AE27" i="17"/>
  <c r="AD27" i="17"/>
  <c r="AC27" i="17"/>
  <c r="AB27" i="17"/>
  <c r="Z27" i="17"/>
  <c r="Y27" i="17"/>
  <c r="X27" i="17"/>
  <c r="W27" i="17"/>
  <c r="V27" i="17"/>
  <c r="U27" i="17"/>
  <c r="T27" i="17"/>
  <c r="S27" i="17"/>
  <c r="R27" i="17"/>
  <c r="Q27" i="17"/>
  <c r="P27" i="17"/>
  <c r="O27" i="17"/>
  <c r="B16" i="17"/>
  <c r="AF14" i="17"/>
  <c r="AE14" i="17"/>
  <c r="AE20" i="17" s="1"/>
  <c r="AD14" i="17"/>
  <c r="AD20" i="17" s="1"/>
  <c r="AC14" i="17"/>
  <c r="AC20" i="17" s="1"/>
  <c r="AB14" i="17"/>
  <c r="AB20" i="17" s="1"/>
  <c r="Z14" i="17"/>
  <c r="Y14" i="17"/>
  <c r="Y20" i="17" s="1"/>
  <c r="X14" i="17"/>
  <c r="W14" i="17"/>
  <c r="V14" i="17"/>
  <c r="V20" i="17" s="1"/>
  <c r="U14" i="17"/>
  <c r="U20" i="17" s="1"/>
  <c r="T14" i="17"/>
  <c r="T20" i="17" s="1"/>
  <c r="S14" i="17"/>
  <c r="R14" i="17"/>
  <c r="R20" i="17" s="1"/>
  <c r="Q14" i="17"/>
  <c r="P14" i="17"/>
  <c r="O14" i="17"/>
  <c r="O20" i="17" s="1"/>
  <c r="L10" i="17"/>
  <c r="BC16" i="25" s="1"/>
  <c r="J10" i="17"/>
  <c r="BC15" i="25" s="1"/>
  <c r="H10" i="17"/>
  <c r="BC14" i="25" s="1"/>
  <c r="F10" i="17"/>
  <c r="BC13" i="25" s="1"/>
  <c r="D10" i="17"/>
  <c r="BC12" i="25" s="1"/>
  <c r="B4" i="17"/>
  <c r="Y252" i="16"/>
  <c r="K13" i="13" s="1"/>
  <c r="H252" i="16"/>
  <c r="H251" i="16"/>
  <c r="Y250" i="16"/>
  <c r="H249" i="16"/>
  <c r="AC248" i="16"/>
  <c r="AD248" i="16" s="1"/>
  <c r="AE248" i="16" s="1"/>
  <c r="P7" i="13" s="1"/>
  <c r="T248" i="16"/>
  <c r="H248" i="16"/>
  <c r="H241" i="16"/>
  <c r="H240" i="16"/>
  <c r="H238" i="16"/>
  <c r="AC237" i="16"/>
  <c r="AD237" i="16" s="1"/>
  <c r="AE237" i="16" s="1"/>
  <c r="T237" i="16"/>
  <c r="U237" i="16" s="1"/>
  <c r="V237" i="16" s="1"/>
  <c r="H237" i="16"/>
  <c r="E233" i="16"/>
  <c r="G230" i="16"/>
  <c r="H22" i="13" s="1"/>
  <c r="G229" i="16"/>
  <c r="G39" i="13" s="1"/>
  <c r="G227" i="16"/>
  <c r="E39" i="13" s="1"/>
  <c r="AC226" i="16"/>
  <c r="AD226" i="16" s="1"/>
  <c r="AE226" i="16" s="1"/>
  <c r="P39" i="13" s="1"/>
  <c r="T226" i="16"/>
  <c r="U226" i="16" s="1"/>
  <c r="V226" i="16" s="1"/>
  <c r="P22" i="13" s="1"/>
  <c r="G226" i="16"/>
  <c r="D22" i="13" s="1"/>
  <c r="AD218" i="16"/>
  <c r="Z218" i="16"/>
  <c r="V218" i="16"/>
  <c r="AE217" i="16"/>
  <c r="AA217" i="16"/>
  <c r="W217" i="16"/>
  <c r="AE216" i="16"/>
  <c r="AA216" i="16"/>
  <c r="W216" i="16"/>
  <c r="AE215" i="16"/>
  <c r="AA215" i="16"/>
  <c r="W215" i="16"/>
  <c r="AD214" i="16"/>
  <c r="Z214" i="16"/>
  <c r="V214" i="16"/>
  <c r="M214" i="16"/>
  <c r="AQ27" i="25" s="1"/>
  <c r="K214" i="16"/>
  <c r="AP27" i="25" s="1"/>
  <c r="I214" i="16"/>
  <c r="AO27" i="25" s="1"/>
  <c r="E214" i="16"/>
  <c r="L212" i="16"/>
  <c r="J212" i="16"/>
  <c r="H212" i="16"/>
  <c r="B212" i="16"/>
  <c r="D201" i="16"/>
  <c r="E22" i="19" s="1"/>
  <c r="AB200" i="16"/>
  <c r="E197" i="16"/>
  <c r="E18" i="19" s="1"/>
  <c r="X196" i="16"/>
  <c r="X197" i="16" s="1"/>
  <c r="X198" i="16" s="1"/>
  <c r="X199" i="16" s="1"/>
  <c r="X200" i="16" s="1"/>
  <c r="X201" i="16" s="1"/>
  <c r="X202" i="16" s="1"/>
  <c r="X203" i="16" s="1"/>
  <c r="X204" i="16" s="1"/>
  <c r="X205" i="16" s="1"/>
  <c r="W196" i="16"/>
  <c r="W197" i="16" s="1"/>
  <c r="W198" i="16" s="1"/>
  <c r="W199" i="16" s="1"/>
  <c r="W200" i="16" s="1"/>
  <c r="W201" i="16" s="1"/>
  <c r="W202" i="16" s="1"/>
  <c r="W203" i="16" s="1"/>
  <c r="W204" i="16" s="1"/>
  <c r="W205" i="16" s="1"/>
  <c r="V196" i="16"/>
  <c r="V197" i="16" s="1"/>
  <c r="V198" i="16" s="1"/>
  <c r="V199" i="16" s="1"/>
  <c r="V200" i="16" s="1"/>
  <c r="V201" i="16" s="1"/>
  <c r="V202" i="16" s="1"/>
  <c r="V203" i="16" s="1"/>
  <c r="V204" i="16" s="1"/>
  <c r="V205" i="16" s="1"/>
  <c r="U196" i="16"/>
  <c r="K17" i="19" s="1"/>
  <c r="X194" i="16"/>
  <c r="W194" i="16"/>
  <c r="V194" i="16"/>
  <c r="U194" i="16"/>
  <c r="M194" i="16"/>
  <c r="AQ24" i="25" s="1"/>
  <c r="K194" i="16"/>
  <c r="AP24" i="25" s="1"/>
  <c r="I194" i="16"/>
  <c r="AO24" i="25" s="1"/>
  <c r="E194" i="16"/>
  <c r="M193" i="16" a="1"/>
  <c r="M193" i="16" s="1"/>
  <c r="B15" i="14" s="1"/>
  <c r="B34" i="14" s="1"/>
  <c r="K193" i="16" a="1"/>
  <c r="K193" i="16" s="1"/>
  <c r="B14" i="14" s="1"/>
  <c r="B33" i="14" s="1"/>
  <c r="I193" i="16" a="1"/>
  <c r="I193" i="16" s="1"/>
  <c r="B13" i="14" s="1"/>
  <c r="B32" i="14" s="1"/>
  <c r="B193" i="16"/>
  <c r="BB186" i="16"/>
  <c r="BA186" i="16"/>
  <c r="AZ186" i="16"/>
  <c r="AY186" i="16"/>
  <c r="AX186" i="16"/>
  <c r="AW186" i="16"/>
  <c r="AV186" i="16"/>
  <c r="AU186" i="16"/>
  <c r="AT186" i="16"/>
  <c r="AS186" i="16"/>
  <c r="AR186" i="16"/>
  <c r="AQ186" i="16"/>
  <c r="AP186" i="16"/>
  <c r="AO186" i="16"/>
  <c r="AN186" i="16"/>
  <c r="AM186" i="16"/>
  <c r="AL186" i="16"/>
  <c r="AK186" i="16"/>
  <c r="AJ186" i="16"/>
  <c r="AI186" i="16"/>
  <c r="AH186" i="16"/>
  <c r="AG186" i="16"/>
  <c r="AF186" i="16"/>
  <c r="AE186" i="16"/>
  <c r="AD186" i="16"/>
  <c r="AC186" i="16"/>
  <c r="AB186" i="16"/>
  <c r="AA186" i="16"/>
  <c r="Z186" i="16"/>
  <c r="Y186" i="16"/>
  <c r="X186" i="16"/>
  <c r="W186" i="16"/>
  <c r="V186" i="16"/>
  <c r="U186" i="16"/>
  <c r="T186" i="16"/>
  <c r="S186" i="16"/>
  <c r="BB185" i="16"/>
  <c r="BA185" i="16"/>
  <c r="AZ185" i="16"/>
  <c r="AY185" i="16"/>
  <c r="AX185" i="16"/>
  <c r="AW185" i="16"/>
  <c r="AV185" i="16"/>
  <c r="AU185" i="16"/>
  <c r="AT185" i="16"/>
  <c r="AS185" i="16"/>
  <c r="AR185" i="16"/>
  <c r="AQ185" i="16"/>
  <c r="AP185" i="16"/>
  <c r="AO185" i="16"/>
  <c r="AN185" i="16"/>
  <c r="AM185" i="16"/>
  <c r="AL185" i="16"/>
  <c r="AK185" i="16"/>
  <c r="AJ185" i="16"/>
  <c r="AI185" i="16"/>
  <c r="AH185" i="16"/>
  <c r="AG185" i="16"/>
  <c r="AF185" i="16"/>
  <c r="AE185" i="16"/>
  <c r="AD185" i="16"/>
  <c r="AC185" i="16"/>
  <c r="AB185" i="16"/>
  <c r="AA185" i="16"/>
  <c r="Z185" i="16"/>
  <c r="Y185" i="16"/>
  <c r="X185" i="16"/>
  <c r="W185" i="16"/>
  <c r="V185" i="16"/>
  <c r="U185" i="16"/>
  <c r="T185" i="16"/>
  <c r="S185" i="16"/>
  <c r="BB184" i="16"/>
  <c r="BA184" i="16"/>
  <c r="AZ184" i="16"/>
  <c r="AY184" i="16"/>
  <c r="AX184" i="16"/>
  <c r="AW184" i="16"/>
  <c r="AV184" i="16"/>
  <c r="AU184" i="16"/>
  <c r="AT184" i="16"/>
  <c r="AS184" i="16"/>
  <c r="AR184" i="16"/>
  <c r="AQ184" i="16"/>
  <c r="AP184" i="16"/>
  <c r="AO184" i="16"/>
  <c r="AN184" i="16"/>
  <c r="AM184" i="16"/>
  <c r="AL184" i="16"/>
  <c r="AK184" i="16"/>
  <c r="AJ184" i="16"/>
  <c r="AI184" i="16"/>
  <c r="AH184" i="16"/>
  <c r="AG184" i="16"/>
  <c r="AF184" i="16"/>
  <c r="AE184" i="16"/>
  <c r="AD184" i="16"/>
  <c r="AC184" i="16"/>
  <c r="AB184" i="16"/>
  <c r="AA184" i="16"/>
  <c r="Z184" i="16"/>
  <c r="Y184" i="16"/>
  <c r="X184" i="16"/>
  <c r="W184" i="16"/>
  <c r="V184" i="16"/>
  <c r="U184" i="16"/>
  <c r="T184" i="16"/>
  <c r="S184" i="16"/>
  <c r="BB183" i="16"/>
  <c r="BA183" i="16"/>
  <c r="AZ183" i="16"/>
  <c r="AY183" i="16"/>
  <c r="AX183" i="16"/>
  <c r="AW183" i="16"/>
  <c r="AV183" i="16"/>
  <c r="AU183" i="16"/>
  <c r="AT183" i="16"/>
  <c r="AS183" i="16"/>
  <c r="AR183" i="16"/>
  <c r="AQ183" i="16"/>
  <c r="AP183" i="16"/>
  <c r="AO183" i="16"/>
  <c r="AN183" i="16"/>
  <c r="AM183" i="16"/>
  <c r="AL183" i="16"/>
  <c r="AK183" i="16"/>
  <c r="AJ183" i="16"/>
  <c r="AI183" i="16"/>
  <c r="AH183" i="16"/>
  <c r="AG183" i="16"/>
  <c r="AF183" i="16"/>
  <c r="AE183" i="16"/>
  <c r="AD183" i="16"/>
  <c r="AC183" i="16"/>
  <c r="AB183" i="16"/>
  <c r="AA183" i="16"/>
  <c r="Z183" i="16"/>
  <c r="Y183" i="16"/>
  <c r="X183" i="16"/>
  <c r="W183" i="16"/>
  <c r="V183" i="16"/>
  <c r="U183" i="16"/>
  <c r="T183" i="16"/>
  <c r="S183" i="16"/>
  <c r="BB182" i="16"/>
  <c r="BA182" i="16"/>
  <c r="AZ182" i="16"/>
  <c r="AY182" i="16"/>
  <c r="AX182" i="16"/>
  <c r="AW182" i="16"/>
  <c r="AV182" i="16"/>
  <c r="AU182" i="16"/>
  <c r="AT182" i="16"/>
  <c r="AS182" i="16"/>
  <c r="AR182" i="16"/>
  <c r="AQ182" i="16"/>
  <c r="AP182" i="16"/>
  <c r="AO182" i="16"/>
  <c r="AN182" i="16"/>
  <c r="AM182" i="16"/>
  <c r="AL182" i="16"/>
  <c r="AK182" i="16"/>
  <c r="AJ182" i="16"/>
  <c r="AI182" i="16"/>
  <c r="AH182" i="16"/>
  <c r="AG182" i="16"/>
  <c r="AF182" i="16"/>
  <c r="AE182" i="16"/>
  <c r="AD182" i="16"/>
  <c r="AC182" i="16"/>
  <c r="AB182" i="16"/>
  <c r="AA182" i="16"/>
  <c r="Z182" i="16"/>
  <c r="Y182" i="16"/>
  <c r="X182" i="16"/>
  <c r="W182" i="16"/>
  <c r="V182" i="16"/>
  <c r="U182" i="16"/>
  <c r="T182" i="16"/>
  <c r="S182" i="16"/>
  <c r="BB181" i="16"/>
  <c r="BA181" i="16"/>
  <c r="AZ181" i="16"/>
  <c r="AY181" i="16"/>
  <c r="AX181" i="16"/>
  <c r="AW181" i="16"/>
  <c r="AV181" i="16"/>
  <c r="AU181" i="16"/>
  <c r="AT181" i="16"/>
  <c r="AS181" i="16"/>
  <c r="AR181" i="16"/>
  <c r="AQ181" i="16"/>
  <c r="AP181" i="16"/>
  <c r="AO181" i="16"/>
  <c r="AN181" i="16"/>
  <c r="AM181" i="16"/>
  <c r="AL181" i="16"/>
  <c r="AK181" i="16"/>
  <c r="AJ181" i="16"/>
  <c r="AI181" i="16"/>
  <c r="AH181" i="16"/>
  <c r="AG181" i="16"/>
  <c r="AF181" i="16"/>
  <c r="AE181" i="16"/>
  <c r="AD181" i="16"/>
  <c r="AC181" i="16"/>
  <c r="AB181" i="16"/>
  <c r="AA181" i="16"/>
  <c r="Z181" i="16"/>
  <c r="Y181" i="16"/>
  <c r="X181" i="16"/>
  <c r="W181" i="16"/>
  <c r="V181" i="16"/>
  <c r="U181" i="16"/>
  <c r="T181" i="16"/>
  <c r="S181" i="16"/>
  <c r="BB180" i="16"/>
  <c r="BA180" i="16"/>
  <c r="AZ180" i="16"/>
  <c r="AY180" i="16"/>
  <c r="AX180" i="16"/>
  <c r="AW180" i="16"/>
  <c r="AV180" i="16"/>
  <c r="AU180" i="16"/>
  <c r="AT180" i="16"/>
  <c r="AS180" i="16"/>
  <c r="AR180" i="16"/>
  <c r="AQ180" i="16"/>
  <c r="AP180" i="16"/>
  <c r="AO180" i="16"/>
  <c r="AN180" i="16"/>
  <c r="AM180" i="16"/>
  <c r="AL180" i="16"/>
  <c r="AK180" i="16"/>
  <c r="AJ180" i="16"/>
  <c r="AI180" i="16"/>
  <c r="AH180" i="16"/>
  <c r="AG180" i="16"/>
  <c r="AF180" i="16"/>
  <c r="AE180" i="16"/>
  <c r="AD180" i="16"/>
  <c r="AC180" i="16"/>
  <c r="AB180" i="16"/>
  <c r="AA180" i="16"/>
  <c r="Z180" i="16"/>
  <c r="Y180" i="16"/>
  <c r="X180" i="16"/>
  <c r="W180" i="16"/>
  <c r="V180" i="16"/>
  <c r="U180" i="16"/>
  <c r="T180" i="16"/>
  <c r="S180" i="16"/>
  <c r="T179" i="16"/>
  <c r="U179" i="16" s="1"/>
  <c r="V179" i="16" s="1"/>
  <c r="W179" i="16" s="1"/>
  <c r="X179" i="16" s="1"/>
  <c r="Y179" i="16" s="1"/>
  <c r="Z179" i="16" s="1"/>
  <c r="AA179" i="16" s="1"/>
  <c r="AB179" i="16" s="1"/>
  <c r="AC179" i="16" s="1"/>
  <c r="AD179" i="16" s="1"/>
  <c r="AE179" i="16" s="1"/>
  <c r="AF179" i="16" s="1"/>
  <c r="AG179" i="16" s="1"/>
  <c r="AH179" i="16" s="1"/>
  <c r="AI179" i="16" s="1"/>
  <c r="AJ179" i="16" s="1"/>
  <c r="AK179" i="16" s="1"/>
  <c r="AL179" i="16" s="1"/>
  <c r="AM179" i="16" s="1"/>
  <c r="AN179" i="16" s="1"/>
  <c r="AO179" i="16" s="1"/>
  <c r="AP179" i="16" s="1"/>
  <c r="AQ179" i="16" s="1"/>
  <c r="AR179" i="16" s="1"/>
  <c r="AS179" i="16" s="1"/>
  <c r="AT179" i="16" s="1"/>
  <c r="AU179" i="16" s="1"/>
  <c r="AV179" i="16" s="1"/>
  <c r="AW179" i="16" s="1"/>
  <c r="AX179" i="16" s="1"/>
  <c r="AY179" i="16" s="1"/>
  <c r="AZ179" i="16" s="1"/>
  <c r="BA179" i="16" s="1"/>
  <c r="BB179" i="16" s="1"/>
  <c r="H179" i="16"/>
  <c r="I179" i="16" s="1"/>
  <c r="J179" i="16" s="1"/>
  <c r="K179" i="16" s="1"/>
  <c r="L179" i="16" s="1"/>
  <c r="M179" i="16" s="1"/>
  <c r="N179" i="16" s="1"/>
  <c r="O179" i="16" s="1"/>
  <c r="P179" i="16" s="1"/>
  <c r="D172" i="16"/>
  <c r="H171" i="16"/>
  <c r="H170" i="16"/>
  <c r="I170" i="16" s="1"/>
  <c r="J170" i="16" s="1"/>
  <c r="K170" i="16" s="1"/>
  <c r="L170" i="16" s="1"/>
  <c r="M170" i="16" s="1"/>
  <c r="N170" i="16" s="1"/>
  <c r="O170" i="16" s="1"/>
  <c r="P170" i="16" s="1"/>
  <c r="Q170" i="16" s="1"/>
  <c r="I153" i="16"/>
  <c r="G152" i="16"/>
  <c r="H151" i="16"/>
  <c r="AM148" i="16"/>
  <c r="AL148" i="16"/>
  <c r="AK148" i="16"/>
  <c r="AJ148" i="16"/>
  <c r="AI148" i="16"/>
  <c r="AH148" i="16"/>
  <c r="AG148" i="16"/>
  <c r="AF148" i="16"/>
  <c r="AE148" i="16"/>
  <c r="AD148" i="16"/>
  <c r="AC148" i="16"/>
  <c r="AB148" i="16"/>
  <c r="AM147" i="16"/>
  <c r="AL147" i="16"/>
  <c r="AK147" i="16"/>
  <c r="AJ147" i="16"/>
  <c r="AI147" i="16"/>
  <c r="AH147" i="16"/>
  <c r="AG147" i="16"/>
  <c r="AF147" i="16"/>
  <c r="AE147" i="16"/>
  <c r="AD147" i="16"/>
  <c r="AC147" i="16"/>
  <c r="AB147" i="16"/>
  <c r="AM146" i="16"/>
  <c r="AL146" i="16"/>
  <c r="AK146" i="16"/>
  <c r="AJ146" i="16"/>
  <c r="AI146" i="16"/>
  <c r="AH146" i="16"/>
  <c r="AG146" i="16"/>
  <c r="AF146" i="16"/>
  <c r="AE146" i="16"/>
  <c r="AD146" i="16"/>
  <c r="AC146" i="16"/>
  <c r="AB146" i="16"/>
  <c r="AM145" i="16"/>
  <c r="AL145" i="16"/>
  <c r="AK145" i="16"/>
  <c r="AJ145" i="16"/>
  <c r="AI145" i="16"/>
  <c r="AH145" i="16"/>
  <c r="AG145" i="16"/>
  <c r="AF145" i="16"/>
  <c r="AE145" i="16"/>
  <c r="AD145" i="16"/>
  <c r="AC145" i="16"/>
  <c r="AB145" i="16"/>
  <c r="AM144" i="16"/>
  <c r="AL144" i="16"/>
  <c r="AK144" i="16"/>
  <c r="AJ144" i="16"/>
  <c r="AI144" i="16"/>
  <c r="AH144" i="16"/>
  <c r="AG144" i="16"/>
  <c r="AF144" i="16"/>
  <c r="AE144" i="16"/>
  <c r="AD144" i="16"/>
  <c r="AC144" i="16"/>
  <c r="AB144" i="16"/>
  <c r="AM143" i="16"/>
  <c r="AL143" i="16"/>
  <c r="AK143" i="16"/>
  <c r="AJ143" i="16"/>
  <c r="AI143" i="16"/>
  <c r="AH143" i="16"/>
  <c r="AG143" i="16"/>
  <c r="AF143" i="16"/>
  <c r="AE143" i="16"/>
  <c r="AD143" i="16"/>
  <c r="AC143" i="16"/>
  <c r="AB143" i="16"/>
  <c r="AM142" i="16"/>
  <c r="AL142" i="16"/>
  <c r="AK142" i="16"/>
  <c r="AJ142" i="16"/>
  <c r="AI142" i="16"/>
  <c r="AH142" i="16"/>
  <c r="AG142" i="16"/>
  <c r="AF142" i="16"/>
  <c r="AE142" i="16"/>
  <c r="AD142" i="16"/>
  <c r="AC142" i="16"/>
  <c r="AB142" i="16"/>
  <c r="AM141" i="16"/>
  <c r="AL141" i="16"/>
  <c r="AK141" i="16"/>
  <c r="AJ141" i="16"/>
  <c r="AI141" i="16"/>
  <c r="AH141" i="16"/>
  <c r="AG141" i="16"/>
  <c r="AF141" i="16"/>
  <c r="AE141" i="16"/>
  <c r="AD141" i="16"/>
  <c r="AC141" i="16"/>
  <c r="AB141" i="16"/>
  <c r="AM140" i="16"/>
  <c r="AL140" i="16"/>
  <c r="AK140" i="16"/>
  <c r="AJ140" i="16"/>
  <c r="AI140" i="16"/>
  <c r="AH140" i="16"/>
  <c r="AG140" i="16"/>
  <c r="AF140" i="16"/>
  <c r="AE140" i="16"/>
  <c r="AD140" i="16"/>
  <c r="AC140" i="16"/>
  <c r="AB140" i="16"/>
  <c r="AM139" i="16"/>
  <c r="AL139" i="16"/>
  <c r="AK139" i="16"/>
  <c r="AJ139" i="16"/>
  <c r="AI139" i="16"/>
  <c r="AH139" i="16"/>
  <c r="AG139" i="16"/>
  <c r="AF139" i="16"/>
  <c r="AE139" i="16"/>
  <c r="AD139" i="16"/>
  <c r="AC139" i="16"/>
  <c r="AB139" i="16"/>
  <c r="AM138" i="16"/>
  <c r="AL138" i="16"/>
  <c r="AK138" i="16"/>
  <c r="AJ138" i="16"/>
  <c r="AI138" i="16"/>
  <c r="AH138" i="16"/>
  <c r="AG138" i="16"/>
  <c r="AF138" i="16"/>
  <c r="AE138" i="16"/>
  <c r="AD138" i="16"/>
  <c r="AC138" i="16"/>
  <c r="AB138" i="16"/>
  <c r="AM137" i="16"/>
  <c r="AL137" i="16"/>
  <c r="AK137" i="16"/>
  <c r="AJ137" i="16"/>
  <c r="AI137" i="16"/>
  <c r="AH137" i="16"/>
  <c r="AG137" i="16"/>
  <c r="AF137" i="16"/>
  <c r="AE137" i="16"/>
  <c r="AD137" i="16"/>
  <c r="AC137" i="16"/>
  <c r="AB137" i="16"/>
  <c r="AM136" i="16"/>
  <c r="AL136" i="16"/>
  <c r="AK136" i="16"/>
  <c r="AJ136" i="16"/>
  <c r="AI136" i="16"/>
  <c r="AH136" i="16"/>
  <c r="AG136" i="16"/>
  <c r="AF136" i="16"/>
  <c r="AE136" i="16"/>
  <c r="AD136" i="16"/>
  <c r="AC136" i="16"/>
  <c r="AB136" i="16"/>
  <c r="AM135" i="16"/>
  <c r="AL135" i="16"/>
  <c r="AK135" i="16"/>
  <c r="AJ135" i="16"/>
  <c r="AI135" i="16"/>
  <c r="AH135" i="16"/>
  <c r="AG135" i="16"/>
  <c r="AF135" i="16"/>
  <c r="AE135" i="16"/>
  <c r="AD135" i="16"/>
  <c r="AC135" i="16"/>
  <c r="AB135" i="16"/>
  <c r="AM134" i="16"/>
  <c r="AL134" i="16"/>
  <c r="AK134" i="16"/>
  <c r="AJ134" i="16"/>
  <c r="AI134" i="16"/>
  <c r="AH134" i="16"/>
  <c r="AG134" i="16"/>
  <c r="AF134" i="16"/>
  <c r="AE134" i="16"/>
  <c r="AD134" i="16"/>
  <c r="AC134" i="16"/>
  <c r="AB134" i="16"/>
  <c r="AM133" i="16"/>
  <c r="AL133" i="16"/>
  <c r="AK133" i="16"/>
  <c r="AJ133" i="16"/>
  <c r="AI133" i="16"/>
  <c r="AH133" i="16"/>
  <c r="AG133" i="16"/>
  <c r="AF133" i="16"/>
  <c r="AE133" i="16"/>
  <c r="AD133" i="16"/>
  <c r="AC133" i="16"/>
  <c r="AB133" i="16"/>
  <c r="AM132" i="16"/>
  <c r="AL132" i="16"/>
  <c r="AK132" i="16"/>
  <c r="AJ132" i="16"/>
  <c r="AI132" i="16"/>
  <c r="AH132" i="16"/>
  <c r="AG132" i="16"/>
  <c r="AF132" i="16"/>
  <c r="AE132" i="16"/>
  <c r="AD132" i="16"/>
  <c r="AC132" i="16"/>
  <c r="AB132" i="16"/>
  <c r="AM131" i="16"/>
  <c r="AL131" i="16"/>
  <c r="AK131" i="16"/>
  <c r="AJ131" i="16"/>
  <c r="AI131" i="16"/>
  <c r="AH131" i="16"/>
  <c r="AG131" i="16"/>
  <c r="AF131" i="16"/>
  <c r="AE131" i="16"/>
  <c r="AD131" i="16"/>
  <c r="AC131" i="16"/>
  <c r="AB131" i="16"/>
  <c r="AM130" i="16"/>
  <c r="AL130" i="16"/>
  <c r="AK130" i="16"/>
  <c r="AJ130" i="16"/>
  <c r="AI130" i="16"/>
  <c r="AH130" i="16"/>
  <c r="AG130" i="16"/>
  <c r="AF130" i="16"/>
  <c r="AE130" i="16"/>
  <c r="AD130" i="16"/>
  <c r="AC130" i="16"/>
  <c r="AB130" i="16"/>
  <c r="AM129" i="16"/>
  <c r="AL129" i="16"/>
  <c r="AK129" i="16"/>
  <c r="AJ129" i="16"/>
  <c r="AI129" i="16"/>
  <c r="AH129" i="16"/>
  <c r="AG129" i="16"/>
  <c r="AF129" i="16"/>
  <c r="AE129" i="16"/>
  <c r="AD129" i="16"/>
  <c r="AC129" i="16"/>
  <c r="AB129" i="16"/>
  <c r="S128" i="16"/>
  <c r="P5" i="11" s="1"/>
  <c r="H128" i="16"/>
  <c r="I128" i="16" s="1"/>
  <c r="J128" i="16" s="1"/>
  <c r="K128" i="16" s="1"/>
  <c r="L128" i="16" s="1"/>
  <c r="M128" i="16" s="1"/>
  <c r="N128" i="16" s="1"/>
  <c r="O128" i="16" s="1"/>
  <c r="P128" i="16" s="1"/>
  <c r="Q128" i="16" s="1"/>
  <c r="G118" i="16"/>
  <c r="H114" i="16" s="1"/>
  <c r="H105" i="16"/>
  <c r="I105" i="16" s="1"/>
  <c r="J105" i="16" s="1"/>
  <c r="K105" i="16" s="1"/>
  <c r="L105" i="16" s="1"/>
  <c r="M105" i="16" s="1"/>
  <c r="N105" i="16" s="1"/>
  <c r="O105" i="16" s="1"/>
  <c r="P105" i="16" s="1"/>
  <c r="Q105" i="16" s="1"/>
  <c r="E94" i="16"/>
  <c r="E93" i="16"/>
  <c r="B90" i="16"/>
  <c r="G89" i="16"/>
  <c r="H89" i="16" s="1"/>
  <c r="I89" i="16" s="1"/>
  <c r="J89" i="16" s="1"/>
  <c r="K89" i="16" s="1"/>
  <c r="L89" i="16" s="1"/>
  <c r="M89" i="16" s="1"/>
  <c r="N89" i="16" s="1"/>
  <c r="O89" i="16" s="1"/>
  <c r="P89" i="16" s="1"/>
  <c r="Q89" i="16" s="1"/>
  <c r="P81" i="16"/>
  <c r="O81" i="16"/>
  <c r="N81" i="16"/>
  <c r="M81" i="16"/>
  <c r="L81" i="16"/>
  <c r="K81" i="16"/>
  <c r="J81" i="16"/>
  <c r="I81" i="16"/>
  <c r="H81" i="16"/>
  <c r="G81" i="16"/>
  <c r="BB79" i="16"/>
  <c r="BA26" i="22" s="1"/>
  <c r="BA79" i="16"/>
  <c r="AZ26" i="22" s="1"/>
  <c r="AZ79" i="16"/>
  <c r="AY26" i="22" s="1"/>
  <c r="AY79" i="16"/>
  <c r="AX26" i="22" s="1"/>
  <c r="AX79" i="16"/>
  <c r="AW79" i="16"/>
  <c r="AV26" i="22" s="1"/>
  <c r="AV79" i="16"/>
  <c r="AU26" i="22" s="1"/>
  <c r="AU79" i="16"/>
  <c r="AT26" i="22" s="1"/>
  <c r="AT79" i="16"/>
  <c r="AS26" i="22" s="1"/>
  <c r="AS79" i="16"/>
  <c r="AR26" i="22" s="1"/>
  <c r="AR79" i="16"/>
  <c r="AQ26" i="22" s="1"/>
  <c r="AQ79" i="16"/>
  <c r="AP26" i="22" s="1"/>
  <c r="AP79" i="16"/>
  <c r="AO26" i="22" s="1"/>
  <c r="AO79" i="16"/>
  <c r="AN26" i="22" s="1"/>
  <c r="AN79" i="16"/>
  <c r="AM26" i="22" s="1"/>
  <c r="AM79" i="16"/>
  <c r="AL26" i="22" s="1"/>
  <c r="AL79" i="16"/>
  <c r="AK26" i="22" s="1"/>
  <c r="AK79" i="16"/>
  <c r="AJ79" i="16"/>
  <c r="AI26" i="22" s="1"/>
  <c r="AI79" i="16"/>
  <c r="AH26" i="22" s="1"/>
  <c r="AH79" i="16"/>
  <c r="AG79" i="16"/>
  <c r="AF26" i="22" s="1"/>
  <c r="AF79" i="16"/>
  <c r="AE26" i="22" s="1"/>
  <c r="AE79" i="16"/>
  <c r="AD26" i="22" s="1"/>
  <c r="AD79" i="16"/>
  <c r="AC26" i="22" s="1"/>
  <c r="AC79" i="16"/>
  <c r="AB26" i="22" s="1"/>
  <c r="AB79" i="16"/>
  <c r="AA26" i="22" s="1"/>
  <c r="AA79" i="16"/>
  <c r="Z26" i="22" s="1"/>
  <c r="Z79" i="16"/>
  <c r="Y26" i="22" s="1"/>
  <c r="Y79" i="16"/>
  <c r="X26" i="22" s="1"/>
  <c r="X79" i="16"/>
  <c r="W26" i="22" s="1"/>
  <c r="W79" i="16"/>
  <c r="V26" i="22" s="1"/>
  <c r="V79" i="16"/>
  <c r="U26" i="22" s="1"/>
  <c r="U79" i="16"/>
  <c r="T79" i="16"/>
  <c r="S26" i="22" s="1"/>
  <c r="S79" i="16"/>
  <c r="R26" i="22" s="1"/>
  <c r="R79" i="16"/>
  <c r="Q79" i="16"/>
  <c r="B79" i="16"/>
  <c r="A79" i="16"/>
  <c r="BB78" i="16"/>
  <c r="BA25" i="22" s="1"/>
  <c r="BA78" i="16"/>
  <c r="AZ25" i="22" s="1"/>
  <c r="AZ78" i="16"/>
  <c r="AY78" i="16"/>
  <c r="AX25" i="22" s="1"/>
  <c r="AX78" i="16"/>
  <c r="AW25" i="22" s="1"/>
  <c r="AW78" i="16"/>
  <c r="AV25" i="22" s="1"/>
  <c r="AV78" i="16"/>
  <c r="AU25" i="22" s="1"/>
  <c r="AU78" i="16"/>
  <c r="AT25" i="22" s="1"/>
  <c r="AT78" i="16"/>
  <c r="AS78" i="16"/>
  <c r="AR78" i="16"/>
  <c r="AQ25" i="22" s="1"/>
  <c r="AQ78" i="16"/>
  <c r="AP78" i="16"/>
  <c r="AO78" i="16"/>
  <c r="AN78" i="16"/>
  <c r="AM78" i="16"/>
  <c r="AL78" i="16"/>
  <c r="AK25" i="22" s="1"/>
  <c r="AK78" i="16"/>
  <c r="AJ25" i="22" s="1"/>
  <c r="AJ78" i="16"/>
  <c r="AI78" i="16"/>
  <c r="AH25" i="22" s="1"/>
  <c r="AH78" i="16"/>
  <c r="AG25" i="22" s="1"/>
  <c r="AG78" i="16"/>
  <c r="AF78" i="16"/>
  <c r="AE25" i="22" s="1"/>
  <c r="AE78" i="16"/>
  <c r="AD25" i="22" s="1"/>
  <c r="AD78" i="16"/>
  <c r="AC78" i="16"/>
  <c r="AB78" i="16"/>
  <c r="AA25" i="22" s="1"/>
  <c r="AA78" i="16"/>
  <c r="Z78" i="16"/>
  <c r="Y78" i="16"/>
  <c r="X78" i="16"/>
  <c r="W78" i="16"/>
  <c r="V78" i="16"/>
  <c r="U25" i="22" s="1"/>
  <c r="U78" i="16"/>
  <c r="T25" i="22" s="1"/>
  <c r="T78" i="16"/>
  <c r="S78" i="16"/>
  <c r="R78" i="16"/>
  <c r="Q78" i="16"/>
  <c r="B78" i="16"/>
  <c r="A78" i="16"/>
  <c r="T77" i="16"/>
  <c r="U77" i="16" s="1"/>
  <c r="V77" i="16" s="1"/>
  <c r="W77" i="16" s="1"/>
  <c r="X77" i="16" s="1"/>
  <c r="Y77" i="16" s="1"/>
  <c r="Z77" i="16" s="1"/>
  <c r="AA77" i="16" s="1"/>
  <c r="AB77" i="16" s="1"/>
  <c r="AC77" i="16" s="1"/>
  <c r="AD77" i="16" s="1"/>
  <c r="AE77" i="16" s="1"/>
  <c r="AF77" i="16" s="1"/>
  <c r="AG77" i="16" s="1"/>
  <c r="AH77" i="16" s="1"/>
  <c r="AI77" i="16" s="1"/>
  <c r="AJ77" i="16" s="1"/>
  <c r="AK77" i="16" s="1"/>
  <c r="AL77" i="16" s="1"/>
  <c r="AM77" i="16" s="1"/>
  <c r="AN77" i="16" s="1"/>
  <c r="AO77" i="16" s="1"/>
  <c r="AP77" i="16" s="1"/>
  <c r="AQ77" i="16" s="1"/>
  <c r="AR77" i="16" s="1"/>
  <c r="AS77" i="16" s="1"/>
  <c r="AT77" i="16" s="1"/>
  <c r="AU77" i="16" s="1"/>
  <c r="AV77" i="16" s="1"/>
  <c r="AW77" i="16" s="1"/>
  <c r="AX77" i="16" s="1"/>
  <c r="AY77" i="16" s="1"/>
  <c r="AZ77" i="16" s="1"/>
  <c r="BA77" i="16" s="1"/>
  <c r="BB77" i="16" s="1"/>
  <c r="H77" i="16"/>
  <c r="I77" i="16" s="1"/>
  <c r="J77" i="16" s="1"/>
  <c r="K77" i="16" s="1"/>
  <c r="L77" i="16" s="1"/>
  <c r="M77" i="16" s="1"/>
  <c r="N77" i="16" s="1"/>
  <c r="O77" i="16" s="1"/>
  <c r="P77" i="16" s="1"/>
  <c r="S71" i="16"/>
  <c r="G70" i="16"/>
  <c r="T68" i="16"/>
  <c r="U68" i="16" s="1"/>
  <c r="H68" i="16"/>
  <c r="I68" i="16" s="1"/>
  <c r="J68" i="16" s="1"/>
  <c r="K68" i="16" s="1"/>
  <c r="L68" i="16" s="1"/>
  <c r="M68" i="16" s="1"/>
  <c r="N68" i="16" s="1"/>
  <c r="O68" i="16" s="1"/>
  <c r="P68" i="16" s="1"/>
  <c r="Q68" i="16" s="1"/>
  <c r="L56" i="16"/>
  <c r="K56" i="16"/>
  <c r="I12" i="16" s="1"/>
  <c r="J56" i="16"/>
  <c r="I11" i="16" s="1"/>
  <c r="H56" i="16"/>
  <c r="F56" i="16"/>
  <c r="Y54" i="16"/>
  <c r="Z54" i="16" s="1"/>
  <c r="X54" i="16"/>
  <c r="W54" i="16"/>
  <c r="S54" i="16"/>
  <c r="I54" i="16"/>
  <c r="G35" i="7" s="1"/>
  <c r="D54" i="16"/>
  <c r="Y53" i="16"/>
  <c r="Z53" i="16" s="1"/>
  <c r="X53" i="16"/>
  <c r="W53" i="16"/>
  <c r="S53" i="16"/>
  <c r="I53" i="16"/>
  <c r="D53" i="16"/>
  <c r="B44" i="16"/>
  <c r="K39" i="16"/>
  <c r="E39" i="16"/>
  <c r="D33" i="16"/>
  <c r="E12" i="16"/>
  <c r="M4" i="16"/>
  <c r="P2" i="13" s="1"/>
  <c r="B4" i="16"/>
  <c r="E24" i="15"/>
  <c r="E22" i="15"/>
  <c r="E20" i="15"/>
  <c r="E18" i="15"/>
  <c r="E14" i="15"/>
  <c r="B7" i="15"/>
  <c r="G41" i="14"/>
  <c r="B2" i="14"/>
  <c r="H47" i="13"/>
  <c r="H48" i="13" s="1"/>
  <c r="G47" i="13"/>
  <c r="G48" i="13" s="1"/>
  <c r="F47" i="13"/>
  <c r="F48" i="13" s="1"/>
  <c r="E47" i="13"/>
  <c r="E48" i="13" s="1"/>
  <c r="D47" i="13"/>
  <c r="D48" i="13" s="1"/>
  <c r="H45" i="13"/>
  <c r="G45" i="13"/>
  <c r="F45" i="13"/>
  <c r="E45" i="13"/>
  <c r="D45" i="13"/>
  <c r="H44" i="13"/>
  <c r="G44" i="13"/>
  <c r="F44" i="13"/>
  <c r="E44" i="13"/>
  <c r="D44" i="13"/>
  <c r="H42" i="13"/>
  <c r="G42" i="13"/>
  <c r="F42" i="13"/>
  <c r="E42" i="13"/>
  <c r="D42" i="13"/>
  <c r="H41" i="13"/>
  <c r="G41" i="13"/>
  <c r="F41" i="13"/>
  <c r="E41" i="13"/>
  <c r="D41" i="13"/>
  <c r="K40" i="13"/>
  <c r="H40" i="13"/>
  <c r="G40" i="13"/>
  <c r="F40" i="13"/>
  <c r="E40" i="13"/>
  <c r="D40" i="13"/>
  <c r="F39" i="13"/>
  <c r="P32" i="13"/>
  <c r="O32" i="13"/>
  <c r="N32" i="13"/>
  <c r="M32" i="13"/>
  <c r="L32" i="13"/>
  <c r="P31" i="13"/>
  <c r="O31" i="13"/>
  <c r="N31" i="13"/>
  <c r="M31" i="13"/>
  <c r="L31" i="13"/>
  <c r="K31" i="13"/>
  <c r="P30" i="13"/>
  <c r="O30" i="13"/>
  <c r="N30" i="13"/>
  <c r="M30" i="13"/>
  <c r="L30" i="13"/>
  <c r="P29" i="13"/>
  <c r="O29" i="13"/>
  <c r="N29" i="13"/>
  <c r="M29" i="13"/>
  <c r="L29" i="13"/>
  <c r="K29" i="13"/>
  <c r="C29" i="13"/>
  <c r="P28" i="13"/>
  <c r="O28" i="13"/>
  <c r="N28" i="13"/>
  <c r="M28" i="13"/>
  <c r="L28" i="13"/>
  <c r="C28" i="13"/>
  <c r="P27" i="13"/>
  <c r="O27" i="13"/>
  <c r="N27" i="13"/>
  <c r="M27" i="13"/>
  <c r="L27" i="13"/>
  <c r="K27" i="13"/>
  <c r="C27" i="13"/>
  <c r="P26" i="13"/>
  <c r="O26" i="13"/>
  <c r="N26" i="13"/>
  <c r="M26" i="13"/>
  <c r="L26" i="13"/>
  <c r="C26" i="13"/>
  <c r="P25" i="13"/>
  <c r="O25" i="13"/>
  <c r="N25" i="13"/>
  <c r="M25" i="13"/>
  <c r="L25" i="13"/>
  <c r="K25" i="13"/>
  <c r="C25" i="13"/>
  <c r="K23" i="13"/>
  <c r="G23" i="13"/>
  <c r="H23" i="13" s="1"/>
  <c r="E23" i="13"/>
  <c r="D23" i="13" s="1"/>
  <c r="F22" i="13"/>
  <c r="P15" i="13"/>
  <c r="O15" i="13"/>
  <c r="N15" i="13"/>
  <c r="M15" i="13"/>
  <c r="L15" i="13"/>
  <c r="H15" i="13"/>
  <c r="G15" i="13"/>
  <c r="F15" i="13"/>
  <c r="E15" i="13"/>
  <c r="D15" i="13"/>
  <c r="P14" i="13"/>
  <c r="O14" i="13"/>
  <c r="N14" i="13"/>
  <c r="M14" i="13"/>
  <c r="L14" i="13"/>
  <c r="H14" i="13"/>
  <c r="O64" i="7" s="1"/>
  <c r="G14" i="13"/>
  <c r="M64" i="7" s="1"/>
  <c r="F14" i="13"/>
  <c r="J64" i="7" s="1"/>
  <c r="E14" i="13"/>
  <c r="H64" i="7" s="1"/>
  <c r="D14" i="13"/>
  <c r="F64" i="7" s="1"/>
  <c r="P13" i="13"/>
  <c r="O13" i="13"/>
  <c r="N13" i="13"/>
  <c r="M13" i="13"/>
  <c r="L13" i="13"/>
  <c r="H13" i="13"/>
  <c r="O63" i="7" s="1"/>
  <c r="G13" i="13"/>
  <c r="M63" i="7" s="1"/>
  <c r="F13" i="13"/>
  <c r="J63" i="7" s="1"/>
  <c r="E13" i="13"/>
  <c r="H63" i="7" s="1"/>
  <c r="D13" i="13"/>
  <c r="F63" i="7" s="1"/>
  <c r="C13" i="13"/>
  <c r="B63" i="7" s="1"/>
  <c r="P12" i="13"/>
  <c r="O12" i="13"/>
  <c r="N12" i="13"/>
  <c r="M12" i="13"/>
  <c r="L12" i="13"/>
  <c r="H12" i="13"/>
  <c r="O62" i="7" s="1"/>
  <c r="G12" i="13"/>
  <c r="M62" i="7" s="1"/>
  <c r="F12" i="13"/>
  <c r="J62" i="7" s="1"/>
  <c r="E12" i="13"/>
  <c r="H62" i="7" s="1"/>
  <c r="D12" i="13"/>
  <c r="F62" i="7" s="1"/>
  <c r="P11" i="13"/>
  <c r="O11" i="13"/>
  <c r="N11" i="13"/>
  <c r="M11" i="13"/>
  <c r="L11" i="13"/>
  <c r="H11" i="13"/>
  <c r="O61" i="7" s="1"/>
  <c r="G11" i="13"/>
  <c r="M61" i="7" s="1"/>
  <c r="F11" i="13"/>
  <c r="J61" i="7" s="1"/>
  <c r="E11" i="13"/>
  <c r="H61" i="7" s="1"/>
  <c r="D11" i="13"/>
  <c r="F61" i="7" s="1"/>
  <c r="C11" i="13"/>
  <c r="B61" i="7" s="1"/>
  <c r="P10" i="13"/>
  <c r="O10" i="13"/>
  <c r="O8" i="13" s="1"/>
  <c r="N10" i="13"/>
  <c r="N8" i="13" s="1"/>
  <c r="M10" i="13"/>
  <c r="M8" i="13" s="1"/>
  <c r="L10" i="13"/>
  <c r="L8" i="13" s="1"/>
  <c r="K10" i="13"/>
  <c r="H10" i="13"/>
  <c r="O60" i="7" s="1"/>
  <c r="G10" i="13"/>
  <c r="M60" i="7" s="1"/>
  <c r="F10" i="13"/>
  <c r="J60" i="7" s="1"/>
  <c r="E10" i="13"/>
  <c r="H60" i="7" s="1"/>
  <c r="D10" i="13"/>
  <c r="F60" i="7" s="1"/>
  <c r="C10" i="13"/>
  <c r="B60" i="7" s="1"/>
  <c r="L6" i="13"/>
  <c r="B2" i="13"/>
  <c r="D52" i="12"/>
  <c r="D51" i="12"/>
  <c r="D42" i="12"/>
  <c r="N13" i="12"/>
  <c r="M13" i="12"/>
  <c r="L13" i="12"/>
  <c r="K13" i="12"/>
  <c r="J13" i="12"/>
  <c r="I13" i="12"/>
  <c r="H13" i="12"/>
  <c r="G13" i="12"/>
  <c r="F13" i="12"/>
  <c r="E13" i="12"/>
  <c r="E5" i="12"/>
  <c r="F5" i="12" s="1"/>
  <c r="G5" i="12" s="1"/>
  <c r="H5" i="12" s="1"/>
  <c r="I5" i="12" s="1"/>
  <c r="J5" i="12" s="1"/>
  <c r="K5" i="12" s="1"/>
  <c r="L5" i="12" s="1"/>
  <c r="M5" i="12" s="1"/>
  <c r="N5" i="12" s="1"/>
  <c r="B2" i="12"/>
  <c r="M61" i="11"/>
  <c r="L61" i="11"/>
  <c r="K61" i="11"/>
  <c r="J61" i="11"/>
  <c r="I61" i="11"/>
  <c r="H61" i="11"/>
  <c r="G61" i="11"/>
  <c r="F61" i="11"/>
  <c r="E61" i="11"/>
  <c r="D61" i="11"/>
  <c r="D60" i="11"/>
  <c r="D53" i="11"/>
  <c r="B45" i="11"/>
  <c r="B44" i="11"/>
  <c r="B43" i="11"/>
  <c r="B42" i="11"/>
  <c r="B41" i="11"/>
  <c r="B40" i="11"/>
  <c r="B39" i="11"/>
  <c r="B38" i="11"/>
  <c r="B37" i="11"/>
  <c r="B36" i="11"/>
  <c r="B35" i="11"/>
  <c r="B34" i="11"/>
  <c r="B33" i="11"/>
  <c r="B32" i="11"/>
  <c r="E5" i="11"/>
  <c r="F5" i="11" s="1"/>
  <c r="C5" i="11"/>
  <c r="B2" i="11"/>
  <c r="Q59" i="10"/>
  <c r="O59" i="10"/>
  <c r="Q57" i="10"/>
  <c r="O57" i="10"/>
  <c r="Q51" i="10"/>
  <c r="O51" i="10"/>
  <c r="Q49" i="10"/>
  <c r="O49" i="10"/>
  <c r="Q48" i="10"/>
  <c r="O48" i="10"/>
  <c r="Q47" i="10"/>
  <c r="O47" i="10"/>
  <c r="Q46" i="10"/>
  <c r="O46" i="10"/>
  <c r="Q45" i="10"/>
  <c r="O45" i="10"/>
  <c r="Q44" i="10"/>
  <c r="O44" i="10"/>
  <c r="Q43" i="10"/>
  <c r="O43" i="10"/>
  <c r="Q42" i="10"/>
  <c r="O42" i="10"/>
  <c r="Q41" i="10"/>
  <c r="O41" i="10"/>
  <c r="Q40" i="10"/>
  <c r="O40" i="10"/>
  <c r="Q39" i="10"/>
  <c r="O39" i="10"/>
  <c r="Q38" i="10"/>
  <c r="O38" i="10"/>
  <c r="Q37" i="10"/>
  <c r="O37" i="10"/>
  <c r="Q36" i="10"/>
  <c r="O36" i="10"/>
  <c r="Q35" i="10"/>
  <c r="O35" i="10"/>
  <c r="Q34" i="10"/>
  <c r="O34" i="10"/>
  <c r="Q33" i="10"/>
  <c r="O33" i="10"/>
  <c r="Q32" i="10"/>
  <c r="O32" i="10"/>
  <c r="Q31" i="10"/>
  <c r="O31" i="10"/>
  <c r="K29" i="10"/>
  <c r="Q26" i="10"/>
  <c r="O26" i="10"/>
  <c r="Q24" i="10"/>
  <c r="O24" i="10"/>
  <c r="Q23" i="10"/>
  <c r="O23" i="10"/>
  <c r="B23" i="10"/>
  <c r="Q22" i="10"/>
  <c r="O22" i="10"/>
  <c r="B22" i="10"/>
  <c r="Q21" i="10"/>
  <c r="O21" i="10"/>
  <c r="B21" i="10"/>
  <c r="Q20" i="10"/>
  <c r="O20" i="10"/>
  <c r="Q19" i="10"/>
  <c r="O19" i="10"/>
  <c r="Q17" i="10"/>
  <c r="O17" i="10"/>
  <c r="Q16" i="10"/>
  <c r="O16" i="10"/>
  <c r="Q15" i="10"/>
  <c r="O15" i="10"/>
  <c r="Q14" i="10"/>
  <c r="O14" i="10"/>
  <c r="Q13" i="10"/>
  <c r="O13" i="10"/>
  <c r="B13" i="10"/>
  <c r="Q11" i="10"/>
  <c r="O11" i="10"/>
  <c r="Q10" i="10"/>
  <c r="O10" i="10"/>
  <c r="Q9" i="10"/>
  <c r="O9" i="10"/>
  <c r="G6" i="10"/>
  <c r="B2" i="10"/>
  <c r="Y59" i="9"/>
  <c r="W59" i="9"/>
  <c r="Y57" i="9"/>
  <c r="W57" i="9"/>
  <c r="Y51" i="9"/>
  <c r="W51" i="9"/>
  <c r="Y49" i="9"/>
  <c r="W49" i="9"/>
  <c r="Y48" i="9"/>
  <c r="W48" i="9"/>
  <c r="Y47" i="9"/>
  <c r="W47" i="9"/>
  <c r="Y46" i="9"/>
  <c r="W46" i="9"/>
  <c r="Y45" i="9"/>
  <c r="W45" i="9"/>
  <c r="Y44" i="9"/>
  <c r="W44" i="9"/>
  <c r="Y43" i="9"/>
  <c r="W43" i="9"/>
  <c r="Y42" i="9"/>
  <c r="W42" i="9"/>
  <c r="Y41" i="9"/>
  <c r="W41" i="9"/>
  <c r="Y40" i="9"/>
  <c r="W40" i="9"/>
  <c r="Y39" i="9"/>
  <c r="W39" i="9"/>
  <c r="Y38" i="9"/>
  <c r="W38" i="9"/>
  <c r="Y37" i="9"/>
  <c r="W37" i="9"/>
  <c r="Y36" i="9"/>
  <c r="W36" i="9"/>
  <c r="Y35" i="9"/>
  <c r="W35" i="9"/>
  <c r="Y34" i="9"/>
  <c r="W34" i="9"/>
  <c r="Y33" i="9"/>
  <c r="W33" i="9"/>
  <c r="Y32" i="9"/>
  <c r="W32" i="9"/>
  <c r="Y31" i="9"/>
  <c r="W31" i="9"/>
  <c r="V30" i="9"/>
  <c r="T29" i="9"/>
  <c r="Y26" i="9"/>
  <c r="W26" i="9"/>
  <c r="Y24" i="9"/>
  <c r="W24" i="9"/>
  <c r="Y23" i="9"/>
  <c r="W23" i="9"/>
  <c r="B23" i="9"/>
  <c r="Y22" i="9"/>
  <c r="W22" i="9"/>
  <c r="B22" i="9"/>
  <c r="Y21" i="9"/>
  <c r="W21" i="9"/>
  <c r="B21" i="9"/>
  <c r="Y20" i="9"/>
  <c r="W20" i="9"/>
  <c r="Y19" i="9"/>
  <c r="W19" i="9"/>
  <c r="Y17" i="9"/>
  <c r="W17" i="9"/>
  <c r="Y16" i="9"/>
  <c r="W16" i="9"/>
  <c r="Y15" i="9"/>
  <c r="W15" i="9"/>
  <c r="Y14" i="9"/>
  <c r="W14" i="9"/>
  <c r="Y13" i="9"/>
  <c r="W13" i="9"/>
  <c r="B13" i="9"/>
  <c r="Y11" i="9"/>
  <c r="W11" i="9"/>
  <c r="Y10" i="9"/>
  <c r="W10" i="9"/>
  <c r="Y9" i="9"/>
  <c r="W9" i="9"/>
  <c r="V8" i="9"/>
  <c r="V6" i="9"/>
  <c r="B2" i="9"/>
  <c r="O63" i="8"/>
  <c r="M63" i="8"/>
  <c r="K63" i="8"/>
  <c r="I63" i="8"/>
  <c r="G63" i="8"/>
  <c r="O62" i="8"/>
  <c r="M62" i="8"/>
  <c r="K62" i="8"/>
  <c r="I62" i="8"/>
  <c r="G62" i="8"/>
  <c r="O61" i="8"/>
  <c r="M61" i="8"/>
  <c r="K61" i="8"/>
  <c r="I61" i="8"/>
  <c r="G61" i="8"/>
  <c r="O60" i="8"/>
  <c r="M60" i="8"/>
  <c r="K60" i="8"/>
  <c r="I60" i="8"/>
  <c r="G60" i="8"/>
  <c r="O59" i="8"/>
  <c r="M59" i="8"/>
  <c r="K59" i="8"/>
  <c r="I59" i="8"/>
  <c r="G59" i="8"/>
  <c r="O53" i="8"/>
  <c r="M53" i="8"/>
  <c r="K53" i="8"/>
  <c r="I53" i="8"/>
  <c r="G53" i="8"/>
  <c r="O52" i="8"/>
  <c r="M52" i="8"/>
  <c r="K52" i="8"/>
  <c r="I52" i="8"/>
  <c r="G52" i="8"/>
  <c r="B52" i="8"/>
  <c r="B62" i="8" s="1"/>
  <c r="O51" i="8"/>
  <c r="M51" i="8"/>
  <c r="K51" i="8"/>
  <c r="I51" i="8"/>
  <c r="G51" i="8"/>
  <c r="O50" i="8"/>
  <c r="M50" i="8"/>
  <c r="K50" i="8"/>
  <c r="I50" i="8"/>
  <c r="G50" i="8"/>
  <c r="O49" i="8"/>
  <c r="M49" i="8"/>
  <c r="K49" i="8"/>
  <c r="I49" i="8"/>
  <c r="G49" i="8"/>
  <c r="O37" i="8"/>
  <c r="N37" i="8"/>
  <c r="M37" i="8"/>
  <c r="L37" i="8"/>
  <c r="B37" i="8"/>
  <c r="O36" i="8"/>
  <c r="N36" i="8"/>
  <c r="M36" i="8"/>
  <c r="L36" i="8"/>
  <c r="B36" i="8"/>
  <c r="O35" i="8"/>
  <c r="N35" i="8"/>
  <c r="M35" i="8"/>
  <c r="L35" i="8"/>
  <c r="B35" i="8"/>
  <c r="O34" i="8"/>
  <c r="N34" i="8"/>
  <c r="M34" i="8"/>
  <c r="L34" i="8"/>
  <c r="B34" i="8"/>
  <c r="O33" i="8"/>
  <c r="N33" i="8"/>
  <c r="M33" i="8"/>
  <c r="L33" i="8"/>
  <c r="B33" i="8"/>
  <c r="B31" i="8"/>
  <c r="G24" i="8"/>
  <c r="E24" i="8"/>
  <c r="B24" i="8"/>
  <c r="G23" i="8"/>
  <c r="E23" i="8"/>
  <c r="B23" i="8"/>
  <c r="G22" i="8"/>
  <c r="E22" i="8"/>
  <c r="B22" i="8"/>
  <c r="G21" i="8"/>
  <c r="E21" i="8"/>
  <c r="B21" i="8"/>
  <c r="G20" i="8"/>
  <c r="E20" i="8"/>
  <c r="B20" i="8"/>
  <c r="N11" i="8"/>
  <c r="B2" i="8"/>
  <c r="C70" i="7"/>
  <c r="B58" i="7"/>
  <c r="I36" i="7"/>
  <c r="H36" i="7"/>
  <c r="G36" i="7"/>
  <c r="O36" i="7" s="1"/>
  <c r="B36" i="7"/>
  <c r="I35" i="7"/>
  <c r="H35" i="7"/>
  <c r="B35" i="7"/>
  <c r="I34" i="7"/>
  <c r="H34" i="7"/>
  <c r="B34" i="7"/>
  <c r="I33" i="7"/>
  <c r="H33" i="7"/>
  <c r="G33" i="7"/>
  <c r="P33" i="7" s="1"/>
  <c r="B33" i="7"/>
  <c r="I32" i="7"/>
  <c r="H32" i="7"/>
  <c r="G32" i="7"/>
  <c r="P32" i="7" s="1"/>
  <c r="B32" i="7"/>
  <c r="M25" i="7"/>
  <c r="B21" i="7"/>
  <c r="M19" i="7"/>
  <c r="H14" i="7"/>
  <c r="E14" i="7"/>
  <c r="H12" i="7"/>
  <c r="E12" i="7"/>
  <c r="P11" i="7"/>
  <c r="H11" i="7"/>
  <c r="E11" i="7"/>
  <c r="P10" i="7"/>
  <c r="E9" i="7"/>
  <c r="E8" i="7"/>
  <c r="E7" i="7"/>
  <c r="B2" i="7"/>
  <c r="E16" i="3"/>
  <c r="E14" i="3"/>
  <c r="B7" i="3"/>
  <c r="F134" i="16" l="1"/>
  <c r="V169" i="28"/>
  <c r="X169" i="28" s="1"/>
  <c r="V172" i="28"/>
  <c r="X172" i="28" s="1"/>
  <c r="V164" i="28"/>
  <c r="X164" i="28" s="1"/>
  <c r="V165" i="28"/>
  <c r="X165" i="28" s="1"/>
  <c r="V168" i="28"/>
  <c r="X168" i="28" s="1"/>
  <c r="V166" i="28"/>
  <c r="X166" i="28" s="1"/>
  <c r="V167" i="28"/>
  <c r="X167" i="28" s="1"/>
  <c r="V170" i="28"/>
  <c r="X170" i="28" s="1"/>
  <c r="V171" i="28"/>
  <c r="U170" i="28"/>
  <c r="V163" i="28"/>
  <c r="X163" i="28" s="1"/>
  <c r="U166" i="28"/>
  <c r="U169" i="28"/>
  <c r="U164" i="28"/>
  <c r="U168" i="28"/>
  <c r="U172" i="28"/>
  <c r="U165" i="28"/>
  <c r="U163" i="28"/>
  <c r="U167" i="28"/>
  <c r="U171" i="28"/>
  <c r="T167" i="28"/>
  <c r="T164" i="28"/>
  <c r="S164" i="28"/>
  <c r="Y164" i="28" s="1"/>
  <c r="S172" i="28"/>
  <c r="Y172" i="28" s="1"/>
  <c r="T165" i="28"/>
  <c r="T169" i="28"/>
  <c r="T171" i="28"/>
  <c r="Z171" i="28" s="1"/>
  <c r="T166" i="28"/>
  <c r="T170" i="28"/>
  <c r="Z170" i="28" s="1"/>
  <c r="T168" i="28"/>
  <c r="T172" i="28"/>
  <c r="T163" i="28"/>
  <c r="S165" i="28"/>
  <c r="Y165" i="28" s="1"/>
  <c r="S168" i="28"/>
  <c r="Y168" i="28" s="1"/>
  <c r="S166" i="28"/>
  <c r="Y166" i="28" s="1"/>
  <c r="S170" i="28"/>
  <c r="S169" i="28"/>
  <c r="Y169" i="28" s="1"/>
  <c r="S167" i="28"/>
  <c r="Y167" i="28" s="1"/>
  <c r="S171" i="28"/>
  <c r="Y171" i="28" s="1"/>
  <c r="S163" i="28"/>
  <c r="Y163" i="28" s="1"/>
  <c r="H175" i="28"/>
  <c r="I175" i="28"/>
  <c r="J175" i="28"/>
  <c r="K175" i="28"/>
  <c r="F175" i="28"/>
  <c r="G175" i="28"/>
  <c r="L175" i="28"/>
  <c r="M175" i="28"/>
  <c r="N175" i="28"/>
  <c r="O175" i="28"/>
  <c r="R175" i="28" s="1"/>
  <c r="E175" i="28"/>
  <c r="M174" i="28"/>
  <c r="N174" i="28"/>
  <c r="O174" i="28"/>
  <c r="R174" i="28" s="1"/>
  <c r="D175" i="28"/>
  <c r="L174" i="28"/>
  <c r="F174" i="28"/>
  <c r="G174" i="28"/>
  <c r="H174" i="28"/>
  <c r="I174" i="28"/>
  <c r="E174" i="28"/>
  <c r="J174" i="28"/>
  <c r="K174" i="28"/>
  <c r="D174" i="28"/>
  <c r="F133" i="16"/>
  <c r="F132" i="16"/>
  <c r="F135" i="16"/>
  <c r="F136" i="16"/>
  <c r="F137" i="16"/>
  <c r="F138" i="16"/>
  <c r="F139" i="16"/>
  <c r="F140" i="16"/>
  <c r="F141" i="16"/>
  <c r="F142" i="16"/>
  <c r="F144" i="16"/>
  <c r="F145" i="16"/>
  <c r="F129" i="16"/>
  <c r="F146" i="16"/>
  <c r="F130" i="16"/>
  <c r="F147" i="16"/>
  <c r="G147" i="16" s="1"/>
  <c r="C106" i="22" s="1"/>
  <c r="C133" i="22" s="1"/>
  <c r="F131" i="16"/>
  <c r="AC146" i="28"/>
  <c r="AD146" i="28" s="1"/>
  <c r="AC154" i="28"/>
  <c r="AD154" i="28" s="1"/>
  <c r="AC153" i="28"/>
  <c r="AD153" i="28" s="1"/>
  <c r="AC152" i="28"/>
  <c r="AD152" i="28" s="1"/>
  <c r="AC151" i="28"/>
  <c r="AD151" i="28" s="1"/>
  <c r="AC150" i="28"/>
  <c r="AD150" i="28" s="1"/>
  <c r="AC149" i="28"/>
  <c r="AD149" i="28" s="1"/>
  <c r="AC148" i="28"/>
  <c r="AD148" i="28" s="1"/>
  <c r="AC145" i="28"/>
  <c r="AD145" i="28" s="1"/>
  <c r="V146" i="28"/>
  <c r="V145" i="28"/>
  <c r="V149" i="28"/>
  <c r="V153" i="28"/>
  <c r="V152" i="28"/>
  <c r="V147" i="28"/>
  <c r="V151" i="28"/>
  <c r="V144" i="28"/>
  <c r="V148" i="28"/>
  <c r="V150" i="28"/>
  <c r="V154" i="28"/>
  <c r="U146" i="28"/>
  <c r="U150" i="28"/>
  <c r="V143" i="28"/>
  <c r="U154" i="28"/>
  <c r="U145" i="28"/>
  <c r="U149" i="28"/>
  <c r="U153" i="28"/>
  <c r="U148" i="28"/>
  <c r="U144" i="28"/>
  <c r="U152" i="28"/>
  <c r="U147" i="28"/>
  <c r="U151" i="28"/>
  <c r="U143" i="28"/>
  <c r="S144" i="28"/>
  <c r="S148" i="28"/>
  <c r="S152" i="28"/>
  <c r="T147" i="28"/>
  <c r="T151" i="28"/>
  <c r="T150" i="28"/>
  <c r="T154" i="28"/>
  <c r="T153" i="28"/>
  <c r="T145" i="28"/>
  <c r="T149" i="28"/>
  <c r="T144" i="28"/>
  <c r="T148" i="28"/>
  <c r="T152" i="28"/>
  <c r="T146" i="28"/>
  <c r="S146" i="28"/>
  <c r="S150" i="28"/>
  <c r="S154" i="28"/>
  <c r="T143" i="28"/>
  <c r="S147" i="28"/>
  <c r="S145" i="28"/>
  <c r="S149" i="28"/>
  <c r="S153" i="28"/>
  <c r="S143" i="28"/>
  <c r="S151" i="28"/>
  <c r="E156" i="28"/>
  <c r="N156" i="28"/>
  <c r="O156" i="28"/>
  <c r="R156" i="28" s="1"/>
  <c r="G156" i="28"/>
  <c r="M156" i="28"/>
  <c r="R143" i="28"/>
  <c r="H156" i="28"/>
  <c r="I156" i="28"/>
  <c r="J156" i="28"/>
  <c r="K156" i="28"/>
  <c r="L156" i="28"/>
  <c r="F156" i="28"/>
  <c r="D156" i="28"/>
  <c r="B39" i="10"/>
  <c r="B42" i="10"/>
  <c r="B38" i="10"/>
  <c r="P6" i="9"/>
  <c r="P7" i="9"/>
  <c r="B40" i="9"/>
  <c r="B37" i="10"/>
  <c r="B36" i="9"/>
  <c r="S270" i="23"/>
  <c r="S264" i="23" s="1"/>
  <c r="S266" i="23" s="1"/>
  <c r="O7" i="13"/>
  <c r="B43" i="9"/>
  <c r="D39" i="13"/>
  <c r="B49" i="9"/>
  <c r="G148" i="16"/>
  <c r="F7" i="13"/>
  <c r="F8" i="13" s="1"/>
  <c r="J58" i="7" s="1"/>
  <c r="B41" i="9"/>
  <c r="N7" i="13"/>
  <c r="E22" i="13"/>
  <c r="B44" i="9"/>
  <c r="G22" i="13"/>
  <c r="N22" i="13"/>
  <c r="O22" i="13"/>
  <c r="J6" i="9"/>
  <c r="S292" i="23"/>
  <c r="S286" i="23" s="1"/>
  <c r="S288" i="23" s="1"/>
  <c r="J7" i="9"/>
  <c r="H39" i="13"/>
  <c r="AD36" i="16"/>
  <c r="N43" i="13"/>
  <c r="N49" i="13"/>
  <c r="B45" i="10"/>
  <c r="N39" i="13"/>
  <c r="O39" i="13"/>
  <c r="S405" i="23"/>
  <c r="B33" i="9"/>
  <c r="J36" i="13"/>
  <c r="M43" i="13"/>
  <c r="M49" i="13"/>
  <c r="B34" i="9"/>
  <c r="P43" i="13"/>
  <c r="P49" i="13"/>
  <c r="L45" i="13"/>
  <c r="L47" i="13"/>
  <c r="K51" i="13"/>
  <c r="M45" i="13"/>
  <c r="M47" i="13"/>
  <c r="O49" i="13"/>
  <c r="D7" i="9"/>
  <c r="N45" i="13"/>
  <c r="N47" i="13"/>
  <c r="X224" i="16"/>
  <c r="P47" i="13"/>
  <c r="O43" i="13"/>
  <c r="K42" i="13"/>
  <c r="K44" i="13"/>
  <c r="K46" i="13"/>
  <c r="K48" i="13"/>
  <c r="O47" i="13"/>
  <c r="L42" i="13"/>
  <c r="L44" i="13"/>
  <c r="L46" i="13"/>
  <c r="L48" i="13"/>
  <c r="G7" i="9"/>
  <c r="O45" i="13"/>
  <c r="P45" i="13"/>
  <c r="M42" i="13"/>
  <c r="M44" i="13"/>
  <c r="M46" i="13"/>
  <c r="M48" i="13"/>
  <c r="N42" i="13"/>
  <c r="N44" i="13"/>
  <c r="N46" i="13"/>
  <c r="N48" i="13"/>
  <c r="O42" i="13"/>
  <c r="O44" i="13"/>
  <c r="O46" i="13"/>
  <c r="O48" i="13"/>
  <c r="P253" i="16"/>
  <c r="Y253" i="16" s="1"/>
  <c r="K14" i="13" s="1"/>
  <c r="P42" i="13"/>
  <c r="P44" i="13"/>
  <c r="P46" i="13"/>
  <c r="P48" i="13"/>
  <c r="G6" i="9"/>
  <c r="L43" i="13"/>
  <c r="X235" i="16"/>
  <c r="H49" i="13"/>
  <c r="B46" i="10"/>
  <c r="B35" i="9"/>
  <c r="M6" i="9"/>
  <c r="AA126" i="25"/>
  <c r="M7" i="9"/>
  <c r="E4" i="23"/>
  <c r="T7" i="9" s="1"/>
  <c r="S374" i="23"/>
  <c r="S330" i="23" s="1"/>
  <c r="O29" i="17"/>
  <c r="S196" i="16"/>
  <c r="I17" i="19" s="1"/>
  <c r="B47" i="9"/>
  <c r="J2" i="11"/>
  <c r="B8" i="3"/>
  <c r="D4" i="11"/>
  <c r="E4" i="11" s="1"/>
  <c r="F4" i="11" s="1"/>
  <c r="G4" i="11" s="1"/>
  <c r="H4" i="11" s="1"/>
  <c r="I4" i="11" s="1"/>
  <c r="J4" i="11" s="1"/>
  <c r="K4" i="11" s="1"/>
  <c r="L4" i="11" s="1"/>
  <c r="M4" i="11" s="1"/>
  <c r="N4" i="11" s="1"/>
  <c r="W126" i="25"/>
  <c r="D6" i="9"/>
  <c r="B31" i="9"/>
  <c r="H108" i="16"/>
  <c r="H115" i="16"/>
  <c r="U29" i="17"/>
  <c r="B32" i="10"/>
  <c r="U248" i="16"/>
  <c r="V248" i="16" s="1"/>
  <c r="H7" i="13" s="1"/>
  <c r="H8" i="13" s="1"/>
  <c r="O58" i="7" s="1"/>
  <c r="K9" i="13"/>
  <c r="H109" i="16"/>
  <c r="E18" i="3"/>
  <c r="E20" i="3" s="1"/>
  <c r="AE124" i="25"/>
  <c r="P9" i="13"/>
  <c r="M56" i="16"/>
  <c r="S56" i="16" s="1"/>
  <c r="X56" i="16"/>
  <c r="AB126" i="25"/>
  <c r="Y132" i="25"/>
  <c r="U53" i="16"/>
  <c r="Y29" i="17"/>
  <c r="AC126" i="25"/>
  <c r="Z132" i="25"/>
  <c r="G25" i="8"/>
  <c r="V132" i="25"/>
  <c r="AD81" i="16"/>
  <c r="H107" i="16"/>
  <c r="S248" i="16"/>
  <c r="E7" i="13" s="1"/>
  <c r="E9" i="13" s="1"/>
  <c r="B23" i="17"/>
  <c r="B23" i="18"/>
  <c r="B20" i="10"/>
  <c r="B20" i="9"/>
  <c r="B22" i="17"/>
  <c r="B22" i="18"/>
  <c r="B19" i="9"/>
  <c r="B19" i="10"/>
  <c r="O33" i="7"/>
  <c r="H106" i="16"/>
  <c r="X124" i="25"/>
  <c r="W2" i="9"/>
  <c r="N9" i="13"/>
  <c r="H111" i="16"/>
  <c r="AE59" i="17"/>
  <c r="AE62" i="17" s="1"/>
  <c r="H113" i="16"/>
  <c r="Z126" i="25"/>
  <c r="K11" i="13"/>
  <c r="AE29" i="17"/>
  <c r="BF12" i="25"/>
  <c r="S138" i="23" s="1"/>
  <c r="S131" i="23" s="1"/>
  <c r="E35" i="19"/>
  <c r="AL27" i="25" s="1"/>
  <c r="AN145" i="16"/>
  <c r="G34" i="8"/>
  <c r="AN142" i="16"/>
  <c r="AA132" i="25"/>
  <c r="O35" i="7"/>
  <c r="H37" i="7"/>
  <c r="U54" i="16"/>
  <c r="J36" i="7"/>
  <c r="M36" i="7" s="1"/>
  <c r="P36" i="7"/>
  <c r="H70" i="16"/>
  <c r="Q10" i="22"/>
  <c r="C10" i="22" s="1"/>
  <c r="D10" i="22" s="1"/>
  <c r="AC132" i="25"/>
  <c r="I10" i="16"/>
  <c r="F60" i="23"/>
  <c r="F20" i="12" s="1"/>
  <c r="E25" i="8"/>
  <c r="D6" i="8" s="1"/>
  <c r="D7" i="8" s="1"/>
  <c r="AN138" i="16"/>
  <c r="E53" i="11"/>
  <c r="AN129" i="16"/>
  <c r="U197" i="16"/>
  <c r="K18" i="19" s="1"/>
  <c r="A70" i="25"/>
  <c r="X131" i="25"/>
  <c r="AA218" i="16"/>
  <c r="J33" i="7"/>
  <c r="M33" i="7" s="1"/>
  <c r="G49" i="13"/>
  <c r="V29" i="17"/>
  <c r="A28" i="25"/>
  <c r="I56" i="16"/>
  <c r="AN136" i="16"/>
  <c r="X130" i="25"/>
  <c r="T29" i="17"/>
  <c r="O9" i="13"/>
  <c r="H110" i="16"/>
  <c r="AN131" i="16"/>
  <c r="AN144" i="16"/>
  <c r="AN148" i="16"/>
  <c r="P2" i="7"/>
  <c r="C4" i="11"/>
  <c r="W56" i="16"/>
  <c r="S76" i="16"/>
  <c r="S178" i="16" s="1"/>
  <c r="H112" i="16"/>
  <c r="AF20" i="17"/>
  <c r="AF59" i="17" s="1"/>
  <c r="AF62" i="17" s="1"/>
  <c r="S4" i="23"/>
  <c r="T4" i="23" s="1"/>
  <c r="U4" i="23" s="1"/>
  <c r="V4" i="23" s="1"/>
  <c r="W4" i="23" s="1"/>
  <c r="X4" i="23" s="1"/>
  <c r="Y4" i="23" s="1"/>
  <c r="Z4" i="23" s="1"/>
  <c r="AA4" i="23" s="1"/>
  <c r="AB4" i="23" s="1"/>
  <c r="AC4" i="23" s="1"/>
  <c r="AD4" i="23" s="1"/>
  <c r="AE4" i="23" s="1"/>
  <c r="AF4" i="23" s="1"/>
  <c r="AG4" i="23" s="1"/>
  <c r="AH4" i="23" s="1"/>
  <c r="AI4" i="23" s="1"/>
  <c r="AJ4" i="23" s="1"/>
  <c r="AK4" i="23" s="1"/>
  <c r="AL4" i="23" s="1"/>
  <c r="AM4" i="23" s="1"/>
  <c r="AN4" i="23" s="1"/>
  <c r="AO4" i="23" s="1"/>
  <c r="AP4" i="23" s="1"/>
  <c r="AQ4" i="23" s="1"/>
  <c r="AR4" i="23" s="1"/>
  <c r="AS4" i="23" s="1"/>
  <c r="AT4" i="23" s="1"/>
  <c r="AU4" i="23" s="1"/>
  <c r="AV4" i="23" s="1"/>
  <c r="AW4" i="23" s="1"/>
  <c r="AX4" i="23" s="1"/>
  <c r="AY4" i="23" s="1"/>
  <c r="AZ4" i="23" s="1"/>
  <c r="BA4" i="23" s="1"/>
  <c r="BB4" i="23" s="1"/>
  <c r="BC4" i="23" s="1"/>
  <c r="BD4" i="23" s="1"/>
  <c r="BE4" i="23" s="1"/>
  <c r="BF4" i="23" s="1"/>
  <c r="BG4" i="23" s="1"/>
  <c r="BH4" i="23" s="1"/>
  <c r="BI4" i="23" s="1"/>
  <c r="BJ4" i="23" s="1"/>
  <c r="BK4" i="23" s="1"/>
  <c r="BL4" i="23" s="1"/>
  <c r="BM4" i="23" s="1"/>
  <c r="BN4" i="23" s="1"/>
  <c r="BO4" i="23" s="1"/>
  <c r="BP4" i="23" s="1"/>
  <c r="BQ4" i="23" s="1"/>
  <c r="BR4" i="23" s="1"/>
  <c r="BS4" i="23" s="1"/>
  <c r="BT4" i="23" s="1"/>
  <c r="BU4" i="23" s="1"/>
  <c r="BV4" i="23" s="1"/>
  <c r="BW4" i="23" s="1"/>
  <c r="BX4" i="23" s="1"/>
  <c r="BY4" i="23" s="1"/>
  <c r="BZ4" i="23" s="1"/>
  <c r="CA4" i="23" s="1"/>
  <c r="CB4" i="23" s="1"/>
  <c r="CC4" i="23" s="1"/>
  <c r="CD4" i="23" s="1"/>
  <c r="CE4" i="23" s="1"/>
  <c r="CF4" i="23" s="1"/>
  <c r="CG4" i="23" s="1"/>
  <c r="CH4" i="23" s="1"/>
  <c r="CI4" i="23" s="1"/>
  <c r="CJ4" i="23" s="1"/>
  <c r="CK4" i="23" s="1"/>
  <c r="CL4" i="23" s="1"/>
  <c r="CM4" i="23" s="1"/>
  <c r="CN4" i="23" s="1"/>
  <c r="CO4" i="23" s="1"/>
  <c r="CP4" i="23" s="1"/>
  <c r="CQ4" i="23" s="1"/>
  <c r="CR4" i="23" s="1"/>
  <c r="CS4" i="23" s="1"/>
  <c r="CT4" i="23" s="1"/>
  <c r="CU4" i="23" s="1"/>
  <c r="CV4" i="23" s="1"/>
  <c r="CW4" i="23" s="1"/>
  <c r="CX4" i="23" s="1"/>
  <c r="CY4" i="23" s="1"/>
  <c r="CZ4" i="23" s="1"/>
  <c r="DA4" i="23" s="1"/>
  <c r="DB4" i="23" s="1"/>
  <c r="DC4" i="23" s="1"/>
  <c r="DD4" i="23" s="1"/>
  <c r="DE4" i="23" s="1"/>
  <c r="DF4" i="23" s="1"/>
  <c r="DG4" i="23" s="1"/>
  <c r="DH4" i="23" s="1"/>
  <c r="DI4" i="23" s="1"/>
  <c r="DJ4" i="23" s="1"/>
  <c r="DK4" i="23" s="1"/>
  <c r="DL4" i="23" s="1"/>
  <c r="DM4" i="23" s="1"/>
  <c r="DN4" i="23" s="1"/>
  <c r="DO4" i="23" s="1"/>
  <c r="DP4" i="23" s="1"/>
  <c r="DQ4" i="23" s="1"/>
  <c r="DR4" i="23" s="1"/>
  <c r="DS4" i="23" s="1"/>
  <c r="DT4" i="23" s="1"/>
  <c r="DU4" i="23" s="1"/>
  <c r="DV4" i="23" s="1"/>
  <c r="DW4" i="23" s="1"/>
  <c r="DX4" i="23" s="1"/>
  <c r="DY4" i="23" s="1"/>
  <c r="DZ4" i="23" s="1"/>
  <c r="EA4" i="23" s="1"/>
  <c r="EB4" i="23" s="1"/>
  <c r="EC4" i="23" s="1"/>
  <c r="ED4" i="23" s="1"/>
  <c r="EE4" i="23" s="1"/>
  <c r="EF4" i="23" s="1"/>
  <c r="EG4" i="23" s="1"/>
  <c r="EH4" i="23" s="1"/>
  <c r="EI4" i="23" s="1"/>
  <c r="AU81" i="16"/>
  <c r="DB105" i="25"/>
  <c r="DB106" i="25"/>
  <c r="G34" i="7"/>
  <c r="G37" i="7" s="1"/>
  <c r="O38" i="8"/>
  <c r="O2" i="10"/>
  <c r="B48" i="10"/>
  <c r="M12" i="16"/>
  <c r="S67" i="16"/>
  <c r="T67" i="16" s="1"/>
  <c r="U67" i="16" s="1"/>
  <c r="V67" i="16" s="1"/>
  <c r="W67" i="16" s="1"/>
  <c r="X67" i="16" s="1"/>
  <c r="Y67" i="16" s="1"/>
  <c r="Z67" i="16" s="1"/>
  <c r="AA67" i="16" s="1"/>
  <c r="AB67" i="16" s="1"/>
  <c r="AC67" i="16" s="1"/>
  <c r="AD67" i="16" s="1"/>
  <c r="AE67" i="16" s="1"/>
  <c r="AF67" i="16" s="1"/>
  <c r="AG67" i="16" s="1"/>
  <c r="AH67" i="16" s="1"/>
  <c r="AI67" i="16" s="1"/>
  <c r="AJ67" i="16" s="1"/>
  <c r="AK67" i="16" s="1"/>
  <c r="AL67" i="16" s="1"/>
  <c r="AM67" i="16" s="1"/>
  <c r="AN67" i="16" s="1"/>
  <c r="AO67" i="16" s="1"/>
  <c r="AP67" i="16" s="1"/>
  <c r="AQ67" i="16" s="1"/>
  <c r="AR67" i="16" s="1"/>
  <c r="AS67" i="16" s="1"/>
  <c r="AT67" i="16" s="1"/>
  <c r="AU67" i="16" s="1"/>
  <c r="AV67" i="16" s="1"/>
  <c r="AW67" i="16" s="1"/>
  <c r="AX67" i="16" s="1"/>
  <c r="AY67" i="16" s="1"/>
  <c r="AZ67" i="16" s="1"/>
  <c r="BA67" i="16" s="1"/>
  <c r="BB67" i="16" s="1"/>
  <c r="Z81" i="16"/>
  <c r="AP81" i="16"/>
  <c r="R81" i="16"/>
  <c r="S381" i="23"/>
  <c r="S358" i="23" s="1"/>
  <c r="DB92" i="25"/>
  <c r="DB107" i="25"/>
  <c r="DB120" i="25"/>
  <c r="DB121" i="25"/>
  <c r="AN146" i="16"/>
  <c r="Y59" i="17"/>
  <c r="Y62" i="17" s="1"/>
  <c r="A42" i="25"/>
  <c r="DB108" i="25"/>
  <c r="DB122" i="25"/>
  <c r="AD132" i="25"/>
  <c r="AN140" i="16"/>
  <c r="P24" i="25"/>
  <c r="AD126" i="25"/>
  <c r="AE130" i="25"/>
  <c r="T53" i="16" s="1"/>
  <c r="E34" i="8"/>
  <c r="D7" i="10"/>
  <c r="G7" i="10" s="1"/>
  <c r="AN139" i="16"/>
  <c r="C4" i="22"/>
  <c r="D4" i="22" s="1"/>
  <c r="E4" i="22" s="1"/>
  <c r="F4" i="22" s="1"/>
  <c r="G4" i="22" s="1"/>
  <c r="H4" i="22" s="1"/>
  <c r="I4" i="22" s="1"/>
  <c r="J4" i="22" s="1"/>
  <c r="K4" i="22" s="1"/>
  <c r="L4" i="22" s="1"/>
  <c r="M4" i="22" s="1"/>
  <c r="S206" i="23"/>
  <c r="S221" i="23" s="1"/>
  <c r="N38" i="8"/>
  <c r="AC59" i="17"/>
  <c r="AC62" i="17" s="1"/>
  <c r="AN16" i="25"/>
  <c r="AN17" i="25" s="1"/>
  <c r="W132" i="25"/>
  <c r="I37" i="7"/>
  <c r="O2" i="12"/>
  <c r="AN147" i="16"/>
  <c r="AD59" i="17"/>
  <c r="AD62" i="17" s="1"/>
  <c r="AQ16" i="25"/>
  <c r="AQ17" i="25" s="1"/>
  <c r="AR42" i="25"/>
  <c r="AS41" i="25" s="1"/>
  <c r="DB96" i="25"/>
  <c r="DB111" i="25"/>
  <c r="E4" i="12"/>
  <c r="F4" i="12" s="1"/>
  <c r="G4" i="12" s="1"/>
  <c r="H4" i="12" s="1"/>
  <c r="I4" i="12" s="1"/>
  <c r="J4" i="12" s="1"/>
  <c r="K4" i="12" s="1"/>
  <c r="L4" i="12" s="1"/>
  <c r="M4" i="12" s="1"/>
  <c r="N4" i="12" s="1"/>
  <c r="P8" i="13"/>
  <c r="AB128" i="16"/>
  <c r="AC128" i="16" s="1"/>
  <c r="AD128" i="16" s="1"/>
  <c r="AE128" i="16" s="1"/>
  <c r="AF128" i="16" s="1"/>
  <c r="AG128" i="16" s="1"/>
  <c r="AH128" i="16" s="1"/>
  <c r="AI128" i="16" s="1"/>
  <c r="AJ128" i="16" s="1"/>
  <c r="AK128" i="16" s="1"/>
  <c r="AL128" i="16" s="1"/>
  <c r="AM128" i="16" s="1"/>
  <c r="AN141" i="16"/>
  <c r="W218" i="16"/>
  <c r="DB112" i="25"/>
  <c r="C9" i="13"/>
  <c r="C15" i="13"/>
  <c r="C42" i="13"/>
  <c r="H34" i="8"/>
  <c r="O59" i="17"/>
  <c r="O62" i="17" s="1"/>
  <c r="DB97" i="25"/>
  <c r="DB113" i="25"/>
  <c r="AN137" i="16"/>
  <c r="AE218" i="16"/>
  <c r="P23" i="25"/>
  <c r="O2" i="8"/>
  <c r="S20" i="17"/>
  <c r="S29" i="17" s="1"/>
  <c r="O5" i="25"/>
  <c r="DB114" i="25"/>
  <c r="DB115" i="25"/>
  <c r="AB132" i="25"/>
  <c r="G35" i="8"/>
  <c r="H35" i="8"/>
  <c r="J35" i="7"/>
  <c r="F34" i="8"/>
  <c r="AV28" i="22"/>
  <c r="J32" i="7"/>
  <c r="E81" i="16"/>
  <c r="D81" i="16"/>
  <c r="H36" i="8"/>
  <c r="G36" i="8"/>
  <c r="F36" i="8"/>
  <c r="H37" i="8"/>
  <c r="Q81" i="16"/>
  <c r="G37" i="8"/>
  <c r="F37" i="8"/>
  <c r="E37" i="8"/>
  <c r="AF25" i="22"/>
  <c r="AG81" i="16"/>
  <c r="E33" i="8"/>
  <c r="F38" i="8"/>
  <c r="O32" i="7"/>
  <c r="F33" i="8"/>
  <c r="E36" i="8"/>
  <c r="G33" i="8"/>
  <c r="H33" i="8"/>
  <c r="G5" i="11"/>
  <c r="V68" i="16"/>
  <c r="U71" i="16"/>
  <c r="L38" i="8"/>
  <c r="E35" i="8"/>
  <c r="AW81" i="16"/>
  <c r="M38" i="8"/>
  <c r="F35" i="8"/>
  <c r="BG17" i="20"/>
  <c r="BH17" i="20" s="1"/>
  <c r="BI17" i="20" s="1"/>
  <c r="BJ17" i="20" s="1"/>
  <c r="BK17" i="20" s="1"/>
  <c r="BL17" i="20" s="1"/>
  <c r="BM17" i="20" s="1"/>
  <c r="BN17" i="20" s="1"/>
  <c r="BO17" i="20" s="1"/>
  <c r="BP17" i="20" s="1"/>
  <c r="BQ17" i="20" s="1"/>
  <c r="BR17" i="20" s="1"/>
  <c r="BS17" i="20" s="1"/>
  <c r="BT17" i="20" s="1"/>
  <c r="BU17" i="20" s="1"/>
  <c r="BV17" i="20" s="1"/>
  <c r="BW17" i="20" s="1"/>
  <c r="BX17" i="20" s="1"/>
  <c r="BY17" i="20" s="1"/>
  <c r="BZ17" i="20" s="1"/>
  <c r="CA17" i="20" s="1"/>
  <c r="CB17" i="20" s="1"/>
  <c r="CC17" i="20" s="1"/>
  <c r="CD17" i="20" s="1"/>
  <c r="CE17" i="20" s="1"/>
  <c r="CF17" i="20" s="1"/>
  <c r="CG17" i="20" s="1"/>
  <c r="CH17" i="20" s="1"/>
  <c r="CI17" i="20" s="1"/>
  <c r="CJ17" i="20" s="1"/>
  <c r="CK17" i="20" s="1"/>
  <c r="CL17" i="20" s="1"/>
  <c r="CM17" i="20" s="1"/>
  <c r="CN17" i="20" s="1"/>
  <c r="CO17" i="20" s="1"/>
  <c r="CP17" i="20" s="1"/>
  <c r="CQ17" i="20" s="1"/>
  <c r="CR17" i="20" s="1"/>
  <c r="CS17" i="20" s="1"/>
  <c r="CT17" i="20" s="1"/>
  <c r="CU17" i="20" s="1"/>
  <c r="CV17" i="20" s="1"/>
  <c r="CW17" i="20" s="1"/>
  <c r="CX17" i="20" s="1"/>
  <c r="CY17" i="20" s="1"/>
  <c r="CZ17" i="20" s="1"/>
  <c r="DA17" i="20" s="1"/>
  <c r="DB17" i="20" s="1"/>
  <c r="DC17" i="20" s="1"/>
  <c r="DD17" i="20" s="1"/>
  <c r="DE17" i="20" s="1"/>
  <c r="DF17" i="20" s="1"/>
  <c r="DG17" i="20" s="1"/>
  <c r="DH17" i="20" s="1"/>
  <c r="DI17" i="20" s="1"/>
  <c r="DJ17" i="20" s="1"/>
  <c r="DK17" i="20" s="1"/>
  <c r="DL17" i="20" s="1"/>
  <c r="DM17" i="20" s="1"/>
  <c r="DN17" i="20" s="1"/>
  <c r="DO17" i="20" s="1"/>
  <c r="DP17" i="20" s="1"/>
  <c r="DQ17" i="20" s="1"/>
  <c r="DR17" i="20" s="1"/>
  <c r="DS17" i="20" s="1"/>
  <c r="DT17" i="20" s="1"/>
  <c r="DU17" i="20" s="1"/>
  <c r="DV17" i="20" s="1"/>
  <c r="DW17" i="20" s="1"/>
  <c r="DX17" i="20" s="1"/>
  <c r="DY17" i="20" s="1"/>
  <c r="DZ17" i="20" s="1"/>
  <c r="EA17" i="20" s="1"/>
  <c r="EB17" i="20" s="1"/>
  <c r="EC17" i="20" s="1"/>
  <c r="ED17" i="20" s="1"/>
  <c r="EE17" i="20" s="1"/>
  <c r="AE28" i="22"/>
  <c r="AU28" i="22"/>
  <c r="AV81" i="16"/>
  <c r="Z56" i="16"/>
  <c r="H38" i="8" s="1"/>
  <c r="R25" i="22"/>
  <c r="S81" i="16"/>
  <c r="AH28" i="22"/>
  <c r="S25" i="22"/>
  <c r="T81" i="16"/>
  <c r="AI25" i="22"/>
  <c r="AJ81" i="16"/>
  <c r="AY25" i="22"/>
  <c r="AZ81" i="16"/>
  <c r="AC25" i="22"/>
  <c r="X20" i="17"/>
  <c r="X29" i="17" s="1"/>
  <c r="O2" i="23"/>
  <c r="L2" i="22"/>
  <c r="M4" i="19"/>
  <c r="M4" i="17"/>
  <c r="B8" i="21"/>
  <c r="P4" i="18"/>
  <c r="O4" i="20"/>
  <c r="M4" i="18"/>
  <c r="V25" i="22"/>
  <c r="W81" i="16"/>
  <c r="AL25" i="22"/>
  <c r="AM81" i="16"/>
  <c r="W25" i="22"/>
  <c r="X81" i="16"/>
  <c r="AM25" i="22"/>
  <c r="AN81" i="16"/>
  <c r="AN135" i="16"/>
  <c r="Q20" i="22"/>
  <c r="C11" i="22"/>
  <c r="R11" i="22"/>
  <c r="L9" i="13"/>
  <c r="T71" i="16"/>
  <c r="X25" i="22"/>
  <c r="Y81" i="16"/>
  <c r="AN25" i="22"/>
  <c r="AO81" i="16"/>
  <c r="Q184" i="16"/>
  <c r="U59" i="17"/>
  <c r="U62" i="17" s="1"/>
  <c r="M9" i="13"/>
  <c r="J2" i="14"/>
  <c r="AR9" i="25"/>
  <c r="K24" i="8" s="1"/>
  <c r="AR8" i="25"/>
  <c r="K23" i="8" s="1"/>
  <c r="AT7" i="25"/>
  <c r="AQ9" i="25"/>
  <c r="I24" i="8" s="1"/>
  <c r="AQ8" i="25"/>
  <c r="I23" i="8" s="1"/>
  <c r="AS7" i="25"/>
  <c r="AT6" i="25"/>
  <c r="AR7" i="25"/>
  <c r="K22" i="8" s="1"/>
  <c r="AS6" i="25"/>
  <c r="AQ7" i="25"/>
  <c r="I22" i="8" s="1"/>
  <c r="AR6" i="25"/>
  <c r="K21" i="8" s="1"/>
  <c r="AT5" i="25"/>
  <c r="AQ6" i="25"/>
  <c r="I21" i="8" s="1"/>
  <c r="AS5" i="25"/>
  <c r="AR5" i="25"/>
  <c r="AQ5" i="25"/>
  <c r="AT9" i="25"/>
  <c r="AT8" i="25"/>
  <c r="AS9" i="25"/>
  <c r="AS8" i="25"/>
  <c r="AG26" i="22"/>
  <c r="AG28" i="22" s="1"/>
  <c r="AH81" i="16"/>
  <c r="AW26" i="22"/>
  <c r="AW28" i="22" s="1"/>
  <c r="AX81" i="16"/>
  <c r="AB81" i="16"/>
  <c r="AN133" i="16"/>
  <c r="AN134" i="16"/>
  <c r="AN143" i="16"/>
  <c r="Q180" i="16"/>
  <c r="Z25" i="22"/>
  <c r="AA81" i="16"/>
  <c r="AP25" i="22"/>
  <c r="AQ81" i="16"/>
  <c r="AE81" i="16"/>
  <c r="AN132" i="16"/>
  <c r="AA28" i="22"/>
  <c r="AQ28" i="22"/>
  <c r="AF81" i="16"/>
  <c r="D49" i="13"/>
  <c r="AB25" i="22"/>
  <c r="AC81" i="16"/>
  <c r="AR25" i="22"/>
  <c r="AS81" i="16"/>
  <c r="T26" i="22"/>
  <c r="T28" i="22" s="1"/>
  <c r="U81" i="16"/>
  <c r="AJ26" i="22"/>
  <c r="AJ28" i="22" s="1"/>
  <c r="AK81" i="16"/>
  <c r="AN130" i="16"/>
  <c r="H118" i="16"/>
  <c r="I171" i="16"/>
  <c r="I151" i="16"/>
  <c r="E49" i="13"/>
  <c r="AS25" i="22"/>
  <c r="AT81" i="16"/>
  <c r="AR81" i="16"/>
  <c r="F33" i="18"/>
  <c r="F49" i="13"/>
  <c r="B8" i="15"/>
  <c r="R29" i="17"/>
  <c r="R59" i="17"/>
  <c r="R62" i="17" s="1"/>
  <c r="AB59" i="17"/>
  <c r="AB62" i="17" s="1"/>
  <c r="Q181" i="16"/>
  <c r="B34" i="22"/>
  <c r="B54" i="22"/>
  <c r="B25" i="22"/>
  <c r="B19" i="22"/>
  <c r="B45" i="22"/>
  <c r="Y25" i="22"/>
  <c r="S226" i="16"/>
  <c r="AB237" i="16"/>
  <c r="AA237" i="16" s="1"/>
  <c r="AB29" i="17"/>
  <c r="AO25" i="22"/>
  <c r="AC29" i="17"/>
  <c r="Q185" i="16"/>
  <c r="W20" i="17"/>
  <c r="W59" i="17" s="1"/>
  <c r="W62" i="17" s="1"/>
  <c r="AD29" i="17"/>
  <c r="Q182" i="16"/>
  <c r="Z20" i="17"/>
  <c r="Z29" i="17" s="1"/>
  <c r="T59" i="17"/>
  <c r="T62" i="17" s="1"/>
  <c r="AD28" i="22"/>
  <c r="AT28" i="22"/>
  <c r="AI81" i="16"/>
  <c r="AY81" i="16"/>
  <c r="AB226" i="16"/>
  <c r="Q186" i="16"/>
  <c r="V59" i="17"/>
  <c r="V62" i="17" s="1"/>
  <c r="BA81" i="16"/>
  <c r="Q5" i="23"/>
  <c r="O6" i="22"/>
  <c r="Q183" i="16"/>
  <c r="S161" i="23"/>
  <c r="A48" i="25"/>
  <c r="AL29" i="25"/>
  <c r="V81" i="16"/>
  <c r="AL81" i="16"/>
  <c r="BB81" i="16"/>
  <c r="H152" i="16"/>
  <c r="S184" i="23"/>
  <c r="AX28" i="22"/>
  <c r="S237" i="16"/>
  <c r="R237" i="16" s="1"/>
  <c r="AB248" i="16"/>
  <c r="B55" i="22"/>
  <c r="B46" i="22"/>
  <c r="B26" i="22"/>
  <c r="B20" i="22"/>
  <c r="B35" i="22"/>
  <c r="P20" i="17"/>
  <c r="P29" i="17" s="1"/>
  <c r="AZ28" i="22"/>
  <c r="B172" i="16"/>
  <c r="Q20" i="17"/>
  <c r="Q59" i="17" s="1"/>
  <c r="Q62" i="17" s="1"/>
  <c r="U28" i="22"/>
  <c r="AK28" i="22"/>
  <c r="BA28" i="22"/>
  <c r="S5" i="22"/>
  <c r="AL26" i="25"/>
  <c r="R6" i="22"/>
  <c r="U270" i="23"/>
  <c r="U292" i="23"/>
  <c r="U206" i="23"/>
  <c r="U6" i="23"/>
  <c r="U31" i="23" s="1"/>
  <c r="V5" i="23"/>
  <c r="T270" i="23"/>
  <c r="T292" i="23"/>
  <c r="T206" i="23"/>
  <c r="E68" i="23"/>
  <c r="E67" i="23"/>
  <c r="E60" i="23"/>
  <c r="F68" i="23"/>
  <c r="G5" i="23"/>
  <c r="T6" i="23"/>
  <c r="S327" i="23"/>
  <c r="S378" i="23"/>
  <c r="S379" i="23"/>
  <c r="S350" i="23" s="1"/>
  <c r="AM21" i="25"/>
  <c r="AM24" i="25"/>
  <c r="AM16" i="25"/>
  <c r="AM17" i="25" s="1"/>
  <c r="DB119" i="25"/>
  <c r="Y126" i="25"/>
  <c r="X125" i="25"/>
  <c r="DB109" i="25"/>
  <c r="AI6" i="25"/>
  <c r="DB99" i="25"/>
  <c r="DB98" i="25"/>
  <c r="DB110" i="25"/>
  <c r="AS39" i="25"/>
  <c r="AT39" i="25" s="1"/>
  <c r="AS40" i="25"/>
  <c r="AS38" i="25"/>
  <c r="AR41" i="25"/>
  <c r="DB100" i="25"/>
  <c r="DB101" i="25"/>
  <c r="DB102" i="25"/>
  <c r="AE131" i="25"/>
  <c r="T54" i="16" s="1"/>
  <c r="AR38" i="25"/>
  <c r="DB103" i="25"/>
  <c r="DB104" i="25"/>
  <c r="DB116" i="25"/>
  <c r="DB117" i="25"/>
  <c r="DB93" i="25"/>
  <c r="DB118" i="25"/>
  <c r="DB94" i="25"/>
  <c r="AE125" i="25"/>
  <c r="DB95" i="25"/>
  <c r="A33" i="25"/>
  <c r="AP16" i="25"/>
  <c r="AP17" i="25" s="1"/>
  <c r="AR40" i="25"/>
  <c r="AL57" i="25" a="1"/>
  <c r="AL57" i="25" s="1"/>
  <c r="AN24" i="25"/>
  <c r="A60" i="25"/>
  <c r="V126" i="25"/>
  <c r="Z175" i="28" l="1"/>
  <c r="Y174" i="28"/>
  <c r="Z172" i="28"/>
  <c r="AB172" i="28"/>
  <c r="AC172" i="28" s="1"/>
  <c r="X171" i="28"/>
  <c r="AB171" i="28"/>
  <c r="AC171" i="28" s="1"/>
  <c r="Y170" i="28"/>
  <c r="Y175" i="28" s="1"/>
  <c r="AB170" i="28"/>
  <c r="Z169" i="28"/>
  <c r="AB169" i="28"/>
  <c r="AC169" i="28" s="1"/>
  <c r="Z168" i="28"/>
  <c r="AB168" i="28"/>
  <c r="AC168" i="28" s="1"/>
  <c r="Z167" i="28"/>
  <c r="AB167" i="28"/>
  <c r="AC167" i="28" s="1"/>
  <c r="Z166" i="28"/>
  <c r="AB166" i="28"/>
  <c r="AC166" i="28" s="1"/>
  <c r="Z165" i="28"/>
  <c r="AC165" i="28"/>
  <c r="Z164" i="28"/>
  <c r="AB164" i="28"/>
  <c r="AC164" i="28" s="1"/>
  <c r="Z163" i="28"/>
  <c r="AB163" i="28"/>
  <c r="V175" i="28"/>
  <c r="V174" i="28"/>
  <c r="U175" i="28"/>
  <c r="U174" i="28"/>
  <c r="I177" i="28"/>
  <c r="I179" i="28" s="1"/>
  <c r="I181" i="28" s="1"/>
  <c r="T175" i="28"/>
  <c r="T174" i="28"/>
  <c r="N177" i="28"/>
  <c r="N179" i="28" s="1"/>
  <c r="N181" i="28" s="1"/>
  <c r="M177" i="28"/>
  <c r="S174" i="28"/>
  <c r="S175" i="28"/>
  <c r="K177" i="28"/>
  <c r="K179" i="28" s="1"/>
  <c r="K181" i="28" s="1"/>
  <c r="L177" i="28"/>
  <c r="L179" i="28" s="1"/>
  <c r="L181" i="28" s="1"/>
  <c r="O177" i="28"/>
  <c r="J177" i="28"/>
  <c r="H177" i="28"/>
  <c r="H179" i="28" s="1"/>
  <c r="H181" i="28" s="1"/>
  <c r="E177" i="28"/>
  <c r="E179" i="28" s="1"/>
  <c r="E181" i="28" s="1"/>
  <c r="G177" i="28"/>
  <c r="F177" i="28"/>
  <c r="F179" i="28" s="1"/>
  <c r="F181" i="28" s="1"/>
  <c r="D177" i="28"/>
  <c r="S156" i="28"/>
  <c r="V156" i="28"/>
  <c r="U156" i="28"/>
  <c r="T156" i="28"/>
  <c r="S272" i="23"/>
  <c r="S273" i="23" s="1"/>
  <c r="T269" i="23" s="1"/>
  <c r="T271" i="23" s="1"/>
  <c r="R248" i="16"/>
  <c r="D7" i="13" s="1"/>
  <c r="S294" i="23"/>
  <c r="S355" i="23" s="1"/>
  <c r="S252" i="23"/>
  <c r="F9" i="13"/>
  <c r="J57" i="7"/>
  <c r="G28" i="13"/>
  <c r="F4" i="23"/>
  <c r="G4" i="23" s="1"/>
  <c r="AE126" i="25"/>
  <c r="T56" i="16"/>
  <c r="S228" i="23"/>
  <c r="S336" i="23" s="1"/>
  <c r="Q19" i="22"/>
  <c r="C19" i="22" s="1"/>
  <c r="S235" i="23"/>
  <c r="S337" i="23" s="1"/>
  <c r="U198" i="16"/>
  <c r="U199" i="16" s="1"/>
  <c r="Y8" i="17"/>
  <c r="X126" i="25"/>
  <c r="AL21" i="25"/>
  <c r="H29" i="13"/>
  <c r="R10" i="22"/>
  <c r="R13" i="22" s="1"/>
  <c r="G7" i="13"/>
  <c r="M57" i="7" s="1"/>
  <c r="H9" i="13"/>
  <c r="O57" i="7"/>
  <c r="S59" i="17"/>
  <c r="S62" i="17" s="1"/>
  <c r="C41" i="13"/>
  <c r="C14" i="13"/>
  <c r="B64" i="7" s="1"/>
  <c r="S375" i="23"/>
  <c r="S340" i="23" s="1"/>
  <c r="AL24" i="25"/>
  <c r="H27" i="13"/>
  <c r="G26" i="13"/>
  <c r="G27" i="13"/>
  <c r="E26" i="13"/>
  <c r="D27" i="13"/>
  <c r="H28" i="13"/>
  <c r="F28" i="13"/>
  <c r="G29" i="13"/>
  <c r="F29" i="13"/>
  <c r="E25" i="13"/>
  <c r="H26" i="13"/>
  <c r="D25" i="13"/>
  <c r="K7" i="10"/>
  <c r="D28" i="13"/>
  <c r="E28" i="13"/>
  <c r="G25" i="13"/>
  <c r="F27" i="13"/>
  <c r="H25" i="13"/>
  <c r="D29" i="13"/>
  <c r="D26" i="13"/>
  <c r="AL16" i="25"/>
  <c r="AL17" i="25" s="1"/>
  <c r="AK13" i="25" s="1"/>
  <c r="F26" i="13"/>
  <c r="E27" i="13"/>
  <c r="V53" i="16"/>
  <c r="E227" i="16"/>
  <c r="E228" i="16" s="1"/>
  <c r="O21" i="8"/>
  <c r="F25" i="13"/>
  <c r="E29" i="13"/>
  <c r="AT40" i="25"/>
  <c r="S197" i="16"/>
  <c r="AT41" i="25"/>
  <c r="I70" i="16"/>
  <c r="AK70" i="16" s="1"/>
  <c r="AT38" i="25"/>
  <c r="M24" i="8"/>
  <c r="E8" i="13"/>
  <c r="H58" i="7" s="1"/>
  <c r="H57" i="7"/>
  <c r="X132" i="25"/>
  <c r="X59" i="17"/>
  <c r="X62" i="17" s="1"/>
  <c r="I111" i="16"/>
  <c r="AF29" i="17"/>
  <c r="BF26" i="25"/>
  <c r="F33" i="7"/>
  <c r="N33" i="7" s="1"/>
  <c r="J69" i="16"/>
  <c r="K69" i="16" s="1"/>
  <c r="L69" i="16" s="1"/>
  <c r="M69" i="16" s="1"/>
  <c r="N69" i="16" s="1"/>
  <c r="O69" i="16" s="1"/>
  <c r="P69" i="16" s="1"/>
  <c r="Q69" i="16" s="1"/>
  <c r="F36" i="7"/>
  <c r="N36" i="7" s="1"/>
  <c r="O22" i="8"/>
  <c r="G11" i="19"/>
  <c r="B23" i="7"/>
  <c r="O24" i="8"/>
  <c r="S208" i="23"/>
  <c r="S200" i="23"/>
  <c r="S202" i="23" s="1"/>
  <c r="O8" i="17"/>
  <c r="O9" i="17" s="1"/>
  <c r="AE132" i="25"/>
  <c r="R161" i="22"/>
  <c r="O34" i="7"/>
  <c r="O37" i="7" s="1"/>
  <c r="P37" i="7" s="1"/>
  <c r="J34" i="7"/>
  <c r="J37" i="7" s="1"/>
  <c r="Q29" i="17"/>
  <c r="Q8" i="17" s="1"/>
  <c r="Z59" i="17"/>
  <c r="Z62" i="17" s="1"/>
  <c r="T76" i="16"/>
  <c r="T178" i="16" s="1"/>
  <c r="R8" i="17"/>
  <c r="AT42" i="25"/>
  <c r="AI28" i="22"/>
  <c r="AL58" i="25" a="1"/>
  <c r="AL58" i="25" s="1"/>
  <c r="AL49" i="25" s="1"/>
  <c r="C20" i="22"/>
  <c r="C35" i="22" s="1"/>
  <c r="R20" i="22"/>
  <c r="S20" i="22" s="1"/>
  <c r="T20" i="22" s="1"/>
  <c r="U20" i="22" s="1"/>
  <c r="V20" i="22" s="1"/>
  <c r="W20" i="22" s="1"/>
  <c r="X20" i="22" s="1"/>
  <c r="Y20" i="22" s="1"/>
  <c r="Z20" i="22" s="1"/>
  <c r="AA20" i="22" s="1"/>
  <c r="AB20" i="22" s="1"/>
  <c r="AC20" i="22" s="1"/>
  <c r="AD20" i="22" s="1"/>
  <c r="AE20" i="22" s="1"/>
  <c r="AF20" i="22" s="1"/>
  <c r="AG20" i="22" s="1"/>
  <c r="AH20" i="22" s="1"/>
  <c r="AI20" i="22" s="1"/>
  <c r="AJ20" i="22" s="1"/>
  <c r="AK20" i="22" s="1"/>
  <c r="AL20" i="22" s="1"/>
  <c r="AM20" i="22" s="1"/>
  <c r="AN20" i="22" s="1"/>
  <c r="AO20" i="22" s="1"/>
  <c r="AP20" i="22" s="1"/>
  <c r="AQ20" i="22" s="1"/>
  <c r="AR20" i="22" s="1"/>
  <c r="AS20" i="22" s="1"/>
  <c r="AT20" i="22" s="1"/>
  <c r="AU20" i="22" s="1"/>
  <c r="AV20" i="22" s="1"/>
  <c r="AW20" i="22" s="1"/>
  <c r="AX20" i="22" s="1"/>
  <c r="AY20" i="22" s="1"/>
  <c r="AZ20" i="22" s="1"/>
  <c r="BA20" i="22" s="1"/>
  <c r="T252" i="23"/>
  <c r="T235" i="23"/>
  <c r="T337" i="23" s="1"/>
  <c r="T221" i="23"/>
  <c r="T200" i="23"/>
  <c r="T90" i="23"/>
  <c r="T286" i="23"/>
  <c r="T69" i="23"/>
  <c r="T68" i="23"/>
  <c r="T31" i="23"/>
  <c r="C107" i="22"/>
  <c r="C134" i="22" s="1"/>
  <c r="M32" i="7"/>
  <c r="F32" i="7"/>
  <c r="N32" i="7" s="1"/>
  <c r="S134" i="23"/>
  <c r="AI7" i="25"/>
  <c r="E10" i="22"/>
  <c r="E22" i="3"/>
  <c r="E24" i="3" s="1"/>
  <c r="S346" i="23"/>
  <c r="S335" i="23"/>
  <c r="AY28" i="22"/>
  <c r="AA226" i="16"/>
  <c r="L39" i="13" s="1"/>
  <c r="M39" i="13"/>
  <c r="V28" i="22"/>
  <c r="H5" i="11"/>
  <c r="G62" i="11"/>
  <c r="AF28" i="22"/>
  <c r="M35" i="7"/>
  <c r="F35" i="7"/>
  <c r="I113" i="16"/>
  <c r="M22" i="8"/>
  <c r="S11" i="22"/>
  <c r="T67" i="23"/>
  <c r="R28" i="22"/>
  <c r="D11" i="22"/>
  <c r="D13" i="22" s="1"/>
  <c r="R150" i="22"/>
  <c r="R149" i="22"/>
  <c r="R148" i="22"/>
  <c r="R142" i="22"/>
  <c r="R79" i="22" s="1"/>
  <c r="R141" i="22"/>
  <c r="R147" i="22"/>
  <c r="R146" i="22"/>
  <c r="I109" i="16"/>
  <c r="E62" i="11"/>
  <c r="BF9" i="25"/>
  <c r="I6" i="8"/>
  <c r="I7" i="8" s="1"/>
  <c r="U235" i="23"/>
  <c r="U337" i="23" s="1"/>
  <c r="U221" i="23"/>
  <c r="U252" i="23"/>
  <c r="U200" i="23"/>
  <c r="U90" i="23"/>
  <c r="AA248" i="16"/>
  <c r="L7" i="13" s="1"/>
  <c r="M7" i="13"/>
  <c r="M23" i="8"/>
  <c r="I107" i="16"/>
  <c r="C13" i="22"/>
  <c r="R106" i="22"/>
  <c r="R133" i="22" s="1"/>
  <c r="AR28" i="22"/>
  <c r="O23" i="8"/>
  <c r="U67" i="23"/>
  <c r="S28" i="22"/>
  <c r="P35" i="7"/>
  <c r="S163" i="23"/>
  <c r="S154" i="23"/>
  <c r="AM28" i="22"/>
  <c r="D62" i="11"/>
  <c r="D64" i="11" s="1"/>
  <c r="S186" i="23"/>
  <c r="S187" i="23" s="1"/>
  <c r="T183" i="23" s="1"/>
  <c r="S177" i="23"/>
  <c r="AB28" i="22"/>
  <c r="S140" i="23"/>
  <c r="S90" i="23"/>
  <c r="I115" i="16"/>
  <c r="C442" i="23"/>
  <c r="BB8" i="25"/>
  <c r="E247" i="16"/>
  <c r="E38" i="8"/>
  <c r="I11" i="8" s="1"/>
  <c r="U286" i="23"/>
  <c r="P59" i="17"/>
  <c r="P62" i="17" s="1"/>
  <c r="W28" i="22"/>
  <c r="AC28" i="22"/>
  <c r="E243" i="16"/>
  <c r="G38" i="8"/>
  <c r="I10" i="8" s="1"/>
  <c r="Y56" i="16"/>
  <c r="V270" i="23"/>
  <c r="V292" i="23"/>
  <c r="V206" i="23"/>
  <c r="V6" i="23"/>
  <c r="W5" i="23"/>
  <c r="U264" i="23"/>
  <c r="I152" i="16"/>
  <c r="I25" i="8"/>
  <c r="D9" i="8" s="1"/>
  <c r="I20" i="8"/>
  <c r="W68" i="16"/>
  <c r="V71" i="16"/>
  <c r="V54" i="16"/>
  <c r="G68" i="23"/>
  <c r="H5" i="23"/>
  <c r="J64" i="18"/>
  <c r="E20" i="12"/>
  <c r="K57" i="10"/>
  <c r="L57" i="10" s="1"/>
  <c r="T57" i="9"/>
  <c r="U57" i="9" s="1"/>
  <c r="U69" i="23"/>
  <c r="U68" i="23"/>
  <c r="AO28" i="22"/>
  <c r="Y28" i="22"/>
  <c r="AS28" i="22"/>
  <c r="AP28" i="22"/>
  <c r="K25" i="8"/>
  <c r="K20" i="8"/>
  <c r="U8" i="17"/>
  <c r="J151" i="16"/>
  <c r="O20" i="8"/>
  <c r="AN28" i="22"/>
  <c r="W29" i="17"/>
  <c r="W8" i="17" s="1"/>
  <c r="T8" i="17"/>
  <c r="T264" i="23"/>
  <c r="S161" i="22"/>
  <c r="T5" i="22"/>
  <c r="S6" i="22"/>
  <c r="G60" i="23"/>
  <c r="G20" i="12" s="1"/>
  <c r="J171" i="16"/>
  <c r="F53" i="11"/>
  <c r="Z28" i="22"/>
  <c r="M21" i="8"/>
  <c r="AL28" i="22"/>
  <c r="M22" i="13"/>
  <c r="R226" i="16"/>
  <c r="L22" i="13" s="1"/>
  <c r="I110" i="16"/>
  <c r="I118" i="16"/>
  <c r="I108" i="16"/>
  <c r="I112" i="16"/>
  <c r="I106" i="16"/>
  <c r="I114" i="16"/>
  <c r="X28" i="22"/>
  <c r="V8" i="17"/>
  <c r="F62" i="11"/>
  <c r="AB175" i="28" l="1"/>
  <c r="AC175" i="28" s="1"/>
  <c r="AC170" i="28"/>
  <c r="X175" i="28"/>
  <c r="AB174" i="28"/>
  <c r="Z174" i="28"/>
  <c r="AC163" i="28"/>
  <c r="X174" i="28"/>
  <c r="D179" i="28"/>
  <c r="D181" i="28" s="1"/>
  <c r="V177" i="28"/>
  <c r="G179" i="28"/>
  <c r="G181" i="28" s="1"/>
  <c r="U177" i="28"/>
  <c r="J179" i="28"/>
  <c r="J181" i="28" s="1"/>
  <c r="T177" i="28"/>
  <c r="M179" i="28"/>
  <c r="M181" i="28" s="1"/>
  <c r="S177" i="28"/>
  <c r="O179" i="28"/>
  <c r="R177" i="28"/>
  <c r="S391" i="23"/>
  <c r="S393" i="23" s="1"/>
  <c r="S351" i="23"/>
  <c r="D9" i="13"/>
  <c r="D8" i="13"/>
  <c r="F58" i="7" s="1"/>
  <c r="F57" i="7"/>
  <c r="S396" i="23"/>
  <c r="S399" i="23" s="1"/>
  <c r="S295" i="23"/>
  <c r="T291" i="23" s="1"/>
  <c r="T293" i="23" s="1"/>
  <c r="R19" i="22"/>
  <c r="R34" i="22" s="1"/>
  <c r="S230" i="23"/>
  <c r="S231" i="23" s="1"/>
  <c r="T227" i="23" s="1"/>
  <c r="Q22" i="22"/>
  <c r="K19" i="19"/>
  <c r="A24" i="25"/>
  <c r="C30" i="7" s="1"/>
  <c r="S8" i="17"/>
  <c r="Z70" i="16"/>
  <c r="G8" i="13"/>
  <c r="M58" i="7" s="1"/>
  <c r="S10" i="22"/>
  <c r="S13" i="22" s="1"/>
  <c r="G9" i="13"/>
  <c r="AP70" i="16"/>
  <c r="P53" i="16"/>
  <c r="Q45" i="22" s="1"/>
  <c r="R159" i="22"/>
  <c r="S376" i="23"/>
  <c r="S361" i="23" s="1"/>
  <c r="P54" i="16"/>
  <c r="BB70" i="16"/>
  <c r="AC70" i="16"/>
  <c r="V70" i="16"/>
  <c r="AL70" i="16"/>
  <c r="AN70" i="16"/>
  <c r="AI70" i="16"/>
  <c r="AD70" i="16"/>
  <c r="AS70" i="16"/>
  <c r="AF70" i="16"/>
  <c r="AW70" i="16"/>
  <c r="AB70" i="16"/>
  <c r="AR70" i="16"/>
  <c r="AT70" i="16"/>
  <c r="S159" i="22"/>
  <c r="J70" i="16"/>
  <c r="K70" i="16" s="1"/>
  <c r="AH70" i="16"/>
  <c r="AO70" i="16"/>
  <c r="AX70" i="16"/>
  <c r="BA70" i="16"/>
  <c r="U70" i="16"/>
  <c r="S223" i="23"/>
  <c r="S224" i="23" s="1"/>
  <c r="T220" i="23" s="1"/>
  <c r="AZ70" i="16"/>
  <c r="AV70" i="16"/>
  <c r="T70" i="16"/>
  <c r="S160" i="22" s="1"/>
  <c r="AY70" i="16"/>
  <c r="AG70" i="16"/>
  <c r="AJ70" i="16"/>
  <c r="Y70" i="16"/>
  <c r="U76" i="16"/>
  <c r="U178" i="16" s="1"/>
  <c r="AM70" i="16"/>
  <c r="S70" i="16"/>
  <c r="R160" i="22" s="1"/>
  <c r="AE70" i="16"/>
  <c r="X70" i="16"/>
  <c r="AU70" i="16"/>
  <c r="W70" i="16"/>
  <c r="AQ70" i="16"/>
  <c r="P34" i="7"/>
  <c r="U200" i="16"/>
  <c r="K20" i="19"/>
  <c r="S384" i="23"/>
  <c r="AA70" i="16"/>
  <c r="I18" i="19"/>
  <c r="S198" i="16"/>
  <c r="S141" i="23"/>
  <c r="T137" i="23" s="1"/>
  <c r="T139" i="23" s="1"/>
  <c r="T140" i="23" s="1"/>
  <c r="S342" i="23"/>
  <c r="R107" i="22"/>
  <c r="R134" i="22" s="1"/>
  <c r="X8" i="17"/>
  <c r="J108" i="16"/>
  <c r="Z8" i="17"/>
  <c r="M20" i="8"/>
  <c r="D11" i="8" s="1"/>
  <c r="J115" i="16"/>
  <c r="O25" i="8"/>
  <c r="M34" i="7"/>
  <c r="M37" i="7" s="1"/>
  <c r="F34" i="7"/>
  <c r="S209" i="23"/>
  <c r="T205" i="23" s="1"/>
  <c r="S386" i="23"/>
  <c r="S347" i="23"/>
  <c r="S258" i="23"/>
  <c r="J112" i="16"/>
  <c r="T71" i="23"/>
  <c r="R35" i="22"/>
  <c r="J114" i="16"/>
  <c r="K64" i="18"/>
  <c r="L64" i="18" s="1"/>
  <c r="S180" i="23"/>
  <c r="J106" i="16"/>
  <c r="J152" i="16"/>
  <c r="V235" i="23"/>
  <c r="V337" i="23" s="1"/>
  <c r="V252" i="23"/>
  <c r="V221" i="23"/>
  <c r="V200" i="23"/>
  <c r="V90" i="23"/>
  <c r="G252" i="16"/>
  <c r="O56" i="8" s="1"/>
  <c r="O57" i="8" s="1"/>
  <c r="G251" i="16"/>
  <c r="M56" i="8" s="1"/>
  <c r="M57" i="8" s="1"/>
  <c r="G250" i="16"/>
  <c r="K56" i="8" s="1"/>
  <c r="K57" i="8" s="1"/>
  <c r="G248" i="16"/>
  <c r="G56" i="8" s="1"/>
  <c r="G57" i="8" s="1"/>
  <c r="G249" i="16"/>
  <c r="I56" i="8" s="1"/>
  <c r="I57" i="8" s="1"/>
  <c r="S194" i="23"/>
  <c r="U71" i="23"/>
  <c r="N35" i="7"/>
  <c r="T185" i="23"/>
  <c r="T186" i="23" s="1"/>
  <c r="S149" i="22"/>
  <c r="S148" i="22"/>
  <c r="S147" i="22"/>
  <c r="S142" i="22"/>
  <c r="S79" i="22" s="1"/>
  <c r="S141" i="22"/>
  <c r="S146" i="22"/>
  <c r="S150" i="22"/>
  <c r="S106" i="22"/>
  <c r="S133" i="22" s="1"/>
  <c r="S107" i="22"/>
  <c r="S134" i="22" s="1"/>
  <c r="BB5" i="25"/>
  <c r="C1" i="27" s="1"/>
  <c r="I247" i="16"/>
  <c r="I236" i="16" s="1"/>
  <c r="I9" i="8"/>
  <c r="E26" i="3"/>
  <c r="T161" i="22"/>
  <c r="T159" i="22" s="1"/>
  <c r="U5" i="22"/>
  <c r="T6" i="22"/>
  <c r="W71" i="16"/>
  <c r="X68" i="16"/>
  <c r="V286" i="23"/>
  <c r="F10" i="22"/>
  <c r="U91" i="23"/>
  <c r="U333" i="23" s="1"/>
  <c r="K151" i="16"/>
  <c r="W270" i="23"/>
  <c r="W292" i="23"/>
  <c r="W206" i="23"/>
  <c r="X5" i="23"/>
  <c r="W6" i="23"/>
  <c r="J118" i="16"/>
  <c r="V69" i="23"/>
  <c r="V68" i="23"/>
  <c r="V31" i="23"/>
  <c r="V67" i="23"/>
  <c r="S148" i="23"/>
  <c r="S94" i="23"/>
  <c r="S35" i="22"/>
  <c r="T11" i="22"/>
  <c r="I5" i="11"/>
  <c r="H62" i="11"/>
  <c r="U335" i="23"/>
  <c r="J109" i="16"/>
  <c r="AI8" i="25"/>
  <c r="J110" i="16"/>
  <c r="J111" i="16"/>
  <c r="V264" i="23"/>
  <c r="H60" i="23"/>
  <c r="K171" i="16"/>
  <c r="G53" i="11"/>
  <c r="L41" i="7"/>
  <c r="J41" i="7"/>
  <c r="F41" i="7"/>
  <c r="H41" i="7"/>
  <c r="P41" i="7"/>
  <c r="N41" i="7"/>
  <c r="T272" i="23"/>
  <c r="S157" i="23"/>
  <c r="E11" i="22"/>
  <c r="E13" i="22" s="1"/>
  <c r="J113" i="16"/>
  <c r="S91" i="23"/>
  <c r="S171" i="23"/>
  <c r="J107" i="16"/>
  <c r="P8" i="17"/>
  <c r="H68" i="23"/>
  <c r="I5" i="23"/>
  <c r="S164" i="23"/>
  <c r="T160" i="23" s="1"/>
  <c r="T91" i="23"/>
  <c r="R78" i="22"/>
  <c r="C22" i="22"/>
  <c r="C34" i="22"/>
  <c r="H4" i="23"/>
  <c r="T335" i="23"/>
  <c r="G241" i="16"/>
  <c r="O46" i="8" s="1"/>
  <c r="O47" i="8" s="1"/>
  <c r="G240" i="16"/>
  <c r="M46" i="8" s="1"/>
  <c r="M47" i="8" s="1"/>
  <c r="G239" i="16"/>
  <c r="K46" i="8" s="1"/>
  <c r="K47" i="8" s="1"/>
  <c r="G237" i="16"/>
  <c r="G46" i="8" s="1"/>
  <c r="G47" i="8" s="1"/>
  <c r="G238" i="16"/>
  <c r="I46" i="8" s="1"/>
  <c r="I47" i="8" s="1"/>
  <c r="R179" i="28" l="1"/>
  <c r="O181" i="28"/>
  <c r="AC174" i="28"/>
  <c r="AB177" i="28"/>
  <c r="X177" i="28" s="1"/>
  <c r="V179" i="28"/>
  <c r="U179" i="28"/>
  <c r="T179" i="28"/>
  <c r="S179" i="28"/>
  <c r="S392" i="23"/>
  <c r="S344" i="23" s="1"/>
  <c r="S394" i="23"/>
  <c r="S357" i="23" s="1"/>
  <c r="S398" i="23"/>
  <c r="S349" i="23" s="1"/>
  <c r="S397" i="23"/>
  <c r="S345" i="23" s="1"/>
  <c r="R22" i="22"/>
  <c r="S19" i="22"/>
  <c r="S34" i="22" s="1"/>
  <c r="S37" i="22" s="1"/>
  <c r="S57" i="22" s="1"/>
  <c r="T10" i="22"/>
  <c r="T13" i="22" s="1"/>
  <c r="B50" i="16"/>
  <c r="AD133" i="25"/>
  <c r="B16" i="8"/>
  <c r="AE133" i="25"/>
  <c r="E91" i="16"/>
  <c r="E92" i="16"/>
  <c r="E90" i="16"/>
  <c r="BF21" i="25"/>
  <c r="AF132" i="25"/>
  <c r="F90" i="16" s="1"/>
  <c r="H90" i="16" s="1"/>
  <c r="I90" i="16" s="1"/>
  <c r="J90" i="16" s="1"/>
  <c r="K90" i="16" s="1"/>
  <c r="L90" i="16" s="1"/>
  <c r="M90" i="16" s="1"/>
  <c r="N90" i="16" s="1"/>
  <c r="O90" i="16" s="1"/>
  <c r="P90" i="16" s="1"/>
  <c r="Q90" i="16" s="1"/>
  <c r="AF133" i="25"/>
  <c r="BW135" i="25"/>
  <c r="B63" i="16" s="1"/>
  <c r="AG132" i="25"/>
  <c r="F91" i="16" s="1"/>
  <c r="G91" i="16" s="1"/>
  <c r="AH132" i="25"/>
  <c r="F92" i="16" s="1"/>
  <c r="L92" i="16" s="1"/>
  <c r="M92" i="16" s="1"/>
  <c r="N92" i="16" s="1"/>
  <c r="O92" i="16" s="1"/>
  <c r="P92" i="16" s="1"/>
  <c r="Q92" i="16" s="1"/>
  <c r="K132" i="25"/>
  <c r="R37" i="22"/>
  <c r="R57" i="22" s="1"/>
  <c r="R45" i="22"/>
  <c r="S45" i="22" s="1"/>
  <c r="F78" i="16"/>
  <c r="Q54" i="22" s="1"/>
  <c r="R54" i="22" s="1"/>
  <c r="S54" i="22" s="1"/>
  <c r="T54" i="22" s="1"/>
  <c r="P56" i="16"/>
  <c r="K109" i="16"/>
  <c r="F79" i="16"/>
  <c r="Q46" i="22"/>
  <c r="V76" i="16"/>
  <c r="V178" i="16" s="1"/>
  <c r="L70" i="16"/>
  <c r="M70" i="16" s="1"/>
  <c r="S95" i="23"/>
  <c r="K110" i="16"/>
  <c r="K118" i="16"/>
  <c r="M25" i="8"/>
  <c r="D10" i="8" s="1"/>
  <c r="I19" i="19"/>
  <c r="S199" i="16"/>
  <c r="K21" i="19"/>
  <c r="U201" i="16"/>
  <c r="K115" i="16"/>
  <c r="N34" i="7"/>
  <c r="K107" i="16"/>
  <c r="K113" i="16"/>
  <c r="K108" i="16"/>
  <c r="S389" i="23"/>
  <c r="S356" i="23" s="1"/>
  <c r="S387" i="23"/>
  <c r="S343" i="23" s="1"/>
  <c r="S388" i="23"/>
  <c r="S352" i="23" s="1"/>
  <c r="T251" i="23"/>
  <c r="T207" i="23"/>
  <c r="T208" i="23" s="1"/>
  <c r="T258" i="23"/>
  <c r="K112" i="16"/>
  <c r="F37" i="7"/>
  <c r="N37" i="7" s="1"/>
  <c r="K152" i="16"/>
  <c r="K106" i="16"/>
  <c r="K111" i="16"/>
  <c r="D258" i="23"/>
  <c r="S237" i="23"/>
  <c r="S238" i="23" s="1"/>
  <c r="T234" i="23" s="1"/>
  <c r="T148" i="23"/>
  <c r="T133" i="23"/>
  <c r="T333" i="23"/>
  <c r="P47" i="7"/>
  <c r="P52" i="7"/>
  <c r="O48" i="7"/>
  <c r="P49" i="7"/>
  <c r="O44" i="7"/>
  <c r="P51" i="7"/>
  <c r="P42" i="7"/>
  <c r="P43" i="7" s="1" a="1"/>
  <c r="P43" i="7" s="1"/>
  <c r="P50" i="7"/>
  <c r="I62" i="11"/>
  <c r="J5" i="11"/>
  <c r="U161" i="22"/>
  <c r="V5" i="22"/>
  <c r="U6" i="22"/>
  <c r="W9" i="17"/>
  <c r="U9" i="17"/>
  <c r="T9" i="17"/>
  <c r="S9" i="17"/>
  <c r="R9" i="17"/>
  <c r="Q9" i="17"/>
  <c r="P9" i="17"/>
  <c r="Z9" i="17"/>
  <c r="X9" i="17"/>
  <c r="V9" i="17"/>
  <c r="Y9" i="17"/>
  <c r="L50" i="7"/>
  <c r="L47" i="7"/>
  <c r="L42" i="7"/>
  <c r="L43" i="7" s="1" a="1"/>
  <c r="L43" i="7" s="1"/>
  <c r="L52" i="7"/>
  <c r="L49" i="7"/>
  <c r="K48" i="7"/>
  <c r="K44" i="7"/>
  <c r="L51" i="7"/>
  <c r="T160" i="22"/>
  <c r="J47" i="7"/>
  <c r="J50" i="7"/>
  <c r="J52" i="7"/>
  <c r="J49" i="7"/>
  <c r="I44" i="7"/>
  <c r="J51" i="7"/>
  <c r="J42" i="7"/>
  <c r="J43" i="7" s="1" a="1"/>
  <c r="J43" i="7" s="1"/>
  <c r="I48" i="7"/>
  <c r="T294" i="23"/>
  <c r="T295" i="23" s="1"/>
  <c r="U291" i="23" s="1"/>
  <c r="I60" i="23"/>
  <c r="I20" i="12" s="1"/>
  <c r="L171" i="16"/>
  <c r="H53" i="11"/>
  <c r="L151" i="16"/>
  <c r="F50" i="7"/>
  <c r="F47" i="7"/>
  <c r="F52" i="7"/>
  <c r="F49" i="7"/>
  <c r="E44" i="7"/>
  <c r="F51" i="7"/>
  <c r="F42" i="7"/>
  <c r="F43" i="7" s="1" a="1"/>
  <c r="F43" i="7" s="1"/>
  <c r="E48" i="7"/>
  <c r="H20" i="12"/>
  <c r="K114" i="16"/>
  <c r="C37" i="22"/>
  <c r="W252" i="23"/>
  <c r="W221" i="23"/>
  <c r="W235" i="23"/>
  <c r="W200" i="23"/>
  <c r="W90" i="23"/>
  <c r="G10" i="22"/>
  <c r="V91" i="23"/>
  <c r="V333" i="23" s="1"/>
  <c r="H51" i="7"/>
  <c r="H50" i="7"/>
  <c r="G44" i="7"/>
  <c r="H47" i="7"/>
  <c r="H52" i="7"/>
  <c r="H42" i="7"/>
  <c r="H43" i="7" s="1" a="1"/>
  <c r="H43" i="7" s="1"/>
  <c r="H49" i="7"/>
  <c r="G48" i="7"/>
  <c r="S333" i="23"/>
  <c r="T280" i="23"/>
  <c r="T391" i="23"/>
  <c r="T351" i="23"/>
  <c r="T141" i="23"/>
  <c r="U137" i="23" s="1"/>
  <c r="T162" i="23"/>
  <c r="W286" i="23"/>
  <c r="V335" i="23"/>
  <c r="S353" i="23"/>
  <c r="AI9" i="25"/>
  <c r="W264" i="23"/>
  <c r="X71" i="16"/>
  <c r="Y68" i="16"/>
  <c r="I4" i="23"/>
  <c r="W69" i="23"/>
  <c r="W68" i="23"/>
  <c r="W31" i="23"/>
  <c r="W67" i="23"/>
  <c r="T194" i="23"/>
  <c r="T179" i="23"/>
  <c r="S348" i="23"/>
  <c r="I68" i="23"/>
  <c r="J5" i="23"/>
  <c r="F11" i="22"/>
  <c r="F13" i="22" s="1"/>
  <c r="T35" i="22"/>
  <c r="U11" i="22"/>
  <c r="V71" i="23"/>
  <c r="X292" i="23"/>
  <c r="X270" i="23"/>
  <c r="X206" i="23"/>
  <c r="Y5" i="23"/>
  <c r="X6" i="23"/>
  <c r="S78" i="22"/>
  <c r="T187" i="23"/>
  <c r="U183" i="23" s="1"/>
  <c r="T273" i="23"/>
  <c r="U269" i="23" s="1"/>
  <c r="N47" i="7"/>
  <c r="N52" i="7"/>
  <c r="N49" i="7"/>
  <c r="M44" i="7"/>
  <c r="N51" i="7"/>
  <c r="N42" i="7"/>
  <c r="N43" i="7" s="1" a="1"/>
  <c r="N43" i="7" s="1"/>
  <c r="M48" i="7"/>
  <c r="N50" i="7"/>
  <c r="T150" i="22"/>
  <c r="T148" i="22"/>
  <c r="T147" i="22"/>
  <c r="T141" i="22"/>
  <c r="T146" i="22"/>
  <c r="T149" i="22"/>
  <c r="T142" i="22"/>
  <c r="T79" i="22" s="1"/>
  <c r="T107" i="22"/>
  <c r="T134" i="22" s="1"/>
  <c r="T106" i="22"/>
  <c r="T133" i="22" s="1"/>
  <c r="AB179" i="28" l="1"/>
  <c r="AC179" i="28" s="1"/>
  <c r="AC177" i="28"/>
  <c r="Z154" i="28"/>
  <c r="AA154" i="28"/>
  <c r="Z153" i="28"/>
  <c r="AA153" i="28"/>
  <c r="Z152" i="28"/>
  <c r="AA152" i="28"/>
  <c r="Z151" i="28"/>
  <c r="AA151" i="28"/>
  <c r="Z150" i="28"/>
  <c r="AA150" i="28"/>
  <c r="Z149" i="28"/>
  <c r="AA149" i="28"/>
  <c r="Z148" i="28"/>
  <c r="AA148" i="28"/>
  <c r="AA147" i="28"/>
  <c r="AB147" i="28"/>
  <c r="AB146" i="28"/>
  <c r="Z147" i="28"/>
  <c r="AA146" i="28"/>
  <c r="Z146" i="28"/>
  <c r="Z145" i="28"/>
  <c r="AA145" i="28"/>
  <c r="Z144" i="28"/>
  <c r="AB144" i="28"/>
  <c r="AA144" i="28"/>
  <c r="AA143" i="28"/>
  <c r="AB143" i="28"/>
  <c r="H91" i="16"/>
  <c r="I91" i="16" s="1"/>
  <c r="J91" i="16" s="1"/>
  <c r="K91" i="16" s="1"/>
  <c r="L91" i="16" s="1"/>
  <c r="M91" i="16" s="1"/>
  <c r="N91" i="16" s="1"/>
  <c r="O91" i="16" s="1"/>
  <c r="P91" i="16" s="1"/>
  <c r="Q91" i="16" s="1"/>
  <c r="Z143" i="28"/>
  <c r="D29" i="18" a="1"/>
  <c r="D29" i="18" s="1"/>
  <c r="D28" i="18" a="1"/>
  <c r="D28" i="18" s="1"/>
  <c r="S22" i="22"/>
  <c r="T19" i="22"/>
  <c r="T22" i="22" s="1"/>
  <c r="U10" i="22"/>
  <c r="U13" i="22" s="1"/>
  <c r="B61" i="16"/>
  <c r="C61" i="16" s="1"/>
  <c r="V56" i="16"/>
  <c r="U56" i="16"/>
  <c r="J35" i="8"/>
  <c r="W76" i="16"/>
  <c r="X76" i="16" s="1"/>
  <c r="L109" i="16"/>
  <c r="AA53" i="16"/>
  <c r="AB53" i="16" s="1"/>
  <c r="L108" i="16"/>
  <c r="J37" i="8"/>
  <c r="L111" i="16"/>
  <c r="L107" i="16"/>
  <c r="I36" i="8"/>
  <c r="R46" i="22"/>
  <c r="Q69" i="22"/>
  <c r="Q48" i="22"/>
  <c r="Q62" i="22" s="1"/>
  <c r="Q71" i="22" s="1"/>
  <c r="L113" i="16"/>
  <c r="AA56" i="16"/>
  <c r="J36" i="8"/>
  <c r="Q55" i="22"/>
  <c r="R55" i="22" s="1"/>
  <c r="S55" i="22" s="1"/>
  <c r="T55" i="22" s="1"/>
  <c r="AA54" i="16"/>
  <c r="AB54" i="16" s="1"/>
  <c r="L115" i="16"/>
  <c r="I35" i="8"/>
  <c r="I37" i="8"/>
  <c r="L106" i="16"/>
  <c r="F81" i="16"/>
  <c r="I38" i="8" s="1"/>
  <c r="I33" i="8"/>
  <c r="J33" i="8"/>
  <c r="L114" i="16"/>
  <c r="J34" i="8"/>
  <c r="I34" i="8"/>
  <c r="L110" i="16"/>
  <c r="N70" i="16"/>
  <c r="O70" i="16" s="1"/>
  <c r="P70" i="16" s="1"/>
  <c r="Q70" i="16" s="1"/>
  <c r="L112" i="16"/>
  <c r="K22" i="19"/>
  <c r="U202" i="16"/>
  <c r="S200" i="16"/>
  <c r="I20" i="19"/>
  <c r="T216" i="23"/>
  <c r="T386" i="23"/>
  <c r="T347" i="23"/>
  <c r="T209" i="23"/>
  <c r="U205" i="23" s="1"/>
  <c r="T253" i="23"/>
  <c r="U35" i="22"/>
  <c r="V11" i="22"/>
  <c r="T392" i="23"/>
  <c r="T393" i="23"/>
  <c r="T394" i="23"/>
  <c r="H10" i="22"/>
  <c r="X252" i="23"/>
  <c r="X235" i="23"/>
  <c r="X337" i="23" s="1"/>
  <c r="X221" i="23"/>
  <c r="X200" i="23"/>
  <c r="X90" i="23"/>
  <c r="Y71" i="16"/>
  <c r="Z68" i="16"/>
  <c r="M151" i="16"/>
  <c r="L118" i="16"/>
  <c r="J62" i="11"/>
  <c r="K5" i="11"/>
  <c r="X286" i="23"/>
  <c r="W337" i="23"/>
  <c r="J60" i="23"/>
  <c r="J20" i="12" s="1"/>
  <c r="M171" i="16"/>
  <c r="I53" i="11"/>
  <c r="W71" i="23"/>
  <c r="G11" i="22"/>
  <c r="U185" i="23"/>
  <c r="U186" i="23" s="1"/>
  <c r="X69" i="23"/>
  <c r="X68" i="23"/>
  <c r="X31" i="23"/>
  <c r="X67" i="23"/>
  <c r="Y292" i="23"/>
  <c r="Y270" i="23"/>
  <c r="Y206" i="23"/>
  <c r="Z5" i="23"/>
  <c r="Y6" i="23"/>
  <c r="AI10" i="25"/>
  <c r="W335" i="23"/>
  <c r="J68" i="23"/>
  <c r="K5" i="23"/>
  <c r="J4" i="23"/>
  <c r="L48" i="17"/>
  <c r="D22" i="17"/>
  <c r="D25" i="17"/>
  <c r="D16" i="18"/>
  <c r="J39" i="17"/>
  <c r="J36" i="17"/>
  <c r="D42" i="18"/>
  <c r="F39" i="17"/>
  <c r="F24" i="17"/>
  <c r="J50" i="17"/>
  <c r="L12" i="17"/>
  <c r="L23" i="17"/>
  <c r="H44" i="17"/>
  <c r="J19" i="17"/>
  <c r="H23" i="17"/>
  <c r="L52" i="17"/>
  <c r="F35" i="17"/>
  <c r="H32" i="17"/>
  <c r="J29" i="9" s="1"/>
  <c r="D13" i="18"/>
  <c r="L37" i="17"/>
  <c r="D23" i="18"/>
  <c r="F46" i="17"/>
  <c r="L51" i="17"/>
  <c r="D46" i="17"/>
  <c r="D40" i="17"/>
  <c r="D18" i="17"/>
  <c r="D36" i="18"/>
  <c r="H48" i="17"/>
  <c r="J32" i="17"/>
  <c r="M29" i="9" s="1"/>
  <c r="F26" i="17"/>
  <c r="H52" i="17"/>
  <c r="L22" i="17"/>
  <c r="D17" i="18"/>
  <c r="L44" i="17"/>
  <c r="H47" i="17"/>
  <c r="J44" i="17"/>
  <c r="J38" i="17"/>
  <c r="H16" i="17"/>
  <c r="H51" i="17"/>
  <c r="D44" i="17"/>
  <c r="F19" i="17"/>
  <c r="J24" i="17"/>
  <c r="D48" i="17"/>
  <c r="L18" i="17"/>
  <c r="F49" i="17"/>
  <c r="H40" i="17"/>
  <c r="D43" i="17"/>
  <c r="H34" i="17"/>
  <c r="F34" i="17"/>
  <c r="H12" i="17"/>
  <c r="D47" i="17"/>
  <c r="J42" i="17"/>
  <c r="J17" i="17"/>
  <c r="D23" i="17"/>
  <c r="J46" i="17"/>
  <c r="F17" i="17"/>
  <c r="L47" i="17"/>
  <c r="D36" i="17"/>
  <c r="J41" i="17"/>
  <c r="D43" i="18"/>
  <c r="F23" i="17"/>
  <c r="L26" i="17"/>
  <c r="D49" i="18"/>
  <c r="J45" i="17"/>
  <c r="F38" i="17"/>
  <c r="D16" i="17"/>
  <c r="D51" i="17"/>
  <c r="F42" i="17"/>
  <c r="F13" i="17"/>
  <c r="H43" i="17"/>
  <c r="J34" i="17"/>
  <c r="F37" i="17"/>
  <c r="D51" i="18"/>
  <c r="L17" i="17"/>
  <c r="F25" i="17"/>
  <c r="D41" i="18"/>
  <c r="F41" i="17"/>
  <c r="L36" i="17"/>
  <c r="J13" i="17"/>
  <c r="J49" i="17"/>
  <c r="L40" i="17"/>
  <c r="D53" i="18"/>
  <c r="D39" i="17"/>
  <c r="J25" i="17"/>
  <c r="L35" i="17"/>
  <c r="H24" i="17"/>
  <c r="D17" i="17"/>
  <c r="J16" i="17"/>
  <c r="J23" i="17"/>
  <c r="L39" i="17"/>
  <c r="L32" i="17"/>
  <c r="P29" i="9" s="1"/>
  <c r="D12" i="17"/>
  <c r="F45" i="17"/>
  <c r="H36" i="17"/>
  <c r="D45" i="18"/>
  <c r="J37" i="17"/>
  <c r="D24" i="17"/>
  <c r="F22" i="17"/>
  <c r="J48" i="17"/>
  <c r="D128" i="16"/>
  <c r="D18" i="18"/>
  <c r="H35" i="17"/>
  <c r="H26" i="17"/>
  <c r="D55" i="18"/>
  <c r="L43" i="17"/>
  <c r="D32" i="17"/>
  <c r="D29" i="9" s="1"/>
  <c r="F52" i="17"/>
  <c r="J22" i="17"/>
  <c r="D49" i="17"/>
  <c r="L19" i="17"/>
  <c r="D12" i="18"/>
  <c r="D50" i="17"/>
  <c r="H19" i="17"/>
  <c r="L24" i="17"/>
  <c r="D47" i="18"/>
  <c r="H39" i="17"/>
  <c r="D26" i="17"/>
  <c r="L50" i="17"/>
  <c r="J18" i="17"/>
  <c r="J47" i="17"/>
  <c r="F18" i="17"/>
  <c r="J51" i="17"/>
  <c r="H46" i="17"/>
  <c r="F43" i="17"/>
  <c r="D54" i="18"/>
  <c r="F47" i="17"/>
  <c r="F44" i="17"/>
  <c r="F16" i="17"/>
  <c r="D22" i="18"/>
  <c r="J52" i="17"/>
  <c r="F32" i="17"/>
  <c r="G29" i="9" s="1"/>
  <c r="D42" i="17"/>
  <c r="D13" i="17"/>
  <c r="L41" i="17"/>
  <c r="J12" i="17"/>
  <c r="D46" i="18"/>
  <c r="L45" i="17"/>
  <c r="L42" i="17"/>
  <c r="L13" i="17"/>
  <c r="F51" i="17"/>
  <c r="F48" i="17"/>
  <c r="D19" i="17"/>
  <c r="D19" i="18"/>
  <c r="J40" i="17"/>
  <c r="D56" i="18"/>
  <c r="H37" i="17"/>
  <c r="H50" i="17"/>
  <c r="D38" i="18"/>
  <c r="H41" i="17"/>
  <c r="H38" i="17"/>
  <c r="F12" i="17"/>
  <c r="L49" i="17"/>
  <c r="L46" i="17"/>
  <c r="H17" i="17"/>
  <c r="H49" i="17"/>
  <c r="F36" i="17"/>
  <c r="D48" i="18"/>
  <c r="H22" i="17"/>
  <c r="F40" i="17"/>
  <c r="D35" i="17"/>
  <c r="D30" i="18"/>
  <c r="D37" i="17"/>
  <c r="D34" i="17"/>
  <c r="D52" i="18"/>
  <c r="H45" i="17"/>
  <c r="H42" i="17"/>
  <c r="H13" i="17"/>
  <c r="D45" i="17"/>
  <c r="L34" i="17"/>
  <c r="D40" i="18"/>
  <c r="H18" i="17"/>
  <c r="H25" i="17"/>
  <c r="D39" i="18"/>
  <c r="F50" i="17"/>
  <c r="J35" i="17"/>
  <c r="J26" i="17"/>
  <c r="D44" i="18"/>
  <c r="D41" i="17"/>
  <c r="D38" i="17"/>
  <c r="D50" i="18"/>
  <c r="J43" i="17"/>
  <c r="L25" i="17"/>
  <c r="D52" i="17"/>
  <c r="L16" i="17"/>
  <c r="L38" i="17"/>
  <c r="G64" i="18"/>
  <c r="F60" i="17"/>
  <c r="D64" i="18"/>
  <c r="L60" i="17"/>
  <c r="H60" i="17"/>
  <c r="J60" i="17"/>
  <c r="D60" i="17"/>
  <c r="X264" i="23"/>
  <c r="U139" i="23"/>
  <c r="U140" i="23" s="1"/>
  <c r="T163" i="23"/>
  <c r="T164" i="23" s="1"/>
  <c r="U160" i="23" s="1"/>
  <c r="L152" i="16"/>
  <c r="U293" i="23"/>
  <c r="W91" i="23"/>
  <c r="U150" i="22"/>
  <c r="U149" i="22"/>
  <c r="U147" i="22"/>
  <c r="U146" i="22"/>
  <c r="U148" i="22"/>
  <c r="U142" i="22"/>
  <c r="U79" i="22" s="1"/>
  <c r="U141" i="22"/>
  <c r="U106" i="22"/>
  <c r="U133" i="22" s="1"/>
  <c r="U107" i="22"/>
  <c r="U134" i="22" s="1"/>
  <c r="T78" i="22"/>
  <c r="V161" i="22"/>
  <c r="W5" i="22"/>
  <c r="V6" i="22"/>
  <c r="U271" i="23"/>
  <c r="U272" i="23" s="1"/>
  <c r="U273" i="23" s="1"/>
  <c r="V269" i="23" s="1"/>
  <c r="T45" i="22"/>
  <c r="T396" i="23"/>
  <c r="T302" i="23"/>
  <c r="T355" i="23"/>
  <c r="U159" i="22"/>
  <c r="U160" i="22"/>
  <c r="AC147" i="28" l="1"/>
  <c r="AE147" i="28"/>
  <c r="AC144" i="28"/>
  <c r="AE144" i="28"/>
  <c r="AC143" i="28"/>
  <c r="AE143" i="28"/>
  <c r="T34" i="22"/>
  <c r="T37" i="22" s="1"/>
  <c r="T57" i="22" s="1"/>
  <c r="U19" i="22"/>
  <c r="U34" i="22" s="1"/>
  <c r="U37" i="22" s="1"/>
  <c r="U57" i="22" s="1"/>
  <c r="B62" i="16"/>
  <c r="W178" i="16"/>
  <c r="V10" i="22"/>
  <c r="W10" i="22" s="1"/>
  <c r="G27" i="18"/>
  <c r="E27" i="18"/>
  <c r="G28" i="18"/>
  <c r="E28" i="18"/>
  <c r="G29" i="18"/>
  <c r="E29" i="18"/>
  <c r="G26" i="18"/>
  <c r="E26" i="18"/>
  <c r="M114" i="16"/>
  <c r="AB56" i="16"/>
  <c r="J38" i="8" s="1"/>
  <c r="Q73" i="22"/>
  <c r="Q70" i="22"/>
  <c r="R48" i="22"/>
  <c r="R62" i="22" s="1"/>
  <c r="R71" i="22" s="1"/>
  <c r="S46" i="22"/>
  <c r="R69" i="22"/>
  <c r="I21" i="19"/>
  <c r="S201" i="16"/>
  <c r="K23" i="19"/>
  <c r="U203" i="16"/>
  <c r="U251" i="23"/>
  <c r="U253" i="23" s="1"/>
  <c r="U258" i="23"/>
  <c r="U207" i="23"/>
  <c r="U208" i="23" s="1"/>
  <c r="T387" i="23"/>
  <c r="T343" i="23" s="1"/>
  <c r="T389" i="23"/>
  <c r="T356" i="23" s="1"/>
  <c r="T388" i="23"/>
  <c r="T352" i="23" s="1"/>
  <c r="U148" i="23"/>
  <c r="U133" i="23"/>
  <c r="I23" i="17"/>
  <c r="J20" i="9"/>
  <c r="K20" i="9" s="1"/>
  <c r="E64" i="18"/>
  <c r="C53" i="11"/>
  <c r="D57" i="10"/>
  <c r="E57" i="10" s="1"/>
  <c r="I40" i="17"/>
  <c r="J37" i="9"/>
  <c r="K37" i="9" s="1"/>
  <c r="I60" i="17"/>
  <c r="J57" i="9"/>
  <c r="K57" i="9" s="1"/>
  <c r="G50" i="17"/>
  <c r="G47" i="9"/>
  <c r="H47" i="9" s="1"/>
  <c r="H27" i="17"/>
  <c r="I22" i="17"/>
  <c r="J19" i="9"/>
  <c r="E19" i="17"/>
  <c r="D16" i="9"/>
  <c r="E16" i="9" s="1"/>
  <c r="G44" i="17"/>
  <c r="G41" i="9"/>
  <c r="H41" i="9" s="1"/>
  <c r="E12" i="18"/>
  <c r="D14" i="18"/>
  <c r="F94" i="16" s="1"/>
  <c r="G94" i="16" s="1"/>
  <c r="H94" i="16" s="1"/>
  <c r="I94" i="16" s="1"/>
  <c r="J94" i="16" s="1"/>
  <c r="K94" i="16" s="1"/>
  <c r="L94" i="16" s="1"/>
  <c r="M94" i="16" s="1"/>
  <c r="N94" i="16" s="1"/>
  <c r="O94" i="16" s="1"/>
  <c r="P94" i="16" s="1"/>
  <c r="Q94" i="16" s="1"/>
  <c r="G12" i="18"/>
  <c r="C10" i="11" s="1"/>
  <c r="D9" i="10"/>
  <c r="G45" i="18"/>
  <c r="C39" i="11" s="1"/>
  <c r="E45" i="18"/>
  <c r="D38" i="10"/>
  <c r="E38" i="10" s="1"/>
  <c r="K49" i="17"/>
  <c r="M46" i="9"/>
  <c r="N46" i="9" s="1"/>
  <c r="K45" i="17"/>
  <c r="M42" i="9"/>
  <c r="N42" i="9" s="1"/>
  <c r="I34" i="17"/>
  <c r="J31" i="9"/>
  <c r="H54" i="17"/>
  <c r="L27" i="17"/>
  <c r="M22" i="17"/>
  <c r="P19" i="9"/>
  <c r="M52" i="17"/>
  <c r="P49" i="9"/>
  <c r="Q49" i="9" s="1"/>
  <c r="M118" i="16"/>
  <c r="M106" i="16"/>
  <c r="M110" i="16"/>
  <c r="M113" i="16"/>
  <c r="M108" i="16"/>
  <c r="M109" i="16"/>
  <c r="M107" i="16"/>
  <c r="M115" i="16"/>
  <c r="M111" i="16"/>
  <c r="M112" i="16"/>
  <c r="W11" i="22"/>
  <c r="V35" i="22"/>
  <c r="D40" i="9"/>
  <c r="E40" i="9" s="1"/>
  <c r="E43" i="17"/>
  <c r="K19" i="17"/>
  <c r="M16" i="9"/>
  <c r="N16" i="9" s="1"/>
  <c r="W161" i="22"/>
  <c r="X5" i="22"/>
  <c r="W6" i="22"/>
  <c r="G60" i="17"/>
  <c r="G57" i="9"/>
  <c r="H57" i="9" s="1"/>
  <c r="I18" i="17"/>
  <c r="J15" i="9"/>
  <c r="K15" i="9" s="1"/>
  <c r="I49" i="17"/>
  <c r="J46" i="9"/>
  <c r="K46" i="9" s="1"/>
  <c r="M13" i="17"/>
  <c r="P10" i="9"/>
  <c r="Q10" i="9" s="1"/>
  <c r="G43" i="17"/>
  <c r="G40" i="9"/>
  <c r="H40" i="9" s="1"/>
  <c r="J27" i="17"/>
  <c r="K22" i="17"/>
  <c r="M19" i="9"/>
  <c r="D14" i="17"/>
  <c r="D20" i="17" s="1"/>
  <c r="E12" i="17"/>
  <c r="D9" i="9"/>
  <c r="G41" i="17"/>
  <c r="G38" i="9"/>
  <c r="H38" i="9" s="1"/>
  <c r="G23" i="17"/>
  <c r="G20" i="9"/>
  <c r="H20" i="9" s="1"/>
  <c r="G49" i="17"/>
  <c r="G46" i="9"/>
  <c r="H46" i="9" s="1"/>
  <c r="I44" i="17"/>
  <c r="J41" i="9"/>
  <c r="K41" i="9" s="1"/>
  <c r="Y252" i="23"/>
  <c r="Y235" i="23"/>
  <c r="Y221" i="23"/>
  <c r="Y200" i="23"/>
  <c r="Y90" i="23"/>
  <c r="X71" i="23"/>
  <c r="G47" i="17"/>
  <c r="G44" i="9"/>
  <c r="H44" i="9" s="1"/>
  <c r="G26" i="17"/>
  <c r="G23" i="9"/>
  <c r="H23" i="9" s="1"/>
  <c r="V159" i="22"/>
  <c r="V160" i="22"/>
  <c r="W333" i="23"/>
  <c r="I64" i="18"/>
  <c r="H64" i="18"/>
  <c r="G57" i="10"/>
  <c r="G40" i="18"/>
  <c r="C34" i="11" s="1"/>
  <c r="E40" i="18"/>
  <c r="D33" i="10"/>
  <c r="E33" i="10" s="1"/>
  <c r="I17" i="17"/>
  <c r="J14" i="9"/>
  <c r="K14" i="9" s="1"/>
  <c r="M42" i="17"/>
  <c r="P39" i="9"/>
  <c r="Q39" i="9" s="1"/>
  <c r="I46" i="17"/>
  <c r="J43" i="9"/>
  <c r="K43" i="9" s="1"/>
  <c r="G52" i="17"/>
  <c r="G49" i="9"/>
  <c r="H49" i="9" s="1"/>
  <c r="G41" i="18"/>
  <c r="C36" i="11" s="1"/>
  <c r="E41" i="18"/>
  <c r="D34" i="10"/>
  <c r="E34" i="10" s="1"/>
  <c r="G43" i="18"/>
  <c r="E43" i="18"/>
  <c r="D36" i="10"/>
  <c r="E36" i="10" s="1"/>
  <c r="M18" i="17"/>
  <c r="P15" i="9"/>
  <c r="Q15" i="9" s="1"/>
  <c r="I48" i="17"/>
  <c r="J45" i="9"/>
  <c r="K45" i="9" s="1"/>
  <c r="M23" i="17"/>
  <c r="P20" i="9"/>
  <c r="Q20" i="9" s="1"/>
  <c r="Y264" i="23"/>
  <c r="U187" i="23"/>
  <c r="V183" i="23" s="1"/>
  <c r="G48" i="18"/>
  <c r="E48" i="18"/>
  <c r="D41" i="10"/>
  <c r="E41" i="10" s="1"/>
  <c r="G45" i="17"/>
  <c r="G42" i="9"/>
  <c r="H42" i="9" s="1"/>
  <c r="U45" i="22"/>
  <c r="M152" i="16"/>
  <c r="M38" i="17"/>
  <c r="P35" i="9"/>
  <c r="Q35" i="9" s="1"/>
  <c r="M34" i="17"/>
  <c r="L54" i="17"/>
  <c r="P31" i="9"/>
  <c r="M46" i="17"/>
  <c r="P43" i="9"/>
  <c r="Q43" i="9" s="1"/>
  <c r="M45" i="17"/>
  <c r="P42" i="9"/>
  <c r="Q42" i="9" s="1"/>
  <c r="K51" i="17"/>
  <c r="M48" i="9"/>
  <c r="N48" i="9" s="1"/>
  <c r="M39" i="17"/>
  <c r="P36" i="9"/>
  <c r="Q36" i="9" s="1"/>
  <c r="G25" i="17"/>
  <c r="G22" i="9"/>
  <c r="H22" i="9" s="1"/>
  <c r="M38" i="9"/>
  <c r="N38" i="9" s="1"/>
  <c r="K41" i="17"/>
  <c r="E48" i="17"/>
  <c r="D45" i="9"/>
  <c r="E45" i="9" s="1"/>
  <c r="G36" i="18"/>
  <c r="D29" i="10"/>
  <c r="G29" i="10" s="1"/>
  <c r="L14" i="17"/>
  <c r="L20" i="17" s="1"/>
  <c r="M12" i="17"/>
  <c r="P9" i="9"/>
  <c r="G49" i="18"/>
  <c r="E49" i="18"/>
  <c r="D42" i="10"/>
  <c r="E42" i="10" s="1"/>
  <c r="G51" i="17"/>
  <c r="G48" i="9"/>
  <c r="H48" i="9" s="1"/>
  <c r="U55" i="22"/>
  <c r="M16" i="17"/>
  <c r="P13" i="9"/>
  <c r="Q13" i="9" s="1"/>
  <c r="E45" i="17"/>
  <c r="D42" i="9"/>
  <c r="E42" i="9" s="1"/>
  <c r="M49" i="17"/>
  <c r="P46" i="9"/>
  <c r="Q46" i="9" s="1"/>
  <c r="E46" i="18"/>
  <c r="D39" i="10"/>
  <c r="E39" i="10" s="1"/>
  <c r="G46" i="18"/>
  <c r="C35" i="11" s="1"/>
  <c r="G18" i="17"/>
  <c r="G15" i="9"/>
  <c r="H15" i="9" s="1"/>
  <c r="M43" i="17"/>
  <c r="P40" i="9"/>
  <c r="Q40" i="9" s="1"/>
  <c r="G24" i="18"/>
  <c r="C22" i="11" s="1"/>
  <c r="E24" i="18"/>
  <c r="D21" i="10"/>
  <c r="E21" i="10" s="1"/>
  <c r="M17" i="17"/>
  <c r="P14" i="9"/>
  <c r="Q14" i="9" s="1"/>
  <c r="E36" i="17"/>
  <c r="D33" i="9"/>
  <c r="E33" i="9" s="1"/>
  <c r="K24" i="17"/>
  <c r="M21" i="9"/>
  <c r="N21" i="9" s="1"/>
  <c r="E18" i="17"/>
  <c r="D15" i="9"/>
  <c r="E15" i="9" s="1"/>
  <c r="K50" i="17"/>
  <c r="M47" i="9"/>
  <c r="N47" i="9" s="1"/>
  <c r="X91" i="23"/>
  <c r="X333" i="23" s="1"/>
  <c r="P16" i="9"/>
  <c r="Q16" i="9" s="1"/>
  <c r="M19" i="17"/>
  <c r="G36" i="17"/>
  <c r="G33" i="9"/>
  <c r="H33" i="9" s="1"/>
  <c r="E52" i="17"/>
  <c r="D49" i="9"/>
  <c r="E49" i="9" s="1"/>
  <c r="I13" i="17"/>
  <c r="J10" i="9"/>
  <c r="K10" i="9" s="1"/>
  <c r="G12" i="17"/>
  <c r="F14" i="17"/>
  <c r="G9" i="9"/>
  <c r="J14" i="17"/>
  <c r="M9" i="9"/>
  <c r="K12" i="17"/>
  <c r="K47" i="17"/>
  <c r="M44" i="9"/>
  <c r="N44" i="9" s="1"/>
  <c r="G55" i="18"/>
  <c r="C44" i="11" s="1"/>
  <c r="E55" i="18"/>
  <c r="D48" i="10"/>
  <c r="E48" i="10" s="1"/>
  <c r="K23" i="17"/>
  <c r="M20" i="9"/>
  <c r="N20" i="9" s="1"/>
  <c r="G51" i="18"/>
  <c r="C41" i="11" s="1"/>
  <c r="E51" i="18"/>
  <c r="D44" i="10"/>
  <c r="E44" i="10" s="1"/>
  <c r="M47" i="17"/>
  <c r="P44" i="9"/>
  <c r="Q44" i="9" s="1"/>
  <c r="G19" i="17"/>
  <c r="G16" i="9"/>
  <c r="H16" i="9" s="1"/>
  <c r="E40" i="17"/>
  <c r="D37" i="9"/>
  <c r="E37" i="9" s="1"/>
  <c r="G24" i="17"/>
  <c r="G21" i="9"/>
  <c r="H21" i="9" s="1"/>
  <c r="Y68" i="23"/>
  <c r="Y69" i="23"/>
  <c r="Y31" i="23"/>
  <c r="Y67" i="23"/>
  <c r="Y286" i="23"/>
  <c r="X335" i="23"/>
  <c r="I10" i="22"/>
  <c r="M60" i="17"/>
  <c r="P57" i="9"/>
  <c r="Q57" i="9" s="1"/>
  <c r="D61" i="16"/>
  <c r="C62" i="16"/>
  <c r="U54" i="22"/>
  <c r="M25" i="17"/>
  <c r="P22" i="9"/>
  <c r="Q22" i="9" s="1"/>
  <c r="I42" i="17"/>
  <c r="J39" i="9"/>
  <c r="K39" i="9" s="1"/>
  <c r="I38" i="17"/>
  <c r="J35" i="9"/>
  <c r="K35" i="9" s="1"/>
  <c r="M41" i="17"/>
  <c r="P38" i="9"/>
  <c r="Q38" i="9" s="1"/>
  <c r="K18" i="17"/>
  <c r="M15" i="9"/>
  <c r="N15" i="9" s="1"/>
  <c r="I26" i="17"/>
  <c r="J23" i="9"/>
  <c r="K23" i="9" s="1"/>
  <c r="K16" i="17"/>
  <c r="M13" i="9"/>
  <c r="N13" i="9" s="1"/>
  <c r="G37" i="17"/>
  <c r="G34" i="9"/>
  <c r="H34" i="9" s="1"/>
  <c r="G17" i="17"/>
  <c r="G14" i="9"/>
  <c r="H14" i="9" s="1"/>
  <c r="E44" i="17"/>
  <c r="D41" i="9"/>
  <c r="E41" i="9" s="1"/>
  <c r="E46" i="17"/>
  <c r="D43" i="9"/>
  <c r="E43" i="9" s="1"/>
  <c r="G39" i="17"/>
  <c r="G36" i="9"/>
  <c r="H36" i="9" s="1"/>
  <c r="K4" i="23"/>
  <c r="AI11" i="25"/>
  <c r="Z270" i="23"/>
  <c r="Z292" i="23"/>
  <c r="Z206" i="23"/>
  <c r="AA5" i="23"/>
  <c r="Z6" i="23"/>
  <c r="H11" i="22"/>
  <c r="H13" i="22" s="1"/>
  <c r="I25" i="17"/>
  <c r="J22" i="9"/>
  <c r="K22" i="9" s="1"/>
  <c r="T399" i="23"/>
  <c r="T398" i="23"/>
  <c r="T397" i="23"/>
  <c r="U280" i="23"/>
  <c r="U351" i="23"/>
  <c r="U391" i="23"/>
  <c r="K43" i="17"/>
  <c r="M40" i="9"/>
  <c r="N40" i="9" s="1"/>
  <c r="I45" i="17"/>
  <c r="J42" i="9"/>
  <c r="K42" i="9" s="1"/>
  <c r="I41" i="17"/>
  <c r="J38" i="9"/>
  <c r="K38" i="9" s="1"/>
  <c r="E13" i="17"/>
  <c r="D10" i="9"/>
  <c r="E10" i="9" s="1"/>
  <c r="M50" i="17"/>
  <c r="P47" i="9"/>
  <c r="Q47" i="9" s="1"/>
  <c r="I35" i="17"/>
  <c r="J32" i="9"/>
  <c r="K32" i="9" s="1"/>
  <c r="E17" i="17"/>
  <c r="D14" i="9"/>
  <c r="E14" i="9" s="1"/>
  <c r="K34" i="17"/>
  <c r="J54" i="17"/>
  <c r="M31" i="9"/>
  <c r="K46" i="17"/>
  <c r="M43" i="9"/>
  <c r="N43" i="9" s="1"/>
  <c r="I51" i="17"/>
  <c r="J48" i="9"/>
  <c r="K48" i="9" s="1"/>
  <c r="M51" i="17"/>
  <c r="P48" i="9"/>
  <c r="Q48" i="9" s="1"/>
  <c r="G42" i="18"/>
  <c r="E42" i="18"/>
  <c r="D35" i="10"/>
  <c r="E35" i="10" s="1"/>
  <c r="G13" i="22"/>
  <c r="I52" i="17"/>
  <c r="J49" i="9"/>
  <c r="K49" i="9" s="1"/>
  <c r="U78" i="22"/>
  <c r="M26" i="17"/>
  <c r="P23" i="9"/>
  <c r="Q23" i="9" s="1"/>
  <c r="T171" i="23"/>
  <c r="T156" i="23"/>
  <c r="T94" i="23"/>
  <c r="T384" i="23"/>
  <c r="G50" i="18"/>
  <c r="E50" i="18"/>
  <c r="D43" i="10"/>
  <c r="E43" i="10" s="1"/>
  <c r="E52" i="18"/>
  <c r="D45" i="10"/>
  <c r="E45" i="10" s="1"/>
  <c r="D58" i="18"/>
  <c r="E38" i="18"/>
  <c r="G38" i="18"/>
  <c r="C32" i="11" s="1"/>
  <c r="D31" i="10"/>
  <c r="E42" i="17"/>
  <c r="D39" i="9"/>
  <c r="E39" i="9" s="1"/>
  <c r="E26" i="17"/>
  <c r="D23" i="9"/>
  <c r="E23" i="9" s="1"/>
  <c r="G18" i="18"/>
  <c r="C18" i="11" s="1"/>
  <c r="E18" i="18"/>
  <c r="D15" i="10"/>
  <c r="E15" i="10" s="1"/>
  <c r="I24" i="17"/>
  <c r="J21" i="9"/>
  <c r="K21" i="9" s="1"/>
  <c r="I43" i="17"/>
  <c r="J40" i="9"/>
  <c r="K40" i="9" s="1"/>
  <c r="E23" i="17"/>
  <c r="D20" i="9"/>
  <c r="E20" i="9" s="1"/>
  <c r="I16" i="17"/>
  <c r="J13" i="9"/>
  <c r="K13" i="9" s="1"/>
  <c r="G46" i="17"/>
  <c r="G43" i="9"/>
  <c r="H43" i="9" s="1"/>
  <c r="K36" i="17"/>
  <c r="M33" i="9"/>
  <c r="N33" i="9" s="1"/>
  <c r="K62" i="11"/>
  <c r="L5" i="11"/>
  <c r="I36" i="17"/>
  <c r="J33" i="9"/>
  <c r="K33" i="9" s="1"/>
  <c r="V271" i="23"/>
  <c r="X178" i="16"/>
  <c r="Y76" i="16"/>
  <c r="E38" i="17"/>
  <c r="D35" i="9"/>
  <c r="E35" i="9" s="1"/>
  <c r="E34" i="17"/>
  <c r="D54" i="17"/>
  <c r="D31" i="9"/>
  <c r="I50" i="17"/>
  <c r="J47" i="9"/>
  <c r="K47" i="9" s="1"/>
  <c r="G25" i="18"/>
  <c r="E25" i="18"/>
  <c r="D22" i="10"/>
  <c r="E22" i="10" s="1"/>
  <c r="I39" i="17"/>
  <c r="J36" i="9"/>
  <c r="K36" i="9" s="1"/>
  <c r="M35" i="17"/>
  <c r="P32" i="9"/>
  <c r="Q32" i="9" s="1"/>
  <c r="G13" i="17"/>
  <c r="G10" i="9"/>
  <c r="H10" i="9" s="1"/>
  <c r="K17" i="17"/>
  <c r="M14" i="9"/>
  <c r="N14" i="9" s="1"/>
  <c r="K38" i="17"/>
  <c r="M35" i="9"/>
  <c r="N35" i="9" s="1"/>
  <c r="G23" i="18"/>
  <c r="E23" i="18"/>
  <c r="D20" i="10"/>
  <c r="E20" i="10" s="1"/>
  <c r="K39" i="17"/>
  <c r="M36" i="9"/>
  <c r="N36" i="9" s="1"/>
  <c r="T357" i="23"/>
  <c r="G48" i="17"/>
  <c r="G45" i="9"/>
  <c r="H45" i="9" s="1"/>
  <c r="U294" i="23"/>
  <c r="E54" i="18"/>
  <c r="D47" i="10"/>
  <c r="E47" i="10" s="1"/>
  <c r="G54" i="18"/>
  <c r="C43" i="11" s="1"/>
  <c r="E41" i="17"/>
  <c r="D38" i="9"/>
  <c r="E38" i="9" s="1"/>
  <c r="E37" i="17"/>
  <c r="D34" i="9"/>
  <c r="E34" i="9" s="1"/>
  <c r="I37" i="17"/>
  <c r="J34" i="9"/>
  <c r="K34" i="9" s="1"/>
  <c r="G47" i="18"/>
  <c r="E47" i="18"/>
  <c r="D40" i="10"/>
  <c r="E40" i="10" s="1"/>
  <c r="K48" i="17"/>
  <c r="M45" i="9"/>
  <c r="N45" i="9" s="1"/>
  <c r="K25" i="17"/>
  <c r="M22" i="9"/>
  <c r="N22" i="9" s="1"/>
  <c r="G42" i="17"/>
  <c r="G39" i="9"/>
  <c r="H39" i="9" s="1"/>
  <c r="K42" i="17"/>
  <c r="M39" i="9"/>
  <c r="N39" i="9" s="1"/>
  <c r="K44" i="17"/>
  <c r="M41" i="9"/>
  <c r="N41" i="9" s="1"/>
  <c r="M37" i="17"/>
  <c r="P34" i="9"/>
  <c r="Q34" i="9" s="1"/>
  <c r="G16" i="18"/>
  <c r="C15" i="11" s="1"/>
  <c r="E16" i="18"/>
  <c r="D13" i="10"/>
  <c r="E13" i="10" s="1"/>
  <c r="K68" i="23"/>
  <c r="L5" i="23"/>
  <c r="T348" i="23"/>
  <c r="E49" i="17"/>
  <c r="D46" i="9"/>
  <c r="E46" i="9" s="1"/>
  <c r="N151" i="16"/>
  <c r="G44" i="18"/>
  <c r="E44" i="18"/>
  <c r="D37" i="10"/>
  <c r="E37" i="10" s="1"/>
  <c r="E30" i="18"/>
  <c r="D23" i="10"/>
  <c r="E23" i="10" s="1"/>
  <c r="G30" i="18"/>
  <c r="C24" i="11" s="1"/>
  <c r="G56" i="18"/>
  <c r="C45" i="11" s="1"/>
  <c r="E56" i="18"/>
  <c r="D49" i="10"/>
  <c r="E49" i="10" s="1"/>
  <c r="K52" i="17"/>
  <c r="M49" i="9"/>
  <c r="N49" i="9" s="1"/>
  <c r="M24" i="17"/>
  <c r="P21" i="9"/>
  <c r="Q21" i="9" s="1"/>
  <c r="F27" i="17"/>
  <c r="G19" i="9"/>
  <c r="G22" i="17"/>
  <c r="E39" i="17"/>
  <c r="D36" i="9"/>
  <c r="E36" i="9" s="1"/>
  <c r="E51" i="17"/>
  <c r="D48" i="9"/>
  <c r="E48" i="9" s="1"/>
  <c r="E47" i="17"/>
  <c r="D44" i="9"/>
  <c r="E44" i="9" s="1"/>
  <c r="I47" i="17"/>
  <c r="J44" i="9"/>
  <c r="K44" i="9" s="1"/>
  <c r="G13" i="18"/>
  <c r="C12" i="11" s="1"/>
  <c r="E13" i="18"/>
  <c r="D10" i="10"/>
  <c r="E10" i="10" s="1"/>
  <c r="E25" i="17"/>
  <c r="D22" i="9"/>
  <c r="E22" i="9" s="1"/>
  <c r="T344" i="23"/>
  <c r="G39" i="18"/>
  <c r="C33" i="11" s="1"/>
  <c r="E39" i="18"/>
  <c r="D32" i="10"/>
  <c r="E32" i="10" s="1"/>
  <c r="U194" i="23"/>
  <c r="U179" i="23"/>
  <c r="K26" i="17"/>
  <c r="M23" i="9"/>
  <c r="N23" i="9" s="1"/>
  <c r="E35" i="17"/>
  <c r="D32" i="9"/>
  <c r="E32" i="9" s="1"/>
  <c r="G22" i="18"/>
  <c r="E22" i="18"/>
  <c r="D31" i="18"/>
  <c r="D19" i="10"/>
  <c r="I19" i="17"/>
  <c r="J16" i="9"/>
  <c r="K16" i="9" s="1"/>
  <c r="E24" i="17"/>
  <c r="D21" i="9"/>
  <c r="E21" i="9" s="1"/>
  <c r="G53" i="18"/>
  <c r="E53" i="18"/>
  <c r="D46" i="10"/>
  <c r="E46" i="10" s="1"/>
  <c r="E16" i="17"/>
  <c r="D13" i="9"/>
  <c r="E13" i="9" s="1"/>
  <c r="I12" i="17"/>
  <c r="H14" i="17"/>
  <c r="H20" i="17" s="1"/>
  <c r="J9" i="9"/>
  <c r="M44" i="17"/>
  <c r="P41" i="9"/>
  <c r="Q41" i="9" s="1"/>
  <c r="E22" i="17"/>
  <c r="D27" i="17"/>
  <c r="D19" i="9"/>
  <c r="K60" i="23"/>
  <c r="N171" i="16"/>
  <c r="J53" i="11"/>
  <c r="Z71" i="16"/>
  <c r="AA68" i="16"/>
  <c r="K13" i="17"/>
  <c r="M10" i="9"/>
  <c r="N10" i="9" s="1"/>
  <c r="V150" i="22"/>
  <c r="V149" i="22"/>
  <c r="V148" i="22"/>
  <c r="V146" i="22"/>
  <c r="V147" i="22"/>
  <c r="V142" i="22"/>
  <c r="V79" i="22" s="1"/>
  <c r="V141" i="22"/>
  <c r="V106" i="22"/>
  <c r="V133" i="22" s="1"/>
  <c r="V107" i="22"/>
  <c r="V134" i="22" s="1"/>
  <c r="U141" i="23"/>
  <c r="V137" i="23" s="1"/>
  <c r="M36" i="17"/>
  <c r="P33" i="9"/>
  <c r="Q33" i="9" s="1"/>
  <c r="U162" i="23"/>
  <c r="E60" i="17"/>
  <c r="D57" i="9"/>
  <c r="E57" i="9" s="1"/>
  <c r="K40" i="17"/>
  <c r="M37" i="9"/>
  <c r="N37" i="9" s="1"/>
  <c r="K60" i="17"/>
  <c r="M57" i="9"/>
  <c r="N57" i="9" s="1"/>
  <c r="K35" i="17"/>
  <c r="M32" i="9"/>
  <c r="N32" i="9" s="1"/>
  <c r="G40" i="17"/>
  <c r="G37" i="9"/>
  <c r="H37" i="9" s="1"/>
  <c r="G19" i="18"/>
  <c r="C19" i="11" s="1"/>
  <c r="E19" i="18"/>
  <c r="D16" i="10"/>
  <c r="E16" i="10" s="1"/>
  <c r="G16" i="17"/>
  <c r="G13" i="9"/>
  <c r="H13" i="9" s="1"/>
  <c r="E50" i="17"/>
  <c r="D47" i="9"/>
  <c r="E47" i="9" s="1"/>
  <c r="K37" i="17"/>
  <c r="M34" i="9"/>
  <c r="N34" i="9" s="1"/>
  <c r="M40" i="17"/>
  <c r="P37" i="9"/>
  <c r="Q37" i="9" s="1"/>
  <c r="G38" i="17"/>
  <c r="G35" i="9"/>
  <c r="H35" i="9" s="1"/>
  <c r="F54" i="17"/>
  <c r="G34" i="17"/>
  <c r="G31" i="9"/>
  <c r="G17" i="18"/>
  <c r="C17" i="11" s="1"/>
  <c r="E17" i="18"/>
  <c r="D14" i="10"/>
  <c r="E14" i="10" s="1"/>
  <c r="G35" i="17"/>
  <c r="G32" i="9"/>
  <c r="H32" i="9" s="1"/>
  <c r="M48" i="17"/>
  <c r="P45" i="9"/>
  <c r="Q45" i="9" s="1"/>
  <c r="AD147" i="28" l="1"/>
  <c r="AD144" i="28"/>
  <c r="AD143" i="28"/>
  <c r="AE156" i="28"/>
  <c r="V19" i="22"/>
  <c r="V34" i="22" s="1"/>
  <c r="V37" i="22" s="1"/>
  <c r="V57" i="22" s="1"/>
  <c r="U22" i="22"/>
  <c r="V13" i="22"/>
  <c r="AC156" i="28"/>
  <c r="H26" i="18"/>
  <c r="I26" i="18"/>
  <c r="H29" i="18"/>
  <c r="H28" i="18"/>
  <c r="H27" i="18"/>
  <c r="C38" i="11"/>
  <c r="C23" i="11"/>
  <c r="C25" i="11" s="1"/>
  <c r="C37" i="11"/>
  <c r="C40" i="11"/>
  <c r="R31" i="22"/>
  <c r="R72" i="22" s="1"/>
  <c r="H29" i="17"/>
  <c r="H62" i="17" s="1"/>
  <c r="T46" i="22"/>
  <c r="S48" i="22"/>
  <c r="S62" i="22" s="1"/>
  <c r="S69" i="22"/>
  <c r="Q74" i="22"/>
  <c r="K24" i="19"/>
  <c r="U204" i="16"/>
  <c r="I22" i="19"/>
  <c r="S202" i="16"/>
  <c r="L29" i="17"/>
  <c r="L62" i="17" s="1"/>
  <c r="D20" i="18"/>
  <c r="D33" i="18" s="1"/>
  <c r="D66" i="18" s="1"/>
  <c r="F93" i="16"/>
  <c r="H93" i="16" s="1"/>
  <c r="I93" i="16" s="1"/>
  <c r="J93" i="16" s="1"/>
  <c r="K93" i="16" s="1"/>
  <c r="L93" i="16" s="1"/>
  <c r="M93" i="16" s="1"/>
  <c r="N93" i="16" s="1"/>
  <c r="O93" i="16" s="1"/>
  <c r="P93" i="16" s="1"/>
  <c r="Q93" i="16" s="1"/>
  <c r="N152" i="16"/>
  <c r="Y71" i="23"/>
  <c r="U209" i="23"/>
  <c r="V205" i="23" s="1"/>
  <c r="V251" i="23" s="1"/>
  <c r="V253" i="23" s="1"/>
  <c r="M54" i="17"/>
  <c r="J20" i="17"/>
  <c r="J29" i="17" s="1"/>
  <c r="G27" i="17"/>
  <c r="D29" i="17"/>
  <c r="D62" i="17" s="1"/>
  <c r="N106" i="16"/>
  <c r="N118" i="16"/>
  <c r="U216" i="23"/>
  <c r="U386" i="23"/>
  <c r="U347" i="23"/>
  <c r="V78" i="22"/>
  <c r="N114" i="16"/>
  <c r="D51" i="10"/>
  <c r="E51" i="10" s="1"/>
  <c r="E31" i="10"/>
  <c r="T342" i="23"/>
  <c r="T93" i="23"/>
  <c r="U392" i="23"/>
  <c r="U393" i="23"/>
  <c r="U394" i="23"/>
  <c r="V185" i="23"/>
  <c r="N110" i="16"/>
  <c r="E14" i="18"/>
  <c r="Y91" i="23"/>
  <c r="Y333" i="23" s="1"/>
  <c r="H42" i="18"/>
  <c r="D133" i="16" s="1"/>
  <c r="G133" i="16" s="1"/>
  <c r="G35" i="10"/>
  <c r="T345" i="23"/>
  <c r="V54" i="22"/>
  <c r="J10" i="22"/>
  <c r="O10" i="22" s="1"/>
  <c r="H51" i="18"/>
  <c r="D142" i="16" s="1"/>
  <c r="G142" i="16" s="1"/>
  <c r="G44" i="10"/>
  <c r="F20" i="17"/>
  <c r="F29" i="17" s="1"/>
  <c r="Y335" i="23"/>
  <c r="E14" i="17"/>
  <c r="E20" i="17" s="1"/>
  <c r="X11" i="22"/>
  <c r="W35" i="22"/>
  <c r="E27" i="17"/>
  <c r="E19" i="10"/>
  <c r="D24" i="10"/>
  <c r="E24" i="10" s="1"/>
  <c r="I56" i="18"/>
  <c r="H56" i="18"/>
  <c r="G49" i="10"/>
  <c r="U396" i="23"/>
  <c r="U302" i="23"/>
  <c r="U355" i="23"/>
  <c r="T349" i="23"/>
  <c r="AI12" i="25"/>
  <c r="G14" i="17"/>
  <c r="G20" i="17" s="1"/>
  <c r="V55" i="22"/>
  <c r="Y337" i="23"/>
  <c r="D11" i="9"/>
  <c r="E11" i="9" s="1"/>
  <c r="E9" i="9"/>
  <c r="L60" i="23"/>
  <c r="L20" i="12" s="1"/>
  <c r="O171" i="16"/>
  <c r="K53" i="11"/>
  <c r="J11" i="9"/>
  <c r="K11" i="9" s="1"/>
  <c r="K9" i="9"/>
  <c r="T353" i="23"/>
  <c r="Z68" i="23"/>
  <c r="Z69" i="23"/>
  <c r="Z31" i="23"/>
  <c r="Z67" i="23"/>
  <c r="Z286" i="23"/>
  <c r="K19" i="9"/>
  <c r="J24" i="9"/>
  <c r="K24" i="9" s="1"/>
  <c r="Z76" i="16"/>
  <c r="Y178" i="16"/>
  <c r="L4" i="23"/>
  <c r="I54" i="17"/>
  <c r="H17" i="18"/>
  <c r="G14" i="10"/>
  <c r="K20" i="12"/>
  <c r="E31" i="18"/>
  <c r="I30" i="18"/>
  <c r="H30" i="18"/>
  <c r="G23" i="10"/>
  <c r="AA270" i="23"/>
  <c r="AA292" i="23"/>
  <c r="AA206" i="23"/>
  <c r="AB5" i="23"/>
  <c r="AA6" i="23"/>
  <c r="M24" i="9"/>
  <c r="N24" i="9" s="1"/>
  <c r="N19" i="9"/>
  <c r="W150" i="22"/>
  <c r="W149" i="22"/>
  <c r="W148" i="22"/>
  <c r="W147" i="22"/>
  <c r="W146" i="22"/>
  <c r="W142" i="22"/>
  <c r="W79" i="22" s="1"/>
  <c r="W141" i="22"/>
  <c r="W107" i="22"/>
  <c r="W134" i="22" s="1"/>
  <c r="W106" i="22"/>
  <c r="W133" i="22" s="1"/>
  <c r="I27" i="17"/>
  <c r="E58" i="18"/>
  <c r="I48" i="18"/>
  <c r="H48" i="18"/>
  <c r="D139" i="16" s="1"/>
  <c r="G139" i="16" s="1"/>
  <c r="C98" i="22" s="1"/>
  <c r="W98" i="22" s="1"/>
  <c r="W125" i="22" s="1"/>
  <c r="G41" i="10"/>
  <c r="G51" i="9"/>
  <c r="H51" i="9" s="1"/>
  <c r="H31" i="9"/>
  <c r="H19" i="18"/>
  <c r="G16" i="10"/>
  <c r="I22" i="18"/>
  <c r="H22" i="18"/>
  <c r="G31" i="18"/>
  <c r="G19" i="10"/>
  <c r="H16" i="18"/>
  <c r="G13" i="10"/>
  <c r="H47" i="18"/>
  <c r="D138" i="16" s="1"/>
  <c r="G138" i="16" s="1"/>
  <c r="G40" i="10"/>
  <c r="H25" i="18"/>
  <c r="G22" i="10"/>
  <c r="Z264" i="23"/>
  <c r="E61" i="16"/>
  <c r="D62" i="16"/>
  <c r="W13" i="22"/>
  <c r="X10" i="22"/>
  <c r="K27" i="17"/>
  <c r="X161" i="22"/>
  <c r="Y5" i="22"/>
  <c r="X6" i="22"/>
  <c r="N112" i="16"/>
  <c r="J51" i="9"/>
  <c r="K51" i="9" s="1"/>
  <c r="K31" i="9"/>
  <c r="G54" i="17"/>
  <c r="V272" i="23"/>
  <c r="I46" i="18"/>
  <c r="H46" i="18"/>
  <c r="D137" i="16" s="1"/>
  <c r="G137" i="16" s="1"/>
  <c r="C96" i="22" s="1"/>
  <c r="W96" i="22" s="1"/>
  <c r="G39" i="10"/>
  <c r="W159" i="22"/>
  <c r="W160" i="22"/>
  <c r="N111" i="16"/>
  <c r="U163" i="23"/>
  <c r="I14" i="17"/>
  <c r="I20" i="17" s="1"/>
  <c r="H18" i="18"/>
  <c r="G15" i="10"/>
  <c r="H50" i="18"/>
  <c r="D141" i="16" s="1"/>
  <c r="G141" i="16" s="1"/>
  <c r="G43" i="10"/>
  <c r="I55" i="18"/>
  <c r="H55" i="18"/>
  <c r="D146" i="16" s="1"/>
  <c r="G146" i="16" s="1"/>
  <c r="C105" i="22" s="1"/>
  <c r="W105" i="22" s="1"/>
  <c r="G48" i="10"/>
  <c r="P11" i="9"/>
  <c r="Q11" i="9" s="1"/>
  <c r="Q9" i="9"/>
  <c r="N115" i="16"/>
  <c r="H45" i="18"/>
  <c r="D136" i="16" s="1"/>
  <c r="G136" i="16" s="1"/>
  <c r="G38" i="10"/>
  <c r="V139" i="23"/>
  <c r="I39" i="18"/>
  <c r="H39" i="18"/>
  <c r="D130" i="16" s="1"/>
  <c r="G130" i="16" s="1"/>
  <c r="G32" i="10"/>
  <c r="O151" i="16"/>
  <c r="I23" i="18"/>
  <c r="H23" i="18"/>
  <c r="G20" i="10"/>
  <c r="D51" i="9"/>
  <c r="E51" i="9" s="1"/>
  <c r="E31" i="9"/>
  <c r="N31" i="9"/>
  <c r="M51" i="9"/>
  <c r="N51" i="9" s="1"/>
  <c r="M14" i="17"/>
  <c r="M20" i="17" s="1"/>
  <c r="V45" i="22"/>
  <c r="H43" i="18"/>
  <c r="D134" i="16" s="1"/>
  <c r="G134" i="16" s="1"/>
  <c r="G36" i="10"/>
  <c r="I40" i="18"/>
  <c r="H40" i="18"/>
  <c r="D131" i="16" s="1"/>
  <c r="G131" i="16" s="1"/>
  <c r="C90" i="22" s="1"/>
  <c r="W90" i="22" s="1"/>
  <c r="G33" i="10"/>
  <c r="N107" i="16"/>
  <c r="C75" i="11"/>
  <c r="C13" i="11"/>
  <c r="C20" i="11" s="1"/>
  <c r="C90" i="11"/>
  <c r="D24" i="9"/>
  <c r="E24" i="9" s="1"/>
  <c r="E19" i="9"/>
  <c r="H54" i="18"/>
  <c r="D145" i="16" s="1"/>
  <c r="G145" i="16" s="1"/>
  <c r="G47" i="10"/>
  <c r="L62" i="11"/>
  <c r="M5" i="11"/>
  <c r="H9" i="9"/>
  <c r="G11" i="9"/>
  <c r="H11" i="9" s="1"/>
  <c r="H19" i="9"/>
  <c r="G24" i="9"/>
  <c r="H24" i="9" s="1"/>
  <c r="I44" i="18"/>
  <c r="H44" i="18"/>
  <c r="D135" i="16" s="1"/>
  <c r="G135" i="16" s="1"/>
  <c r="C94" i="22" s="1"/>
  <c r="G37" i="10"/>
  <c r="N57" i="10"/>
  <c r="H57" i="10"/>
  <c r="N109" i="16"/>
  <c r="F19" i="10"/>
  <c r="F14" i="10"/>
  <c r="F9" i="10"/>
  <c r="F20" i="10"/>
  <c r="E9" i="10"/>
  <c r="F15" i="10"/>
  <c r="F21" i="10"/>
  <c r="F10" i="10"/>
  <c r="F13" i="10"/>
  <c r="F16" i="10"/>
  <c r="D11" i="10"/>
  <c r="E11" i="10" s="1"/>
  <c r="F23" i="10"/>
  <c r="F22" i="10"/>
  <c r="H13" i="18"/>
  <c r="G10" i="10"/>
  <c r="I11" i="22"/>
  <c r="I13" i="22" s="1"/>
  <c r="V22" i="22"/>
  <c r="W19" i="22"/>
  <c r="W34" i="22" s="1"/>
  <c r="E54" i="17"/>
  <c r="K54" i="17"/>
  <c r="K14" i="17"/>
  <c r="K20" i="17" s="1"/>
  <c r="T18" i="23"/>
  <c r="R70" i="22"/>
  <c r="N108" i="16"/>
  <c r="P24" i="9"/>
  <c r="Q24" i="9" s="1"/>
  <c r="Q19" i="9"/>
  <c r="G14" i="18"/>
  <c r="G20" i="18" s="1"/>
  <c r="H12" i="18"/>
  <c r="G9" i="10"/>
  <c r="H49" i="18"/>
  <c r="D140" i="16" s="1"/>
  <c r="G140" i="16" s="1"/>
  <c r="C99" i="22" s="1"/>
  <c r="I49" i="18"/>
  <c r="G42" i="10"/>
  <c r="L68" i="23"/>
  <c r="M5" i="23"/>
  <c r="N9" i="9"/>
  <c r="M11" i="9"/>
  <c r="N11" i="9" s="1"/>
  <c r="M27" i="17"/>
  <c r="H38" i="18"/>
  <c r="D129" i="16" s="1"/>
  <c r="G129" i="16" s="1"/>
  <c r="G31" i="10"/>
  <c r="Z252" i="23"/>
  <c r="Z235" i="23"/>
  <c r="Z337" i="23" s="1"/>
  <c r="Z221" i="23"/>
  <c r="Z200" i="23"/>
  <c r="Z90" i="23"/>
  <c r="H24" i="18"/>
  <c r="G21" i="10"/>
  <c r="AA71" i="16"/>
  <c r="AB68" i="16"/>
  <c r="I53" i="18"/>
  <c r="H53" i="18"/>
  <c r="D144" i="16" s="1"/>
  <c r="G144" i="16" s="1"/>
  <c r="C103" i="22" s="1"/>
  <c r="W103" i="22" s="1"/>
  <c r="W130" i="22" s="1"/>
  <c r="G46" i="10"/>
  <c r="Q31" i="9"/>
  <c r="P51" i="9"/>
  <c r="Q51" i="9" s="1"/>
  <c r="H41" i="18"/>
  <c r="D132" i="16" s="1"/>
  <c r="G132" i="16" s="1"/>
  <c r="C91" i="22" s="1"/>
  <c r="G34" i="10"/>
  <c r="N113" i="16"/>
  <c r="U295" i="23"/>
  <c r="V291" i="23" s="1"/>
  <c r="C104" i="22" l="1"/>
  <c r="AD172" i="28"/>
  <c r="C101" i="22"/>
  <c r="W101" i="22" s="1"/>
  <c r="AD170" i="28"/>
  <c r="C100" i="22"/>
  <c r="W100" i="22" s="1"/>
  <c r="W127" i="22" s="1"/>
  <c r="AD169" i="28"/>
  <c r="C97" i="22"/>
  <c r="U97" i="22" s="1"/>
  <c r="AD168" i="28"/>
  <c r="C95" i="22"/>
  <c r="W95" i="22" s="1"/>
  <c r="W122" i="22" s="1"/>
  <c r="AD167" i="28"/>
  <c r="C93" i="22"/>
  <c r="V93" i="22" s="1"/>
  <c r="AD166" i="28"/>
  <c r="C92" i="22"/>
  <c r="W92" i="22" s="1"/>
  <c r="W119" i="22" s="1"/>
  <c r="AD165" i="28"/>
  <c r="C89" i="22"/>
  <c r="W89" i="22" s="1"/>
  <c r="W116" i="22" s="1"/>
  <c r="AD164" i="28"/>
  <c r="C88" i="22"/>
  <c r="C115" i="22" s="1"/>
  <c r="AD163" i="28"/>
  <c r="AD156" i="28"/>
  <c r="H59" i="17"/>
  <c r="G29" i="17"/>
  <c r="G59" i="17" s="1"/>
  <c r="W37" i="22"/>
  <c r="W57" i="22" s="1"/>
  <c r="L59" i="17"/>
  <c r="Q75" i="22"/>
  <c r="Q76" i="22" s="1"/>
  <c r="Q83" i="22" s="1"/>
  <c r="S71" i="22"/>
  <c r="S31" i="22"/>
  <c r="U46" i="22"/>
  <c r="T69" i="22"/>
  <c r="T48" i="22"/>
  <c r="T62" i="22" s="1"/>
  <c r="O152" i="16"/>
  <c r="F24" i="10"/>
  <c r="K46" i="10"/>
  <c r="L46" i="10" s="1"/>
  <c r="T46" i="9"/>
  <c r="C130" i="22"/>
  <c r="R103" i="22"/>
  <c r="R130" i="22" s="1"/>
  <c r="S103" i="22"/>
  <c r="S130" i="22" s="1"/>
  <c r="T103" i="22"/>
  <c r="T130" i="22" s="1"/>
  <c r="U103" i="22"/>
  <c r="U130" i="22" s="1"/>
  <c r="V103" i="22"/>
  <c r="V130" i="22" s="1"/>
  <c r="K42" i="10"/>
  <c r="L42" i="10" s="1"/>
  <c r="R99" i="22"/>
  <c r="R126" i="22" s="1"/>
  <c r="T42" i="9"/>
  <c r="C126" i="22"/>
  <c r="S99" i="22"/>
  <c r="S126" i="22" s="1"/>
  <c r="T99" i="22"/>
  <c r="T126" i="22" s="1"/>
  <c r="U99" i="22"/>
  <c r="U126" i="22" s="1"/>
  <c r="V99" i="22"/>
  <c r="V126" i="22" s="1"/>
  <c r="R94" i="22"/>
  <c r="R121" i="22" s="1"/>
  <c r="C121" i="22"/>
  <c r="S94" i="22"/>
  <c r="S121" i="22" s="1"/>
  <c r="T37" i="9"/>
  <c r="K37" i="10"/>
  <c r="L37" i="10" s="1"/>
  <c r="T94" i="22"/>
  <c r="T121" i="22" s="1"/>
  <c r="U94" i="22"/>
  <c r="U121" i="22" s="1"/>
  <c r="V94" i="22"/>
  <c r="V121" i="22" s="1"/>
  <c r="C123" i="22"/>
  <c r="E42" i="23"/>
  <c r="T39" i="9"/>
  <c r="K39" i="10"/>
  <c r="L39" i="10" s="1"/>
  <c r="R96" i="22"/>
  <c r="D35" i="11"/>
  <c r="S96" i="22"/>
  <c r="T96" i="22"/>
  <c r="U96" i="22"/>
  <c r="V96" i="22"/>
  <c r="K44" i="10"/>
  <c r="L44" i="10" s="1"/>
  <c r="E48" i="23"/>
  <c r="C128" i="22"/>
  <c r="D41" i="11"/>
  <c r="T44" i="9"/>
  <c r="R101" i="22"/>
  <c r="S101" i="22"/>
  <c r="T101" i="22"/>
  <c r="U101" i="22"/>
  <c r="V101" i="22"/>
  <c r="C131" i="22"/>
  <c r="E50" i="23"/>
  <c r="T47" i="9"/>
  <c r="D43" i="11"/>
  <c r="R104" i="22"/>
  <c r="K47" i="10"/>
  <c r="L47" i="10" s="1"/>
  <c r="S104" i="22"/>
  <c r="T104" i="22"/>
  <c r="U104" i="22"/>
  <c r="V104" i="22"/>
  <c r="K34" i="10"/>
  <c r="L34" i="10" s="1"/>
  <c r="D36" i="11"/>
  <c r="E43" i="23"/>
  <c r="T34" i="9"/>
  <c r="R91" i="22"/>
  <c r="C118" i="22"/>
  <c r="S91" i="22"/>
  <c r="T91" i="22"/>
  <c r="U91" i="22"/>
  <c r="V91" i="22"/>
  <c r="G17" i="9"/>
  <c r="H17" i="9" s="1"/>
  <c r="I17" i="9" s="1"/>
  <c r="W99" i="22"/>
  <c r="W126" i="22" s="1"/>
  <c r="W104" i="22"/>
  <c r="Y50" i="23" s="1"/>
  <c r="D34" i="11"/>
  <c r="K33" i="10"/>
  <c r="L33" i="10" s="1"/>
  <c r="S90" i="22"/>
  <c r="C117" i="22"/>
  <c r="T33" i="9"/>
  <c r="E41" i="23"/>
  <c r="R90" i="22"/>
  <c r="T90" i="22"/>
  <c r="U90" i="22"/>
  <c r="V90" i="22"/>
  <c r="W94" i="22"/>
  <c r="I23" i="19"/>
  <c r="S203" i="16"/>
  <c r="K25" i="19"/>
  <c r="U205" i="16"/>
  <c r="K26" i="19" s="1"/>
  <c r="R105" i="22"/>
  <c r="E51" i="23"/>
  <c r="T48" i="9"/>
  <c r="C132" i="22"/>
  <c r="S105" i="22"/>
  <c r="D44" i="11"/>
  <c r="K48" i="10"/>
  <c r="L48" i="10" s="1"/>
  <c r="T105" i="22"/>
  <c r="U105" i="22"/>
  <c r="V105" i="22"/>
  <c r="W97" i="22"/>
  <c r="W124" i="22" s="1"/>
  <c r="K41" i="10"/>
  <c r="L41" i="10" s="1"/>
  <c r="R98" i="22"/>
  <c r="R125" i="22" s="1"/>
  <c r="T41" i="9"/>
  <c r="C125" i="22"/>
  <c r="S98" i="22"/>
  <c r="S125" i="22" s="1"/>
  <c r="T98" i="22"/>
  <c r="T125" i="22" s="1"/>
  <c r="U98" i="22"/>
  <c r="U125" i="22" s="1"/>
  <c r="V98" i="22"/>
  <c r="V125" i="22" s="1"/>
  <c r="C127" i="22"/>
  <c r="K43" i="10"/>
  <c r="L43" i="10" s="1"/>
  <c r="R100" i="22"/>
  <c r="R127" i="22" s="1"/>
  <c r="S100" i="22"/>
  <c r="S127" i="22" s="1"/>
  <c r="T100" i="22"/>
  <c r="T127" i="22" s="1"/>
  <c r="U100" i="22"/>
  <c r="U127" i="22" s="1"/>
  <c r="V100" i="22"/>
  <c r="V127" i="22" s="1"/>
  <c r="W91" i="22"/>
  <c r="W55" i="22"/>
  <c r="D59" i="17"/>
  <c r="C76" i="11"/>
  <c r="V207" i="23"/>
  <c r="V258" i="23"/>
  <c r="O118" i="16"/>
  <c r="O113" i="16"/>
  <c r="F11" i="10"/>
  <c r="O111" i="16"/>
  <c r="O112" i="16"/>
  <c r="Z71" i="23"/>
  <c r="O110" i="16"/>
  <c r="O107" i="16"/>
  <c r="O108" i="16"/>
  <c r="I29" i="17"/>
  <c r="I59" i="17" s="1"/>
  <c r="O109" i="16"/>
  <c r="O115" i="16"/>
  <c r="O114" i="16"/>
  <c r="J59" i="17"/>
  <c r="J62" i="17"/>
  <c r="U387" i="23"/>
  <c r="U343" i="23" s="1"/>
  <c r="U389" i="23"/>
  <c r="U356" i="23" s="1"/>
  <c r="U388" i="23"/>
  <c r="U352" i="23" s="1"/>
  <c r="C27" i="11"/>
  <c r="E29" i="17"/>
  <c r="E62" i="17" s="1"/>
  <c r="O106" i="16"/>
  <c r="J17" i="9"/>
  <c r="K17" i="9" s="1"/>
  <c r="L17" i="9" s="1"/>
  <c r="D63" i="18"/>
  <c r="K29" i="17"/>
  <c r="K59" i="17" s="1"/>
  <c r="P17" i="9"/>
  <c r="Q17" i="9" s="1"/>
  <c r="R17" i="9" s="1"/>
  <c r="F62" i="17"/>
  <c r="F59" i="17"/>
  <c r="H31" i="10"/>
  <c r="N42" i="10"/>
  <c r="H42" i="10"/>
  <c r="M60" i="23"/>
  <c r="M20" i="12" s="1"/>
  <c r="P171" i="16"/>
  <c r="L53" i="11"/>
  <c r="Y11" i="22"/>
  <c r="X35" i="22"/>
  <c r="V186" i="23"/>
  <c r="H44" i="10"/>
  <c r="I14" i="10"/>
  <c r="I9" i="10"/>
  <c r="I20" i="10"/>
  <c r="H9" i="10"/>
  <c r="I15" i="10"/>
  <c r="I21" i="10"/>
  <c r="I10" i="10"/>
  <c r="I22" i="10"/>
  <c r="I16" i="10"/>
  <c r="I13" i="10"/>
  <c r="G11" i="10"/>
  <c r="G17" i="10" s="1"/>
  <c r="I23" i="10"/>
  <c r="I19" i="10"/>
  <c r="V140" i="23"/>
  <c r="X13" i="22"/>
  <c r="Y10" i="22"/>
  <c r="D17" i="9"/>
  <c r="U357" i="23"/>
  <c r="H21" i="10"/>
  <c r="H14" i="18"/>
  <c r="H20" i="10"/>
  <c r="N20" i="10"/>
  <c r="H15" i="10"/>
  <c r="H19" i="10"/>
  <c r="G24" i="10"/>
  <c r="N19" i="10"/>
  <c r="AA68" i="23"/>
  <c r="AA69" i="23"/>
  <c r="AA31" i="23"/>
  <c r="AA67" i="23"/>
  <c r="AA286" i="23"/>
  <c r="N49" i="10"/>
  <c r="H49" i="10"/>
  <c r="U348" i="23"/>
  <c r="T418" i="23"/>
  <c r="T23" i="23"/>
  <c r="H36" i="10"/>
  <c r="W78" i="22"/>
  <c r="AB292" i="23"/>
  <c r="AB206" i="23"/>
  <c r="AB270" i="23"/>
  <c r="AC5" i="23"/>
  <c r="AB6" i="23"/>
  <c r="M4" i="23"/>
  <c r="U344" i="23"/>
  <c r="H43" i="10"/>
  <c r="H22" i="10"/>
  <c r="H31" i="18"/>
  <c r="AA264" i="23"/>
  <c r="K10" i="22"/>
  <c r="N37" i="10"/>
  <c r="H37" i="10"/>
  <c r="X150" i="22"/>
  <c r="X149" i="22"/>
  <c r="X148" i="22"/>
  <c r="X146" i="22"/>
  <c r="X147" i="22"/>
  <c r="X142" i="22"/>
  <c r="X79" i="22" s="1"/>
  <c r="X141" i="22"/>
  <c r="X103" i="22"/>
  <c r="X130" i="22" s="1"/>
  <c r="X105" i="22"/>
  <c r="X96" i="22"/>
  <c r="X101" i="22"/>
  <c r="X94" i="22"/>
  <c r="X106" i="22"/>
  <c r="X133" i="22" s="1"/>
  <c r="X97" i="22"/>
  <c r="X99" i="22"/>
  <c r="X126" i="22" s="1"/>
  <c r="X90" i="22"/>
  <c r="X104" i="22"/>
  <c r="X100" i="22"/>
  <c r="X127" i="22" s="1"/>
  <c r="X98" i="22"/>
  <c r="X125" i="22" s="1"/>
  <c r="X107" i="22"/>
  <c r="X134" i="22" s="1"/>
  <c r="X91" i="22"/>
  <c r="E20" i="18"/>
  <c r="E33" i="18" s="1"/>
  <c r="N33" i="10"/>
  <c r="H33" i="10"/>
  <c r="Z91" i="23"/>
  <c r="Z333" i="23" s="1"/>
  <c r="G33" i="18"/>
  <c r="T417" i="23"/>
  <c r="Y161" i="22"/>
  <c r="Z5" i="22"/>
  <c r="Y6" i="22"/>
  <c r="W123" i="22"/>
  <c r="Y42" i="23"/>
  <c r="U399" i="23"/>
  <c r="U398" i="23"/>
  <c r="U397" i="23"/>
  <c r="H34" i="10"/>
  <c r="Z335" i="23"/>
  <c r="P151" i="16"/>
  <c r="R21" i="9"/>
  <c r="R24" i="9"/>
  <c r="R16" i="9"/>
  <c r="R20" i="9"/>
  <c r="R23" i="9"/>
  <c r="R15" i="9"/>
  <c r="R10" i="9"/>
  <c r="R11" i="9"/>
  <c r="R19" i="9"/>
  <c r="R13" i="9"/>
  <c r="R22" i="9"/>
  <c r="R14" i="9"/>
  <c r="R9" i="9"/>
  <c r="X159" i="22"/>
  <c r="X160" i="22"/>
  <c r="H40" i="10"/>
  <c r="W132" i="22"/>
  <c r="Y51" i="23"/>
  <c r="H38" i="10"/>
  <c r="H41" i="10"/>
  <c r="N41" i="10"/>
  <c r="F11" i="9"/>
  <c r="F20" i="9"/>
  <c r="F23" i="9"/>
  <c r="F19" i="9"/>
  <c r="F22" i="9"/>
  <c r="F14" i="9"/>
  <c r="F9" i="9"/>
  <c r="F21" i="9"/>
  <c r="F15" i="9"/>
  <c r="F10" i="9"/>
  <c r="F24" i="9"/>
  <c r="F13" i="9"/>
  <c r="F16" i="9"/>
  <c r="M68" i="23"/>
  <c r="N5" i="23"/>
  <c r="AA60" i="23" s="1"/>
  <c r="I15" i="9"/>
  <c r="I10" i="9"/>
  <c r="I19" i="9"/>
  <c r="I22" i="9"/>
  <c r="I9" i="9"/>
  <c r="I13" i="9"/>
  <c r="I23" i="9"/>
  <c r="I21" i="9"/>
  <c r="I20" i="9"/>
  <c r="I24" i="9"/>
  <c r="I11" i="9"/>
  <c r="I16" i="9"/>
  <c r="I14" i="9"/>
  <c r="N32" i="10"/>
  <c r="H32" i="10"/>
  <c r="N39" i="10"/>
  <c r="H39" i="10"/>
  <c r="V280" i="23"/>
  <c r="V391" i="23"/>
  <c r="V351" i="23"/>
  <c r="H16" i="10"/>
  <c r="L19" i="9"/>
  <c r="L22" i="9"/>
  <c r="L14" i="9"/>
  <c r="L9" i="9"/>
  <c r="L13" i="9"/>
  <c r="L21" i="9"/>
  <c r="L24" i="9"/>
  <c r="L15" i="9"/>
  <c r="L10" i="9"/>
  <c r="L11" i="9"/>
  <c r="L16" i="9"/>
  <c r="L20" i="9"/>
  <c r="L23" i="9"/>
  <c r="AI13" i="25"/>
  <c r="W54" i="22"/>
  <c r="V273" i="23"/>
  <c r="W269" i="23" s="1"/>
  <c r="H46" i="10"/>
  <c r="N46" i="10"/>
  <c r="D17" i="10"/>
  <c r="M62" i="11"/>
  <c r="N5" i="11"/>
  <c r="C91" i="11"/>
  <c r="W45" i="22"/>
  <c r="O13" i="9"/>
  <c r="O21" i="9"/>
  <c r="O24" i="9"/>
  <c r="O16" i="9"/>
  <c r="O11" i="9"/>
  <c r="O20" i="9"/>
  <c r="O19" i="9"/>
  <c r="O22" i="9"/>
  <c r="O23" i="9"/>
  <c r="O14" i="9"/>
  <c r="O10" i="9"/>
  <c r="O15" i="9"/>
  <c r="O9" i="9"/>
  <c r="V293" i="23"/>
  <c r="V294" i="23" s="1"/>
  <c r="AA76" i="16"/>
  <c r="Z178" i="16"/>
  <c r="H10" i="10"/>
  <c r="W22" i="22"/>
  <c r="X19" i="22"/>
  <c r="X34" i="22" s="1"/>
  <c r="M29" i="17"/>
  <c r="U171" i="23"/>
  <c r="U156" i="23"/>
  <c r="U164" i="23"/>
  <c r="V160" i="23" s="1"/>
  <c r="U384" i="23"/>
  <c r="U94" i="23"/>
  <c r="Y46" i="23"/>
  <c r="N48" i="10"/>
  <c r="H48" i="10"/>
  <c r="J11" i="22"/>
  <c r="H13" i="10"/>
  <c r="W117" i="22"/>
  <c r="Y41" i="23"/>
  <c r="AA252" i="23"/>
  <c r="AA235" i="23"/>
  <c r="AA337" i="23" s="1"/>
  <c r="AA221" i="23"/>
  <c r="AA200" i="23"/>
  <c r="AA90" i="23"/>
  <c r="H14" i="10"/>
  <c r="AB71" i="16"/>
  <c r="AC68" i="16"/>
  <c r="M17" i="9"/>
  <c r="N17" i="9" s="1"/>
  <c r="O17" i="9" s="1"/>
  <c r="H47" i="10"/>
  <c r="F61" i="16"/>
  <c r="E62" i="16"/>
  <c r="W128" i="22"/>
  <c r="Y48" i="23"/>
  <c r="N23" i="10"/>
  <c r="H23" i="10"/>
  <c r="H35" i="10"/>
  <c r="T43" i="9" l="1"/>
  <c r="X95" i="22"/>
  <c r="E47" i="23"/>
  <c r="S93" i="22"/>
  <c r="AD174" i="28"/>
  <c r="U93" i="22"/>
  <c r="T93" i="22"/>
  <c r="D38" i="11"/>
  <c r="K36" i="10"/>
  <c r="L36" i="10" s="1"/>
  <c r="R93" i="22"/>
  <c r="R120" i="22" s="1"/>
  <c r="E45" i="23"/>
  <c r="U95" i="22"/>
  <c r="U122" i="22" s="1"/>
  <c r="T95" i="22"/>
  <c r="T122" i="22" s="1"/>
  <c r="T38" i="9"/>
  <c r="J45" i="18" s="1"/>
  <c r="T36" i="9"/>
  <c r="J43" i="18" s="1"/>
  <c r="V95" i="22"/>
  <c r="X46" i="23" s="1"/>
  <c r="C120" i="22"/>
  <c r="X93" i="22"/>
  <c r="X120" i="22" s="1"/>
  <c r="K40" i="10"/>
  <c r="L40" i="10" s="1"/>
  <c r="C124" i="22"/>
  <c r="S95" i="22"/>
  <c r="U46" i="23" s="1"/>
  <c r="R95" i="22"/>
  <c r="T46" i="23" s="1"/>
  <c r="D39" i="11"/>
  <c r="W93" i="22"/>
  <c r="W120" i="22" s="1"/>
  <c r="E46" i="23"/>
  <c r="K38" i="10"/>
  <c r="L38" i="10" s="1"/>
  <c r="C122" i="22"/>
  <c r="X89" i="22"/>
  <c r="X116" i="22" s="1"/>
  <c r="T35" i="9"/>
  <c r="J42" i="18" s="1"/>
  <c r="R97" i="22"/>
  <c r="R124" i="22" s="1"/>
  <c r="D40" i="11"/>
  <c r="T40" i="9"/>
  <c r="J47" i="18" s="1"/>
  <c r="U92" i="22"/>
  <c r="U119" i="22" s="1"/>
  <c r="V92" i="22"/>
  <c r="V119" i="22" s="1"/>
  <c r="D37" i="11"/>
  <c r="T92" i="22"/>
  <c r="T119" i="22" s="1"/>
  <c r="E44" i="23"/>
  <c r="S92" i="22"/>
  <c r="S119" i="22" s="1"/>
  <c r="R92" i="22"/>
  <c r="R119" i="22" s="1"/>
  <c r="X92" i="22"/>
  <c r="X119" i="22" s="1"/>
  <c r="K35" i="10"/>
  <c r="L35" i="10" s="1"/>
  <c r="C119" i="22"/>
  <c r="X88" i="22"/>
  <c r="X115" i="22" s="1"/>
  <c r="Y40" i="23"/>
  <c r="U89" i="22"/>
  <c r="W40" i="23" s="1"/>
  <c r="S89" i="22"/>
  <c r="S116" i="22" s="1"/>
  <c r="R89" i="22"/>
  <c r="R116" i="22" s="1"/>
  <c r="T32" i="9"/>
  <c r="J39" i="18" s="1"/>
  <c r="K39" i="18" s="1"/>
  <c r="L39" i="18" s="1"/>
  <c r="C116" i="22"/>
  <c r="E40" i="23"/>
  <c r="T97" i="22"/>
  <c r="T124" i="22" s="1"/>
  <c r="V89" i="22"/>
  <c r="X40" i="23" s="1"/>
  <c r="K32" i="10"/>
  <c r="L32" i="10" s="1"/>
  <c r="D33" i="11"/>
  <c r="S97" i="22"/>
  <c r="U47" i="23" s="1"/>
  <c r="V97" i="22"/>
  <c r="V124" i="22" s="1"/>
  <c r="G62" i="17"/>
  <c r="W88" i="22"/>
  <c r="W115" i="22" s="1"/>
  <c r="V88" i="22"/>
  <c r="X39" i="23" s="1"/>
  <c r="T88" i="22"/>
  <c r="T115" i="22" s="1"/>
  <c r="S88" i="22"/>
  <c r="S115" i="22" s="1"/>
  <c r="D32" i="11"/>
  <c r="U88" i="22"/>
  <c r="U115" i="22" s="1"/>
  <c r="K31" i="10"/>
  <c r="N31" i="10" s="1"/>
  <c r="R88" i="22"/>
  <c r="R115" i="22" s="1"/>
  <c r="T31" i="9"/>
  <c r="U31" i="9" s="1"/>
  <c r="T89" i="22"/>
  <c r="V40" i="23" s="1"/>
  <c r="E39" i="23"/>
  <c r="P26" i="9"/>
  <c r="P56" i="9" s="1"/>
  <c r="Q56" i="9" s="1"/>
  <c r="G26" i="9"/>
  <c r="G59" i="9" s="1"/>
  <c r="X37" i="22"/>
  <c r="X57" i="22" s="1"/>
  <c r="W131" i="22"/>
  <c r="J13" i="22"/>
  <c r="O11" i="22"/>
  <c r="O13" i="22" s="1"/>
  <c r="N47" i="10"/>
  <c r="S72" i="22"/>
  <c r="U418" i="23" s="1"/>
  <c r="N44" i="10"/>
  <c r="N36" i="10"/>
  <c r="N43" i="10"/>
  <c r="N34" i="10"/>
  <c r="P113" i="16"/>
  <c r="Y47" i="23"/>
  <c r="T71" i="22"/>
  <c r="T31" i="22"/>
  <c r="U48" i="22"/>
  <c r="U62" i="22" s="1"/>
  <c r="V46" i="22"/>
  <c r="U69" i="22"/>
  <c r="U18" i="23"/>
  <c r="S70" i="22"/>
  <c r="U417" i="23" s="1"/>
  <c r="P115" i="16"/>
  <c r="Y44" i="23"/>
  <c r="W121" i="22"/>
  <c r="P114" i="16"/>
  <c r="H134" i="16"/>
  <c r="D93" i="22" s="1"/>
  <c r="D120" i="22" s="1"/>
  <c r="P110" i="16"/>
  <c r="E59" i="17"/>
  <c r="P107" i="16"/>
  <c r="Y43" i="23"/>
  <c r="W118" i="22"/>
  <c r="P108" i="16"/>
  <c r="V117" i="22"/>
  <c r="X41" i="23"/>
  <c r="J55" i="18"/>
  <c r="K55" i="18" s="1"/>
  <c r="L55" i="18" s="1"/>
  <c r="U48" i="9"/>
  <c r="U118" i="22"/>
  <c r="W43" i="23"/>
  <c r="J54" i="18"/>
  <c r="U47" i="9"/>
  <c r="J53" i="18"/>
  <c r="K53" i="18" s="1"/>
  <c r="L53" i="18" s="1"/>
  <c r="U46" i="9"/>
  <c r="V120" i="22"/>
  <c r="X45" i="23"/>
  <c r="T41" i="23"/>
  <c r="R117" i="22"/>
  <c r="R118" i="22"/>
  <c r="T43" i="23"/>
  <c r="U128" i="22"/>
  <c r="W48" i="23"/>
  <c r="T123" i="22"/>
  <c r="V42" i="23"/>
  <c r="J48" i="18"/>
  <c r="K48" i="18" s="1"/>
  <c r="L48" i="18" s="1"/>
  <c r="U41" i="9"/>
  <c r="U120" i="22"/>
  <c r="W45" i="23"/>
  <c r="J41" i="18"/>
  <c r="U34" i="9"/>
  <c r="T128" i="22"/>
  <c r="V48" i="23"/>
  <c r="S123" i="22"/>
  <c r="U42" i="23"/>
  <c r="J44" i="18"/>
  <c r="K44" i="18" s="1"/>
  <c r="L44" i="18" s="1"/>
  <c r="U37" i="9"/>
  <c r="U117" i="22"/>
  <c r="W41" i="23"/>
  <c r="V128" i="22"/>
  <c r="X48" i="23"/>
  <c r="P109" i="16"/>
  <c r="T120" i="22"/>
  <c r="V45" i="23"/>
  <c r="J40" i="18"/>
  <c r="K40" i="18" s="1"/>
  <c r="L40" i="18" s="1"/>
  <c r="U33" i="9"/>
  <c r="U48" i="23"/>
  <c r="S128" i="22"/>
  <c r="U124" i="22"/>
  <c r="W47" i="23"/>
  <c r="V123" i="22"/>
  <c r="X42" i="23"/>
  <c r="S120" i="22"/>
  <c r="U45" i="23"/>
  <c r="R128" i="22"/>
  <c r="T48" i="23"/>
  <c r="R123" i="22"/>
  <c r="T42" i="23"/>
  <c r="R122" i="22"/>
  <c r="U41" i="23"/>
  <c r="S117" i="22"/>
  <c r="J51" i="18"/>
  <c r="U44" i="9"/>
  <c r="V43" i="23"/>
  <c r="T118" i="22"/>
  <c r="R132" i="22"/>
  <c r="T51" i="23"/>
  <c r="V132" i="22"/>
  <c r="X51" i="23"/>
  <c r="V131" i="22"/>
  <c r="X50" i="23"/>
  <c r="J46" i="18"/>
  <c r="K46" i="18" s="1"/>
  <c r="L46" i="18" s="1"/>
  <c r="U39" i="9"/>
  <c r="V41" i="23"/>
  <c r="T117" i="22"/>
  <c r="U132" i="22"/>
  <c r="W51" i="23"/>
  <c r="U131" i="22"/>
  <c r="W50" i="23"/>
  <c r="J49" i="18"/>
  <c r="K49" i="18" s="1"/>
  <c r="L49" i="18" s="1"/>
  <c r="U42" i="9"/>
  <c r="T132" i="22"/>
  <c r="V51" i="23"/>
  <c r="T131" i="22"/>
  <c r="V50" i="23"/>
  <c r="P106" i="16"/>
  <c r="P112" i="16"/>
  <c r="S131" i="22"/>
  <c r="U50" i="23"/>
  <c r="U123" i="22"/>
  <c r="W42" i="23"/>
  <c r="P111" i="16"/>
  <c r="J50" i="18"/>
  <c r="U43" i="9"/>
  <c r="U51" i="23"/>
  <c r="S132" i="22"/>
  <c r="I24" i="19"/>
  <c r="S204" i="16"/>
  <c r="R131" i="22"/>
  <c r="T50" i="23"/>
  <c r="U43" i="23"/>
  <c r="S118" i="22"/>
  <c r="V118" i="22"/>
  <c r="X43" i="23"/>
  <c r="I62" i="17"/>
  <c r="V208" i="23"/>
  <c r="V209" i="23" s="1"/>
  <c r="W205" i="23" s="1"/>
  <c r="M60" i="11"/>
  <c r="M64" i="11" s="1"/>
  <c r="W60" i="23"/>
  <c r="W331" i="23" s="1"/>
  <c r="W433" i="23"/>
  <c r="H145" i="16"/>
  <c r="D104" i="22" s="1"/>
  <c r="W80" i="23"/>
  <c r="AA71" i="23"/>
  <c r="AA331" i="23" s="1"/>
  <c r="U60" i="23"/>
  <c r="U331" i="23" s="1"/>
  <c r="H131" i="16"/>
  <c r="D90" i="22" s="1"/>
  <c r="J26" i="9"/>
  <c r="J59" i="9" s="1"/>
  <c r="L60" i="11"/>
  <c r="L64" i="11" s="1"/>
  <c r="J60" i="11"/>
  <c r="J64" i="11" s="1"/>
  <c r="G26" i="10"/>
  <c r="I36" i="10" s="1"/>
  <c r="Z433" i="23"/>
  <c r="X80" i="23"/>
  <c r="K62" i="17"/>
  <c r="X432" i="23"/>
  <c r="W271" i="23"/>
  <c r="W272" i="23" s="1"/>
  <c r="X124" i="22"/>
  <c r="Z47" i="23"/>
  <c r="AA80" i="23"/>
  <c r="J67" i="23"/>
  <c r="V194" i="23"/>
  <c r="V179" i="23"/>
  <c r="X54" i="22"/>
  <c r="U349" i="23"/>
  <c r="X121" i="22"/>
  <c r="L10" i="22"/>
  <c r="AB252" i="23"/>
  <c r="AB235" i="23"/>
  <c r="AB337" i="23" s="1"/>
  <c r="AB221" i="23"/>
  <c r="AB200" i="23"/>
  <c r="AB90" i="23"/>
  <c r="V432" i="23"/>
  <c r="N67" i="23"/>
  <c r="U353" i="23"/>
  <c r="Y150" i="22"/>
  <c r="Y149" i="22"/>
  <c r="Y148" i="22"/>
  <c r="Y147" i="22"/>
  <c r="Y146" i="22"/>
  <c r="Y142" i="22"/>
  <c r="Y79" i="22" s="1"/>
  <c r="Y141" i="22"/>
  <c r="Y101" i="22"/>
  <c r="Y97" i="22"/>
  <c r="Y106" i="22"/>
  <c r="Y133" i="22" s="1"/>
  <c r="Y95" i="22"/>
  <c r="Y99" i="22"/>
  <c r="Y126" i="22" s="1"/>
  <c r="Y91" i="22"/>
  <c r="Y96" i="22"/>
  <c r="Y104" i="22"/>
  <c r="Y100" i="22"/>
  <c r="Y127" i="22" s="1"/>
  <c r="Y93" i="22"/>
  <c r="Y120" i="22" s="1"/>
  <c r="Y89" i="22"/>
  <c r="Y98" i="22"/>
  <c r="Y125" i="22" s="1"/>
  <c r="Y107" i="22"/>
  <c r="Y134" i="22" s="1"/>
  <c r="Y103" i="22"/>
  <c r="Y130" i="22" s="1"/>
  <c r="Y90" i="22"/>
  <c r="Y92" i="22"/>
  <c r="Y119" i="22" s="1"/>
  <c r="Y88" i="22"/>
  <c r="Y105" i="22"/>
  <c r="Y94" i="22"/>
  <c r="X128" i="22"/>
  <c r="Z48" i="23"/>
  <c r="Z81" i="23"/>
  <c r="H24" i="10"/>
  <c r="Y13" i="22"/>
  <c r="Z10" i="22"/>
  <c r="Z11" i="22"/>
  <c r="Y35" i="22"/>
  <c r="X55" i="22"/>
  <c r="Z161" i="22"/>
  <c r="AA5" i="22"/>
  <c r="Z6" i="22"/>
  <c r="X122" i="22"/>
  <c r="Z46" i="23"/>
  <c r="K60" i="11"/>
  <c r="K64" i="11" s="1"/>
  <c r="AD68" i="16"/>
  <c r="AC71" i="16"/>
  <c r="V162" i="23"/>
  <c r="AA178" i="16"/>
  <c r="AB76" i="16"/>
  <c r="N68" i="23"/>
  <c r="O68" i="23" s="1"/>
  <c r="H39" i="14" s="1"/>
  <c r="Q60" i="23"/>
  <c r="H138" i="16"/>
  <c r="H148" i="16"/>
  <c r="H137" i="16"/>
  <c r="H132" i="16"/>
  <c r="H140" i="16"/>
  <c r="H139" i="16"/>
  <c r="H144" i="16"/>
  <c r="H141" i="16"/>
  <c r="T80" i="23"/>
  <c r="V81" i="23"/>
  <c r="H136" i="16"/>
  <c r="T432" i="23"/>
  <c r="V433" i="23"/>
  <c r="Y432" i="23"/>
  <c r="W432" i="23"/>
  <c r="Y433" i="23"/>
  <c r="H129" i="16"/>
  <c r="V60" i="23"/>
  <c r="V331" i="23" s="1"/>
  <c r="H146" i="16"/>
  <c r="H142" i="16"/>
  <c r="X433" i="23"/>
  <c r="U433" i="23"/>
  <c r="H130" i="16"/>
  <c r="X60" i="23"/>
  <c r="X331" i="23" s="1"/>
  <c r="Y80" i="23"/>
  <c r="U81" i="23"/>
  <c r="U80" i="23"/>
  <c r="Z432" i="23"/>
  <c r="Y60" i="23"/>
  <c r="Y331" i="23" s="1"/>
  <c r="U432" i="23"/>
  <c r="T433" i="23"/>
  <c r="T81" i="23"/>
  <c r="Z80" i="23"/>
  <c r="H135" i="16"/>
  <c r="Y159" i="22"/>
  <c r="Y160" i="22"/>
  <c r="X123" i="22"/>
  <c r="Z42" i="23"/>
  <c r="Z60" i="23"/>
  <c r="Z331" i="23" s="1"/>
  <c r="E66" i="18"/>
  <c r="E63" i="18"/>
  <c r="AI14" i="25"/>
  <c r="AI15" i="25" s="1"/>
  <c r="AI16" i="25" s="1"/>
  <c r="AI17" i="25" s="1"/>
  <c r="AI18" i="25" s="1"/>
  <c r="AI19" i="25" s="1"/>
  <c r="AI20" i="25" s="1"/>
  <c r="AI21" i="25" s="1"/>
  <c r="AI22" i="25" s="1"/>
  <c r="AI23" i="25" s="1"/>
  <c r="AI24" i="25" s="1"/>
  <c r="AI25" i="25" s="1"/>
  <c r="AI26" i="25" s="1"/>
  <c r="AI27" i="25" s="1"/>
  <c r="AI28" i="25" s="1"/>
  <c r="AI29" i="25" s="1"/>
  <c r="AI30" i="25" s="1"/>
  <c r="AI31" i="25" s="1"/>
  <c r="AI32" i="25" s="1"/>
  <c r="AI33" i="25" s="1"/>
  <c r="AI34" i="25" s="1"/>
  <c r="AI35" i="25" s="1"/>
  <c r="AI36" i="25" s="1"/>
  <c r="AI37" i="25" s="1"/>
  <c r="AI38" i="25" s="1"/>
  <c r="AI39" i="25" s="1"/>
  <c r="AI40" i="25" s="1"/>
  <c r="AI41" i="25" s="1"/>
  <c r="AI42" i="25" s="1"/>
  <c r="AI43" i="25" s="1"/>
  <c r="AI44" i="25" s="1"/>
  <c r="AI45" i="25" s="1"/>
  <c r="AI46" i="25" s="1"/>
  <c r="AI47" i="25" s="1"/>
  <c r="AI48" i="25" s="1"/>
  <c r="AI49" i="25" s="1"/>
  <c r="AI50" i="25" s="1"/>
  <c r="AI51" i="25" s="1"/>
  <c r="AI52" i="25" s="1"/>
  <c r="AI53" i="25" s="1"/>
  <c r="AI54" i="25" s="1"/>
  <c r="AI55" i="25" s="1"/>
  <c r="AJ29" i="25" s="1"/>
  <c r="V392" i="23"/>
  <c r="V394" i="23"/>
  <c r="V393" i="23"/>
  <c r="H133" i="16"/>
  <c r="V148" i="23"/>
  <c r="V133" i="23"/>
  <c r="P152" i="16"/>
  <c r="G61" i="16"/>
  <c r="F62" i="16"/>
  <c r="U342" i="23"/>
  <c r="U93" i="23"/>
  <c r="X118" i="22"/>
  <c r="Z43" i="23"/>
  <c r="X132" i="22"/>
  <c r="Z51" i="23"/>
  <c r="K67" i="23"/>
  <c r="N4" i="23"/>
  <c r="N60" i="23"/>
  <c r="Q171" i="16"/>
  <c r="N53" i="11" s="1"/>
  <c r="M53" i="11"/>
  <c r="I60" i="11"/>
  <c r="I64" i="11" s="1"/>
  <c r="X45" i="22"/>
  <c r="H147" i="16"/>
  <c r="AB60" i="23"/>
  <c r="AB69" i="23"/>
  <c r="AB68" i="23"/>
  <c r="AB31" i="23"/>
  <c r="AB67" i="23"/>
  <c r="V396" i="23"/>
  <c r="V302" i="23"/>
  <c r="V355" i="23"/>
  <c r="H60" i="11"/>
  <c r="H64" i="11" s="1"/>
  <c r="I67" i="23"/>
  <c r="AC432" i="23"/>
  <c r="AC433" i="23"/>
  <c r="AC292" i="23"/>
  <c r="AC270" i="23"/>
  <c r="AC206" i="23"/>
  <c r="AC81" i="23"/>
  <c r="AC80" i="23"/>
  <c r="AD5" i="23"/>
  <c r="AC6" i="23"/>
  <c r="AB286" i="23"/>
  <c r="E17" i="9"/>
  <c r="F17" i="9" s="1"/>
  <c r="D26" i="9"/>
  <c r="I24" i="10"/>
  <c r="M62" i="17"/>
  <c r="M59" i="17"/>
  <c r="V295" i="23"/>
  <c r="W291" i="23" s="1"/>
  <c r="V80" i="23"/>
  <c r="AB80" i="23"/>
  <c r="H20" i="18"/>
  <c r="H33" i="18" s="1"/>
  <c r="H11" i="10"/>
  <c r="K11" i="22"/>
  <c r="K13" i="22" s="1"/>
  <c r="U345" i="23"/>
  <c r="AA91" i="23"/>
  <c r="AA333" i="23" s="1"/>
  <c r="W81" i="23"/>
  <c r="G60" i="11"/>
  <c r="G64" i="11" s="1"/>
  <c r="F60" i="11"/>
  <c r="F64" i="11" s="1"/>
  <c r="G67" i="23"/>
  <c r="F67" i="23"/>
  <c r="H67" i="23"/>
  <c r="M67" i="23"/>
  <c r="L67" i="23"/>
  <c r="E60" i="11"/>
  <c r="E64" i="11" s="1"/>
  <c r="P118" i="16"/>
  <c r="AB81" i="23"/>
  <c r="AB433" i="23"/>
  <c r="H17" i="10"/>
  <c r="AA335" i="23"/>
  <c r="X22" i="22"/>
  <c r="Y19" i="22"/>
  <c r="Y34" i="22" s="1"/>
  <c r="E17" i="10"/>
  <c r="D26" i="10"/>
  <c r="F17" i="10"/>
  <c r="AA432" i="23"/>
  <c r="T420" i="23"/>
  <c r="AA433" i="23"/>
  <c r="X131" i="22"/>
  <c r="Z50" i="23"/>
  <c r="AB432" i="23"/>
  <c r="X81" i="23"/>
  <c r="AA81" i="23"/>
  <c r="X78" i="22"/>
  <c r="M26" i="9"/>
  <c r="V187" i="23"/>
  <c r="W183" i="23" s="1"/>
  <c r="T60" i="23"/>
  <c r="T331" i="23" s="1"/>
  <c r="X117" i="22"/>
  <c r="Z41" i="23"/>
  <c r="I17" i="10"/>
  <c r="AB264" i="23"/>
  <c r="I11" i="10"/>
  <c r="Y81" i="23"/>
  <c r="V141" i="23"/>
  <c r="W137" i="23" s="1"/>
  <c r="Y45" i="23" l="1"/>
  <c r="W46" i="23"/>
  <c r="U38" i="9"/>
  <c r="V46" i="23"/>
  <c r="T45" i="23"/>
  <c r="V122" i="22"/>
  <c r="U36" i="9"/>
  <c r="Z45" i="23"/>
  <c r="U40" i="9"/>
  <c r="Z40" i="23"/>
  <c r="S122" i="22"/>
  <c r="U35" i="9"/>
  <c r="T47" i="23"/>
  <c r="U40" i="23"/>
  <c r="N40" i="10"/>
  <c r="V47" i="23"/>
  <c r="W44" i="23"/>
  <c r="V44" i="23"/>
  <c r="N38" i="10"/>
  <c r="U44" i="23"/>
  <c r="V116" i="22"/>
  <c r="X44" i="23"/>
  <c r="J38" i="18"/>
  <c r="K38" i="18" s="1"/>
  <c r="Z39" i="23"/>
  <c r="V39" i="23"/>
  <c r="T44" i="23"/>
  <c r="Y39" i="23"/>
  <c r="V115" i="22"/>
  <c r="U116" i="22"/>
  <c r="U32" i="9"/>
  <c r="N35" i="10"/>
  <c r="Z44" i="23"/>
  <c r="L31" i="10"/>
  <c r="T40" i="23"/>
  <c r="S124" i="22"/>
  <c r="X47" i="23"/>
  <c r="U39" i="23"/>
  <c r="T39" i="23"/>
  <c r="G56" i="9"/>
  <c r="H56" i="9" s="1"/>
  <c r="H26" i="9"/>
  <c r="I38" i="9" s="1"/>
  <c r="T116" i="22"/>
  <c r="W39" i="23"/>
  <c r="Q26" i="9"/>
  <c r="R37" i="9" s="1"/>
  <c r="P59" i="9"/>
  <c r="Q59" i="9" s="1"/>
  <c r="U23" i="23"/>
  <c r="T72" i="22"/>
  <c r="V418" i="23" s="1"/>
  <c r="I134" i="16"/>
  <c r="E93" i="22" s="1"/>
  <c r="E120" i="22" s="1"/>
  <c r="W82" i="23"/>
  <c r="W377" i="23" s="1"/>
  <c r="W379" i="23" s="1"/>
  <c r="W350" i="23" s="1"/>
  <c r="U420" i="23"/>
  <c r="Y37" i="22"/>
  <c r="Y57" i="22" s="1"/>
  <c r="W435" i="23"/>
  <c r="W46" i="22"/>
  <c r="V48" i="22"/>
  <c r="V62" i="22" s="1"/>
  <c r="V69" i="22"/>
  <c r="U71" i="22"/>
  <c r="U31" i="22"/>
  <c r="V18" i="23"/>
  <c r="T70" i="22"/>
  <c r="V417" i="23" s="1"/>
  <c r="Q107" i="16"/>
  <c r="I145" i="16"/>
  <c r="J145" i="16" s="1"/>
  <c r="X435" i="23"/>
  <c r="K47" i="18"/>
  <c r="L47" i="18" s="1"/>
  <c r="I47" i="18"/>
  <c r="K51" i="18"/>
  <c r="L51" i="18" s="1"/>
  <c r="I51" i="18"/>
  <c r="K45" i="18"/>
  <c r="L45" i="18" s="1"/>
  <c r="I45" i="18"/>
  <c r="K54" i="18"/>
  <c r="L54" i="18" s="1"/>
  <c r="I54" i="18"/>
  <c r="I25" i="19"/>
  <c r="S205" i="16"/>
  <c r="I26" i="19" s="1"/>
  <c r="K43" i="18"/>
  <c r="L43" i="18" s="1"/>
  <c r="I43" i="18"/>
  <c r="K41" i="18"/>
  <c r="L41" i="18" s="1"/>
  <c r="I41" i="18"/>
  <c r="K42" i="18"/>
  <c r="L42" i="18" s="1"/>
  <c r="I42" i="18"/>
  <c r="I34" i="10"/>
  <c r="I44" i="10"/>
  <c r="V82" i="23"/>
  <c r="V377" i="23" s="1"/>
  <c r="V381" i="23" s="1"/>
  <c r="V358" i="23" s="1"/>
  <c r="K50" i="18"/>
  <c r="L50" i="18" s="1"/>
  <c r="I50" i="18"/>
  <c r="AC435" i="23"/>
  <c r="J56" i="9"/>
  <c r="K56" i="9" s="1"/>
  <c r="K26" i="9"/>
  <c r="L37" i="9" s="1"/>
  <c r="W258" i="23"/>
  <c r="W251" i="23"/>
  <c r="W253" i="23" s="1"/>
  <c r="W207" i="23"/>
  <c r="W208" i="23" s="1"/>
  <c r="W209" i="23" s="1"/>
  <c r="X205" i="23" s="1"/>
  <c r="X258" i="23" s="1"/>
  <c r="V386" i="23"/>
  <c r="V347" i="23"/>
  <c r="V216" i="23"/>
  <c r="I49" i="10"/>
  <c r="I38" i="10"/>
  <c r="I33" i="10"/>
  <c r="I43" i="10"/>
  <c r="Z82" i="23"/>
  <c r="Z377" i="23" s="1"/>
  <c r="Z380" i="23" s="1"/>
  <c r="Z354" i="23" s="1"/>
  <c r="I32" i="10"/>
  <c r="I48" i="10"/>
  <c r="I37" i="10"/>
  <c r="U435" i="23"/>
  <c r="I31" i="10"/>
  <c r="Q114" i="16"/>
  <c r="Y435" i="23"/>
  <c r="I41" i="10"/>
  <c r="Q112" i="16"/>
  <c r="Z435" i="23"/>
  <c r="I131" i="16"/>
  <c r="E90" i="22" s="1"/>
  <c r="I46" i="10"/>
  <c r="X82" i="23"/>
  <c r="X377" i="23" s="1"/>
  <c r="X381" i="23" s="1"/>
  <c r="X358" i="23" s="1"/>
  <c r="Q108" i="16"/>
  <c r="I26" i="10"/>
  <c r="I39" i="10"/>
  <c r="AJ23" i="25"/>
  <c r="C88" i="9" s="1"/>
  <c r="I57" i="10"/>
  <c r="T435" i="23"/>
  <c r="T82" i="23"/>
  <c r="T377" i="23" s="1"/>
  <c r="T380" i="23" s="1"/>
  <c r="I40" i="10"/>
  <c r="H26" i="10"/>
  <c r="Q113" i="16"/>
  <c r="I35" i="10"/>
  <c r="I42" i="10"/>
  <c r="AB82" i="23"/>
  <c r="AB377" i="23" s="1"/>
  <c r="AB380" i="23" s="1"/>
  <c r="AB354" i="23" s="1"/>
  <c r="I47" i="10"/>
  <c r="C94" i="9"/>
  <c r="B94" i="9"/>
  <c r="C94" i="10"/>
  <c r="B94" i="10"/>
  <c r="D59" i="9"/>
  <c r="D56" i="9"/>
  <c r="E56" i="9" s="1"/>
  <c r="E26" i="9"/>
  <c r="D97" i="22"/>
  <c r="I138" i="16"/>
  <c r="I39" i="14"/>
  <c r="V163" i="23"/>
  <c r="Y132" i="22"/>
  <c r="AA51" i="23"/>
  <c r="Q172" i="16"/>
  <c r="P172" i="16"/>
  <c r="O172" i="16"/>
  <c r="N172" i="16"/>
  <c r="M172" i="16"/>
  <c r="L172" i="16"/>
  <c r="K172" i="16"/>
  <c r="J172" i="16"/>
  <c r="I172" i="16"/>
  <c r="G172" i="16"/>
  <c r="H172" i="16"/>
  <c r="P53" i="11"/>
  <c r="Y115" i="22"/>
  <c r="AA39" i="23"/>
  <c r="Y124" i="22"/>
  <c r="AA47" i="23"/>
  <c r="M10" i="22"/>
  <c r="W139" i="23"/>
  <c r="W140" i="23" s="1"/>
  <c r="Q115" i="16"/>
  <c r="Z150" i="22"/>
  <c r="Z149" i="22"/>
  <c r="Z148" i="22"/>
  <c r="Z147" i="22"/>
  <c r="Z146" i="22"/>
  <c r="Z142" i="22"/>
  <c r="Z79" i="22" s="1"/>
  <c r="Z141" i="22"/>
  <c r="Z95" i="22"/>
  <c r="Z104" i="22"/>
  <c r="Z100" i="22"/>
  <c r="Z127" i="22" s="1"/>
  <c r="Z98" i="22"/>
  <c r="Z125" i="22" s="1"/>
  <c r="Z91" i="22"/>
  <c r="Z94" i="22"/>
  <c r="Z97" i="22"/>
  <c r="Z103" i="22"/>
  <c r="Z130" i="22" s="1"/>
  <c r="Z105" i="22"/>
  <c r="Z96" i="22"/>
  <c r="Z92" i="22"/>
  <c r="Z119" i="22" s="1"/>
  <c r="Z107" i="22"/>
  <c r="Z134" i="22" s="1"/>
  <c r="Z90" i="22"/>
  <c r="Z101" i="22"/>
  <c r="Z99" i="22"/>
  <c r="Z126" i="22" s="1"/>
  <c r="Z89" i="22"/>
  <c r="Z93" i="22"/>
  <c r="Z120" i="22" s="1"/>
  <c r="Z88" i="22"/>
  <c r="Z106" i="22"/>
  <c r="Z133" i="22" s="1"/>
  <c r="Y128" i="22"/>
  <c r="AA48" i="23"/>
  <c r="Q110" i="16"/>
  <c r="AA82" i="23"/>
  <c r="AA377" i="23" s="1"/>
  <c r="AB71" i="23"/>
  <c r="U82" i="23"/>
  <c r="U377" i="23" s="1"/>
  <c r="AD71" i="16"/>
  <c r="AE68" i="16"/>
  <c r="Z159" i="22"/>
  <c r="Z160" i="22"/>
  <c r="V435" i="23"/>
  <c r="AA161" i="22"/>
  <c r="AA6" i="22"/>
  <c r="AB5" i="22"/>
  <c r="Y55" i="22"/>
  <c r="AC252" i="23"/>
  <c r="AC235" i="23"/>
  <c r="AC337" i="23" s="1"/>
  <c r="AC221" i="23"/>
  <c r="AC200" i="23"/>
  <c r="AC90" i="23"/>
  <c r="H61" i="16"/>
  <c r="G62" i="16"/>
  <c r="Y82" i="23"/>
  <c r="Y377" i="23" s="1"/>
  <c r="D95" i="22"/>
  <c r="I136" i="16"/>
  <c r="Y78" i="22"/>
  <c r="Y116" i="22"/>
  <c r="AA40" i="23"/>
  <c r="Y117" i="22"/>
  <c r="AA41" i="23"/>
  <c r="AA435" i="23"/>
  <c r="D92" i="22"/>
  <c r="D119" i="22" s="1"/>
  <c r="I133" i="16"/>
  <c r="D89" i="22"/>
  <c r="I130" i="16"/>
  <c r="AB91" i="23"/>
  <c r="AB333" i="23" s="1"/>
  <c r="F41" i="23"/>
  <c r="D117" i="22"/>
  <c r="E34" i="11"/>
  <c r="N20" i="12"/>
  <c r="O20" i="12" s="1"/>
  <c r="O60" i="23"/>
  <c r="H41" i="14" s="1"/>
  <c r="I41" i="14" s="1"/>
  <c r="D100" i="22"/>
  <c r="D127" i="22" s="1"/>
  <c r="I141" i="16"/>
  <c r="AA11" i="22"/>
  <c r="Z35" i="22"/>
  <c r="AB335" i="23"/>
  <c r="BF29" i="25"/>
  <c r="O67" i="23"/>
  <c r="D59" i="10"/>
  <c r="F59" i="10" s="1"/>
  <c r="F51" i="10"/>
  <c r="F45" i="10"/>
  <c r="F40" i="10"/>
  <c r="F35" i="10"/>
  <c r="F46" i="10"/>
  <c r="F41" i="10"/>
  <c r="F36" i="10"/>
  <c r="D56" i="10"/>
  <c r="E56" i="10" s="1"/>
  <c r="F47" i="10"/>
  <c r="F31" i="10"/>
  <c r="F42" i="10"/>
  <c r="E26" i="10"/>
  <c r="F37" i="10"/>
  <c r="F48" i="10"/>
  <c r="F32" i="10"/>
  <c r="F57" i="10"/>
  <c r="F43" i="10"/>
  <c r="F49" i="10"/>
  <c r="F33" i="10"/>
  <c r="F44" i="10"/>
  <c r="F39" i="10"/>
  <c r="F38" i="10"/>
  <c r="F34" i="10"/>
  <c r="F26" i="10"/>
  <c r="AC264" i="23"/>
  <c r="D106" i="22"/>
  <c r="D133" i="22" s="1"/>
  <c r="I147" i="16"/>
  <c r="V348" i="23"/>
  <c r="D103" i="22"/>
  <c r="D130" i="22" s="1"/>
  <c r="I144" i="16"/>
  <c r="Z13" i="22"/>
  <c r="AA10" i="22"/>
  <c r="Y131" i="22"/>
  <c r="AA50" i="23"/>
  <c r="Y54" i="22"/>
  <c r="F50" i="23"/>
  <c r="E43" i="11"/>
  <c r="D131" i="22"/>
  <c r="W185" i="23"/>
  <c r="W186" i="23" s="1"/>
  <c r="V357" i="23"/>
  <c r="D101" i="22"/>
  <c r="I142" i="16"/>
  <c r="D98" i="22"/>
  <c r="D125" i="22" s="1"/>
  <c r="I139" i="16"/>
  <c r="Y123" i="22"/>
  <c r="AA42" i="23"/>
  <c r="W280" i="23"/>
  <c r="W391" i="23"/>
  <c r="W351" i="23"/>
  <c r="W293" i="23"/>
  <c r="W294" i="23" s="1"/>
  <c r="N26" i="9"/>
  <c r="M56" i="9"/>
  <c r="N56" i="9" s="1"/>
  <c r="M59" i="9"/>
  <c r="Q109" i="16"/>
  <c r="Q111" i="16"/>
  <c r="Q106" i="16"/>
  <c r="L11" i="22"/>
  <c r="L13" i="22" s="1"/>
  <c r="H59" i="9"/>
  <c r="Y45" i="22"/>
  <c r="V344" i="23"/>
  <c r="D105" i="22"/>
  <c r="I146" i="16"/>
  <c r="D99" i="22"/>
  <c r="D126" i="22" s="1"/>
  <c r="I140" i="16"/>
  <c r="AB178" i="16"/>
  <c r="AC76" i="16"/>
  <c r="Y118" i="22"/>
  <c r="AA43" i="23"/>
  <c r="AB435" i="23"/>
  <c r="Z19" i="22"/>
  <c r="Y22" i="22"/>
  <c r="AC60" i="23"/>
  <c r="AC69" i="23"/>
  <c r="AC68" i="23"/>
  <c r="AC67" i="23"/>
  <c r="AC31" i="23"/>
  <c r="D94" i="22"/>
  <c r="I135" i="16"/>
  <c r="D91" i="22"/>
  <c r="I132" i="16"/>
  <c r="K59" i="9"/>
  <c r="W273" i="23"/>
  <c r="X269" i="23" s="1"/>
  <c r="AD432" i="23"/>
  <c r="AD433" i="23"/>
  <c r="AD292" i="23"/>
  <c r="AD270" i="23"/>
  <c r="AD206" i="23"/>
  <c r="AD81" i="23"/>
  <c r="AD80" i="23"/>
  <c r="AE5" i="23"/>
  <c r="AD6" i="23"/>
  <c r="AC286" i="23"/>
  <c r="D88" i="22"/>
  <c r="I129" i="16"/>
  <c r="D96" i="22"/>
  <c r="I137" i="16"/>
  <c r="AC82" i="23"/>
  <c r="AC377" i="23" s="1"/>
  <c r="V399" i="23"/>
  <c r="V398" i="23"/>
  <c r="V397" i="23"/>
  <c r="V345" i="23" s="1"/>
  <c r="AJ40" i="25"/>
  <c r="AJ14" i="25"/>
  <c r="AJ11" i="25"/>
  <c r="AJ28" i="25"/>
  <c r="AJ36" i="25"/>
  <c r="AJ16" i="25"/>
  <c r="AJ33" i="25"/>
  <c r="AJ38" i="25"/>
  <c r="AJ25" i="25"/>
  <c r="AJ39" i="25"/>
  <c r="AJ8" i="25"/>
  <c r="AJ9" i="25"/>
  <c r="AJ13" i="25"/>
  <c r="AJ22" i="25"/>
  <c r="AJ34" i="25"/>
  <c r="AJ5" i="25"/>
  <c r="AJ20" i="25"/>
  <c r="AJ30" i="25"/>
  <c r="AJ41" i="25"/>
  <c r="AJ27" i="25"/>
  <c r="AJ6" i="25"/>
  <c r="AJ10" i="25"/>
  <c r="AJ32" i="25"/>
  <c r="AJ37" i="25"/>
  <c r="AJ24" i="25"/>
  <c r="AJ31" i="25"/>
  <c r="AJ12" i="25"/>
  <c r="AJ15" i="25"/>
  <c r="AJ26" i="25"/>
  <c r="AJ7" i="25"/>
  <c r="AJ18" i="25"/>
  <c r="AJ19" i="25"/>
  <c r="AJ17" i="25"/>
  <c r="AJ35" i="25"/>
  <c r="AJ21" i="25"/>
  <c r="D107" i="22"/>
  <c r="D134" i="22" s="1"/>
  <c r="I148" i="16"/>
  <c r="AA44" i="23"/>
  <c r="Y121" i="22"/>
  <c r="AA45" i="23"/>
  <c r="Y122" i="22"/>
  <c r="AA46" i="23"/>
  <c r="I38" i="18" l="1"/>
  <c r="I26" i="9"/>
  <c r="I43" i="9"/>
  <c r="I34" i="9"/>
  <c r="I44" i="9"/>
  <c r="I35" i="9"/>
  <c r="I32" i="9"/>
  <c r="I45" i="9"/>
  <c r="I33" i="9"/>
  <c r="I31" i="9"/>
  <c r="I59" i="9"/>
  <c r="I57" i="9"/>
  <c r="I42" i="9"/>
  <c r="I48" i="9"/>
  <c r="I39" i="9"/>
  <c r="I41" i="9"/>
  <c r="I36" i="9"/>
  <c r="I47" i="9"/>
  <c r="I49" i="9"/>
  <c r="I40" i="9"/>
  <c r="I46" i="9"/>
  <c r="I37" i="9"/>
  <c r="I51" i="9"/>
  <c r="I56" i="9"/>
  <c r="R59" i="9"/>
  <c r="R56" i="9"/>
  <c r="R41" i="9"/>
  <c r="R26" i="9"/>
  <c r="R35" i="9"/>
  <c r="R45" i="9"/>
  <c r="R32" i="9"/>
  <c r="R51" i="9"/>
  <c r="R34" i="9"/>
  <c r="R31" i="9"/>
  <c r="R47" i="9"/>
  <c r="R44" i="9"/>
  <c r="R39" i="9"/>
  <c r="R42" i="9"/>
  <c r="R36" i="9"/>
  <c r="R57" i="9"/>
  <c r="R38" i="9"/>
  <c r="R48" i="9"/>
  <c r="R33" i="9"/>
  <c r="R46" i="9"/>
  <c r="R43" i="9"/>
  <c r="R40" i="9"/>
  <c r="R49" i="9"/>
  <c r="J134" i="16"/>
  <c r="F93" i="22" s="1"/>
  <c r="F120" i="22" s="1"/>
  <c r="Z378" i="23"/>
  <c r="Z346" i="23" s="1"/>
  <c r="Z381" i="23"/>
  <c r="Z358" i="23" s="1"/>
  <c r="Z379" i="23"/>
  <c r="Z350" i="23" s="1"/>
  <c r="V23" i="23"/>
  <c r="W380" i="23"/>
  <c r="W354" i="23" s="1"/>
  <c r="W378" i="23"/>
  <c r="W346" i="23" s="1"/>
  <c r="W381" i="23"/>
  <c r="W358" i="23" s="1"/>
  <c r="V420" i="23"/>
  <c r="U72" i="22"/>
  <c r="V380" i="23"/>
  <c r="V354" i="23" s="1"/>
  <c r="V378" i="23"/>
  <c r="V346" i="23" s="1"/>
  <c r="V379" i="23"/>
  <c r="V350" i="23" s="1"/>
  <c r="E104" i="22"/>
  <c r="F43" i="11" s="1"/>
  <c r="J131" i="16"/>
  <c r="K131" i="16" s="1"/>
  <c r="AB379" i="23"/>
  <c r="AB350" i="23" s="1"/>
  <c r="AB378" i="23"/>
  <c r="AB346" i="23" s="1"/>
  <c r="AB381" i="23"/>
  <c r="AB358" i="23" s="1"/>
  <c r="W18" i="23"/>
  <c r="U70" i="22"/>
  <c r="W417" i="23" s="1"/>
  <c r="V31" i="22"/>
  <c r="V71" i="22"/>
  <c r="X46" i="22"/>
  <c r="W48" i="22"/>
  <c r="W62" i="22" s="1"/>
  <c r="W69" i="22"/>
  <c r="L31" i="9"/>
  <c r="L47" i="9"/>
  <c r="X379" i="23"/>
  <c r="X350" i="23" s="1"/>
  <c r="W347" i="23"/>
  <c r="W386" i="23"/>
  <c r="W387" i="23" s="1"/>
  <c r="W343" i="23" s="1"/>
  <c r="W216" i="23"/>
  <c r="X207" i="23"/>
  <c r="X208" i="23" s="1"/>
  <c r="X209" i="23" s="1"/>
  <c r="Y205" i="23" s="1"/>
  <c r="Y207" i="23" s="1"/>
  <c r="Y208" i="23" s="1"/>
  <c r="L51" i="9"/>
  <c r="L38" i="18"/>
  <c r="L41" i="9"/>
  <c r="L56" i="9"/>
  <c r="L38" i="9"/>
  <c r="X380" i="23"/>
  <c r="X354" i="23" s="1"/>
  <c r="L26" i="9"/>
  <c r="L35" i="9"/>
  <c r="X378" i="23"/>
  <c r="X346" i="23" s="1"/>
  <c r="L33" i="9"/>
  <c r="L57" i="9"/>
  <c r="T381" i="23"/>
  <c r="T358" i="23" s="1"/>
  <c r="L43" i="9"/>
  <c r="L32" i="9"/>
  <c r="T378" i="23"/>
  <c r="T346" i="23" s="1"/>
  <c r="L36" i="9"/>
  <c r="L48" i="9"/>
  <c r="T379" i="23"/>
  <c r="T350" i="23" s="1"/>
  <c r="L44" i="9"/>
  <c r="L49" i="9"/>
  <c r="L45" i="9"/>
  <c r="X251" i="23"/>
  <c r="X253" i="23" s="1"/>
  <c r="L34" i="9"/>
  <c r="L42" i="9"/>
  <c r="L40" i="9"/>
  <c r="L39" i="9"/>
  <c r="L46" i="9"/>
  <c r="L59" i="9"/>
  <c r="B88" i="10"/>
  <c r="C88" i="10"/>
  <c r="B88" i="9"/>
  <c r="V387" i="23"/>
  <c r="V343" i="23" s="1"/>
  <c r="V388" i="23"/>
  <c r="V352" i="23" s="1"/>
  <c r="V389" i="23"/>
  <c r="V356" i="23" s="1"/>
  <c r="F56" i="10"/>
  <c r="W141" i="23"/>
  <c r="X137" i="23" s="1"/>
  <c r="X139" i="23" s="1"/>
  <c r="W187" i="23"/>
  <c r="X183" i="23" s="1"/>
  <c r="X185" i="23" s="1"/>
  <c r="X186" i="23" s="1"/>
  <c r="AD82" i="23"/>
  <c r="AD377" i="23" s="1"/>
  <c r="AD381" i="23" s="1"/>
  <c r="AD358" i="23" s="1"/>
  <c r="Z55" i="22"/>
  <c r="C74" i="10"/>
  <c r="B74" i="10"/>
  <c r="B74" i="9"/>
  <c r="C74" i="9"/>
  <c r="E98" i="22"/>
  <c r="E125" i="22" s="1"/>
  <c r="J139" i="16"/>
  <c r="AZ13" i="25"/>
  <c r="AY13" i="25"/>
  <c r="P251" i="16"/>
  <c r="C51" i="13"/>
  <c r="C17" i="13"/>
  <c r="B67" i="8"/>
  <c r="E92" i="22"/>
  <c r="E119" i="22" s="1"/>
  <c r="J133" i="16"/>
  <c r="I61" i="16"/>
  <c r="H62" i="16"/>
  <c r="Z123" i="22"/>
  <c r="AB42" i="23"/>
  <c r="W148" i="23"/>
  <c r="W133" i="23"/>
  <c r="C80" i="9"/>
  <c r="B80" i="9"/>
  <c r="C80" i="10"/>
  <c r="B80" i="10"/>
  <c r="C77" i="9"/>
  <c r="B77" i="9"/>
  <c r="B77" i="10"/>
  <c r="C77" i="10"/>
  <c r="C73" i="9"/>
  <c r="B73" i="9"/>
  <c r="C73" i="10"/>
  <c r="B73" i="10"/>
  <c r="AD60" i="23"/>
  <c r="AD68" i="23"/>
  <c r="AD69" i="23"/>
  <c r="AD31" i="23"/>
  <c r="AD67" i="23"/>
  <c r="D118" i="22"/>
  <c r="E36" i="11"/>
  <c r="F43" i="23"/>
  <c r="AA19" i="22"/>
  <c r="Z22" i="22"/>
  <c r="U379" i="23"/>
  <c r="U350" i="23" s="1"/>
  <c r="U381" i="23"/>
  <c r="U358" i="23" s="1"/>
  <c r="U378" i="23"/>
  <c r="U346" i="23" s="1"/>
  <c r="U380" i="23"/>
  <c r="U354" i="23" s="1"/>
  <c r="Z132" i="22"/>
  <c r="AB51" i="23"/>
  <c r="V171" i="23"/>
  <c r="V156" i="23"/>
  <c r="V384" i="23"/>
  <c r="V94" i="23"/>
  <c r="C96" i="9"/>
  <c r="B96" i="9"/>
  <c r="C96" i="10"/>
  <c r="B96" i="10"/>
  <c r="C104" i="9"/>
  <c r="B104" i="9"/>
  <c r="C104" i="10"/>
  <c r="B104" i="10"/>
  <c r="AE292" i="23"/>
  <c r="AE270" i="23"/>
  <c r="AE206" i="23"/>
  <c r="AE6" i="23"/>
  <c r="AF5" i="23"/>
  <c r="AD286" i="23"/>
  <c r="E94" i="22"/>
  <c r="J135" i="16"/>
  <c r="E101" i="22"/>
  <c r="J142" i="16"/>
  <c r="Z34" i="22"/>
  <c r="Z37" i="22" s="1"/>
  <c r="Z57" i="22" s="1"/>
  <c r="E103" i="22"/>
  <c r="E130" i="22" s="1"/>
  <c r="J144" i="16"/>
  <c r="E100" i="22"/>
  <c r="E127" i="22" s="1"/>
  <c r="J141" i="16"/>
  <c r="H40" i="14"/>
  <c r="C89" i="9"/>
  <c r="B89" i="9"/>
  <c r="C89" i="10"/>
  <c r="B89" i="10"/>
  <c r="C90" i="10"/>
  <c r="B90" i="10"/>
  <c r="C90" i="9"/>
  <c r="B90" i="9"/>
  <c r="E32" i="11"/>
  <c r="F39" i="23"/>
  <c r="D115" i="22"/>
  <c r="E37" i="11"/>
  <c r="E38" i="11"/>
  <c r="D121" i="22"/>
  <c r="F45" i="23"/>
  <c r="F44" i="23"/>
  <c r="E99" i="22"/>
  <c r="E126" i="22" s="1"/>
  <c r="J140" i="16"/>
  <c r="D128" i="22"/>
  <c r="E41" i="11"/>
  <c r="F48" i="23"/>
  <c r="AE71" i="16"/>
  <c r="AF68" i="16"/>
  <c r="Z124" i="22"/>
  <c r="AB47" i="23"/>
  <c r="C91" i="10"/>
  <c r="B91" i="10"/>
  <c r="B91" i="9"/>
  <c r="C91" i="9"/>
  <c r="E91" i="22"/>
  <c r="J132" i="16"/>
  <c r="W194" i="23"/>
  <c r="W179" i="23"/>
  <c r="C97" i="9"/>
  <c r="B97" i="9"/>
  <c r="C97" i="10"/>
  <c r="B97" i="10"/>
  <c r="C98" i="10"/>
  <c r="B98" i="10"/>
  <c r="C98" i="9"/>
  <c r="B98" i="9"/>
  <c r="AD435" i="23"/>
  <c r="E105" i="22"/>
  <c r="J146" i="16"/>
  <c r="E59" i="10"/>
  <c r="AC335" i="23"/>
  <c r="Z118" i="22"/>
  <c r="AB43" i="23"/>
  <c r="F51" i="9"/>
  <c r="F37" i="9"/>
  <c r="F40" i="9"/>
  <c r="F43" i="9"/>
  <c r="F46" i="9"/>
  <c r="F49" i="9"/>
  <c r="F33" i="9"/>
  <c r="F36" i="9"/>
  <c r="F39" i="9"/>
  <c r="F42" i="9"/>
  <c r="F45" i="9"/>
  <c r="F57" i="9"/>
  <c r="F35" i="9"/>
  <c r="F44" i="9"/>
  <c r="F31" i="9"/>
  <c r="F38" i="9"/>
  <c r="F47" i="9"/>
  <c r="F34" i="9"/>
  <c r="F32" i="9"/>
  <c r="F56" i="9"/>
  <c r="F41" i="9"/>
  <c r="F48" i="9"/>
  <c r="F26" i="9"/>
  <c r="AB44" i="23"/>
  <c r="AB45" i="23"/>
  <c r="Z121" i="22"/>
  <c r="E107" i="22"/>
  <c r="E134" i="22" s="1"/>
  <c r="J148" i="16"/>
  <c r="C75" i="10"/>
  <c r="B75" i="10"/>
  <c r="B75" i="9"/>
  <c r="C75" i="9"/>
  <c r="C81" i="9"/>
  <c r="B81" i="9"/>
  <c r="C81" i="10"/>
  <c r="B81" i="10"/>
  <c r="D132" i="22"/>
  <c r="F51" i="23"/>
  <c r="E44" i="11"/>
  <c r="AB11" i="22"/>
  <c r="AA35" i="22"/>
  <c r="V164" i="23"/>
  <c r="W160" i="23" s="1"/>
  <c r="AA13" i="22"/>
  <c r="AB10" i="22"/>
  <c r="C71" i="9"/>
  <c r="B71" i="9"/>
  <c r="C71" i="10"/>
  <c r="B71" i="10"/>
  <c r="C101" i="9"/>
  <c r="B101" i="9"/>
  <c r="B101" i="10"/>
  <c r="C101" i="10"/>
  <c r="E59" i="9"/>
  <c r="F59" i="9" s="1"/>
  <c r="C92" i="10"/>
  <c r="B92" i="10"/>
  <c r="C92" i="9"/>
  <c r="B92" i="9"/>
  <c r="C93" i="9"/>
  <c r="B93" i="9"/>
  <c r="B93" i="10"/>
  <c r="C93" i="10"/>
  <c r="AC71" i="23"/>
  <c r="AC331" i="23" s="1"/>
  <c r="AC178" i="16"/>
  <c r="AD76" i="16"/>
  <c r="M11" i="22"/>
  <c r="W396" i="23"/>
  <c r="W302" i="23"/>
  <c r="W355" i="23"/>
  <c r="Z115" i="22"/>
  <c r="AB39" i="23"/>
  <c r="Z131" i="22"/>
  <c r="AB50" i="23"/>
  <c r="AB331" i="23"/>
  <c r="C102" i="9"/>
  <c r="B102" i="9"/>
  <c r="C102" i="10"/>
  <c r="B102" i="10"/>
  <c r="E117" i="22"/>
  <c r="F34" i="11"/>
  <c r="G41" i="23"/>
  <c r="AC91" i="23"/>
  <c r="AC333" i="23" s="1"/>
  <c r="C86" i="9"/>
  <c r="B86" i="9"/>
  <c r="C86" i="10"/>
  <c r="B86" i="10"/>
  <c r="C106" i="10"/>
  <c r="B106" i="10"/>
  <c r="C106" i="9"/>
  <c r="B106" i="9"/>
  <c r="C76" i="10"/>
  <c r="B76" i="10"/>
  <c r="C76" i="9"/>
  <c r="B76" i="9"/>
  <c r="Z45" i="22"/>
  <c r="W295" i="23"/>
  <c r="X291" i="23" s="1"/>
  <c r="AA381" i="23"/>
  <c r="AA358" i="23" s="1"/>
  <c r="AA380" i="23"/>
  <c r="AA354" i="23" s="1"/>
  <c r="AA379" i="23"/>
  <c r="AA350" i="23" s="1"/>
  <c r="AA378" i="23"/>
  <c r="AA346" i="23" s="1"/>
  <c r="Z122" i="22"/>
  <c r="AB46" i="23"/>
  <c r="C78" i="9"/>
  <c r="B78" i="9"/>
  <c r="C78" i="10"/>
  <c r="B78" i="10"/>
  <c r="C103" i="9"/>
  <c r="B103" i="9"/>
  <c r="C103" i="10"/>
  <c r="B103" i="10"/>
  <c r="C100" i="10"/>
  <c r="B100" i="10"/>
  <c r="C100" i="9"/>
  <c r="B100" i="9"/>
  <c r="C95" i="9"/>
  <c r="B95" i="9"/>
  <c r="C95" i="10"/>
  <c r="B95" i="10"/>
  <c r="C79" i="9"/>
  <c r="B79" i="9"/>
  <c r="C79" i="10"/>
  <c r="B79" i="10"/>
  <c r="E106" i="22"/>
  <c r="E133" i="22" s="1"/>
  <c r="J147" i="16"/>
  <c r="E95" i="22"/>
  <c r="J136" i="16"/>
  <c r="Z116" i="22"/>
  <c r="AB40" i="23"/>
  <c r="C82" i="10"/>
  <c r="B82" i="10"/>
  <c r="C82" i="9"/>
  <c r="B82" i="9"/>
  <c r="C85" i="9"/>
  <c r="B85" i="9"/>
  <c r="B85" i="10"/>
  <c r="C85" i="10"/>
  <c r="C105" i="9"/>
  <c r="B105" i="9"/>
  <c r="C105" i="10"/>
  <c r="B105" i="10"/>
  <c r="AD252" i="23"/>
  <c r="AD235" i="23"/>
  <c r="AD337" i="23" s="1"/>
  <c r="AD221" i="23"/>
  <c r="AD200" i="23"/>
  <c r="AD90" i="23"/>
  <c r="E39" i="11"/>
  <c r="D122" i="22"/>
  <c r="F46" i="23"/>
  <c r="AB161" i="22"/>
  <c r="AB6" i="22"/>
  <c r="AC5" i="22"/>
  <c r="C84" i="10"/>
  <c r="B84" i="10"/>
  <c r="C84" i="9"/>
  <c r="B84" i="9"/>
  <c r="C70" i="9"/>
  <c r="B70" i="9"/>
  <c r="C70" i="10"/>
  <c r="B70" i="10"/>
  <c r="V349" i="23"/>
  <c r="E96" i="22"/>
  <c r="J137" i="16"/>
  <c r="E88" i="22"/>
  <c r="J129" i="16"/>
  <c r="N59" i="9"/>
  <c r="O59" i="9" s="1"/>
  <c r="T354" i="23"/>
  <c r="Y379" i="23"/>
  <c r="Y350" i="23" s="1"/>
  <c r="Y380" i="23"/>
  <c r="Y354" i="23" s="1"/>
  <c r="Y381" i="23"/>
  <c r="Y358" i="23" s="1"/>
  <c r="Y378" i="23"/>
  <c r="Y346" i="23" s="1"/>
  <c r="AA150" i="22"/>
  <c r="AA149" i="22"/>
  <c r="AA148" i="22"/>
  <c r="AA147" i="22"/>
  <c r="AA146" i="22"/>
  <c r="AA142" i="22"/>
  <c r="AA79" i="22" s="1"/>
  <c r="AA141" i="22"/>
  <c r="AA95" i="22"/>
  <c r="AA103" i="22"/>
  <c r="AA130" i="22" s="1"/>
  <c r="AA90" i="22"/>
  <c r="AA96" i="22"/>
  <c r="AA105" i="22"/>
  <c r="AA107" i="22"/>
  <c r="AA134" i="22" s="1"/>
  <c r="AA91" i="22"/>
  <c r="AA93" i="22"/>
  <c r="AA120" i="22" s="1"/>
  <c r="AA101" i="22"/>
  <c r="AA97" i="22"/>
  <c r="AA88" i="22"/>
  <c r="AA99" i="22"/>
  <c r="AA126" i="22" s="1"/>
  <c r="AA89" i="22"/>
  <c r="AA94" i="22"/>
  <c r="AA98" i="22"/>
  <c r="AA125" i="22" s="1"/>
  <c r="AA106" i="22"/>
  <c r="AA133" i="22" s="1"/>
  <c r="AA92" i="22"/>
  <c r="AA119" i="22" s="1"/>
  <c r="AA104" i="22"/>
  <c r="AA100" i="22"/>
  <c r="AA127" i="22" s="1"/>
  <c r="Z128" i="22"/>
  <c r="AB48" i="23"/>
  <c r="F104" i="22"/>
  <c r="K145" i="16"/>
  <c r="C83" i="10"/>
  <c r="B83" i="10"/>
  <c r="B83" i="9"/>
  <c r="C83" i="9"/>
  <c r="C99" i="10"/>
  <c r="B99" i="10"/>
  <c r="C99" i="9"/>
  <c r="B99" i="9"/>
  <c r="V353" i="23"/>
  <c r="D123" i="22"/>
  <c r="E35" i="11"/>
  <c r="F42" i="23"/>
  <c r="Z54" i="22"/>
  <c r="E89" i="22"/>
  <c r="J130" i="16"/>
  <c r="AA159" i="22"/>
  <c r="AA160" i="22"/>
  <c r="Z117" i="22"/>
  <c r="AB41" i="23"/>
  <c r="E97" i="22"/>
  <c r="J138" i="16"/>
  <c r="X271" i="23"/>
  <c r="C72" i="9"/>
  <c r="B72" i="9"/>
  <c r="C72" i="10"/>
  <c r="B72" i="10"/>
  <c r="C87" i="9"/>
  <c r="B87" i="9"/>
  <c r="C87" i="10"/>
  <c r="B87" i="10"/>
  <c r="AC381" i="23"/>
  <c r="AC358" i="23" s="1"/>
  <c r="AC380" i="23"/>
  <c r="AC354" i="23" s="1"/>
  <c r="AC378" i="23"/>
  <c r="AC346" i="23" s="1"/>
  <c r="AC379" i="23"/>
  <c r="AC350" i="23" s="1"/>
  <c r="AD264" i="23"/>
  <c r="O48" i="9"/>
  <c r="O32" i="9"/>
  <c r="O57" i="9"/>
  <c r="O35" i="9"/>
  <c r="O38" i="9"/>
  <c r="O56" i="9"/>
  <c r="O41" i="9"/>
  <c r="O44" i="9"/>
  <c r="O47" i="9"/>
  <c r="O31" i="9"/>
  <c r="O34" i="9"/>
  <c r="O51" i="9"/>
  <c r="O37" i="9"/>
  <c r="O40" i="9"/>
  <c r="O46" i="9"/>
  <c r="O39" i="9"/>
  <c r="O49" i="9"/>
  <c r="O42" i="9"/>
  <c r="O36" i="9"/>
  <c r="O43" i="9"/>
  <c r="O45" i="9"/>
  <c r="O33" i="9"/>
  <c r="O26" i="9"/>
  <c r="W394" i="23"/>
  <c r="W357" i="23" s="1"/>
  <c r="W392" i="23"/>
  <c r="W344" i="23" s="1"/>
  <c r="W393" i="23"/>
  <c r="E33" i="11"/>
  <c r="D116" i="22"/>
  <c r="F40" i="23"/>
  <c r="Z78" i="22"/>
  <c r="E40" i="11"/>
  <c r="F47" i="23"/>
  <c r="D124" i="22"/>
  <c r="K134" i="16" l="1"/>
  <c r="G50" i="23"/>
  <c r="W418" i="23"/>
  <c r="W420" i="23" s="1"/>
  <c r="E131" i="22"/>
  <c r="F90" i="22"/>
  <c r="H41" i="23" s="1"/>
  <c r="W23" i="23"/>
  <c r="W389" i="23"/>
  <c r="W356" i="23" s="1"/>
  <c r="W388" i="23"/>
  <c r="W352" i="23" s="1"/>
  <c r="X216" i="23"/>
  <c r="X347" i="23"/>
  <c r="X386" i="23"/>
  <c r="X389" i="23" s="1"/>
  <c r="X356" i="23" s="1"/>
  <c r="V72" i="22"/>
  <c r="Y258" i="23"/>
  <c r="W71" i="22"/>
  <c r="W31" i="22"/>
  <c r="Y46" i="22"/>
  <c r="X69" i="22"/>
  <c r="X48" i="22"/>
  <c r="X62" i="22" s="1"/>
  <c r="X18" i="23"/>
  <c r="V70" i="22"/>
  <c r="X417" i="23" s="1"/>
  <c r="Y251" i="23"/>
  <c r="Y253" i="23" s="1"/>
  <c r="AD71" i="23"/>
  <c r="AD331" i="23" s="1"/>
  <c r="AD379" i="23"/>
  <c r="AD350" i="23" s="1"/>
  <c r="AD378" i="23"/>
  <c r="AD346" i="23" s="1"/>
  <c r="AA55" i="22"/>
  <c r="AD380" i="23"/>
  <c r="AD354" i="23" s="1"/>
  <c r="AA54" i="22"/>
  <c r="Y216" i="23"/>
  <c r="Y386" i="23"/>
  <c r="Y347" i="23"/>
  <c r="Y209" i="23"/>
  <c r="Z205" i="23" s="1"/>
  <c r="X194" i="23"/>
  <c r="X179" i="23"/>
  <c r="X187" i="23"/>
  <c r="Y183" i="23" s="1"/>
  <c r="F33" i="11"/>
  <c r="E116" i="22"/>
  <c r="G40" i="23"/>
  <c r="AA131" i="22"/>
  <c r="AC50" i="23"/>
  <c r="AA117" i="22"/>
  <c r="AC41" i="23"/>
  <c r="F88" i="22"/>
  <c r="K129" i="16"/>
  <c r="AA45" i="22"/>
  <c r="AA122" i="22"/>
  <c r="AC46" i="23"/>
  <c r="F96" i="22"/>
  <c r="K137" i="16"/>
  <c r="F44" i="11"/>
  <c r="E132" i="22"/>
  <c r="G51" i="23"/>
  <c r="AG68" i="16"/>
  <c r="AF71" i="16"/>
  <c r="F32" i="11"/>
  <c r="E115" i="22"/>
  <c r="G39" i="23"/>
  <c r="F99" i="22"/>
  <c r="F126" i="22" s="1"/>
  <c r="K140" i="16"/>
  <c r="AC44" i="23"/>
  <c r="AA121" i="22"/>
  <c r="AC45" i="23"/>
  <c r="AD91" i="23"/>
  <c r="AD333" i="23" s="1"/>
  <c r="W399" i="23"/>
  <c r="W353" i="23" s="1"/>
  <c r="W397" i="23"/>
  <c r="W345" i="23" s="1"/>
  <c r="W398" i="23"/>
  <c r="W349" i="23" s="1"/>
  <c r="F91" i="22"/>
  <c r="K132" i="16"/>
  <c r="I40" i="14"/>
  <c r="F106" i="22"/>
  <c r="F133" i="22" s="1"/>
  <c r="K147" i="16"/>
  <c r="AA22" i="22"/>
  <c r="AB19" i="22"/>
  <c r="AB34" i="22" s="1"/>
  <c r="AA116" i="22"/>
  <c r="AC40" i="23"/>
  <c r="AA78" i="22"/>
  <c r="AC161" i="22"/>
  <c r="AC6" i="22"/>
  <c r="AD5" i="22"/>
  <c r="AD335" i="23"/>
  <c r="W162" i="23"/>
  <c r="W163" i="23" s="1"/>
  <c r="F36" i="11"/>
  <c r="E118" i="22"/>
  <c r="G43" i="23"/>
  <c r="AB150" i="22"/>
  <c r="AB149" i="22"/>
  <c r="AB148" i="22"/>
  <c r="AB147" i="22"/>
  <c r="AB146" i="22"/>
  <c r="AB142" i="22"/>
  <c r="AB79" i="22" s="1"/>
  <c r="AB141" i="22"/>
  <c r="AB96" i="22"/>
  <c r="AB95" i="22"/>
  <c r="AB92" i="22"/>
  <c r="AB119" i="22" s="1"/>
  <c r="AB101" i="22"/>
  <c r="AB91" i="22"/>
  <c r="AB105" i="22"/>
  <c r="AB97" i="22"/>
  <c r="AB99" i="22"/>
  <c r="AB126" i="22" s="1"/>
  <c r="AB89" i="22"/>
  <c r="AB88" i="22"/>
  <c r="AB90" i="22"/>
  <c r="AB104" i="22"/>
  <c r="AB100" i="22"/>
  <c r="AB127" i="22" s="1"/>
  <c r="AB106" i="22"/>
  <c r="AB133" i="22" s="1"/>
  <c r="AB98" i="22"/>
  <c r="AB125" i="22" s="1"/>
  <c r="AB107" i="22"/>
  <c r="AB134" i="22" s="1"/>
  <c r="AB93" i="22"/>
  <c r="AB120" i="22" s="1"/>
  <c r="AB94" i="22"/>
  <c r="AB103" i="22"/>
  <c r="AB130" i="22" s="1"/>
  <c r="AC11" i="22"/>
  <c r="AB35" i="22"/>
  <c r="F101" i="22"/>
  <c r="K142" i="16"/>
  <c r="AE252" i="23"/>
  <c r="AE235" i="23"/>
  <c r="AE337" i="23" s="1"/>
  <c r="AE221" i="23"/>
  <c r="AE200" i="23"/>
  <c r="AE90" i="23"/>
  <c r="J61" i="16"/>
  <c r="I62" i="16"/>
  <c r="X140" i="23"/>
  <c r="X141" i="23" s="1"/>
  <c r="Y137" i="23" s="1"/>
  <c r="G104" i="22"/>
  <c r="L145" i="16"/>
  <c r="AB159" i="22"/>
  <c r="AB160" i="22"/>
  <c r="AD178" i="16"/>
  <c r="AE76" i="16"/>
  <c r="G90" i="22"/>
  <c r="L131" i="16"/>
  <c r="G48" i="23"/>
  <c r="F41" i="11"/>
  <c r="E128" i="22"/>
  <c r="F92" i="22"/>
  <c r="F119" i="22" s="1"/>
  <c r="K133" i="16"/>
  <c r="F98" i="22"/>
  <c r="F125" i="22" s="1"/>
  <c r="K139" i="16"/>
  <c r="AA115" i="22"/>
  <c r="AC39" i="23"/>
  <c r="F131" i="22"/>
  <c r="G43" i="11"/>
  <c r="H50" i="23"/>
  <c r="AA124" i="22"/>
  <c r="AC47" i="23"/>
  <c r="G93" i="22"/>
  <c r="G120" i="22" s="1"/>
  <c r="L134" i="16"/>
  <c r="F94" i="22"/>
  <c r="K135" i="16"/>
  <c r="F35" i="11"/>
  <c r="G42" i="23"/>
  <c r="E123" i="22"/>
  <c r="F103" i="22"/>
  <c r="F130" i="22" s="1"/>
  <c r="K144" i="16"/>
  <c r="X272" i="23"/>
  <c r="X273" i="23" s="1"/>
  <c r="Y269" i="23" s="1"/>
  <c r="AA128" i="22"/>
  <c r="AC48" i="23"/>
  <c r="G44" i="23"/>
  <c r="F37" i="11"/>
  <c r="F38" i="11"/>
  <c r="E121" i="22"/>
  <c r="G45" i="23"/>
  <c r="AE264" i="23"/>
  <c r="K17" i="13"/>
  <c r="C66" i="7"/>
  <c r="F105" i="22"/>
  <c r="K146" i="16"/>
  <c r="AA118" i="22"/>
  <c r="AC43" i="23"/>
  <c r="F95" i="22"/>
  <c r="K136" i="16"/>
  <c r="F39" i="11"/>
  <c r="G46" i="23"/>
  <c r="E122" i="22"/>
  <c r="AA34" i="22"/>
  <c r="AA37" i="22" s="1"/>
  <c r="AA57" i="22" s="1"/>
  <c r="F107" i="22"/>
  <c r="F134" i="22" s="1"/>
  <c r="K148" i="16"/>
  <c r="AF432" i="23"/>
  <c r="AF433" i="23"/>
  <c r="AF292" i="23"/>
  <c r="AF270" i="23"/>
  <c r="AF206" i="23"/>
  <c r="AF80" i="23"/>
  <c r="AF81" i="23"/>
  <c r="AF6" i="23"/>
  <c r="AG5" i="23"/>
  <c r="Y251" i="16"/>
  <c r="C12" i="13"/>
  <c r="W348" i="23"/>
  <c r="F97" i="22"/>
  <c r="K138" i="16"/>
  <c r="AA132" i="22"/>
  <c r="AC51" i="23"/>
  <c r="X293" i="23"/>
  <c r="M13" i="22"/>
  <c r="AE60" i="23"/>
  <c r="AE69" i="23"/>
  <c r="AE68" i="23"/>
  <c r="AE31" i="23"/>
  <c r="AE67" i="23"/>
  <c r="V342" i="23"/>
  <c r="V93" i="23"/>
  <c r="F40" i="11"/>
  <c r="E124" i="22"/>
  <c r="G47" i="23"/>
  <c r="F89" i="22"/>
  <c r="K130" i="16"/>
  <c r="AA123" i="22"/>
  <c r="AC42" i="23"/>
  <c r="AB13" i="22"/>
  <c r="AC10" i="22"/>
  <c r="F100" i="22"/>
  <c r="F127" i="22" s="1"/>
  <c r="K141" i="16"/>
  <c r="AE286" i="23"/>
  <c r="G34" i="11" l="1"/>
  <c r="F117" i="22"/>
  <c r="X23" i="23"/>
  <c r="X418" i="23"/>
  <c r="X420" i="23" s="1"/>
  <c r="X387" i="23"/>
  <c r="X343" i="23" s="1"/>
  <c r="X388" i="23"/>
  <c r="X352" i="23" s="1"/>
  <c r="W72" i="22"/>
  <c r="X31" i="22"/>
  <c r="X71" i="22"/>
  <c r="Z46" i="22"/>
  <c r="Y48" i="22"/>
  <c r="Y62" i="22" s="1"/>
  <c r="Y69" i="22"/>
  <c r="Y18" i="23"/>
  <c r="W70" i="22"/>
  <c r="Y417" i="23" s="1"/>
  <c r="AB37" i="22"/>
  <c r="AB57" i="22" s="1"/>
  <c r="AB54" i="22"/>
  <c r="W164" i="23"/>
  <c r="X160" i="23" s="1"/>
  <c r="X162" i="23" s="1"/>
  <c r="AB55" i="22"/>
  <c r="Y271" i="23"/>
  <c r="Y272" i="23" s="1"/>
  <c r="Y139" i="23"/>
  <c r="G95" i="22"/>
  <c r="L136" i="16"/>
  <c r="G89" i="22"/>
  <c r="L130" i="16"/>
  <c r="K12" i="13"/>
  <c r="B62" i="7"/>
  <c r="AF252" i="23"/>
  <c r="AF235" i="23"/>
  <c r="AF337" i="23" s="1"/>
  <c r="AF221" i="23"/>
  <c r="AF200" i="23"/>
  <c r="AF90" i="23"/>
  <c r="G92" i="22"/>
  <c r="G119" i="22" s="1"/>
  <c r="L133" i="16"/>
  <c r="AB118" i="22"/>
  <c r="AD43" i="23"/>
  <c r="AH68" i="16"/>
  <c r="AG71" i="16"/>
  <c r="AE71" i="23"/>
  <c r="AE331" i="23" s="1"/>
  <c r="F122" i="22"/>
  <c r="G39" i="11"/>
  <c r="H46" i="23"/>
  <c r="AD44" i="23"/>
  <c r="AD45" i="23"/>
  <c r="AB121" i="22"/>
  <c r="G88" i="22"/>
  <c r="L129" i="16"/>
  <c r="AB122" i="22"/>
  <c r="AD46" i="23"/>
  <c r="AB45" i="22"/>
  <c r="G32" i="11"/>
  <c r="F115" i="22"/>
  <c r="H39" i="23"/>
  <c r="AF264" i="23"/>
  <c r="AE91" i="23"/>
  <c r="AE333" i="23" s="1"/>
  <c r="AB123" i="22"/>
  <c r="AD42" i="23"/>
  <c r="G91" i="22"/>
  <c r="L132" i="16"/>
  <c r="AB128" i="22"/>
  <c r="AD48" i="23"/>
  <c r="W171" i="23"/>
  <c r="W156" i="23"/>
  <c r="W94" i="23"/>
  <c r="W384" i="23"/>
  <c r="X294" i="23"/>
  <c r="AG433" i="23"/>
  <c r="AG432" i="23"/>
  <c r="AG292" i="23"/>
  <c r="AG270" i="23"/>
  <c r="AG206" i="23"/>
  <c r="AG81" i="23"/>
  <c r="AG80" i="23"/>
  <c r="AG6" i="23"/>
  <c r="AH5" i="23"/>
  <c r="G117" i="22"/>
  <c r="H34" i="11"/>
  <c r="I41" i="23"/>
  <c r="AB22" i="22"/>
  <c r="AC19" i="22"/>
  <c r="AC34" i="22" s="1"/>
  <c r="H90" i="22"/>
  <c r="M131" i="16"/>
  <c r="AE335" i="23"/>
  <c r="AF60" i="23"/>
  <c r="AF69" i="23"/>
  <c r="AF68" i="23"/>
  <c r="AF31" i="23"/>
  <c r="AF67" i="23"/>
  <c r="G94" i="22"/>
  <c r="L135" i="16"/>
  <c r="AE178" i="16"/>
  <c r="AF76" i="16"/>
  <c r="G106" i="22"/>
  <c r="G133" i="22" s="1"/>
  <c r="L147" i="16"/>
  <c r="G96" i="22"/>
  <c r="L137" i="16"/>
  <c r="G36" i="11"/>
  <c r="F118" i="22"/>
  <c r="H43" i="23"/>
  <c r="G100" i="22"/>
  <c r="G127" i="22" s="1"/>
  <c r="L141" i="16"/>
  <c r="AF286" i="23"/>
  <c r="H44" i="23"/>
  <c r="G37" i="11"/>
  <c r="G38" i="11"/>
  <c r="F121" i="22"/>
  <c r="H45" i="23"/>
  <c r="AB131" i="22"/>
  <c r="AD50" i="23"/>
  <c r="AB78" i="22"/>
  <c r="G99" i="22"/>
  <c r="G126" i="22" s="1"/>
  <c r="L140" i="16"/>
  <c r="G35" i="11"/>
  <c r="F123" i="22"/>
  <c r="H42" i="23"/>
  <c r="AF82" i="23"/>
  <c r="AF377" i="23" s="1"/>
  <c r="G105" i="22"/>
  <c r="L146" i="16"/>
  <c r="AB117" i="22"/>
  <c r="AD41" i="23"/>
  <c r="AF435" i="23"/>
  <c r="F132" i="22"/>
  <c r="G44" i="11"/>
  <c r="H51" i="23"/>
  <c r="X280" i="23"/>
  <c r="X391" i="23"/>
  <c r="X351" i="23"/>
  <c r="AB115" i="22"/>
  <c r="AD39" i="23"/>
  <c r="Z258" i="23"/>
  <c r="Z251" i="23"/>
  <c r="Z253" i="23" s="1"/>
  <c r="Z207" i="23"/>
  <c r="Z208" i="23" s="1"/>
  <c r="G107" i="22"/>
  <c r="G134" i="22" s="1"/>
  <c r="L148" i="16"/>
  <c r="H104" i="22"/>
  <c r="M145" i="16"/>
  <c r="G101" i="22"/>
  <c r="L142" i="16"/>
  <c r="G33" i="11"/>
  <c r="F116" i="22"/>
  <c r="H40" i="23"/>
  <c r="AC13" i="22"/>
  <c r="AD10" i="22"/>
  <c r="G97" i="22"/>
  <c r="L138" i="16"/>
  <c r="H93" i="22"/>
  <c r="H120" i="22" s="1"/>
  <c r="M134" i="16"/>
  <c r="G131" i="22"/>
  <c r="H43" i="11"/>
  <c r="I50" i="23"/>
  <c r="G41" i="11"/>
  <c r="F128" i="22"/>
  <c r="H48" i="23"/>
  <c r="AB116" i="22"/>
  <c r="AD40" i="23"/>
  <c r="Y389" i="23"/>
  <c r="Y356" i="23" s="1"/>
  <c r="Y387" i="23"/>
  <c r="Y343" i="23" s="1"/>
  <c r="Y388" i="23"/>
  <c r="Y352" i="23" s="1"/>
  <c r="G40" i="11"/>
  <c r="F124" i="22"/>
  <c r="H47" i="23"/>
  <c r="G103" i="22"/>
  <c r="G130" i="22" s="1"/>
  <c r="L144" i="16"/>
  <c r="G98" i="22"/>
  <c r="G125" i="22" s="1"/>
  <c r="L139" i="16"/>
  <c r="X148" i="23"/>
  <c r="X133" i="23"/>
  <c r="AD161" i="22"/>
  <c r="AD6" i="22"/>
  <c r="AE5" i="22"/>
  <c r="AB124" i="22"/>
  <c r="AD47" i="23"/>
  <c r="AC150" i="22"/>
  <c r="AC149" i="22"/>
  <c r="AC148" i="22"/>
  <c r="AC147" i="22"/>
  <c r="AC146" i="22"/>
  <c r="AC142" i="22"/>
  <c r="AC79" i="22" s="1"/>
  <c r="AC141" i="22"/>
  <c r="AC88" i="22"/>
  <c r="AC100" i="22"/>
  <c r="AC127" i="22" s="1"/>
  <c r="AC106" i="22"/>
  <c r="AC133" i="22" s="1"/>
  <c r="AC89" i="22"/>
  <c r="AC98" i="22"/>
  <c r="AC125" i="22" s="1"/>
  <c r="AC94" i="22"/>
  <c r="AC104" i="22"/>
  <c r="AC103" i="22"/>
  <c r="AC130" i="22" s="1"/>
  <c r="AC95" i="22"/>
  <c r="AC107" i="22"/>
  <c r="AC134" i="22" s="1"/>
  <c r="AC96" i="22"/>
  <c r="AC105" i="22"/>
  <c r="AC97" i="22"/>
  <c r="AC99" i="22"/>
  <c r="AC126" i="22" s="1"/>
  <c r="AC91" i="22"/>
  <c r="AC90" i="22"/>
  <c r="AC101" i="22"/>
  <c r="AC93" i="22"/>
  <c r="AC120" i="22" s="1"/>
  <c r="AC92" i="22"/>
  <c r="AC119" i="22" s="1"/>
  <c r="K61" i="16"/>
  <c r="J62" i="16"/>
  <c r="AD11" i="22"/>
  <c r="AC35" i="22"/>
  <c r="AB132" i="22"/>
  <c r="AD51" i="23"/>
  <c r="AC159" i="22"/>
  <c r="AC160" i="22"/>
  <c r="Y185" i="23"/>
  <c r="Y186" i="23" s="1"/>
  <c r="Y418" i="23" l="1"/>
  <c r="Y420" i="23" s="1"/>
  <c r="X72" i="22"/>
  <c r="Y23" i="23"/>
  <c r="Y71" i="22"/>
  <c r="Y31" i="22"/>
  <c r="AA46" i="22"/>
  <c r="Z48" i="22"/>
  <c r="Z62" i="22" s="1"/>
  <c r="Z69" i="22"/>
  <c r="Z18" i="23"/>
  <c r="X70" i="22"/>
  <c r="Z417" i="23" s="1"/>
  <c r="X163" i="23"/>
  <c r="X156" i="23" s="1"/>
  <c r="X342" i="23" s="1"/>
  <c r="AG82" i="23"/>
  <c r="AG377" i="23" s="1"/>
  <c r="AG380" i="23" s="1"/>
  <c r="AG354" i="23" s="1"/>
  <c r="Y273" i="23"/>
  <c r="Z269" i="23" s="1"/>
  <c r="Z271" i="23" s="1"/>
  <c r="Z272" i="23" s="1"/>
  <c r="AF71" i="23"/>
  <c r="AF331" i="23" s="1"/>
  <c r="Y187" i="23"/>
  <c r="Z183" i="23" s="1"/>
  <c r="Z185" i="23" s="1"/>
  <c r="Z216" i="23"/>
  <c r="Z386" i="23"/>
  <c r="Z347" i="23"/>
  <c r="Z209" i="23"/>
  <c r="AA205" i="23" s="1"/>
  <c r="AC122" i="22"/>
  <c r="AE46" i="23"/>
  <c r="AE161" i="22"/>
  <c r="AE6" i="22"/>
  <c r="AF5" i="22"/>
  <c r="H44" i="11"/>
  <c r="G132" i="22"/>
  <c r="I51" i="23"/>
  <c r="AF178" i="16"/>
  <c r="AG76" i="16"/>
  <c r="X396" i="23"/>
  <c r="X302" i="23"/>
  <c r="X355" i="23"/>
  <c r="AI68" i="16"/>
  <c r="AH71" i="16"/>
  <c r="H89" i="22"/>
  <c r="M130" i="16"/>
  <c r="I93" i="22"/>
  <c r="I120" i="22" s="1"/>
  <c r="N134" i="16"/>
  <c r="I90" i="22"/>
  <c r="N131" i="16"/>
  <c r="I44" i="23"/>
  <c r="H37" i="11"/>
  <c r="G121" i="22"/>
  <c r="H38" i="11"/>
  <c r="I45" i="23"/>
  <c r="W342" i="23"/>
  <c r="W93" i="23"/>
  <c r="H95" i="22"/>
  <c r="M136" i="16"/>
  <c r="AC131" i="22"/>
  <c r="AE50" i="23"/>
  <c r="G128" i="22"/>
  <c r="H41" i="11"/>
  <c r="I48" i="23"/>
  <c r="G115" i="22"/>
  <c r="H32" i="11"/>
  <c r="I39" i="23"/>
  <c r="AE44" i="23"/>
  <c r="AE45" i="23"/>
  <c r="AC121" i="22"/>
  <c r="I104" i="22"/>
  <c r="N145" i="16"/>
  <c r="H97" i="22"/>
  <c r="M138" i="16"/>
  <c r="I43" i="11"/>
  <c r="H131" i="22"/>
  <c r="J50" i="23"/>
  <c r="AG252" i="23"/>
  <c r="AG235" i="23"/>
  <c r="AG337" i="23" s="1"/>
  <c r="AG221" i="23"/>
  <c r="AG200" i="23"/>
  <c r="AG90" i="23"/>
  <c r="H117" i="22"/>
  <c r="I34" i="11"/>
  <c r="J41" i="23"/>
  <c r="AC116" i="22"/>
  <c r="AE40" i="23"/>
  <c r="G124" i="22"/>
  <c r="H40" i="11"/>
  <c r="I47" i="23"/>
  <c r="H107" i="22"/>
  <c r="H134" i="22" s="1"/>
  <c r="M148" i="16"/>
  <c r="AC54" i="22"/>
  <c r="AD159" i="22"/>
  <c r="AD160" i="22"/>
  <c r="H98" i="22"/>
  <c r="H125" i="22" s="1"/>
  <c r="M139" i="16"/>
  <c r="AC37" i="22"/>
  <c r="AC57" i="22" s="1"/>
  <c r="AC45" i="22"/>
  <c r="AF91" i="23"/>
  <c r="AF333" i="23" s="1"/>
  <c r="H94" i="22"/>
  <c r="M135" i="16"/>
  <c r="H39" i="11"/>
  <c r="G122" i="22"/>
  <c r="I46" i="23"/>
  <c r="AE10" i="22"/>
  <c r="AD13" i="22"/>
  <c r="AF335" i="23"/>
  <c r="Y140" i="23"/>
  <c r="Y194" i="23"/>
  <c r="Y179" i="23"/>
  <c r="H88" i="22"/>
  <c r="M129" i="16"/>
  <c r="AC128" i="22"/>
  <c r="AE48" i="23"/>
  <c r="AC115" i="22"/>
  <c r="AE39" i="23"/>
  <c r="H103" i="22"/>
  <c r="H130" i="22" s="1"/>
  <c r="M144" i="16"/>
  <c r="AG264" i="23"/>
  <c r="H91" i="22"/>
  <c r="M132" i="16"/>
  <c r="AC55" i="22"/>
  <c r="AD149" i="22"/>
  <c r="AD148" i="22"/>
  <c r="AD147" i="22"/>
  <c r="AD146" i="22"/>
  <c r="AD150" i="22"/>
  <c r="AD142" i="22"/>
  <c r="AD79" i="22" s="1"/>
  <c r="AD141" i="22"/>
  <c r="AD89" i="22"/>
  <c r="AD104" i="22"/>
  <c r="AD94" i="22"/>
  <c r="AD95" i="22"/>
  <c r="AD92" i="22"/>
  <c r="AD119" i="22" s="1"/>
  <c r="AD107" i="22"/>
  <c r="AD134" i="22" s="1"/>
  <c r="AD96" i="22"/>
  <c r="AD101" i="22"/>
  <c r="AD88" i="22"/>
  <c r="AD103" i="22"/>
  <c r="AD130" i="22" s="1"/>
  <c r="AD90" i="22"/>
  <c r="AD105" i="22"/>
  <c r="AD97" i="22"/>
  <c r="AD93" i="22"/>
  <c r="AD120" i="22" s="1"/>
  <c r="AD91" i="22"/>
  <c r="AD100" i="22"/>
  <c r="AD127" i="22" s="1"/>
  <c r="AD106" i="22"/>
  <c r="AD133" i="22" s="1"/>
  <c r="AD98" i="22"/>
  <c r="AD125" i="22" s="1"/>
  <c r="AD99" i="22"/>
  <c r="AD126" i="22" s="1"/>
  <c r="Y280" i="23"/>
  <c r="Y391" i="23"/>
  <c r="Y351" i="23"/>
  <c r="AD35" i="22"/>
  <c r="AE11" i="22"/>
  <c r="AC117" i="22"/>
  <c r="AE41" i="23"/>
  <c r="H36" i="11"/>
  <c r="G118" i="22"/>
  <c r="I43" i="23"/>
  <c r="AC118" i="22"/>
  <c r="AE43" i="23"/>
  <c r="X394" i="23"/>
  <c r="X357" i="23" s="1"/>
  <c r="X392" i="23"/>
  <c r="X344" i="23" s="1"/>
  <c r="X393" i="23"/>
  <c r="X348" i="23" s="1"/>
  <c r="H96" i="22"/>
  <c r="M137" i="16"/>
  <c r="AC22" i="22"/>
  <c r="AD19" i="22"/>
  <c r="AH433" i="23"/>
  <c r="AH432" i="23"/>
  <c r="AH292" i="23"/>
  <c r="AH270" i="23"/>
  <c r="AH206" i="23"/>
  <c r="AH80" i="23"/>
  <c r="AH81" i="23"/>
  <c r="AH6" i="23"/>
  <c r="AI5" i="23"/>
  <c r="AF381" i="23"/>
  <c r="AF358" i="23" s="1"/>
  <c r="AF380" i="23"/>
  <c r="AF354" i="23" s="1"/>
  <c r="AF378" i="23"/>
  <c r="AF346" i="23" s="1"/>
  <c r="AF379" i="23"/>
  <c r="AF350" i="23" s="1"/>
  <c r="L61" i="16"/>
  <c r="K62" i="16"/>
  <c r="G123" i="22"/>
  <c r="H35" i="11"/>
  <c r="I42" i="23"/>
  <c r="AG60" i="23"/>
  <c r="AG69" i="23"/>
  <c r="AG68" i="23"/>
  <c r="AG31" i="23"/>
  <c r="AG67" i="23"/>
  <c r="X295" i="23"/>
  <c r="Y291" i="23" s="1"/>
  <c r="H100" i="22"/>
  <c r="H127" i="22" s="1"/>
  <c r="M141" i="16"/>
  <c r="H101" i="22"/>
  <c r="M142" i="16"/>
  <c r="H92" i="22"/>
  <c r="H119" i="22" s="1"/>
  <c r="M133" i="16"/>
  <c r="AC124" i="22"/>
  <c r="AE47" i="23"/>
  <c r="H106" i="22"/>
  <c r="H133" i="22" s="1"/>
  <c r="M147" i="16"/>
  <c r="AG286" i="23"/>
  <c r="G116" i="22"/>
  <c r="H33" i="11"/>
  <c r="I40" i="23"/>
  <c r="H99" i="22"/>
  <c r="H126" i="22" s="1"/>
  <c r="M140" i="16"/>
  <c r="AC132" i="22"/>
  <c r="AE51" i="23"/>
  <c r="AC78" i="22"/>
  <c r="AG435" i="23"/>
  <c r="AC123" i="22"/>
  <c r="AE42" i="23"/>
  <c r="H105" i="22"/>
  <c r="M146" i="16"/>
  <c r="Z418" i="23" l="1"/>
  <c r="Z420" i="23" s="1"/>
  <c r="Z23" i="23"/>
  <c r="Y72" i="22"/>
  <c r="X171" i="23"/>
  <c r="AG379" i="23"/>
  <c r="AG350" i="23" s="1"/>
  <c r="AG381" i="23"/>
  <c r="AG358" i="23" s="1"/>
  <c r="AG378" i="23"/>
  <c r="AG346" i="23" s="1"/>
  <c r="Z71" i="22"/>
  <c r="Z31" i="22"/>
  <c r="AB46" i="22"/>
  <c r="AA48" i="22"/>
  <c r="AA62" i="22" s="1"/>
  <c r="AA69" i="22"/>
  <c r="AA418" i="23"/>
  <c r="Y70" i="22"/>
  <c r="AA417" i="23" s="1"/>
  <c r="AA18" i="23"/>
  <c r="AH82" i="23"/>
  <c r="AH377" i="23" s="1"/>
  <c r="AH380" i="23" s="1"/>
  <c r="AH354" i="23" s="1"/>
  <c r="AD55" i="22"/>
  <c r="AH435" i="23"/>
  <c r="Z273" i="23"/>
  <c r="AA269" i="23" s="1"/>
  <c r="AA271" i="23" s="1"/>
  <c r="AA272" i="23" s="1"/>
  <c r="X384" i="23"/>
  <c r="X94" i="23"/>
  <c r="X164" i="23"/>
  <c r="Y160" i="23" s="1"/>
  <c r="I107" i="22"/>
  <c r="I134" i="22" s="1"/>
  <c r="N148" i="16"/>
  <c r="AH252" i="23"/>
  <c r="AH221" i="23"/>
  <c r="AH235" i="23"/>
  <c r="AH337" i="23" s="1"/>
  <c r="AH200" i="23"/>
  <c r="AH90" i="23"/>
  <c r="Y394" i="23"/>
  <c r="Y357" i="23" s="1"/>
  <c r="Y393" i="23"/>
  <c r="Y348" i="23" s="1"/>
  <c r="Y392" i="23"/>
  <c r="Y344" i="23" s="1"/>
  <c r="I88" i="22"/>
  <c r="N129" i="16"/>
  <c r="AF161" i="22"/>
  <c r="AF6" i="22"/>
  <c r="AG5" i="22"/>
  <c r="I95" i="22"/>
  <c r="N136" i="16"/>
  <c r="J104" i="22"/>
  <c r="O145" i="16"/>
  <c r="I131" i="22"/>
  <c r="J43" i="11"/>
  <c r="K50" i="23"/>
  <c r="I32" i="11"/>
  <c r="H115" i="22"/>
  <c r="J39" i="23"/>
  <c r="I94" i="22"/>
  <c r="N135" i="16"/>
  <c r="I89" i="22"/>
  <c r="N130" i="16"/>
  <c r="AE148" i="22"/>
  <c r="AE147" i="22"/>
  <c r="AE146" i="22"/>
  <c r="AE149" i="22"/>
  <c r="AE142" i="22"/>
  <c r="AE79" i="22" s="1"/>
  <c r="AE141" i="22"/>
  <c r="AE150" i="22"/>
  <c r="AE88" i="22"/>
  <c r="AE96" i="22"/>
  <c r="AE101" i="22"/>
  <c r="AE103" i="22"/>
  <c r="AE130" i="22" s="1"/>
  <c r="AE105" i="22"/>
  <c r="AE97" i="22"/>
  <c r="AE99" i="22"/>
  <c r="AE126" i="22" s="1"/>
  <c r="AE92" i="22"/>
  <c r="AE119" i="22" s="1"/>
  <c r="AE100" i="22"/>
  <c r="AE127" i="22" s="1"/>
  <c r="AE106" i="22"/>
  <c r="AE133" i="22" s="1"/>
  <c r="AE93" i="22"/>
  <c r="AE120" i="22" s="1"/>
  <c r="AE91" i="22"/>
  <c r="AE104" i="22"/>
  <c r="AE94" i="22"/>
  <c r="AE90" i="22"/>
  <c r="AE95" i="22"/>
  <c r="AE89" i="22"/>
  <c r="AE107" i="22"/>
  <c r="AE134" i="22" s="1"/>
  <c r="AE98" i="22"/>
  <c r="AE125" i="22" s="1"/>
  <c r="I96" i="22"/>
  <c r="N137" i="16"/>
  <c r="AG335" i="23"/>
  <c r="I98" i="22"/>
  <c r="I125" i="22" s="1"/>
  <c r="N139" i="16"/>
  <c r="I92" i="22"/>
  <c r="I119" i="22" s="1"/>
  <c r="N133" i="16"/>
  <c r="AH264" i="23"/>
  <c r="AD122" i="22"/>
  <c r="AF46" i="23"/>
  <c r="J44" i="23"/>
  <c r="I37" i="11"/>
  <c r="I38" i="11"/>
  <c r="H121" i="22"/>
  <c r="J45" i="23"/>
  <c r="H116" i="22"/>
  <c r="I33" i="11"/>
  <c r="J40" i="23"/>
  <c r="AE159" i="22"/>
  <c r="AE160" i="22"/>
  <c r="Z280" i="23"/>
  <c r="Z391" i="23"/>
  <c r="Z351" i="23"/>
  <c r="I35" i="11"/>
  <c r="H123" i="22"/>
  <c r="J42" i="23"/>
  <c r="AI433" i="23"/>
  <c r="AI432" i="23"/>
  <c r="AI292" i="23"/>
  <c r="AI270" i="23"/>
  <c r="AI206" i="23"/>
  <c r="AI81" i="23"/>
  <c r="AI80" i="23"/>
  <c r="AI6" i="23"/>
  <c r="AJ5" i="23"/>
  <c r="AH286" i="23"/>
  <c r="AF44" i="23"/>
  <c r="AF45" i="23"/>
  <c r="AD121" i="22"/>
  <c r="I103" i="22"/>
  <c r="I130" i="22" s="1"/>
  <c r="N144" i="16"/>
  <c r="AG91" i="23"/>
  <c r="AG333" i="23" s="1"/>
  <c r="I101" i="22"/>
  <c r="N142" i="16"/>
  <c r="AH60" i="23"/>
  <c r="AH69" i="23"/>
  <c r="AH68" i="23"/>
  <c r="AH31" i="23"/>
  <c r="AH67" i="23"/>
  <c r="AD131" i="22"/>
  <c r="AF50" i="23"/>
  <c r="Y148" i="23"/>
  <c r="Y133" i="23"/>
  <c r="AJ68" i="16"/>
  <c r="AI71" i="16"/>
  <c r="Y141" i="23"/>
  <c r="Z137" i="23" s="1"/>
  <c r="AD128" i="22"/>
  <c r="AF48" i="23"/>
  <c r="H128" i="22"/>
  <c r="I41" i="11"/>
  <c r="J48" i="23"/>
  <c r="AG71" i="23"/>
  <c r="AG331" i="23" s="1"/>
  <c r="AD116" i="22"/>
  <c r="AF40" i="23"/>
  <c r="I106" i="22"/>
  <c r="I133" i="22" s="1"/>
  <c r="N147" i="16"/>
  <c r="I100" i="22"/>
  <c r="I127" i="22" s="1"/>
  <c r="N141" i="16"/>
  <c r="I91" i="22"/>
  <c r="N132" i="16"/>
  <c r="AD45" i="22"/>
  <c r="I99" i="22"/>
  <c r="I126" i="22" s="1"/>
  <c r="N140" i="16"/>
  <c r="AD118" i="22"/>
  <c r="AF43" i="23"/>
  <c r="I36" i="11"/>
  <c r="H118" i="22"/>
  <c r="J43" i="23"/>
  <c r="AA258" i="23"/>
  <c r="AA251" i="23"/>
  <c r="AA253" i="23" s="1"/>
  <c r="AA207" i="23"/>
  <c r="AA208" i="23" s="1"/>
  <c r="Z186" i="23"/>
  <c r="AE35" i="22"/>
  <c r="AF11" i="22"/>
  <c r="AD22" i="22"/>
  <c r="AE19" i="22"/>
  <c r="AE34" i="22" s="1"/>
  <c r="I97" i="22"/>
  <c r="N138" i="16"/>
  <c r="J90" i="22"/>
  <c r="O131" i="16"/>
  <c r="X398" i="23"/>
  <c r="X349" i="23" s="1"/>
  <c r="X397" i="23"/>
  <c r="X345" i="23" s="1"/>
  <c r="X399" i="23"/>
  <c r="X353" i="23" s="1"/>
  <c r="AD115" i="22"/>
  <c r="AF39" i="23"/>
  <c r="AD123" i="22"/>
  <c r="AF42" i="23"/>
  <c r="Y293" i="23"/>
  <c r="Y294" i="23" s="1"/>
  <c r="L62" i="16"/>
  <c r="M61" i="16"/>
  <c r="M62" i="16" s="1"/>
  <c r="X93" i="23"/>
  <c r="AD124" i="22"/>
  <c r="AF47" i="23"/>
  <c r="AD78" i="22"/>
  <c r="H124" i="22"/>
  <c r="I40" i="11"/>
  <c r="J47" i="23"/>
  <c r="J34" i="11"/>
  <c r="I117" i="22"/>
  <c r="K41" i="23"/>
  <c r="Z389" i="23"/>
  <c r="Z356" i="23" s="1"/>
  <c r="Z387" i="23"/>
  <c r="Z343" i="23" s="1"/>
  <c r="Z388" i="23"/>
  <c r="Z352" i="23" s="1"/>
  <c r="I39" i="11"/>
  <c r="H122" i="22"/>
  <c r="J46" i="23"/>
  <c r="I105" i="22"/>
  <c r="N146" i="16"/>
  <c r="AD132" i="22"/>
  <c r="AF51" i="23"/>
  <c r="AD34" i="22"/>
  <c r="AD37" i="22" s="1"/>
  <c r="AD57" i="22" s="1"/>
  <c r="J93" i="22"/>
  <c r="J120" i="22" s="1"/>
  <c r="O134" i="16"/>
  <c r="AG178" i="16"/>
  <c r="AH76" i="16"/>
  <c r="H132" i="22"/>
  <c r="I44" i="11"/>
  <c r="J51" i="23"/>
  <c r="AD117" i="22"/>
  <c r="AF41" i="23"/>
  <c r="AF10" i="22"/>
  <c r="AE13" i="22"/>
  <c r="AD54" i="22"/>
  <c r="AA23" i="23" l="1"/>
  <c r="Z72" i="22"/>
  <c r="AA420" i="23"/>
  <c r="AE54" i="22"/>
  <c r="AH381" i="23"/>
  <c r="AH358" i="23" s="1"/>
  <c r="AA71" i="22"/>
  <c r="AA31" i="22"/>
  <c r="AH378" i="23"/>
  <c r="AH346" i="23" s="1"/>
  <c r="AC46" i="22"/>
  <c r="AB48" i="22"/>
  <c r="AB62" i="22" s="1"/>
  <c r="AB69" i="22"/>
  <c r="AH379" i="23"/>
  <c r="AH350" i="23" s="1"/>
  <c r="Z70" i="22"/>
  <c r="AB417" i="23" s="1"/>
  <c r="AB18" i="23"/>
  <c r="AI82" i="23"/>
  <c r="AI377" i="23" s="1"/>
  <c r="AI380" i="23" s="1"/>
  <c r="AI354" i="23" s="1"/>
  <c r="A29" i="25"/>
  <c r="AE55" i="22"/>
  <c r="AA273" i="23"/>
  <c r="AB269" i="23" s="1"/>
  <c r="AB271" i="23" s="1"/>
  <c r="AB272" i="23" s="1"/>
  <c r="Y162" i="23"/>
  <c r="AE37" i="22"/>
  <c r="AE57" i="22" s="1"/>
  <c r="AH71" i="23"/>
  <c r="AH331" i="23" s="1"/>
  <c r="AA216" i="23"/>
  <c r="AA386" i="23"/>
  <c r="AA347" i="23"/>
  <c r="AA209" i="23"/>
  <c r="AB205" i="23" s="1"/>
  <c r="J44" i="11"/>
  <c r="I132" i="22"/>
  <c r="K51" i="23"/>
  <c r="Y295" i="23"/>
  <c r="Z291" i="23" s="1"/>
  <c r="K34" i="11"/>
  <c r="J117" i="22"/>
  <c r="L41" i="23"/>
  <c r="J106" i="22"/>
  <c r="J133" i="22" s="1"/>
  <c r="O147" i="16"/>
  <c r="AG161" i="22"/>
  <c r="AG6" i="22"/>
  <c r="AH5" i="22"/>
  <c r="AE128" i="22"/>
  <c r="AG48" i="23"/>
  <c r="J89" i="22"/>
  <c r="O130" i="16"/>
  <c r="AF147" i="22"/>
  <c r="AF146" i="22"/>
  <c r="AF150" i="22"/>
  <c r="AF148" i="22"/>
  <c r="AF142" i="22"/>
  <c r="AF79" i="22" s="1"/>
  <c r="AF141" i="22"/>
  <c r="AF149" i="22"/>
  <c r="AF99" i="22"/>
  <c r="AF126" i="22" s="1"/>
  <c r="AF92" i="22"/>
  <c r="AF119" i="22" s="1"/>
  <c r="AF101" i="22"/>
  <c r="AF100" i="22"/>
  <c r="AF127" i="22" s="1"/>
  <c r="AF106" i="22"/>
  <c r="AF133" i="22" s="1"/>
  <c r="AF98" i="22"/>
  <c r="AF125" i="22" s="1"/>
  <c r="AF97" i="22"/>
  <c r="AF93" i="22"/>
  <c r="AF120" i="22" s="1"/>
  <c r="AF104" i="22"/>
  <c r="AF94" i="22"/>
  <c r="AF95" i="22"/>
  <c r="AF91" i="22"/>
  <c r="AF90" i="22"/>
  <c r="AF89" i="22"/>
  <c r="AF103" i="22"/>
  <c r="AF130" i="22" s="1"/>
  <c r="AF105" i="22"/>
  <c r="AF88" i="22"/>
  <c r="AF107" i="22"/>
  <c r="AF134" i="22" s="1"/>
  <c r="AF96" i="22"/>
  <c r="AH91" i="23"/>
  <c r="AH333" i="23" s="1"/>
  <c r="AH178" i="16"/>
  <c r="AI76" i="16"/>
  <c r="J40" i="11"/>
  <c r="I124" i="22"/>
  <c r="K47" i="23"/>
  <c r="AE123" i="22"/>
  <c r="AG42" i="23"/>
  <c r="J33" i="11"/>
  <c r="I116" i="22"/>
  <c r="K40" i="23"/>
  <c r="AF159" i="22"/>
  <c r="AF160" i="22"/>
  <c r="AE115" i="22"/>
  <c r="AG39" i="23"/>
  <c r="AI252" i="23"/>
  <c r="AI221" i="23"/>
  <c r="AI235" i="23"/>
  <c r="AI337" i="23" s="1"/>
  <c r="AI200" i="23"/>
  <c r="AI90" i="23"/>
  <c r="AE117" i="22"/>
  <c r="AG41" i="23"/>
  <c r="J88" i="22"/>
  <c r="O129" i="16"/>
  <c r="AE116" i="22"/>
  <c r="AG40" i="23"/>
  <c r="K93" i="22"/>
  <c r="K120" i="22" s="1"/>
  <c r="P134" i="16"/>
  <c r="AG44" i="23"/>
  <c r="AE121" i="22"/>
  <c r="AG45" i="23"/>
  <c r="J32" i="11"/>
  <c r="I115" i="22"/>
  <c r="K39" i="23"/>
  <c r="AE45" i="22"/>
  <c r="AE22" i="22"/>
  <c r="AF19" i="22"/>
  <c r="AF34" i="22" s="1"/>
  <c r="J101" i="22"/>
  <c r="O142" i="16"/>
  <c r="J92" i="22"/>
  <c r="J119" i="22" s="1"/>
  <c r="O133" i="16"/>
  <c r="AE131" i="22"/>
  <c r="AG50" i="23"/>
  <c r="AH335" i="23"/>
  <c r="J91" i="22"/>
  <c r="O132" i="16"/>
  <c r="I128" i="22"/>
  <c r="J41" i="11"/>
  <c r="K48" i="23"/>
  <c r="Z394" i="23"/>
  <c r="Z357" i="23" s="1"/>
  <c r="Z393" i="23"/>
  <c r="Z348" i="23" s="1"/>
  <c r="Z392" i="23"/>
  <c r="Z344" i="23" s="1"/>
  <c r="AE118" i="22"/>
  <c r="AG43" i="23"/>
  <c r="AE78" i="22"/>
  <c r="J94" i="22"/>
  <c r="O135" i="16"/>
  <c r="K44" i="23"/>
  <c r="J37" i="11"/>
  <c r="J38" i="11"/>
  <c r="K45" i="23"/>
  <c r="I121" i="22"/>
  <c r="AF35" i="22"/>
  <c r="AG11" i="22"/>
  <c r="I118" i="22"/>
  <c r="J36" i="11"/>
  <c r="K43" i="23"/>
  <c r="AI264" i="23"/>
  <c r="J98" i="22"/>
  <c r="J125" i="22" s="1"/>
  <c r="O139" i="16"/>
  <c r="J107" i="22"/>
  <c r="J134" i="22" s="1"/>
  <c r="O148" i="16"/>
  <c r="J97" i="22"/>
  <c r="O138" i="16"/>
  <c r="AJ432" i="23"/>
  <c r="AJ433" i="23"/>
  <c r="AJ292" i="23"/>
  <c r="AJ270" i="23"/>
  <c r="AJ206" i="23"/>
  <c r="AJ80" i="23"/>
  <c r="AJ81" i="23"/>
  <c r="AJ6" i="23"/>
  <c r="AK5" i="23"/>
  <c r="AI286" i="23"/>
  <c r="AK68" i="16"/>
  <c r="AJ71" i="16"/>
  <c r="Z194" i="23"/>
  <c r="Z179" i="23"/>
  <c r="AI60" i="23"/>
  <c r="AI69" i="23"/>
  <c r="AI68" i="23"/>
  <c r="AI31" i="23"/>
  <c r="AI67" i="23"/>
  <c r="Z139" i="23"/>
  <c r="K104" i="22"/>
  <c r="P145" i="16"/>
  <c r="Z187" i="23"/>
  <c r="AA183" i="23" s="1"/>
  <c r="AE122" i="22"/>
  <c r="AG46" i="23"/>
  <c r="AF13" i="22"/>
  <c r="AG10" i="22"/>
  <c r="AI435" i="23"/>
  <c r="J96" i="22"/>
  <c r="O137" i="16"/>
  <c r="K43" i="11"/>
  <c r="J131" i="22"/>
  <c r="L50" i="23"/>
  <c r="J100" i="22"/>
  <c r="J127" i="22" s="1"/>
  <c r="O141" i="16"/>
  <c r="J103" i="22"/>
  <c r="J130" i="22" s="1"/>
  <c r="O144" i="16"/>
  <c r="I123" i="22"/>
  <c r="J35" i="11"/>
  <c r="K42" i="23"/>
  <c r="AE124" i="22"/>
  <c r="AG47" i="23"/>
  <c r="J95" i="22"/>
  <c r="O136" i="16"/>
  <c r="AA280" i="23"/>
  <c r="AA391" i="23"/>
  <c r="AA351" i="23"/>
  <c r="J105" i="22"/>
  <c r="O146" i="16"/>
  <c r="Y396" i="23"/>
  <c r="Y302" i="23"/>
  <c r="Y355" i="23"/>
  <c r="K90" i="22"/>
  <c r="P131" i="16"/>
  <c r="J99" i="22"/>
  <c r="J126" i="22" s="1"/>
  <c r="O140" i="16"/>
  <c r="AE132" i="22"/>
  <c r="AG51" i="23"/>
  <c r="J39" i="11"/>
  <c r="I122" i="22"/>
  <c r="K46" i="23"/>
  <c r="AA72" i="22" l="1"/>
  <c r="AC418" i="23" s="1"/>
  <c r="AB418" i="23"/>
  <c r="AB420" i="23" s="1"/>
  <c r="AB23" i="23"/>
  <c r="AF54" i="22"/>
  <c r="AI379" i="23"/>
  <c r="AI350" i="23" s="1"/>
  <c r="AI381" i="23"/>
  <c r="AI358" i="23" s="1"/>
  <c r="AI378" i="23"/>
  <c r="AI346" i="23" s="1"/>
  <c r="AB71" i="22"/>
  <c r="AB31" i="22"/>
  <c r="AD46" i="22"/>
  <c r="AC48" i="22"/>
  <c r="AC62" i="22" s="1"/>
  <c r="AC69" i="22"/>
  <c r="AC18" i="23"/>
  <c r="AA70" i="22"/>
  <c r="AC417" i="23" s="1"/>
  <c r="AJ82" i="23"/>
  <c r="AJ377" i="23" s="1"/>
  <c r="AJ380" i="23" s="1"/>
  <c r="AJ354" i="23" s="1"/>
  <c r="AF55" i="22"/>
  <c r="AB273" i="23"/>
  <c r="AC269" i="23" s="1"/>
  <c r="AC271" i="23" s="1"/>
  <c r="AC272" i="23" s="1"/>
  <c r="Y163" i="23"/>
  <c r="AI71" i="23"/>
  <c r="AI331" i="23" s="1"/>
  <c r="AF116" i="22"/>
  <c r="AH40" i="23"/>
  <c r="AA185" i="23"/>
  <c r="AA186" i="23" s="1"/>
  <c r="AJ435" i="23"/>
  <c r="AG35" i="22"/>
  <c r="AH11" i="22"/>
  <c r="K88" i="22"/>
  <c r="P129" i="16"/>
  <c r="AF118" i="22"/>
  <c r="AH43" i="23"/>
  <c r="L93" i="22"/>
  <c r="L120" i="22" s="1"/>
  <c r="Q134" i="16"/>
  <c r="M93" i="22" s="1"/>
  <c r="M120" i="22" s="1"/>
  <c r="K99" i="22"/>
  <c r="K126" i="22" s="1"/>
  <c r="P140" i="16"/>
  <c r="L43" i="11"/>
  <c r="K131" i="22"/>
  <c r="M50" i="23"/>
  <c r="AF121" i="22"/>
  <c r="AH45" i="23"/>
  <c r="AH44" i="23"/>
  <c r="AG146" i="22"/>
  <c r="AG150" i="22"/>
  <c r="AG149" i="22"/>
  <c r="AG147" i="22"/>
  <c r="AG148" i="22"/>
  <c r="AG142" i="22"/>
  <c r="AG79" i="22" s="1"/>
  <c r="AG141" i="22"/>
  <c r="AG91" i="22"/>
  <c r="AG104" i="22"/>
  <c r="AG94" i="22"/>
  <c r="AG89" i="22"/>
  <c r="AG95" i="22"/>
  <c r="AG107" i="22"/>
  <c r="AG134" i="22" s="1"/>
  <c r="AG93" i="22"/>
  <c r="AG120" i="22" s="1"/>
  <c r="AG96" i="22"/>
  <c r="AG92" i="22"/>
  <c r="AG119" i="22" s="1"/>
  <c r="AG103" i="22"/>
  <c r="AG130" i="22" s="1"/>
  <c r="AG105" i="22"/>
  <c r="AG101" i="22"/>
  <c r="AG97" i="22"/>
  <c r="AG90" i="22"/>
  <c r="AG100" i="22"/>
  <c r="AG127" i="22" s="1"/>
  <c r="AG88" i="22"/>
  <c r="AG106" i="22"/>
  <c r="AG133" i="22" s="1"/>
  <c r="AG98" i="22"/>
  <c r="AG125" i="22" s="1"/>
  <c r="AG99" i="22"/>
  <c r="AG126" i="22" s="1"/>
  <c r="AB280" i="23"/>
  <c r="AB391" i="23"/>
  <c r="AB351" i="23"/>
  <c r="K95" i="22"/>
  <c r="P136" i="16"/>
  <c r="AF45" i="22"/>
  <c r="AF131" i="22"/>
  <c r="AH50" i="23"/>
  <c r="AG159" i="22"/>
  <c r="AG160" i="22"/>
  <c r="L90" i="22"/>
  <c r="Q131" i="16"/>
  <c r="M90" i="22" s="1"/>
  <c r="K39" i="11"/>
  <c r="J122" i="22"/>
  <c r="L46" i="23"/>
  <c r="K96" i="22"/>
  <c r="P137" i="16"/>
  <c r="K97" i="22"/>
  <c r="P138" i="16"/>
  <c r="L104" i="22"/>
  <c r="Q145" i="16"/>
  <c r="M104" i="22" s="1"/>
  <c r="AF78" i="22"/>
  <c r="K117" i="22"/>
  <c r="L34" i="11"/>
  <c r="M41" i="23"/>
  <c r="K35" i="11"/>
  <c r="J123" i="22"/>
  <c r="L42" i="23"/>
  <c r="K40" i="11"/>
  <c r="J124" i="22"/>
  <c r="L47" i="23"/>
  <c r="AI178" i="16"/>
  <c r="AJ76" i="16"/>
  <c r="AF124" i="22"/>
  <c r="AH47" i="23"/>
  <c r="K106" i="22"/>
  <c r="K133" i="22" s="1"/>
  <c r="P147" i="16"/>
  <c r="AB258" i="23"/>
  <c r="AB251" i="23"/>
  <c r="AB253" i="23" s="1"/>
  <c r="AB207" i="23"/>
  <c r="K32" i="11"/>
  <c r="J115" i="22"/>
  <c r="L39" i="23"/>
  <c r="K107" i="22"/>
  <c r="K134" i="22" s="1"/>
  <c r="P148" i="16"/>
  <c r="K92" i="22"/>
  <c r="K119" i="22" s="1"/>
  <c r="P133" i="16"/>
  <c r="AH161" i="22"/>
  <c r="AH6" i="22"/>
  <c r="AI5" i="22"/>
  <c r="AJ252" i="23"/>
  <c r="AJ221" i="23"/>
  <c r="AJ235" i="23"/>
  <c r="AJ337" i="23" s="1"/>
  <c r="AJ200" i="23"/>
  <c r="AJ90" i="23"/>
  <c r="K91" i="22"/>
  <c r="P132" i="16"/>
  <c r="AA389" i="23"/>
  <c r="AA356" i="23" s="1"/>
  <c r="AA388" i="23"/>
  <c r="AA352" i="23" s="1"/>
  <c r="AA387" i="23"/>
  <c r="AA343" i="23" s="1"/>
  <c r="Y398" i="23"/>
  <c r="Y349" i="23" s="1"/>
  <c r="Y397" i="23"/>
  <c r="Y345" i="23" s="1"/>
  <c r="Y399" i="23"/>
  <c r="Y353" i="23" s="1"/>
  <c r="AL68" i="16"/>
  <c r="AK71" i="16"/>
  <c r="K98" i="22"/>
  <c r="K125" i="22" s="1"/>
  <c r="P139" i="16"/>
  <c r="K36" i="11"/>
  <c r="J118" i="22"/>
  <c r="L43" i="23"/>
  <c r="K101" i="22"/>
  <c r="P142" i="16"/>
  <c r="AI91" i="23"/>
  <c r="AI333" i="23" s="1"/>
  <c r="AF117" i="22"/>
  <c r="AH41" i="23"/>
  <c r="K94" i="22"/>
  <c r="P135" i="16"/>
  <c r="J128" i="22"/>
  <c r="K41" i="11"/>
  <c r="L48" i="23"/>
  <c r="AF123" i="22"/>
  <c r="AH42" i="23"/>
  <c r="K103" i="22"/>
  <c r="K130" i="22" s="1"/>
  <c r="P144" i="16"/>
  <c r="AG13" i="22"/>
  <c r="AH10" i="22"/>
  <c r="L44" i="23"/>
  <c r="K37" i="11"/>
  <c r="J121" i="22"/>
  <c r="K38" i="11"/>
  <c r="L45" i="23"/>
  <c r="AI335" i="23"/>
  <c r="AF128" i="22"/>
  <c r="AH48" i="23"/>
  <c r="K89" i="22"/>
  <c r="P130" i="16"/>
  <c r="Z293" i="23"/>
  <c r="Z294" i="23" s="1"/>
  <c r="AA394" i="23"/>
  <c r="AA357" i="23" s="1"/>
  <c r="AA393" i="23"/>
  <c r="AA348" i="23" s="1"/>
  <c r="AA392" i="23"/>
  <c r="AA344" i="23" s="1"/>
  <c r="AJ264" i="23"/>
  <c r="AF115" i="22"/>
  <c r="AH39" i="23"/>
  <c r="K33" i="11"/>
  <c r="J116" i="22"/>
  <c r="L40" i="23"/>
  <c r="K105" i="22"/>
  <c r="P146" i="16"/>
  <c r="K100" i="22"/>
  <c r="K127" i="22" s="1"/>
  <c r="P141" i="16"/>
  <c r="AF37" i="22"/>
  <c r="AF57" i="22" s="1"/>
  <c r="Z140" i="23"/>
  <c r="AK433" i="23"/>
  <c r="AK432" i="23"/>
  <c r="AK270" i="23"/>
  <c r="AK292" i="23"/>
  <c r="AK206" i="23"/>
  <c r="AK81" i="23"/>
  <c r="AK80" i="23"/>
  <c r="AK6" i="23"/>
  <c r="AL5" i="23"/>
  <c r="AF132" i="22"/>
  <c r="AH51" i="23"/>
  <c r="AF122" i="22"/>
  <c r="AH46" i="23"/>
  <c r="J132" i="22"/>
  <c r="K44" i="11"/>
  <c r="L51" i="23"/>
  <c r="AJ60" i="23"/>
  <c r="AJ69" i="23"/>
  <c r="AJ68" i="23"/>
  <c r="AJ67" i="23"/>
  <c r="AJ31" i="23"/>
  <c r="AJ286" i="23"/>
  <c r="AF22" i="22"/>
  <c r="AG19" i="22"/>
  <c r="AG34" i="22" s="1"/>
  <c r="AC23" i="23" l="1"/>
  <c r="AB72" i="22"/>
  <c r="AD418" i="23" s="1"/>
  <c r="AC420" i="23"/>
  <c r="AJ379" i="23"/>
  <c r="AJ350" i="23" s="1"/>
  <c r="AG37" i="22"/>
  <c r="AG57" i="22" s="1"/>
  <c r="AJ378" i="23"/>
  <c r="AJ346" i="23" s="1"/>
  <c r="AJ381" i="23"/>
  <c r="AJ358" i="23" s="1"/>
  <c r="AC71" i="22"/>
  <c r="AC31" i="22"/>
  <c r="AD48" i="22"/>
  <c r="AD62" i="22" s="1"/>
  <c r="AD69" i="22"/>
  <c r="AE46" i="22"/>
  <c r="AD18" i="23"/>
  <c r="AB70" i="22"/>
  <c r="AD417" i="23" s="1"/>
  <c r="AK435" i="23"/>
  <c r="AC273" i="23"/>
  <c r="AD269" i="23" s="1"/>
  <c r="AK82" i="23"/>
  <c r="AK377" i="23" s="1"/>
  <c r="AK379" i="23" s="1"/>
  <c r="AK350" i="23" s="1"/>
  <c r="AA187" i="23"/>
  <c r="AB183" i="23" s="1"/>
  <c r="AB185" i="23" s="1"/>
  <c r="Y384" i="23"/>
  <c r="Y171" i="23"/>
  <c r="Y156" i="23"/>
  <c r="Y94" i="23"/>
  <c r="Y164" i="23"/>
  <c r="Z160" i="23" s="1"/>
  <c r="AB208" i="23"/>
  <c r="AB209" i="23" s="1"/>
  <c r="AC205" i="23" s="1"/>
  <c r="Z396" i="23"/>
  <c r="Z302" i="23"/>
  <c r="Z355" i="23"/>
  <c r="Z295" i="23"/>
  <c r="AA291" i="23" s="1"/>
  <c r="AK264" i="23"/>
  <c r="L33" i="11"/>
  <c r="K116" i="22"/>
  <c r="M40" i="23"/>
  <c r="AH13" i="22"/>
  <c r="AI10" i="22"/>
  <c r="AH150" i="22"/>
  <c r="AH149" i="22"/>
  <c r="AH148" i="22"/>
  <c r="AH142" i="22"/>
  <c r="AH79" i="22" s="1"/>
  <c r="AH146" i="22"/>
  <c r="AH141" i="22"/>
  <c r="AH147" i="22"/>
  <c r="AH100" i="22"/>
  <c r="AH127" i="22" s="1"/>
  <c r="AH103" i="22"/>
  <c r="AH130" i="22" s="1"/>
  <c r="AH105" i="22"/>
  <c r="AH91" i="22"/>
  <c r="AH96" i="22"/>
  <c r="AH101" i="22"/>
  <c r="AH94" i="22"/>
  <c r="AH97" i="22"/>
  <c r="AH89" i="22"/>
  <c r="AH88" i="22"/>
  <c r="AH106" i="22"/>
  <c r="AH133" i="22" s="1"/>
  <c r="AH90" i="22"/>
  <c r="AH99" i="22"/>
  <c r="AH126" i="22" s="1"/>
  <c r="AH98" i="22"/>
  <c r="AH125" i="22" s="1"/>
  <c r="AH107" i="22"/>
  <c r="AH134" i="22" s="1"/>
  <c r="AH93" i="22"/>
  <c r="AH120" i="22" s="1"/>
  <c r="AH104" i="22"/>
  <c r="AH92" i="22"/>
  <c r="AH119" i="22" s="1"/>
  <c r="AH95" i="22"/>
  <c r="N34" i="11"/>
  <c r="M117" i="22"/>
  <c r="AG123" i="22"/>
  <c r="AI42" i="23"/>
  <c r="AH159" i="22"/>
  <c r="AH160" i="22"/>
  <c r="AJ71" i="23"/>
  <c r="AJ331" i="23" s="1"/>
  <c r="AK60" i="23"/>
  <c r="AK69" i="23"/>
  <c r="AK68" i="23"/>
  <c r="AK31" i="23"/>
  <c r="AK67" i="23"/>
  <c r="L36" i="11"/>
  <c r="K118" i="22"/>
  <c r="M43" i="23"/>
  <c r="AB394" i="23"/>
  <c r="AB357" i="23" s="1"/>
  <c r="AB393" i="23"/>
  <c r="AB348" i="23" s="1"/>
  <c r="AB392" i="23"/>
  <c r="AB344" i="23" s="1"/>
  <c r="AG54" i="22"/>
  <c r="AJ91" i="23"/>
  <c r="AJ333" i="23" s="1"/>
  <c r="AI44" i="23"/>
  <c r="AI45" i="23"/>
  <c r="AG121" i="22"/>
  <c r="M44" i="23"/>
  <c r="L37" i="11"/>
  <c r="L38" i="11"/>
  <c r="K121" i="22"/>
  <c r="M45" i="23"/>
  <c r="AM68" i="16"/>
  <c r="AL71" i="16"/>
  <c r="Z148" i="23"/>
  <c r="Z133" i="23"/>
  <c r="AG55" i="22"/>
  <c r="AG131" i="22"/>
  <c r="AI50" i="23"/>
  <c r="L91" i="22"/>
  <c r="Q132" i="16"/>
  <c r="M91" i="22" s="1"/>
  <c r="L92" i="22"/>
  <c r="L119" i="22" s="1"/>
  <c r="Q133" i="16"/>
  <c r="M92" i="22" s="1"/>
  <c r="M119" i="22" s="1"/>
  <c r="AJ335" i="23"/>
  <c r="L107" i="22"/>
  <c r="L134" i="22" s="1"/>
  <c r="Q148" i="16"/>
  <c r="M107" i="22" s="1"/>
  <c r="M134" i="22" s="1"/>
  <c r="N43" i="11"/>
  <c r="M131" i="22"/>
  <c r="AG45" i="22"/>
  <c r="AG118" i="22"/>
  <c r="AI43" i="23"/>
  <c r="Z141" i="23"/>
  <c r="AA137" i="23" s="1"/>
  <c r="L94" i="22"/>
  <c r="Q135" i="16"/>
  <c r="M94" i="22" s="1"/>
  <c r="L106" i="22"/>
  <c r="L133" i="22" s="1"/>
  <c r="Q147" i="16"/>
  <c r="M106" i="22" s="1"/>
  <c r="M133" i="22" s="1"/>
  <c r="L100" i="22"/>
  <c r="L127" i="22" s="1"/>
  <c r="Q141" i="16"/>
  <c r="M100" i="22" s="1"/>
  <c r="M127" i="22" s="1"/>
  <c r="AJ178" i="16"/>
  <c r="AK76" i="16"/>
  <c r="L131" i="22"/>
  <c r="M43" i="11"/>
  <c r="N50" i="23"/>
  <c r="O50" i="23" s="1"/>
  <c r="AG115" i="22"/>
  <c r="AI39" i="23"/>
  <c r="AL433" i="23"/>
  <c r="AL432" i="23"/>
  <c r="AL270" i="23"/>
  <c r="AL292" i="23"/>
  <c r="AL206" i="23"/>
  <c r="AL80" i="23"/>
  <c r="AL81" i="23"/>
  <c r="AL6" i="23"/>
  <c r="AM5" i="23"/>
  <c r="AG122" i="22"/>
  <c r="AI46" i="23"/>
  <c r="L103" i="22"/>
  <c r="L130" i="22" s="1"/>
  <c r="Q144" i="16"/>
  <c r="M103" i="22" s="1"/>
  <c r="M130" i="22" s="1"/>
  <c r="AA194" i="23"/>
  <c r="AA179" i="23"/>
  <c r="L97" i="22"/>
  <c r="Q138" i="16"/>
  <c r="M97" i="22" s="1"/>
  <c r="L105" i="22"/>
  <c r="Q146" i="16"/>
  <c r="M105" i="22" s="1"/>
  <c r="L40" i="11"/>
  <c r="K124" i="22"/>
  <c r="M47" i="23"/>
  <c r="AG117" i="22"/>
  <c r="AI41" i="23"/>
  <c r="AC280" i="23"/>
  <c r="AC391" i="23"/>
  <c r="AC351" i="23"/>
  <c r="L117" i="22"/>
  <c r="M34" i="11"/>
  <c r="N41" i="23"/>
  <c r="O41" i="23" s="1"/>
  <c r="K132" i="22"/>
  <c r="L44" i="11"/>
  <c r="M51" i="23"/>
  <c r="L96" i="22"/>
  <c r="Q137" i="16"/>
  <c r="M96" i="22" s="1"/>
  <c r="AG124" i="22"/>
  <c r="AI47" i="23"/>
  <c r="AG78" i="22"/>
  <c r="L88" i="22"/>
  <c r="Q129" i="16"/>
  <c r="AG116" i="22"/>
  <c r="AI40" i="23"/>
  <c r="AK235" i="23"/>
  <c r="AK337" i="23" s="1"/>
  <c r="AK252" i="23"/>
  <c r="AK221" i="23"/>
  <c r="AK200" i="23"/>
  <c r="AK90" i="23"/>
  <c r="L101" i="22"/>
  <c r="Q142" i="16"/>
  <c r="M101" i="22" s="1"/>
  <c r="K123" i="22"/>
  <c r="L35" i="11"/>
  <c r="M42" i="23"/>
  <c r="AG128" i="22"/>
  <c r="AI48" i="23"/>
  <c r="L99" i="22"/>
  <c r="L126" i="22" s="1"/>
  <c r="Q140" i="16"/>
  <c r="M99" i="22" s="1"/>
  <c r="M126" i="22" s="1"/>
  <c r="L32" i="11"/>
  <c r="K115" i="22"/>
  <c r="M39" i="23"/>
  <c r="L41" i="11"/>
  <c r="K128" i="22"/>
  <c r="M48" i="23"/>
  <c r="AG132" i="22"/>
  <c r="AI51" i="23"/>
  <c r="L98" i="22"/>
  <c r="L125" i="22" s="1"/>
  <c r="Q139" i="16"/>
  <c r="M98" i="22" s="1"/>
  <c r="M125" i="22" s="1"/>
  <c r="AG22" i="22"/>
  <c r="AH19" i="22"/>
  <c r="L95" i="22"/>
  <c r="Q136" i="16"/>
  <c r="M95" i="22" s="1"/>
  <c r="AH35" i="22"/>
  <c r="AI11" i="22"/>
  <c r="AK286" i="23"/>
  <c r="L89" i="22"/>
  <c r="Q130" i="16"/>
  <c r="M89" i="22" s="1"/>
  <c r="AI161" i="22"/>
  <c r="AJ5" i="22"/>
  <c r="AI6" i="22"/>
  <c r="L39" i="11"/>
  <c r="K122" i="22"/>
  <c r="M46" i="23"/>
  <c r="AD23" i="23" l="1"/>
  <c r="AC72" i="22"/>
  <c r="AE418" i="23" s="1"/>
  <c r="AD420" i="23"/>
  <c r="AK380" i="23"/>
  <c r="AK354" i="23" s="1"/>
  <c r="AE48" i="22"/>
  <c r="AE62" i="22" s="1"/>
  <c r="AE69" i="22"/>
  <c r="AF46" i="22"/>
  <c r="AD71" i="22"/>
  <c r="AD31" i="22"/>
  <c r="AE18" i="23"/>
  <c r="AC70" i="22"/>
  <c r="AE417" i="23" s="1"/>
  <c r="AB216" i="23"/>
  <c r="AK378" i="23"/>
  <c r="AK346" i="23" s="1"/>
  <c r="AD271" i="23"/>
  <c r="AD272" i="23" s="1"/>
  <c r="AL435" i="23"/>
  <c r="AK381" i="23"/>
  <c r="AK358" i="23" s="1"/>
  <c r="AC251" i="23"/>
  <c r="AC253" i="23" s="1"/>
  <c r="AC258" i="23"/>
  <c r="AC207" i="23"/>
  <c r="AC208" i="23" s="1"/>
  <c r="Z162" i="23"/>
  <c r="Z163" i="23" s="1"/>
  <c r="AH54" i="22"/>
  <c r="Y342" i="23"/>
  <c r="Y93" i="23"/>
  <c r="AH55" i="22"/>
  <c r="AL82" i="23"/>
  <c r="AL377" i="23" s="1"/>
  <c r="AL380" i="23" s="1"/>
  <c r="AL354" i="23" s="1"/>
  <c r="AB347" i="23"/>
  <c r="AB386" i="23"/>
  <c r="AB389" i="23" s="1"/>
  <c r="AB356" i="23" s="1"/>
  <c r="AH78" i="22"/>
  <c r="M88" i="22"/>
  <c r="N39" i="11"/>
  <c r="M122" i="22"/>
  <c r="M118" i="22"/>
  <c r="N36" i="11"/>
  <c r="AM71" i="16"/>
  <c r="AN68" i="16"/>
  <c r="AJ44" i="23"/>
  <c r="AH121" i="22"/>
  <c r="AJ45" i="23"/>
  <c r="Z398" i="23"/>
  <c r="Z349" i="23" s="1"/>
  <c r="Z399" i="23"/>
  <c r="Z353" i="23" s="1"/>
  <c r="Z397" i="23"/>
  <c r="Z345" i="23" s="1"/>
  <c r="M39" i="11"/>
  <c r="L122" i="22"/>
  <c r="N46" i="23"/>
  <c r="O46" i="23" s="1"/>
  <c r="N37" i="11"/>
  <c r="M121" i="22"/>
  <c r="N38" i="11"/>
  <c r="M36" i="11"/>
  <c r="L118" i="22"/>
  <c r="N43" i="23"/>
  <c r="O43" i="23" s="1"/>
  <c r="AH128" i="22"/>
  <c r="AJ48" i="23"/>
  <c r="N44" i="23"/>
  <c r="O44" i="23" s="1"/>
  <c r="M37" i="11"/>
  <c r="M38" i="11"/>
  <c r="L121" i="22"/>
  <c r="N45" i="23"/>
  <c r="O45" i="23" s="1"/>
  <c r="AH123" i="22"/>
  <c r="AJ42" i="23"/>
  <c r="AI35" i="22"/>
  <c r="AJ11" i="22"/>
  <c r="AH22" i="22"/>
  <c r="AI19" i="22"/>
  <c r="AI34" i="22" s="1"/>
  <c r="M123" i="22"/>
  <c r="N35" i="11"/>
  <c r="AA139" i="23"/>
  <c r="AA140" i="23" s="1"/>
  <c r="AH122" i="22"/>
  <c r="AJ46" i="23"/>
  <c r="AH118" i="22"/>
  <c r="AJ43" i="23"/>
  <c r="AH115" i="22"/>
  <c r="AJ39" i="23"/>
  <c r="M35" i="11"/>
  <c r="L123" i="22"/>
  <c r="N42" i="23"/>
  <c r="O42" i="23" s="1"/>
  <c r="AH132" i="22"/>
  <c r="AJ51" i="23"/>
  <c r="AK335" i="23"/>
  <c r="AH124" i="22"/>
  <c r="AJ47" i="23"/>
  <c r="AI149" i="22"/>
  <c r="AI148" i="22"/>
  <c r="AI147" i="22"/>
  <c r="AI142" i="22"/>
  <c r="AI79" i="22" s="1"/>
  <c r="AI146" i="22"/>
  <c r="AI141" i="22"/>
  <c r="AI150" i="22"/>
  <c r="AI101" i="22"/>
  <c r="AI106" i="22"/>
  <c r="AI133" i="22" s="1"/>
  <c r="AI89" i="22"/>
  <c r="AI94" i="22"/>
  <c r="AI98" i="22"/>
  <c r="AI125" i="22" s="1"/>
  <c r="AI100" i="22"/>
  <c r="AI127" i="22" s="1"/>
  <c r="AI92" i="22"/>
  <c r="AI119" i="22" s="1"/>
  <c r="AI99" i="22"/>
  <c r="AI126" i="22" s="1"/>
  <c r="AI104" i="22"/>
  <c r="AI90" i="22"/>
  <c r="AI93" i="22"/>
  <c r="AI120" i="22" s="1"/>
  <c r="AI107" i="22"/>
  <c r="AI134" i="22" s="1"/>
  <c r="AI95" i="22"/>
  <c r="AI91" i="22"/>
  <c r="AI103" i="22"/>
  <c r="AI130" i="22" s="1"/>
  <c r="AI96" i="22"/>
  <c r="AI97" i="22"/>
  <c r="AI88" i="22"/>
  <c r="AI105" i="22"/>
  <c r="AL235" i="23"/>
  <c r="AL337" i="23" s="1"/>
  <c r="AL252" i="23"/>
  <c r="AL221" i="23"/>
  <c r="AL200" i="23"/>
  <c r="AL90" i="23"/>
  <c r="AK178" i="16"/>
  <c r="AL76" i="16"/>
  <c r="AH131" i="22"/>
  <c r="AJ50" i="23"/>
  <c r="AJ161" i="22"/>
  <c r="AK5" i="22"/>
  <c r="AJ6" i="22"/>
  <c r="M132" i="22"/>
  <c r="N44" i="11"/>
  <c r="AI159" i="22"/>
  <c r="AI160" i="22"/>
  <c r="M44" i="11"/>
  <c r="L132" i="22"/>
  <c r="N51" i="23"/>
  <c r="O51" i="23" s="1"/>
  <c r="AL286" i="23"/>
  <c r="AH45" i="22"/>
  <c r="AC394" i="23"/>
  <c r="AC357" i="23" s="1"/>
  <c r="AC393" i="23"/>
  <c r="AC348" i="23" s="1"/>
  <c r="AC392" i="23"/>
  <c r="AC344" i="23" s="1"/>
  <c r="M116" i="22"/>
  <c r="N33" i="11"/>
  <c r="N40" i="11"/>
  <c r="M124" i="22"/>
  <c r="AL264" i="23"/>
  <c r="AJ10" i="22"/>
  <c r="AI13" i="22"/>
  <c r="M33" i="11"/>
  <c r="L116" i="22"/>
  <c r="N40" i="23"/>
  <c r="O40" i="23" s="1"/>
  <c r="N41" i="11"/>
  <c r="M128" i="22"/>
  <c r="M40" i="11"/>
  <c r="L124" i="22"/>
  <c r="N47" i="23"/>
  <c r="O47" i="23" s="1"/>
  <c r="AB186" i="23"/>
  <c r="M32" i="11"/>
  <c r="L115" i="22"/>
  <c r="N39" i="23"/>
  <c r="M41" i="11"/>
  <c r="L128" i="22"/>
  <c r="N48" i="23"/>
  <c r="O48" i="23" s="1"/>
  <c r="AM433" i="23"/>
  <c r="AM432" i="23"/>
  <c r="AM270" i="23"/>
  <c r="AM292" i="23"/>
  <c r="AM206" i="23"/>
  <c r="AM80" i="23"/>
  <c r="AM81" i="23"/>
  <c r="AN5" i="23"/>
  <c r="AM6" i="23"/>
  <c r="AH34" i="22"/>
  <c r="AH37" i="22" s="1"/>
  <c r="AH57" i="22" s="1"/>
  <c r="AK91" i="23"/>
  <c r="AK333" i="23" s="1"/>
  <c r="AH116" i="22"/>
  <c r="AJ40" i="23"/>
  <c r="AL69" i="23"/>
  <c r="AL68" i="23"/>
  <c r="AL60" i="23"/>
  <c r="AL67" i="23"/>
  <c r="AL31" i="23"/>
  <c r="AK71" i="23"/>
  <c r="AK331" i="23" s="1"/>
  <c r="AH117" i="22"/>
  <c r="AJ41" i="23"/>
  <c r="AA293" i="23"/>
  <c r="AA294" i="23" s="1"/>
  <c r="AE23" i="23" l="1"/>
  <c r="AD72" i="22"/>
  <c r="AF418" i="23" s="1"/>
  <c r="AB387" i="23"/>
  <c r="AB343" i="23" s="1"/>
  <c r="AE420" i="23"/>
  <c r="AF18" i="23"/>
  <c r="AD70" i="22"/>
  <c r="AF417" i="23" s="1"/>
  <c r="AG46" i="22"/>
  <c r="AF69" i="22"/>
  <c r="AF48" i="22"/>
  <c r="AF62" i="22" s="1"/>
  <c r="AE71" i="22"/>
  <c r="AE31" i="22"/>
  <c r="AD391" i="23"/>
  <c r="AD393" i="23" s="1"/>
  <c r="AD348" i="23" s="1"/>
  <c r="AD351" i="23"/>
  <c r="AD273" i="23"/>
  <c r="AE269" i="23" s="1"/>
  <c r="AE271" i="23" s="1"/>
  <c r="AD280" i="23"/>
  <c r="AL71" i="23"/>
  <c r="AL331" i="23" s="1"/>
  <c r="AB388" i="23"/>
  <c r="AB352" i="23" s="1"/>
  <c r="AI55" i="22"/>
  <c r="AI54" i="22"/>
  <c r="AL381" i="23"/>
  <c r="AL358" i="23" s="1"/>
  <c r="AI37" i="22"/>
  <c r="AI57" i="22" s="1"/>
  <c r="Z156" i="23"/>
  <c r="Z171" i="23"/>
  <c r="Z94" i="23"/>
  <c r="Z384" i="23"/>
  <c r="Z164" i="23"/>
  <c r="AA160" i="23" s="1"/>
  <c r="AL379" i="23"/>
  <c r="AL350" i="23" s="1"/>
  <c r="AL378" i="23"/>
  <c r="AL346" i="23" s="1"/>
  <c r="AA295" i="23"/>
  <c r="AB291" i="23" s="1"/>
  <c r="AB293" i="23" s="1"/>
  <c r="AA148" i="23"/>
  <c r="AA133" i="23"/>
  <c r="AI131" i="22"/>
  <c r="AK50" i="23"/>
  <c r="AM264" i="23"/>
  <c r="AB194" i="23"/>
  <c r="AB179" i="23"/>
  <c r="AJ150" i="22"/>
  <c r="AJ148" i="22"/>
  <c r="AJ147" i="22"/>
  <c r="AJ146" i="22"/>
  <c r="AJ141" i="22"/>
  <c r="AJ149" i="22"/>
  <c r="AJ142" i="22"/>
  <c r="AJ79" i="22" s="1"/>
  <c r="AJ104" i="22"/>
  <c r="AJ98" i="22"/>
  <c r="AJ125" i="22" s="1"/>
  <c r="AJ107" i="22"/>
  <c r="AJ134" i="22" s="1"/>
  <c r="AJ100" i="22"/>
  <c r="AJ127" i="22" s="1"/>
  <c r="AJ92" i="22"/>
  <c r="AJ119" i="22" s="1"/>
  <c r="AJ97" i="22"/>
  <c r="AJ89" i="22"/>
  <c r="AJ95" i="22"/>
  <c r="AJ103" i="22"/>
  <c r="AJ130" i="22" s="1"/>
  <c r="AJ93" i="22"/>
  <c r="AJ120" i="22" s="1"/>
  <c r="AJ105" i="22"/>
  <c r="AJ94" i="22"/>
  <c r="AJ96" i="22"/>
  <c r="AJ88" i="22"/>
  <c r="AJ106" i="22"/>
  <c r="AJ133" i="22" s="1"/>
  <c r="AJ91" i="22"/>
  <c r="AJ90" i="22"/>
  <c r="AJ101" i="22"/>
  <c r="AJ99" i="22"/>
  <c r="AJ126" i="22" s="1"/>
  <c r="AI117" i="22"/>
  <c r="AK41" i="23"/>
  <c r="AI78" i="22"/>
  <c r="AI45" i="22"/>
  <c r="AA141" i="23"/>
  <c r="AB137" i="23" s="1"/>
  <c r="AM82" i="23"/>
  <c r="AM377" i="23" s="1"/>
  <c r="AM435" i="23"/>
  <c r="AK10" i="22"/>
  <c r="AJ13" i="22"/>
  <c r="AB187" i="23"/>
  <c r="AC183" i="23" s="1"/>
  <c r="AI22" i="22"/>
  <c r="AJ19" i="22"/>
  <c r="AJ34" i="22" s="1"/>
  <c r="AI132" i="22"/>
  <c r="AK51" i="23"/>
  <c r="AK44" i="23"/>
  <c r="AK45" i="23"/>
  <c r="AI121" i="22"/>
  <c r="AA396" i="23"/>
  <c r="AA302" i="23"/>
  <c r="AA355" i="23"/>
  <c r="AL178" i="16"/>
  <c r="AM76" i="16"/>
  <c r="AI115" i="22"/>
  <c r="AK39" i="23"/>
  <c r="AI116" i="22"/>
  <c r="AK40" i="23"/>
  <c r="AJ35" i="22"/>
  <c r="AK11" i="22"/>
  <c r="AN71" i="16"/>
  <c r="AO68" i="16"/>
  <c r="AI124" i="22"/>
  <c r="AK47" i="23"/>
  <c r="AI123" i="22"/>
  <c r="AK42" i="23"/>
  <c r="AI128" i="22"/>
  <c r="AK48" i="23"/>
  <c r="AN433" i="23"/>
  <c r="AN432" i="23"/>
  <c r="AN292" i="23"/>
  <c r="AN270" i="23"/>
  <c r="AN206" i="23"/>
  <c r="AN80" i="23"/>
  <c r="AN81" i="23"/>
  <c r="AO5" i="23"/>
  <c r="AN6" i="23"/>
  <c r="O39" i="23"/>
  <c r="AK161" i="22"/>
  <c r="AL5" i="22"/>
  <c r="AK6" i="22"/>
  <c r="AM252" i="23"/>
  <c r="AM221" i="23"/>
  <c r="AM235" i="23"/>
  <c r="AM337" i="23" s="1"/>
  <c r="AM200" i="23"/>
  <c r="AM90" i="23"/>
  <c r="AL91" i="23"/>
  <c r="AL333" i="23" s="1"/>
  <c r="AI118" i="22"/>
  <c r="AK43" i="23"/>
  <c r="AM69" i="23"/>
  <c r="AM68" i="23"/>
  <c r="AM60" i="23"/>
  <c r="AM31" i="23"/>
  <c r="AM67" i="23"/>
  <c r="AC216" i="23"/>
  <c r="AC386" i="23"/>
  <c r="AC347" i="23"/>
  <c r="AL335" i="23"/>
  <c r="AI122" i="22"/>
  <c r="AK46" i="23"/>
  <c r="N32" i="11"/>
  <c r="M115" i="22"/>
  <c r="AC209" i="23"/>
  <c r="AD205" i="23" s="1"/>
  <c r="AJ160" i="22"/>
  <c r="AJ159" i="22"/>
  <c r="AM286" i="23"/>
  <c r="AF23" i="23" l="1"/>
  <c r="AE72" i="22"/>
  <c r="AD392" i="23"/>
  <c r="AD344" i="23" s="1"/>
  <c r="AF420" i="23"/>
  <c r="AE272" i="23"/>
  <c r="AE273" i="23" s="1"/>
  <c r="AF269" i="23" s="1"/>
  <c r="AF271" i="23" s="1"/>
  <c r="AD394" i="23"/>
  <c r="AD357" i="23" s="1"/>
  <c r="AG18" i="23"/>
  <c r="AE70" i="22"/>
  <c r="AG417" i="23" s="1"/>
  <c r="AF31" i="22"/>
  <c r="AF71" i="22"/>
  <c r="AH46" i="22"/>
  <c r="AG48" i="22"/>
  <c r="AG62" i="22" s="1"/>
  <c r="AG69" i="22"/>
  <c r="AJ55" i="22"/>
  <c r="AB294" i="23"/>
  <c r="AB295" i="23" s="1"/>
  <c r="AC291" i="23" s="1"/>
  <c r="AC293" i="23" s="1"/>
  <c r="AA162" i="23"/>
  <c r="AA163" i="23" s="1"/>
  <c r="AA164" i="23" s="1"/>
  <c r="AB160" i="23" s="1"/>
  <c r="AN435" i="23"/>
  <c r="Z93" i="23"/>
  <c r="Z342" i="23"/>
  <c r="AJ132" i="22"/>
  <c r="AL51" i="23"/>
  <c r="AO433" i="23"/>
  <c r="AO432" i="23"/>
  <c r="AO270" i="23"/>
  <c r="AO292" i="23"/>
  <c r="AO206" i="23"/>
  <c r="AO81" i="23"/>
  <c r="AO80" i="23"/>
  <c r="AP5" i="23"/>
  <c r="AO6" i="23"/>
  <c r="AL44" i="23"/>
  <c r="AJ121" i="22"/>
  <c r="AL45" i="23"/>
  <c r="AJ22" i="22"/>
  <c r="AK19" i="22"/>
  <c r="AK34" i="22" s="1"/>
  <c r="AK35" i="22"/>
  <c r="AL11" i="22"/>
  <c r="AD251" i="23"/>
  <c r="AD253" i="23" s="1"/>
  <c r="AD258" i="23"/>
  <c r="AD207" i="23"/>
  <c r="AD208" i="23" s="1"/>
  <c r="AK13" i="22"/>
  <c r="AL10" i="22"/>
  <c r="AJ122" i="22"/>
  <c r="AL46" i="23"/>
  <c r="AJ78" i="22"/>
  <c r="AM71" i="23"/>
  <c r="AJ37" i="22"/>
  <c r="AJ57" i="22" s="1"/>
  <c r="AJ116" i="22"/>
  <c r="AL40" i="23"/>
  <c r="AM379" i="23"/>
  <c r="AM350" i="23" s="1"/>
  <c r="AM381" i="23"/>
  <c r="AM358" i="23" s="1"/>
  <c r="AM380" i="23"/>
  <c r="AM354" i="23" s="1"/>
  <c r="AM378" i="23"/>
  <c r="AM346" i="23" s="1"/>
  <c r="AJ124" i="22"/>
  <c r="AL47" i="23"/>
  <c r="AJ54" i="22"/>
  <c r="AM178" i="16"/>
  <c r="AN76" i="16"/>
  <c r="AC185" i="23"/>
  <c r="AJ128" i="22"/>
  <c r="AL48" i="23"/>
  <c r="AJ117" i="22"/>
  <c r="AL41" i="23"/>
  <c r="AC389" i="23"/>
  <c r="AC356" i="23" s="1"/>
  <c r="AC388" i="23"/>
  <c r="AC352" i="23" s="1"/>
  <c r="AC387" i="23"/>
  <c r="AC343" i="23" s="1"/>
  <c r="AN252" i="23"/>
  <c r="AN235" i="23"/>
  <c r="AN337" i="23" s="1"/>
  <c r="AN200" i="23"/>
  <c r="AN221" i="23"/>
  <c r="AN90" i="23"/>
  <c r="AB139" i="23"/>
  <c r="AB140" i="23" s="1"/>
  <c r="AJ131" i="22"/>
  <c r="AL50" i="23"/>
  <c r="AK150" i="22"/>
  <c r="AK149" i="22"/>
  <c r="AK147" i="22"/>
  <c r="AK146" i="22"/>
  <c r="AK142" i="22"/>
  <c r="AK79" i="22" s="1"/>
  <c r="AK148" i="22"/>
  <c r="AK141" i="22"/>
  <c r="AK105" i="22"/>
  <c r="AK94" i="22"/>
  <c r="AK96" i="22"/>
  <c r="AK98" i="22"/>
  <c r="AK125" i="22" s="1"/>
  <c r="AK91" i="22"/>
  <c r="AK93" i="22"/>
  <c r="AK120" i="22" s="1"/>
  <c r="AK92" i="22"/>
  <c r="AK119" i="22" s="1"/>
  <c r="AK97" i="22"/>
  <c r="AK101" i="22"/>
  <c r="AK88" i="22"/>
  <c r="AK90" i="22"/>
  <c r="AK99" i="22"/>
  <c r="AK126" i="22" s="1"/>
  <c r="AK106" i="22"/>
  <c r="AK133" i="22" s="1"/>
  <c r="AK89" i="22"/>
  <c r="AK95" i="22"/>
  <c r="AK103" i="22"/>
  <c r="AK130" i="22" s="1"/>
  <c r="AK104" i="22"/>
  <c r="AK100" i="22"/>
  <c r="AK127" i="22" s="1"/>
  <c r="AK107" i="22"/>
  <c r="AK134" i="22" s="1"/>
  <c r="AJ118" i="22"/>
  <c r="AL43" i="23"/>
  <c r="AN82" i="23"/>
  <c r="AN377" i="23" s="1"/>
  <c r="AM91" i="23"/>
  <c r="AM333" i="23" s="1"/>
  <c r="AL161" i="22"/>
  <c r="AM5" i="22"/>
  <c r="AL6" i="22"/>
  <c r="AN264" i="23"/>
  <c r="AJ45" i="22"/>
  <c r="AK159" i="22"/>
  <c r="AK160" i="22"/>
  <c r="AN286" i="23"/>
  <c r="AA398" i="23"/>
  <c r="AA349" i="23" s="1"/>
  <c r="AA397" i="23"/>
  <c r="AA345" i="23" s="1"/>
  <c r="AA399" i="23"/>
  <c r="AA353" i="23" s="1"/>
  <c r="AJ115" i="22"/>
  <c r="AL39" i="23"/>
  <c r="AM335" i="23"/>
  <c r="AN69" i="23"/>
  <c r="AN68" i="23"/>
  <c r="AN60" i="23"/>
  <c r="AN31" i="23"/>
  <c r="AN67" i="23"/>
  <c r="AO71" i="16"/>
  <c r="AP68" i="16"/>
  <c r="AJ123" i="22"/>
  <c r="AL42" i="23"/>
  <c r="AF72" i="22" l="1"/>
  <c r="AG23" i="23"/>
  <c r="AG418" i="23"/>
  <c r="AG420" i="23" s="1"/>
  <c r="AB302" i="23"/>
  <c r="AE351" i="23"/>
  <c r="AE280" i="23"/>
  <c r="AE391" i="23"/>
  <c r="AE393" i="23" s="1"/>
  <c r="AE348" i="23" s="1"/>
  <c r="AK55" i="22"/>
  <c r="AB396" i="23"/>
  <c r="AB397" i="23" s="1"/>
  <c r="AB345" i="23" s="1"/>
  <c r="AG71" i="22"/>
  <c r="AG31" i="22"/>
  <c r="AH69" i="22"/>
  <c r="AH48" i="22"/>
  <c r="AH62" i="22" s="1"/>
  <c r="AI46" i="22"/>
  <c r="AH18" i="23"/>
  <c r="AF70" i="22"/>
  <c r="AH417" i="23" s="1"/>
  <c r="AB355" i="23"/>
  <c r="AO82" i="23"/>
  <c r="AO377" i="23" s="1"/>
  <c r="AO379" i="23" s="1"/>
  <c r="AO350" i="23" s="1"/>
  <c r="AB162" i="23"/>
  <c r="AA156" i="23"/>
  <c r="AA171" i="23"/>
  <c r="AA384" i="23"/>
  <c r="AA94" i="23"/>
  <c r="AB141" i="23"/>
  <c r="AC137" i="23" s="1"/>
  <c r="AC139" i="23" s="1"/>
  <c r="AD216" i="23"/>
  <c r="AD386" i="23"/>
  <c r="AD347" i="23"/>
  <c r="AD209" i="23"/>
  <c r="AE205" i="23" s="1"/>
  <c r="AM11" i="22"/>
  <c r="AL35" i="22"/>
  <c r="AK117" i="22"/>
  <c r="AM41" i="23"/>
  <c r="AK37" i="22"/>
  <c r="AK57" i="22" s="1"/>
  <c r="AK22" i="22"/>
  <c r="AL19" i="22"/>
  <c r="AL34" i="22" s="1"/>
  <c r="AK115" i="22"/>
  <c r="AM39" i="23"/>
  <c r="AK54" i="22"/>
  <c r="AO252" i="23"/>
  <c r="AO235" i="23"/>
  <c r="AO337" i="23" s="1"/>
  <c r="AO200" i="23"/>
  <c r="AO221" i="23"/>
  <c r="AO90" i="23"/>
  <c r="AK128" i="22"/>
  <c r="AM48" i="23"/>
  <c r="AK45" i="22"/>
  <c r="AK124" i="22"/>
  <c r="AM47" i="23"/>
  <c r="AF272" i="23"/>
  <c r="AF273" i="23" s="1"/>
  <c r="AG269" i="23" s="1"/>
  <c r="AO286" i="23"/>
  <c r="AL13" i="22"/>
  <c r="AM10" i="22"/>
  <c r="AP71" i="16"/>
  <c r="AQ68" i="16"/>
  <c r="AB148" i="23"/>
  <c r="AB133" i="23"/>
  <c r="AO68" i="23"/>
  <c r="AO60" i="23"/>
  <c r="AO69" i="23"/>
  <c r="AO31" i="23"/>
  <c r="AO67" i="23"/>
  <c r="AK118" i="22"/>
  <c r="AM43" i="23"/>
  <c r="AP433" i="23"/>
  <c r="AP432" i="23"/>
  <c r="AP270" i="23"/>
  <c r="AP292" i="23"/>
  <c r="AP206" i="23"/>
  <c r="AP81" i="23"/>
  <c r="AP80" i="23"/>
  <c r="AQ5" i="23"/>
  <c r="AP6" i="23"/>
  <c r="AO264" i="23"/>
  <c r="AN71" i="23"/>
  <c r="AN331" i="23" s="1"/>
  <c r="AL150" i="22"/>
  <c r="AL149" i="22"/>
  <c r="AL148" i="22"/>
  <c r="AL146" i="22"/>
  <c r="AL147" i="22"/>
  <c r="AL142" i="22"/>
  <c r="AL79" i="22" s="1"/>
  <c r="AL141" i="22"/>
  <c r="AL96" i="22"/>
  <c r="AL89" i="22"/>
  <c r="AL98" i="22"/>
  <c r="AL125" i="22" s="1"/>
  <c r="AL99" i="22"/>
  <c r="AL126" i="22" s="1"/>
  <c r="AL88" i="22"/>
  <c r="AL97" i="22"/>
  <c r="AL90" i="22"/>
  <c r="AL104" i="22"/>
  <c r="AL100" i="22"/>
  <c r="AL127" i="22" s="1"/>
  <c r="AL107" i="22"/>
  <c r="AL134" i="22" s="1"/>
  <c r="AL103" i="22"/>
  <c r="AL130" i="22" s="1"/>
  <c r="AL92" i="22"/>
  <c r="AL119" i="22" s="1"/>
  <c r="AL101" i="22"/>
  <c r="AL95" i="22"/>
  <c r="AL106" i="22"/>
  <c r="AL133" i="22" s="1"/>
  <c r="AL94" i="22"/>
  <c r="AL91" i="22"/>
  <c r="AL105" i="22"/>
  <c r="AL93" i="22"/>
  <c r="AL120" i="22" s="1"/>
  <c r="AC186" i="23"/>
  <c r="AK78" i="22"/>
  <c r="AM161" i="22"/>
  <c r="AN5" i="22"/>
  <c r="AM6" i="22"/>
  <c r="AK123" i="22"/>
  <c r="AM42" i="23"/>
  <c r="AO435" i="23"/>
  <c r="AL159" i="22"/>
  <c r="AL160" i="22"/>
  <c r="AK131" i="22"/>
  <c r="AM50" i="23"/>
  <c r="AK121" i="22"/>
  <c r="AM45" i="23"/>
  <c r="AM44" i="23"/>
  <c r="AC294" i="23"/>
  <c r="AN379" i="23"/>
  <c r="AN350" i="23" s="1"/>
  <c r="AN381" i="23"/>
  <c r="AN358" i="23" s="1"/>
  <c r="AN380" i="23"/>
  <c r="AN354" i="23" s="1"/>
  <c r="AN378" i="23"/>
  <c r="AN346" i="23" s="1"/>
  <c r="AK132" i="22"/>
  <c r="AM51" i="23"/>
  <c r="AN335" i="23"/>
  <c r="AM331" i="23"/>
  <c r="AK122" i="22"/>
  <c r="AM46" i="23"/>
  <c r="AN91" i="23"/>
  <c r="AN333" i="23" s="1"/>
  <c r="AN178" i="16"/>
  <c r="AO76" i="16"/>
  <c r="AK116" i="22"/>
  <c r="AM40" i="23"/>
  <c r="AB398" i="23" l="1"/>
  <c r="AB349" i="23" s="1"/>
  <c r="AH418" i="23"/>
  <c r="AH420" i="23" s="1"/>
  <c r="AH23" i="23"/>
  <c r="AE394" i="23"/>
  <c r="AE357" i="23" s="1"/>
  <c r="AL55" i="22"/>
  <c r="AB399" i="23"/>
  <c r="AB353" i="23" s="1"/>
  <c r="AG72" i="22"/>
  <c r="AE392" i="23"/>
  <c r="AE344" i="23" s="1"/>
  <c r="AI48" i="22"/>
  <c r="AI62" i="22" s="1"/>
  <c r="AI69" i="22"/>
  <c r="AJ46" i="22"/>
  <c r="AH71" i="22"/>
  <c r="AH31" i="22"/>
  <c r="AO378" i="23"/>
  <c r="AO346" i="23" s="1"/>
  <c r="AO381" i="23"/>
  <c r="AO358" i="23" s="1"/>
  <c r="AI18" i="23"/>
  <c r="AG70" i="22"/>
  <c r="AI417" i="23" s="1"/>
  <c r="AO380" i="23"/>
  <c r="AO354" i="23" s="1"/>
  <c r="AL37" i="22"/>
  <c r="AL57" i="22" s="1"/>
  <c r="AP82" i="23"/>
  <c r="AP377" i="23" s="1"/>
  <c r="AP380" i="23" s="1"/>
  <c r="AP354" i="23" s="1"/>
  <c r="AA342" i="23"/>
  <c r="AA93" i="23"/>
  <c r="AO71" i="23"/>
  <c r="AO331" i="23" s="1"/>
  <c r="AB163" i="23"/>
  <c r="AB164" i="23" s="1"/>
  <c r="AC160" i="23" s="1"/>
  <c r="AL124" i="22"/>
  <c r="AN47" i="23"/>
  <c r="AP252" i="23"/>
  <c r="AP235" i="23"/>
  <c r="AP337" i="23" s="1"/>
  <c r="AP221" i="23"/>
  <c r="AP200" i="23"/>
  <c r="AP90" i="23"/>
  <c r="AO335" i="23"/>
  <c r="AL132" i="22"/>
  <c r="AN51" i="23"/>
  <c r="AL118" i="22"/>
  <c r="AN43" i="23"/>
  <c r="AL116" i="22"/>
  <c r="AN40" i="23"/>
  <c r="AP68" i="23"/>
  <c r="AP60" i="23"/>
  <c r="AP69" i="23"/>
  <c r="AP31" i="23"/>
  <c r="AP67" i="23"/>
  <c r="AP286" i="23"/>
  <c r="AO91" i="23"/>
  <c r="AO333" i="23" s="1"/>
  <c r="AM150" i="22"/>
  <c r="AM149" i="22"/>
  <c r="AM148" i="22"/>
  <c r="AM147" i="22"/>
  <c r="AM142" i="22"/>
  <c r="AM79" i="22" s="1"/>
  <c r="AM141" i="22"/>
  <c r="AM146" i="22"/>
  <c r="AM90" i="22"/>
  <c r="AM98" i="22"/>
  <c r="AM125" i="22" s="1"/>
  <c r="AM107" i="22"/>
  <c r="AM134" i="22" s="1"/>
  <c r="AM94" i="22"/>
  <c r="AM97" i="22"/>
  <c r="AM103" i="22"/>
  <c r="AM130" i="22" s="1"/>
  <c r="AM105" i="22"/>
  <c r="AM91" i="22"/>
  <c r="AM92" i="22"/>
  <c r="AM119" i="22" s="1"/>
  <c r="AM93" i="22"/>
  <c r="AM120" i="22" s="1"/>
  <c r="AM89" i="22"/>
  <c r="AM101" i="22"/>
  <c r="AM95" i="22"/>
  <c r="AM96" i="22"/>
  <c r="AM88" i="22"/>
  <c r="AM104" i="22"/>
  <c r="AM100" i="22"/>
  <c r="AM127" i="22" s="1"/>
  <c r="AM106" i="22"/>
  <c r="AM133" i="22" s="1"/>
  <c r="AM99" i="22"/>
  <c r="AM126" i="22" s="1"/>
  <c r="AN45" i="23"/>
  <c r="AL121" i="22"/>
  <c r="AN44" i="23"/>
  <c r="AL123" i="22"/>
  <c r="AN42" i="23"/>
  <c r="AQ270" i="23"/>
  <c r="AQ292" i="23"/>
  <c r="AQ206" i="23"/>
  <c r="AR5" i="23"/>
  <c r="AQ6" i="23"/>
  <c r="AL45" i="22"/>
  <c r="AF280" i="23"/>
  <c r="AF391" i="23"/>
  <c r="AF351" i="23"/>
  <c r="AN161" i="22"/>
  <c r="AO5" i="22"/>
  <c r="AN6" i="22"/>
  <c r="AP264" i="23"/>
  <c r="AM159" i="22"/>
  <c r="AM160" i="22"/>
  <c r="AL122" i="22"/>
  <c r="AN46" i="23"/>
  <c r="AP435" i="23"/>
  <c r="AQ71" i="16"/>
  <c r="AR68" i="16"/>
  <c r="AC140" i="23"/>
  <c r="AC141" i="23" s="1"/>
  <c r="AD137" i="23" s="1"/>
  <c r="AL128" i="22"/>
  <c r="AN48" i="23"/>
  <c r="AL54" i="22"/>
  <c r="AL78" i="22"/>
  <c r="AM13" i="22"/>
  <c r="AN10" i="22"/>
  <c r="AP76" i="16"/>
  <c r="AO178" i="16"/>
  <c r="AL115" i="22"/>
  <c r="AN39" i="23"/>
  <c r="AC194" i="23"/>
  <c r="AC179" i="23"/>
  <c r="AL22" i="22"/>
  <c r="AM19" i="22"/>
  <c r="AN11" i="22"/>
  <c r="AM35" i="22"/>
  <c r="AE258" i="23"/>
  <c r="AE251" i="23"/>
  <c r="AE253" i="23" s="1"/>
  <c r="AE207" i="23"/>
  <c r="AE208" i="23" s="1"/>
  <c r="AL131" i="22"/>
  <c r="AN50" i="23"/>
  <c r="AC396" i="23"/>
  <c r="AC302" i="23"/>
  <c r="AC355" i="23"/>
  <c r="AC187" i="23"/>
  <c r="AD183" i="23" s="1"/>
  <c r="AD387" i="23"/>
  <c r="AD343" i="23" s="1"/>
  <c r="AD388" i="23"/>
  <c r="AD352" i="23" s="1"/>
  <c r="AD389" i="23"/>
  <c r="AD356" i="23" s="1"/>
  <c r="AG271" i="23"/>
  <c r="AL117" i="22"/>
  <c r="AN41" i="23"/>
  <c r="AC295" i="23"/>
  <c r="AD291" i="23" s="1"/>
  <c r="AM55" i="22" l="1"/>
  <c r="AH72" i="22"/>
  <c r="AJ418" i="23" s="1"/>
  <c r="AI418" i="23"/>
  <c r="AI420" i="23" s="1"/>
  <c r="AI23" i="23"/>
  <c r="AP381" i="23"/>
  <c r="AP358" i="23" s="1"/>
  <c r="AP378" i="23"/>
  <c r="AP346" i="23" s="1"/>
  <c r="AJ18" i="23"/>
  <c r="AH70" i="22"/>
  <c r="AJ417" i="23" s="1"/>
  <c r="AP379" i="23"/>
  <c r="AP350" i="23" s="1"/>
  <c r="AJ48" i="22"/>
  <c r="AJ62" i="22" s="1"/>
  <c r="AK46" i="22"/>
  <c r="AJ69" i="22"/>
  <c r="AI71" i="22"/>
  <c r="AI31" i="22"/>
  <c r="AE209" i="23"/>
  <c r="AF205" i="23" s="1"/>
  <c r="AF258" i="23" s="1"/>
  <c r="AB171" i="23"/>
  <c r="AB156" i="23"/>
  <c r="AB384" i="23"/>
  <c r="AB94" i="23"/>
  <c r="AC162" i="23"/>
  <c r="AC163" i="23" s="1"/>
  <c r="AD139" i="23"/>
  <c r="AN159" i="22"/>
  <c r="AN160" i="22"/>
  <c r="AG272" i="23"/>
  <c r="AG273" i="23" s="1"/>
  <c r="AH269" i="23" s="1"/>
  <c r="AM118" i="22"/>
  <c r="AO43" i="23"/>
  <c r="AM124" i="22"/>
  <c r="AO47" i="23"/>
  <c r="AQ76" i="16"/>
  <c r="AP178" i="16"/>
  <c r="AF393" i="23"/>
  <c r="AF348" i="23" s="1"/>
  <c r="AF392" i="23"/>
  <c r="AF344" i="23" s="1"/>
  <c r="AF394" i="23"/>
  <c r="AF357" i="23" s="1"/>
  <c r="AO44" i="23"/>
  <c r="AM121" i="22"/>
  <c r="AO45" i="23"/>
  <c r="AP91" i="23"/>
  <c r="AP333" i="23" s="1"/>
  <c r="AP335" i="23"/>
  <c r="AM45" i="22"/>
  <c r="AM131" i="22"/>
  <c r="AO50" i="23"/>
  <c r="AM117" i="22"/>
  <c r="AO41" i="23"/>
  <c r="AM22" i="22"/>
  <c r="AN19" i="22"/>
  <c r="AN34" i="22" s="1"/>
  <c r="AD293" i="23"/>
  <c r="AD294" i="23" s="1"/>
  <c r="AN13" i="22"/>
  <c r="AO10" i="22"/>
  <c r="AQ68" i="23"/>
  <c r="AQ69" i="23"/>
  <c r="AQ60" i="23"/>
  <c r="AQ31" i="23"/>
  <c r="AQ67" i="23"/>
  <c r="AQ286" i="23"/>
  <c r="AM115" i="22"/>
  <c r="AO39" i="23"/>
  <c r="AM34" i="22"/>
  <c r="AM37" i="22" s="1"/>
  <c r="AM57" i="22" s="1"/>
  <c r="AR432" i="23"/>
  <c r="AR433" i="23"/>
  <c r="AR292" i="23"/>
  <c r="AR270" i="23"/>
  <c r="AR206" i="23"/>
  <c r="AR81" i="23"/>
  <c r="AR80" i="23"/>
  <c r="AS5" i="23"/>
  <c r="AR6" i="23"/>
  <c r="AM123" i="22"/>
  <c r="AO42" i="23"/>
  <c r="AP71" i="23"/>
  <c r="AO11" i="22"/>
  <c r="AN35" i="22"/>
  <c r="AQ252" i="23"/>
  <c r="AQ235" i="23"/>
  <c r="AQ337" i="23" s="1"/>
  <c r="AQ221" i="23"/>
  <c r="AQ200" i="23"/>
  <c r="AQ90" i="23"/>
  <c r="AQ264" i="23"/>
  <c r="AD185" i="23"/>
  <c r="AD186" i="23" s="1"/>
  <c r="AE216" i="23"/>
  <c r="AE386" i="23"/>
  <c r="AE347" i="23"/>
  <c r="AC148" i="23"/>
  <c r="AC133" i="23"/>
  <c r="AM122" i="22"/>
  <c r="AO46" i="23"/>
  <c r="AM128" i="22"/>
  <c r="AO48" i="23"/>
  <c r="AM132" i="22"/>
  <c r="AO51" i="23"/>
  <c r="AN150" i="22"/>
  <c r="AN149" i="22"/>
  <c r="AN148" i="22"/>
  <c r="AN147" i="22"/>
  <c r="AN142" i="22"/>
  <c r="AN79" i="22" s="1"/>
  <c r="AN141" i="22"/>
  <c r="AN146" i="22"/>
  <c r="AN105" i="22"/>
  <c r="AN94" i="22"/>
  <c r="AN97" i="22"/>
  <c r="AN92" i="22"/>
  <c r="AN119" i="22" s="1"/>
  <c r="AN101" i="22"/>
  <c r="AN93" i="22"/>
  <c r="AN120" i="22" s="1"/>
  <c r="AN106" i="22"/>
  <c r="AN133" i="22" s="1"/>
  <c r="AN99" i="22"/>
  <c r="AN126" i="22" s="1"/>
  <c r="AN91" i="22"/>
  <c r="AN88" i="22"/>
  <c r="AN96" i="22"/>
  <c r="AN89" i="22"/>
  <c r="AN95" i="22"/>
  <c r="AN90" i="22"/>
  <c r="AN103" i="22"/>
  <c r="AN130" i="22" s="1"/>
  <c r="AN100" i="22"/>
  <c r="AN127" i="22" s="1"/>
  <c r="AN98" i="22"/>
  <c r="AN125" i="22" s="1"/>
  <c r="AN107" i="22"/>
  <c r="AN134" i="22" s="1"/>
  <c r="AN104" i="22"/>
  <c r="AM116" i="22"/>
  <c r="AO40" i="23"/>
  <c r="AM78" i="22"/>
  <c r="AC398" i="23"/>
  <c r="AC349" i="23" s="1"/>
  <c r="AC399" i="23"/>
  <c r="AC353" i="23" s="1"/>
  <c r="AC397" i="23"/>
  <c r="AC345" i="23" s="1"/>
  <c r="AM54" i="22"/>
  <c r="AR71" i="16"/>
  <c r="AS68" i="16"/>
  <c r="AO161" i="22"/>
  <c r="AP5" i="22"/>
  <c r="AO6" i="22"/>
  <c r="AN55" i="22" l="1"/>
  <c r="AJ23" i="23"/>
  <c r="AI72" i="22"/>
  <c r="AK23" i="23" s="1"/>
  <c r="AJ420" i="23"/>
  <c r="AF207" i="23"/>
  <c r="AF208" i="23" s="1"/>
  <c r="AF251" i="23"/>
  <c r="AF253" i="23" s="1"/>
  <c r="AI70" i="22"/>
  <c r="AK417" i="23" s="1"/>
  <c r="AK18" i="23"/>
  <c r="AK69" i="22"/>
  <c r="AK48" i="22"/>
  <c r="AK62" i="22" s="1"/>
  <c r="AL46" i="22"/>
  <c r="AJ71" i="22"/>
  <c r="AJ31" i="22"/>
  <c r="AJ72" i="22" s="1"/>
  <c r="AC384" i="23"/>
  <c r="AC94" i="23"/>
  <c r="AR82" i="23"/>
  <c r="AR377" i="23" s="1"/>
  <c r="AR381" i="23" s="1"/>
  <c r="AR358" i="23" s="1"/>
  <c r="AN54" i="22"/>
  <c r="AR435" i="23"/>
  <c r="AD140" i="23"/>
  <c r="AD141" i="23" s="1"/>
  <c r="AE137" i="23" s="1"/>
  <c r="AC171" i="23"/>
  <c r="AC156" i="23"/>
  <c r="AC342" i="23" s="1"/>
  <c r="AC164" i="23"/>
  <c r="AD160" i="23" s="1"/>
  <c r="AD187" i="23"/>
  <c r="AE183" i="23" s="1"/>
  <c r="AE185" i="23" s="1"/>
  <c r="AQ71" i="23"/>
  <c r="AQ331" i="23" s="1"/>
  <c r="AB93" i="23"/>
  <c r="AB342" i="23"/>
  <c r="AH271" i="23"/>
  <c r="AN115" i="22"/>
  <c r="AP39" i="23"/>
  <c r="AN78" i="22"/>
  <c r="AR252" i="23"/>
  <c r="AR235" i="23"/>
  <c r="AR337" i="23" s="1"/>
  <c r="AR221" i="23"/>
  <c r="AR200" i="23"/>
  <c r="AR90" i="23"/>
  <c r="AN22" i="22"/>
  <c r="AO19" i="22"/>
  <c r="AO34" i="22" s="1"/>
  <c r="AP11" i="22"/>
  <c r="AO35" i="22"/>
  <c r="AN37" i="22"/>
  <c r="AN57" i="22" s="1"/>
  <c r="AE388" i="23"/>
  <c r="AE352" i="23" s="1"/>
  <c r="AE387" i="23"/>
  <c r="AE343" i="23" s="1"/>
  <c r="AE389" i="23"/>
  <c r="AE356" i="23" s="1"/>
  <c r="AO13" i="22"/>
  <c r="AP10" i="22"/>
  <c r="AN128" i="22"/>
  <c r="AP48" i="23"/>
  <c r="AN131" i="22"/>
  <c r="AP50" i="23"/>
  <c r="AR60" i="23"/>
  <c r="AR69" i="23"/>
  <c r="AR68" i="23"/>
  <c r="AR31" i="23"/>
  <c r="AR67" i="23"/>
  <c r="AR264" i="23"/>
  <c r="AN124" i="22"/>
  <c r="AP47" i="23"/>
  <c r="AS432" i="23"/>
  <c r="AS433" i="23"/>
  <c r="AS292" i="23"/>
  <c r="AS270" i="23"/>
  <c r="AS206" i="23"/>
  <c r="AS81" i="23"/>
  <c r="AS80" i="23"/>
  <c r="AT5" i="23"/>
  <c r="AS6" i="23"/>
  <c r="AR286" i="23"/>
  <c r="AN45" i="22"/>
  <c r="AO150" i="22"/>
  <c r="AO149" i="22"/>
  <c r="AO148" i="22"/>
  <c r="AO147" i="22"/>
  <c r="AO142" i="22"/>
  <c r="AO79" i="22" s="1"/>
  <c r="AO141" i="22"/>
  <c r="AO146" i="22"/>
  <c r="AO106" i="22"/>
  <c r="AO133" i="22" s="1"/>
  <c r="AO92" i="22"/>
  <c r="AO119" i="22" s="1"/>
  <c r="AO99" i="22"/>
  <c r="AO126" i="22" s="1"/>
  <c r="AO93" i="22"/>
  <c r="AO120" i="22" s="1"/>
  <c r="AO91" i="22"/>
  <c r="AO104" i="22"/>
  <c r="AO100" i="22"/>
  <c r="AO127" i="22" s="1"/>
  <c r="AO98" i="22"/>
  <c r="AO125" i="22" s="1"/>
  <c r="AO107" i="22"/>
  <c r="AO134" i="22" s="1"/>
  <c r="AO105" i="22"/>
  <c r="AO88" i="22"/>
  <c r="AO96" i="22"/>
  <c r="AO90" i="22"/>
  <c r="AO101" i="22"/>
  <c r="AO94" i="22"/>
  <c r="AO97" i="22"/>
  <c r="AO103" i="22"/>
  <c r="AO130" i="22" s="1"/>
  <c r="AO89" i="22"/>
  <c r="AO95" i="22"/>
  <c r="AP44" i="23"/>
  <c r="AN121" i="22"/>
  <c r="AP45" i="23"/>
  <c r="AD194" i="23"/>
  <c r="AD179" i="23"/>
  <c r="AP161" i="22"/>
  <c r="AQ5" i="22"/>
  <c r="AP6" i="22"/>
  <c r="AN132" i="22"/>
  <c r="AP51" i="23"/>
  <c r="AN118" i="22"/>
  <c r="AP43" i="23"/>
  <c r="AO159" i="22"/>
  <c r="AO160" i="22"/>
  <c r="AQ91" i="23"/>
  <c r="AQ333" i="23" s="1"/>
  <c r="AS71" i="16"/>
  <c r="AT68" i="16"/>
  <c r="AQ335" i="23"/>
  <c r="AQ178" i="16"/>
  <c r="AR76" i="16"/>
  <c r="AG280" i="23"/>
  <c r="AG391" i="23"/>
  <c r="AG351" i="23"/>
  <c r="AN122" i="22"/>
  <c r="AP46" i="23"/>
  <c r="AD396" i="23"/>
  <c r="AD302" i="23"/>
  <c r="AD355" i="23"/>
  <c r="AN117" i="22"/>
  <c r="AP41" i="23"/>
  <c r="AN116" i="22"/>
  <c r="AP40" i="23"/>
  <c r="AN123" i="22"/>
  <c r="AP42" i="23"/>
  <c r="AP331" i="23"/>
  <c r="AD295" i="23"/>
  <c r="AE291" i="23" s="1"/>
  <c r="AD133" i="23" l="1"/>
  <c r="AK418" i="23"/>
  <c r="AK420" i="23" s="1"/>
  <c r="AO54" i="22"/>
  <c r="AR380" i="23"/>
  <c r="AR354" i="23" s="1"/>
  <c r="AR378" i="23"/>
  <c r="AR346" i="23" s="1"/>
  <c r="AR379" i="23"/>
  <c r="AR350" i="23" s="1"/>
  <c r="AL418" i="23"/>
  <c r="AL23" i="23"/>
  <c r="AL18" i="23"/>
  <c r="AJ70" i="22"/>
  <c r="AL417" i="23" s="1"/>
  <c r="AM46" i="22"/>
  <c r="AL69" i="22"/>
  <c r="AL48" i="22"/>
  <c r="AL62" i="22" s="1"/>
  <c r="AK31" i="22"/>
  <c r="AK71" i="22"/>
  <c r="AD148" i="23"/>
  <c r="AO37" i="22"/>
  <c r="AO57" i="22" s="1"/>
  <c r="AR71" i="23"/>
  <c r="AR331" i="23" s="1"/>
  <c r="AC93" i="23"/>
  <c r="AE139" i="23"/>
  <c r="AD162" i="23"/>
  <c r="AD163" i="23" s="1"/>
  <c r="AS435" i="23"/>
  <c r="AO55" i="22"/>
  <c r="AQ44" i="23"/>
  <c r="AO121" i="22"/>
  <c r="AQ45" i="23"/>
  <c r="AO117" i="22"/>
  <c r="AQ41" i="23"/>
  <c r="AS252" i="23"/>
  <c r="AS235" i="23"/>
  <c r="AS337" i="23" s="1"/>
  <c r="AS221" i="23"/>
  <c r="AS200" i="23"/>
  <c r="AS90" i="23"/>
  <c r="AO123" i="22"/>
  <c r="AQ42" i="23"/>
  <c r="AO45" i="22"/>
  <c r="AE293" i="23"/>
  <c r="AO115" i="22"/>
  <c r="AQ39" i="23"/>
  <c r="AH272" i="23"/>
  <c r="AR91" i="23"/>
  <c r="AR333" i="23" s="1"/>
  <c r="AO132" i="22"/>
  <c r="AQ51" i="23"/>
  <c r="AO78" i="22"/>
  <c r="AS264" i="23"/>
  <c r="AG393" i="23"/>
  <c r="AG348" i="23" s="1"/>
  <c r="AG394" i="23"/>
  <c r="AG357" i="23" s="1"/>
  <c r="AG392" i="23"/>
  <c r="AG344" i="23" s="1"/>
  <c r="AF216" i="23"/>
  <c r="AF386" i="23"/>
  <c r="AF347" i="23"/>
  <c r="AS60" i="23"/>
  <c r="AS69" i="23"/>
  <c r="AS68" i="23"/>
  <c r="AS67" i="23"/>
  <c r="AS31" i="23"/>
  <c r="AP150" i="22"/>
  <c r="AP149" i="22"/>
  <c r="AP148" i="22"/>
  <c r="AP147" i="22"/>
  <c r="AP146" i="22"/>
  <c r="AP142" i="22"/>
  <c r="AP79" i="22" s="1"/>
  <c r="AP141" i="22"/>
  <c r="AP104" i="22"/>
  <c r="AP100" i="22"/>
  <c r="AP127" i="22" s="1"/>
  <c r="AP98" i="22"/>
  <c r="AP125" i="22" s="1"/>
  <c r="AP93" i="22"/>
  <c r="AP120" i="22" s="1"/>
  <c r="AP103" i="22"/>
  <c r="AP130" i="22" s="1"/>
  <c r="AP105" i="22"/>
  <c r="AP96" i="22"/>
  <c r="AP107" i="22"/>
  <c r="AP134" i="22" s="1"/>
  <c r="AP90" i="22"/>
  <c r="AP88" i="22"/>
  <c r="AP97" i="22"/>
  <c r="AP106" i="22"/>
  <c r="AP133" i="22" s="1"/>
  <c r="AP99" i="22"/>
  <c r="AP126" i="22" s="1"/>
  <c r="AP89" i="22"/>
  <c r="AP95" i="22"/>
  <c r="AP94" i="22"/>
  <c r="AP92" i="22"/>
  <c r="AP119" i="22" s="1"/>
  <c r="AP101" i="22"/>
  <c r="AP91" i="22"/>
  <c r="AD397" i="23"/>
  <c r="AD345" i="23" s="1"/>
  <c r="AD398" i="23"/>
  <c r="AD349" i="23" s="1"/>
  <c r="AD399" i="23"/>
  <c r="AD353" i="23" s="1"/>
  <c r="AT433" i="23"/>
  <c r="AT432" i="23"/>
  <c r="AT292" i="23"/>
  <c r="AT270" i="23"/>
  <c r="AT206" i="23"/>
  <c r="AT81" i="23"/>
  <c r="AT80" i="23"/>
  <c r="AU5" i="23"/>
  <c r="AT6" i="23"/>
  <c r="AS286" i="23"/>
  <c r="AR178" i="16"/>
  <c r="AS76" i="16"/>
  <c r="AS82" i="23"/>
  <c r="AS377" i="23" s="1"/>
  <c r="AQ11" i="22"/>
  <c r="AP35" i="22"/>
  <c r="AE186" i="23"/>
  <c r="AE187" i="23" s="1"/>
  <c r="AF183" i="23" s="1"/>
  <c r="AQ161" i="22"/>
  <c r="AQ6" i="22"/>
  <c r="AR5" i="22"/>
  <c r="AP159" i="22"/>
  <c r="AP160" i="22"/>
  <c r="AO131" i="22"/>
  <c r="AQ50" i="23"/>
  <c r="AO124" i="22"/>
  <c r="AQ47" i="23"/>
  <c r="AR335" i="23"/>
  <c r="AO128" i="22"/>
  <c r="AQ48" i="23"/>
  <c r="AO118" i="22"/>
  <c r="AQ43" i="23"/>
  <c r="AP19" i="22"/>
  <c r="AO22" i="22"/>
  <c r="AT71" i="16"/>
  <c r="AU68" i="16"/>
  <c r="AP13" i="22"/>
  <c r="AQ10" i="22"/>
  <c r="AO122" i="22"/>
  <c r="AQ46" i="23"/>
  <c r="AO116" i="22"/>
  <c r="AQ40" i="23"/>
  <c r="AF209" i="23"/>
  <c r="AG205" i="23" s="1"/>
  <c r="AP54" i="22" l="1"/>
  <c r="AK72" i="22"/>
  <c r="AM418" i="23" s="1"/>
  <c r="AL420" i="23"/>
  <c r="AM18" i="23"/>
  <c r="AK70" i="22"/>
  <c r="AM417" i="23" s="1"/>
  <c r="AL31" i="22"/>
  <c r="AL71" i="22"/>
  <c r="AM69" i="22"/>
  <c r="AN46" i="22"/>
  <c r="AM48" i="22"/>
  <c r="AM62" i="22" s="1"/>
  <c r="AT82" i="23"/>
  <c r="AT377" i="23" s="1"/>
  <c r="AT381" i="23" s="1"/>
  <c r="AT358" i="23" s="1"/>
  <c r="AD94" i="23"/>
  <c r="AD171" i="23"/>
  <c r="AD156" i="23"/>
  <c r="AD384" i="23"/>
  <c r="AD164" i="23"/>
  <c r="AE160" i="23" s="1"/>
  <c r="AE140" i="23"/>
  <c r="AF185" i="23"/>
  <c r="AF186" i="23" s="1"/>
  <c r="AP132" i="22"/>
  <c r="AR51" i="23"/>
  <c r="AS178" i="16"/>
  <c r="AT76" i="16"/>
  <c r="AT252" i="23"/>
  <c r="AT221" i="23"/>
  <c r="AT200" i="23"/>
  <c r="AT235" i="23"/>
  <c r="AT337" i="23" s="1"/>
  <c r="AT90" i="23"/>
  <c r="AP55" i="22"/>
  <c r="AH280" i="23"/>
  <c r="AH391" i="23"/>
  <c r="AH351" i="23"/>
  <c r="AQ19" i="22"/>
  <c r="AQ34" i="22" s="1"/>
  <c r="AP22" i="22"/>
  <c r="AP118" i="22"/>
  <c r="AR43" i="23"/>
  <c r="AF388" i="23"/>
  <c r="AF352" i="23" s="1"/>
  <c r="AF387" i="23"/>
  <c r="AF343" i="23" s="1"/>
  <c r="AF389" i="23"/>
  <c r="AF356" i="23" s="1"/>
  <c r="AS381" i="23"/>
  <c r="AS358" i="23" s="1"/>
  <c r="AS380" i="23"/>
  <c r="AS354" i="23" s="1"/>
  <c r="AS379" i="23"/>
  <c r="AS350" i="23" s="1"/>
  <c r="AS378" i="23"/>
  <c r="AS346" i="23" s="1"/>
  <c r="AG258" i="23"/>
  <c r="AG251" i="23"/>
  <c r="AG253" i="23" s="1"/>
  <c r="AG207" i="23"/>
  <c r="AP128" i="22"/>
  <c r="AR48" i="23"/>
  <c r="AH273" i="23"/>
  <c r="AI269" i="23" s="1"/>
  <c r="AR161" i="22"/>
  <c r="AS5" i="22"/>
  <c r="AR6" i="22"/>
  <c r="AP131" i="22"/>
  <c r="AR50" i="23"/>
  <c r="AT264" i="23"/>
  <c r="AQ150" i="22"/>
  <c r="AQ149" i="22"/>
  <c r="AQ148" i="22"/>
  <c r="AQ147" i="22"/>
  <c r="AQ146" i="22"/>
  <c r="AQ142" i="22"/>
  <c r="AQ79" i="22" s="1"/>
  <c r="AQ141" i="22"/>
  <c r="AQ103" i="22"/>
  <c r="AQ130" i="22" s="1"/>
  <c r="AQ105" i="22"/>
  <c r="AQ93" i="22"/>
  <c r="AQ120" i="22" s="1"/>
  <c r="AQ107" i="22"/>
  <c r="AQ134" i="22" s="1"/>
  <c r="AQ101" i="22"/>
  <c r="AQ97" i="22"/>
  <c r="AQ88" i="22"/>
  <c r="AQ99" i="22"/>
  <c r="AQ126" i="22" s="1"/>
  <c r="AQ89" i="22"/>
  <c r="AQ91" i="22"/>
  <c r="AQ104" i="22"/>
  <c r="AQ100" i="22"/>
  <c r="AQ127" i="22" s="1"/>
  <c r="AQ106" i="22"/>
  <c r="AQ133" i="22" s="1"/>
  <c r="AQ92" i="22"/>
  <c r="AQ119" i="22" s="1"/>
  <c r="AQ98" i="22"/>
  <c r="AQ125" i="22" s="1"/>
  <c r="AQ94" i="22"/>
  <c r="AQ95" i="22"/>
  <c r="AQ96" i="22"/>
  <c r="AQ90" i="22"/>
  <c r="AR44" i="23"/>
  <c r="AP121" i="22"/>
  <c r="AR45" i="23"/>
  <c r="AQ159" i="22"/>
  <c r="AQ160" i="22"/>
  <c r="AT60" i="23"/>
  <c r="AT68" i="23"/>
  <c r="AT69" i="23"/>
  <c r="AT31" i="23"/>
  <c r="AT67" i="23"/>
  <c r="AP122" i="22"/>
  <c r="AR46" i="23"/>
  <c r="AP45" i="22"/>
  <c r="AS91" i="23"/>
  <c r="AS333" i="23" s="1"/>
  <c r="AU432" i="23"/>
  <c r="AU433" i="23"/>
  <c r="AU292" i="23"/>
  <c r="AU270" i="23"/>
  <c r="AU206" i="23"/>
  <c r="AU81" i="23"/>
  <c r="AU80" i="23"/>
  <c r="AU6" i="23"/>
  <c r="AV5" i="23"/>
  <c r="AT286" i="23"/>
  <c r="AP116" i="22"/>
  <c r="AR40" i="23"/>
  <c r="AE294" i="23"/>
  <c r="AP34" i="22"/>
  <c r="AP37" i="22" s="1"/>
  <c r="AP57" i="22" s="1"/>
  <c r="AT435" i="23"/>
  <c r="AP78" i="22"/>
  <c r="AP123" i="22"/>
  <c r="AR42" i="23"/>
  <c r="AS335" i="23"/>
  <c r="AQ13" i="22"/>
  <c r="AR10" i="22"/>
  <c r="AE194" i="23"/>
  <c r="AE179" i="23"/>
  <c r="AP124" i="22"/>
  <c r="AR47" i="23"/>
  <c r="AS71" i="23"/>
  <c r="AS331" i="23" s="1"/>
  <c r="AP115" i="22"/>
  <c r="AR39" i="23"/>
  <c r="AP117" i="22"/>
  <c r="AR41" i="23"/>
  <c r="AR11" i="22"/>
  <c r="AQ35" i="22"/>
  <c r="AU71" i="16"/>
  <c r="AV68" i="16"/>
  <c r="AQ54" i="22" l="1"/>
  <c r="AM23" i="23"/>
  <c r="AL72" i="22"/>
  <c r="AN418" i="23" s="1"/>
  <c r="AT379" i="23"/>
  <c r="AT350" i="23" s="1"/>
  <c r="AT380" i="23"/>
  <c r="AT354" i="23" s="1"/>
  <c r="AT378" i="23"/>
  <c r="AT346" i="23" s="1"/>
  <c r="AM71" i="22"/>
  <c r="AM31" i="22"/>
  <c r="AM72" i="22" s="1"/>
  <c r="AN48" i="22"/>
  <c r="AN62" i="22" s="1"/>
  <c r="AN69" i="22"/>
  <c r="AO46" i="22"/>
  <c r="AN18" i="23"/>
  <c r="AL70" i="22"/>
  <c r="AN417" i="23" s="1"/>
  <c r="AM420" i="23"/>
  <c r="AU82" i="23"/>
  <c r="AU377" i="23" s="1"/>
  <c r="AU381" i="23" s="1"/>
  <c r="AU358" i="23" s="1"/>
  <c r="AE148" i="23"/>
  <c r="AE133" i="23"/>
  <c r="AE141" i="23"/>
  <c r="AF137" i="23" s="1"/>
  <c r="AE162" i="23"/>
  <c r="AE163" i="23" s="1"/>
  <c r="AD342" i="23"/>
  <c r="AD93" i="23"/>
  <c r="AF187" i="23"/>
  <c r="AG183" i="23" s="1"/>
  <c r="AG185" i="23" s="1"/>
  <c r="AR13" i="22"/>
  <c r="AS10" i="22"/>
  <c r="AQ78" i="22"/>
  <c r="AQ131" i="22"/>
  <c r="AS50" i="23"/>
  <c r="AG208" i="23"/>
  <c r="AG209" i="23" s="1"/>
  <c r="AH205" i="23" s="1"/>
  <c r="AT91" i="23"/>
  <c r="AT333" i="23" s="1"/>
  <c r="AV432" i="23"/>
  <c r="AV433" i="23"/>
  <c r="AV292" i="23"/>
  <c r="AV270" i="23"/>
  <c r="AV206" i="23"/>
  <c r="AV80" i="23"/>
  <c r="AV81" i="23"/>
  <c r="AV6" i="23"/>
  <c r="AW5" i="23"/>
  <c r="AQ118" i="22"/>
  <c r="AS43" i="23"/>
  <c r="AT335" i="23"/>
  <c r="AT71" i="23"/>
  <c r="AT331" i="23" s="1"/>
  <c r="AS161" i="22"/>
  <c r="AS6" i="22"/>
  <c r="AT5" i="22"/>
  <c r="AF194" i="23"/>
  <c r="AF179" i="23"/>
  <c r="AQ115" i="22"/>
  <c r="AS39" i="23"/>
  <c r="AR159" i="22"/>
  <c r="AR160" i="22"/>
  <c r="AU264" i="23"/>
  <c r="AQ116" i="22"/>
  <c r="AS40" i="23"/>
  <c r="AU435" i="23"/>
  <c r="AQ124" i="22"/>
  <c r="AS47" i="23"/>
  <c r="AU286" i="23"/>
  <c r="AV71" i="16"/>
  <c r="AW68" i="16"/>
  <c r="AQ128" i="22"/>
  <c r="AS48" i="23"/>
  <c r="AQ22" i="22"/>
  <c r="AR19" i="22"/>
  <c r="AR34" i="22" s="1"/>
  <c r="AT178" i="16"/>
  <c r="AU76" i="16"/>
  <c r="AR150" i="22"/>
  <c r="AR149" i="22"/>
  <c r="AR148" i="22"/>
  <c r="AR147" i="22"/>
  <c r="AR146" i="22"/>
  <c r="AR142" i="22"/>
  <c r="AR79" i="22" s="1"/>
  <c r="AR141" i="22"/>
  <c r="AR101" i="22"/>
  <c r="AR105" i="22"/>
  <c r="AR97" i="22"/>
  <c r="AR90" i="22"/>
  <c r="AR99" i="22"/>
  <c r="AR126" i="22" s="1"/>
  <c r="AR93" i="22"/>
  <c r="AR120" i="22" s="1"/>
  <c r="AR88" i="22"/>
  <c r="AR104" i="22"/>
  <c r="AR91" i="22"/>
  <c r="AR100" i="22"/>
  <c r="AR127" i="22" s="1"/>
  <c r="AR106" i="22"/>
  <c r="AR133" i="22" s="1"/>
  <c r="AR98" i="22"/>
  <c r="AR125" i="22" s="1"/>
  <c r="AR95" i="22"/>
  <c r="AR94" i="22"/>
  <c r="AR92" i="22"/>
  <c r="AR119" i="22" s="1"/>
  <c r="AR103" i="22"/>
  <c r="AR130" i="22" s="1"/>
  <c r="AR107" i="22"/>
  <c r="AR134" i="22" s="1"/>
  <c r="AR96" i="22"/>
  <c r="AR89" i="22"/>
  <c r="AQ117" i="22"/>
  <c r="AS41" i="23"/>
  <c r="AU60" i="23"/>
  <c r="AU69" i="23"/>
  <c r="AU68" i="23"/>
  <c r="AU31" i="23"/>
  <c r="AU67" i="23"/>
  <c r="AI271" i="23"/>
  <c r="AI272" i="23" s="1"/>
  <c r="AS11" i="22"/>
  <c r="AR35" i="22"/>
  <c r="AQ123" i="22"/>
  <c r="AS42" i="23"/>
  <c r="AQ132" i="22"/>
  <c r="AS51" i="23"/>
  <c r="AQ122" i="22"/>
  <c r="AS46" i="23"/>
  <c r="AH392" i="23"/>
  <c r="AH344" i="23" s="1"/>
  <c r="AH393" i="23"/>
  <c r="AH348" i="23" s="1"/>
  <c r="AH394" i="23"/>
  <c r="AH357" i="23" s="1"/>
  <c r="AE396" i="23"/>
  <c r="AE302" i="23"/>
  <c r="AE355" i="23"/>
  <c r="AU252" i="23"/>
  <c r="AU221" i="23"/>
  <c r="AU235" i="23"/>
  <c r="AU337" i="23" s="1"/>
  <c r="AU200" i="23"/>
  <c r="AU90" i="23"/>
  <c r="AS44" i="23"/>
  <c r="AQ121" i="22"/>
  <c r="AS45" i="23"/>
  <c r="AE295" i="23"/>
  <c r="AF291" i="23" s="1"/>
  <c r="AQ37" i="22"/>
  <c r="AQ57" i="22" s="1"/>
  <c r="AQ45" i="22"/>
  <c r="AQ55" i="22"/>
  <c r="AR54" i="22" l="1"/>
  <c r="AN23" i="23"/>
  <c r="AU379" i="23"/>
  <c r="AU350" i="23" s="1"/>
  <c r="AU378" i="23"/>
  <c r="AU346" i="23" s="1"/>
  <c r="AU380" i="23"/>
  <c r="AU354" i="23" s="1"/>
  <c r="AN420" i="23"/>
  <c r="AO48" i="22"/>
  <c r="AO62" i="22" s="1"/>
  <c r="AP46" i="22"/>
  <c r="AO69" i="22"/>
  <c r="AN71" i="22"/>
  <c r="AN31" i="22"/>
  <c r="AO418" i="23"/>
  <c r="AO23" i="23"/>
  <c r="AO18" i="23"/>
  <c r="AM70" i="22"/>
  <c r="AO417" i="23" s="1"/>
  <c r="AR55" i="22"/>
  <c r="AE156" i="23"/>
  <c r="AE93" i="23" s="1"/>
  <c r="AE384" i="23"/>
  <c r="AE171" i="23"/>
  <c r="AE94" i="23"/>
  <c r="AI273" i="23"/>
  <c r="AJ269" i="23" s="1"/>
  <c r="AJ271" i="23" s="1"/>
  <c r="AE164" i="23"/>
  <c r="AF160" i="23" s="1"/>
  <c r="AF139" i="23"/>
  <c r="AF140" i="23" s="1"/>
  <c r="AR37" i="22"/>
  <c r="AR57" i="22" s="1"/>
  <c r="AH258" i="23"/>
  <c r="AH251" i="23"/>
  <c r="AH253" i="23" s="1"/>
  <c r="AH207" i="23"/>
  <c r="AH208" i="23" s="1"/>
  <c r="AU335" i="23"/>
  <c r="AR123" i="22"/>
  <c r="AT42" i="23"/>
  <c r="AR124" i="22"/>
  <c r="AT47" i="23"/>
  <c r="AU178" i="16"/>
  <c r="AV76" i="16"/>
  <c r="AS150" i="22"/>
  <c r="AS149" i="22"/>
  <c r="AS148" i="22"/>
  <c r="AS147" i="22"/>
  <c r="AS146" i="22"/>
  <c r="AS142" i="22"/>
  <c r="AS79" i="22" s="1"/>
  <c r="AS141" i="22"/>
  <c r="AS88" i="22"/>
  <c r="AS100" i="22"/>
  <c r="AS127" i="22" s="1"/>
  <c r="AS106" i="22"/>
  <c r="AS133" i="22" s="1"/>
  <c r="AS98" i="22"/>
  <c r="AS125" i="22" s="1"/>
  <c r="AS91" i="22"/>
  <c r="AS104" i="22"/>
  <c r="AS103" i="22"/>
  <c r="AS130" i="22" s="1"/>
  <c r="AS90" i="22"/>
  <c r="AS95" i="22"/>
  <c r="AS89" i="22"/>
  <c r="AS107" i="22"/>
  <c r="AS134" i="22" s="1"/>
  <c r="AS92" i="22"/>
  <c r="AS119" i="22" s="1"/>
  <c r="AS101" i="22"/>
  <c r="AS99" i="22"/>
  <c r="AS126" i="22" s="1"/>
  <c r="AS93" i="22"/>
  <c r="AS120" i="22" s="1"/>
  <c r="AS94" i="22"/>
  <c r="AS96" i="22"/>
  <c r="AS105" i="22"/>
  <c r="AS97" i="22"/>
  <c r="AV286" i="23"/>
  <c r="AI280" i="23"/>
  <c r="AI391" i="23"/>
  <c r="AI351" i="23"/>
  <c r="AR132" i="22"/>
  <c r="AT51" i="23"/>
  <c r="AS159" i="22"/>
  <c r="AS160" i="22"/>
  <c r="AV82" i="23"/>
  <c r="AV377" i="23" s="1"/>
  <c r="AV60" i="23"/>
  <c r="AV69" i="23"/>
  <c r="AV68" i="23"/>
  <c r="AV67" i="23"/>
  <c r="AV31" i="23"/>
  <c r="AR128" i="22"/>
  <c r="AT48" i="23"/>
  <c r="AR22" i="22"/>
  <c r="AS19" i="22"/>
  <c r="AS34" i="22" s="1"/>
  <c r="AV435" i="23"/>
  <c r="AS13" i="22"/>
  <c r="AT10" i="22"/>
  <c r="AR116" i="22"/>
  <c r="AT40" i="23"/>
  <c r="AR45" i="22"/>
  <c r="AT44" i="23"/>
  <c r="AR121" i="22"/>
  <c r="AT45" i="23"/>
  <c r="AT11" i="22"/>
  <c r="AS35" i="22"/>
  <c r="AR122" i="22"/>
  <c r="AT46" i="23"/>
  <c r="AT161" i="22"/>
  <c r="AT6" i="22"/>
  <c r="AU5" i="22"/>
  <c r="AF293" i="23"/>
  <c r="AF294" i="23" s="1"/>
  <c r="AE399" i="23"/>
  <c r="AE353" i="23" s="1"/>
  <c r="AE397" i="23"/>
  <c r="AE345" i="23" s="1"/>
  <c r="AE398" i="23"/>
  <c r="AE349" i="23" s="1"/>
  <c r="AW433" i="23"/>
  <c r="AW432" i="23"/>
  <c r="AW292" i="23"/>
  <c r="AW270" i="23"/>
  <c r="AW206" i="23"/>
  <c r="AW81" i="23"/>
  <c r="AW80" i="23"/>
  <c r="AW6" i="23"/>
  <c r="AX5" i="23"/>
  <c r="AR78" i="22"/>
  <c r="AG216" i="23"/>
  <c r="AG386" i="23"/>
  <c r="AG347" i="23"/>
  <c r="AV235" i="23"/>
  <c r="AV337" i="23" s="1"/>
  <c r="AV252" i="23"/>
  <c r="AV221" i="23"/>
  <c r="AV200" i="23"/>
  <c r="AV90" i="23"/>
  <c r="AW71" i="16"/>
  <c r="AX68" i="16"/>
  <c r="AU71" i="23"/>
  <c r="AU331" i="23" s="1"/>
  <c r="AR118" i="22"/>
  <c r="AT43" i="23"/>
  <c r="AR131" i="22"/>
  <c r="AT50" i="23"/>
  <c r="AG186" i="23"/>
  <c r="AG187" i="23" s="1"/>
  <c r="AH183" i="23" s="1"/>
  <c r="AR115" i="22"/>
  <c r="AT39" i="23"/>
  <c r="AV264" i="23"/>
  <c r="AR117" i="22"/>
  <c r="AT41" i="23"/>
  <c r="AU91" i="23"/>
  <c r="AU333" i="23" s="1"/>
  <c r="AN72" i="22" l="1"/>
  <c r="AP418" i="23" s="1"/>
  <c r="AO420" i="23"/>
  <c r="AE342" i="23"/>
  <c r="AS55" i="22"/>
  <c r="AP18" i="23"/>
  <c r="AN70" i="22"/>
  <c r="AP417" i="23" s="1"/>
  <c r="AQ46" i="22"/>
  <c r="AP69" i="22"/>
  <c r="AP48" i="22"/>
  <c r="AP62" i="22" s="1"/>
  <c r="AO71" i="22"/>
  <c r="AO31" i="22"/>
  <c r="AF133" i="23"/>
  <c r="AF148" i="23"/>
  <c r="AF141" i="23"/>
  <c r="AG137" i="23" s="1"/>
  <c r="AF162" i="23"/>
  <c r="AF163" i="23" s="1"/>
  <c r="AH209" i="23"/>
  <c r="AI205" i="23" s="1"/>
  <c r="AI258" i="23" s="1"/>
  <c r="AH185" i="23"/>
  <c r="AH186" i="23" s="1"/>
  <c r="AG389" i="23"/>
  <c r="AG356" i="23" s="1"/>
  <c r="AG388" i="23"/>
  <c r="AG352" i="23" s="1"/>
  <c r="AG387" i="23"/>
  <c r="AG343" i="23" s="1"/>
  <c r="AW435" i="23"/>
  <c r="AF396" i="23"/>
  <c r="AF302" i="23"/>
  <c r="AF355" i="23"/>
  <c r="AX71" i="16"/>
  <c r="AY68" i="16"/>
  <c r="AF295" i="23"/>
  <c r="AG291" i="23" s="1"/>
  <c r="AT35" i="22"/>
  <c r="AU11" i="22"/>
  <c r="AS116" i="22"/>
  <c r="AU40" i="23"/>
  <c r="AU161" i="22"/>
  <c r="AU6" i="22"/>
  <c r="AV5" i="22"/>
  <c r="AS122" i="22"/>
  <c r="AU46" i="23"/>
  <c r="AG194" i="23"/>
  <c r="AG179" i="23"/>
  <c r="AT149" i="22"/>
  <c r="AT148" i="22"/>
  <c r="AT147" i="22"/>
  <c r="AT146" i="22"/>
  <c r="AT150" i="22"/>
  <c r="AT142" i="22"/>
  <c r="AT79" i="22" s="1"/>
  <c r="AT141" i="22"/>
  <c r="AT90" i="22"/>
  <c r="AT104" i="22"/>
  <c r="AT94" i="22"/>
  <c r="AT95" i="22"/>
  <c r="AT91" i="22"/>
  <c r="AT107" i="22"/>
  <c r="AT134" i="22" s="1"/>
  <c r="AT93" i="22"/>
  <c r="AT120" i="22" s="1"/>
  <c r="AT96" i="22"/>
  <c r="AT88" i="22"/>
  <c r="AT89" i="22"/>
  <c r="AT101" i="22"/>
  <c r="AT103" i="22"/>
  <c r="AT130" i="22" s="1"/>
  <c r="AT105" i="22"/>
  <c r="AT92" i="22"/>
  <c r="AT119" i="22" s="1"/>
  <c r="AT97" i="22"/>
  <c r="AT99" i="22"/>
  <c r="AT126" i="22" s="1"/>
  <c r="AT98" i="22"/>
  <c r="AT125" i="22" s="1"/>
  <c r="AT106" i="22"/>
  <c r="AT133" i="22" s="1"/>
  <c r="AT100" i="22"/>
  <c r="AT127" i="22" s="1"/>
  <c r="AS37" i="22"/>
  <c r="AS57" i="22" s="1"/>
  <c r="AS117" i="22"/>
  <c r="AU41" i="23"/>
  <c r="AT159" i="22"/>
  <c r="AT160" i="22"/>
  <c r="AU10" i="22"/>
  <c r="AT13" i="22"/>
  <c r="AI392" i="23"/>
  <c r="AI344" i="23" s="1"/>
  <c r="AI393" i="23"/>
  <c r="AI348" i="23" s="1"/>
  <c r="AI394" i="23"/>
  <c r="AI357" i="23" s="1"/>
  <c r="AS131" i="22"/>
  <c r="AU50" i="23"/>
  <c r="AJ272" i="23"/>
  <c r="AV91" i="23"/>
  <c r="AV333" i="23" s="1"/>
  <c r="AW235" i="23"/>
  <c r="AW337" i="23" s="1"/>
  <c r="AW252" i="23"/>
  <c r="AW221" i="23"/>
  <c r="AW200" i="23"/>
  <c r="AW90" i="23"/>
  <c r="AS118" i="22"/>
  <c r="AU43" i="23"/>
  <c r="AV335" i="23"/>
  <c r="AS54" i="22"/>
  <c r="AS22" i="22"/>
  <c r="AT19" i="22"/>
  <c r="AT34" i="22" s="1"/>
  <c r="AV71" i="23"/>
  <c r="AV331" i="23" s="1"/>
  <c r="AS124" i="22"/>
  <c r="AU47" i="23"/>
  <c r="AS78" i="22"/>
  <c r="AW264" i="23"/>
  <c r="AS132" i="22"/>
  <c r="AU51" i="23"/>
  <c r="AV178" i="16"/>
  <c r="AW76" i="16"/>
  <c r="AS45" i="22"/>
  <c r="AS123" i="22"/>
  <c r="AU42" i="23"/>
  <c r="AS115" i="22"/>
  <c r="AU39" i="23"/>
  <c r="AU44" i="23"/>
  <c r="AU45" i="23"/>
  <c r="AS121" i="22"/>
  <c r="AH216" i="23"/>
  <c r="AH386" i="23"/>
  <c r="AH347" i="23"/>
  <c r="AX433" i="23"/>
  <c r="AX432" i="23"/>
  <c r="AX292" i="23"/>
  <c r="AX270" i="23"/>
  <c r="AX206" i="23"/>
  <c r="AX80" i="23"/>
  <c r="AX81" i="23"/>
  <c r="AX6" i="23"/>
  <c r="AY5" i="23"/>
  <c r="AW60" i="23"/>
  <c r="AW69" i="23"/>
  <c r="AW68" i="23"/>
  <c r="AW67" i="23"/>
  <c r="AW31" i="23"/>
  <c r="AW82" i="23"/>
  <c r="AW377" i="23" s="1"/>
  <c r="AW286" i="23"/>
  <c r="AV381" i="23"/>
  <c r="AV358" i="23" s="1"/>
  <c r="AV380" i="23"/>
  <c r="AV354" i="23" s="1"/>
  <c r="AV378" i="23"/>
  <c r="AV346" i="23" s="1"/>
  <c r="AV379" i="23"/>
  <c r="AV350" i="23" s="1"/>
  <c r="AS128" i="22"/>
  <c r="AU48" i="23"/>
  <c r="AP23" i="23" l="1"/>
  <c r="AT55" i="22"/>
  <c r="AO72" i="22"/>
  <c r="AP420" i="23"/>
  <c r="AQ18" i="23"/>
  <c r="AO70" i="22"/>
  <c r="AQ417" i="23" s="1"/>
  <c r="AP71" i="22"/>
  <c r="AP31" i="22"/>
  <c r="AQ69" i="22"/>
  <c r="AQ48" i="22"/>
  <c r="AQ62" i="22" s="1"/>
  <c r="AR46" i="22"/>
  <c r="AI207" i="23"/>
  <c r="AI208" i="23" s="1"/>
  <c r="AI386" i="23" s="1"/>
  <c r="AI251" i="23"/>
  <c r="AI253" i="23" s="1"/>
  <c r="AX435" i="23"/>
  <c r="AX82" i="23"/>
  <c r="AX377" i="23" s="1"/>
  <c r="AX380" i="23" s="1"/>
  <c r="AX354" i="23" s="1"/>
  <c r="AF156" i="23"/>
  <c r="AF171" i="23"/>
  <c r="AF384" i="23"/>
  <c r="AF94" i="23"/>
  <c r="AT37" i="22"/>
  <c r="AT57" i="22" s="1"/>
  <c r="AH187" i="23"/>
  <c r="AI183" i="23" s="1"/>
  <c r="AI185" i="23" s="1"/>
  <c r="AF164" i="23"/>
  <c r="AG160" i="23" s="1"/>
  <c r="AT54" i="22"/>
  <c r="AG139" i="23"/>
  <c r="AG140" i="23" s="1"/>
  <c r="AT128" i="22"/>
  <c r="AV48" i="23"/>
  <c r="AJ280" i="23"/>
  <c r="AJ391" i="23"/>
  <c r="AJ351" i="23"/>
  <c r="AU159" i="22"/>
  <c r="AU160" i="22"/>
  <c r="AT116" i="22"/>
  <c r="AV40" i="23"/>
  <c r="AT123" i="22"/>
  <c r="AV42" i="23"/>
  <c r="AJ273" i="23"/>
  <c r="AK269" i="23" s="1"/>
  <c r="AT115" i="22"/>
  <c r="AV39" i="23"/>
  <c r="AW91" i="23"/>
  <c r="AW333" i="23" s="1"/>
  <c r="AU35" i="22"/>
  <c r="AV11" i="22"/>
  <c r="AX286" i="23"/>
  <c r="AT118" i="22"/>
  <c r="AV43" i="23"/>
  <c r="AT122" i="22"/>
  <c r="AV46" i="23"/>
  <c r="AG293" i="23"/>
  <c r="AG294" i="23" s="1"/>
  <c r="AW381" i="23"/>
  <c r="AW358" i="23" s="1"/>
  <c r="AW378" i="23"/>
  <c r="AW346" i="23" s="1"/>
  <c r="AW380" i="23"/>
  <c r="AW354" i="23" s="1"/>
  <c r="AW379" i="23"/>
  <c r="AW350" i="23" s="1"/>
  <c r="AX264" i="23"/>
  <c r="AY433" i="23"/>
  <c r="AY432" i="23"/>
  <c r="AY292" i="23"/>
  <c r="AY270" i="23"/>
  <c r="AY206" i="23"/>
  <c r="AY80" i="23"/>
  <c r="AY81" i="23"/>
  <c r="AY6" i="23"/>
  <c r="AZ5" i="23"/>
  <c r="AV44" i="23"/>
  <c r="AV45" i="23"/>
  <c r="AT121" i="22"/>
  <c r="AZ68" i="16"/>
  <c r="AY71" i="16"/>
  <c r="AX252" i="23"/>
  <c r="AX221" i="23"/>
  <c r="AX235" i="23"/>
  <c r="AX337" i="23" s="1"/>
  <c r="AX200" i="23"/>
  <c r="AX90" i="23"/>
  <c r="AW335" i="23"/>
  <c r="AX60" i="23"/>
  <c r="AX69" i="23"/>
  <c r="AX68" i="23"/>
  <c r="AX31" i="23"/>
  <c r="AX67" i="23"/>
  <c r="AT131" i="22"/>
  <c r="AV50" i="23"/>
  <c r="AT117" i="22"/>
  <c r="AV41" i="23"/>
  <c r="AT45" i="22"/>
  <c r="AH179" i="23"/>
  <c r="AH194" i="23"/>
  <c r="AW71" i="23"/>
  <c r="AW331" i="23" s="1"/>
  <c r="AT124" i="22"/>
  <c r="AV47" i="23"/>
  <c r="AW178" i="16"/>
  <c r="AX76" i="16"/>
  <c r="AU19" i="22"/>
  <c r="AT22" i="22"/>
  <c r="AV10" i="22"/>
  <c r="AU13" i="22"/>
  <c r="AV161" i="22"/>
  <c r="AV6" i="22"/>
  <c r="AW5" i="22"/>
  <c r="AH388" i="23"/>
  <c r="AH352" i="23" s="1"/>
  <c r="AH387" i="23"/>
  <c r="AH343" i="23" s="1"/>
  <c r="AH389" i="23"/>
  <c r="AH356" i="23" s="1"/>
  <c r="AT132" i="22"/>
  <c r="AV51" i="23"/>
  <c r="AT78" i="22"/>
  <c r="AU148" i="22"/>
  <c r="AU147" i="22"/>
  <c r="AU146" i="22"/>
  <c r="AU149" i="22"/>
  <c r="AU142" i="22"/>
  <c r="AU79" i="22" s="1"/>
  <c r="AU141" i="22"/>
  <c r="AU150" i="22"/>
  <c r="AU96" i="22"/>
  <c r="AU91" i="22"/>
  <c r="AU101" i="22"/>
  <c r="AU103" i="22"/>
  <c r="AU130" i="22" s="1"/>
  <c r="AU105" i="22"/>
  <c r="AU97" i="22"/>
  <c r="AU99" i="22"/>
  <c r="AU126" i="22" s="1"/>
  <c r="AU89" i="22"/>
  <c r="AU90" i="22"/>
  <c r="AU100" i="22"/>
  <c r="AU127" i="22" s="1"/>
  <c r="AU106" i="22"/>
  <c r="AU133" i="22" s="1"/>
  <c r="AU98" i="22"/>
  <c r="AU125" i="22" s="1"/>
  <c r="AU92" i="22"/>
  <c r="AU119" i="22" s="1"/>
  <c r="AU95" i="22"/>
  <c r="AU107" i="22"/>
  <c r="AU134" i="22" s="1"/>
  <c r="AU88" i="22"/>
  <c r="AU93" i="22"/>
  <c r="AU120" i="22" s="1"/>
  <c r="AU94" i="22"/>
  <c r="AU104" i="22"/>
  <c r="AF397" i="23"/>
  <c r="AF345" i="23" s="1"/>
  <c r="AF399" i="23"/>
  <c r="AF353" i="23" s="1"/>
  <c r="AF398" i="23"/>
  <c r="AF349" i="23" s="1"/>
  <c r="AP72" i="22" l="1"/>
  <c r="AU55" i="22"/>
  <c r="AQ418" i="23"/>
  <c r="AQ420" i="23" s="1"/>
  <c r="AQ23" i="23"/>
  <c r="AI347" i="23"/>
  <c r="AX378" i="23"/>
  <c r="AX346" i="23" s="1"/>
  <c r="AI216" i="23"/>
  <c r="AR69" i="22"/>
  <c r="AS46" i="22"/>
  <c r="AR48" i="22"/>
  <c r="AR62" i="22" s="1"/>
  <c r="AX381" i="23"/>
  <c r="AX358" i="23" s="1"/>
  <c r="AQ71" i="22"/>
  <c r="AQ31" i="22"/>
  <c r="AX379" i="23"/>
  <c r="AX350" i="23" s="1"/>
  <c r="AR418" i="23"/>
  <c r="AR23" i="23"/>
  <c r="AR18" i="23"/>
  <c r="AP70" i="22"/>
  <c r="AR417" i="23" s="1"/>
  <c r="AI209" i="23"/>
  <c r="AJ205" i="23" s="1"/>
  <c r="AJ258" i="23" s="1"/>
  <c r="AU54" i="22"/>
  <c r="AG141" i="23"/>
  <c r="AH137" i="23" s="1"/>
  <c r="AG162" i="23"/>
  <c r="AG148" i="23"/>
  <c r="AG133" i="23"/>
  <c r="AF342" i="23"/>
  <c r="AF93" i="23"/>
  <c r="AG396" i="23"/>
  <c r="AG302" i="23"/>
  <c r="AG355" i="23"/>
  <c r="AG295" i="23"/>
  <c r="AH291" i="23" s="1"/>
  <c r="AU78" i="22"/>
  <c r="AX178" i="16"/>
  <c r="AY76" i="16"/>
  <c r="AY252" i="23"/>
  <c r="AY221" i="23"/>
  <c r="AY235" i="23"/>
  <c r="AY337" i="23" s="1"/>
  <c r="AY200" i="23"/>
  <c r="AY90" i="23"/>
  <c r="AU117" i="22"/>
  <c r="AW41" i="23"/>
  <c r="BA68" i="16"/>
  <c r="AZ71" i="16"/>
  <c r="AU116" i="22"/>
  <c r="AW40" i="23"/>
  <c r="AY264" i="23"/>
  <c r="AU22" i="22"/>
  <c r="AV19" i="22"/>
  <c r="AV34" i="22" s="1"/>
  <c r="AU124" i="22"/>
  <c r="AW47" i="23"/>
  <c r="AY286" i="23"/>
  <c r="AI186" i="23"/>
  <c r="AU131" i="22"/>
  <c r="AW50" i="23"/>
  <c r="AY60" i="23"/>
  <c r="AY69" i="23"/>
  <c r="AY68" i="23"/>
  <c r="AY31" i="23"/>
  <c r="AY67" i="23"/>
  <c r="AZ432" i="23"/>
  <c r="AZ433" i="23"/>
  <c r="AZ270" i="23"/>
  <c r="AZ292" i="23"/>
  <c r="AZ206" i="23"/>
  <c r="AZ80" i="23"/>
  <c r="AZ81" i="23"/>
  <c r="AZ6" i="23"/>
  <c r="BA5" i="23"/>
  <c r="AW44" i="23"/>
  <c r="AW45" i="23"/>
  <c r="AU121" i="22"/>
  <c r="AU128" i="22"/>
  <c r="AW48" i="23"/>
  <c r="AW161" i="22"/>
  <c r="AW6" i="22"/>
  <c r="AX5" i="22"/>
  <c r="AU118" i="22"/>
  <c r="AW43" i="23"/>
  <c r="AV147" i="22"/>
  <c r="AV146" i="22"/>
  <c r="AV150" i="22"/>
  <c r="AV148" i="22"/>
  <c r="AV142" i="22"/>
  <c r="AV79" i="22" s="1"/>
  <c r="AV141" i="22"/>
  <c r="AV149" i="22"/>
  <c r="AV89" i="22"/>
  <c r="AV100" i="22"/>
  <c r="AV127" i="22" s="1"/>
  <c r="AV106" i="22"/>
  <c r="AV133" i="22" s="1"/>
  <c r="AV98" i="22"/>
  <c r="AV125" i="22" s="1"/>
  <c r="AV88" i="22"/>
  <c r="AV104" i="22"/>
  <c r="AV94" i="22"/>
  <c r="AV95" i="22"/>
  <c r="AV107" i="22"/>
  <c r="AV134" i="22" s="1"/>
  <c r="AV96" i="22"/>
  <c r="AV105" i="22"/>
  <c r="AV93" i="22"/>
  <c r="AV120" i="22" s="1"/>
  <c r="AV91" i="22"/>
  <c r="AV97" i="22"/>
  <c r="AV90" i="22"/>
  <c r="AV99" i="22"/>
  <c r="AV126" i="22" s="1"/>
  <c r="AV92" i="22"/>
  <c r="AV119" i="22" s="1"/>
  <c r="AV101" i="22"/>
  <c r="AV103" i="22"/>
  <c r="AV130" i="22" s="1"/>
  <c r="AY82" i="23"/>
  <c r="AY377" i="23" s="1"/>
  <c r="AY435" i="23"/>
  <c r="AI389" i="23"/>
  <c r="AI356" i="23" s="1"/>
  <c r="AI388" i="23"/>
  <c r="AI352" i="23" s="1"/>
  <c r="AI387" i="23"/>
  <c r="AI343" i="23" s="1"/>
  <c r="AU115" i="22"/>
  <c r="AW39" i="23"/>
  <c r="AU123" i="22"/>
  <c r="AW42" i="23"/>
  <c r="AV159" i="22"/>
  <c r="AV55" i="22" s="1"/>
  <c r="AV160" i="22"/>
  <c r="AK271" i="23"/>
  <c r="AK272" i="23" s="1"/>
  <c r="AU45" i="22"/>
  <c r="AX71" i="23"/>
  <c r="AX331" i="23" s="1"/>
  <c r="AX91" i="23"/>
  <c r="AX333" i="23" s="1"/>
  <c r="AU122" i="22"/>
  <c r="AW46" i="23"/>
  <c r="AU34" i="22"/>
  <c r="AU37" i="22" s="1"/>
  <c r="AU57" i="22" s="1"/>
  <c r="AV13" i="22"/>
  <c r="AW10" i="22"/>
  <c r="AX335" i="23"/>
  <c r="AV35" i="22"/>
  <c r="AW11" i="22"/>
  <c r="AU132" i="22"/>
  <c r="AW51" i="23"/>
  <c r="AJ392" i="23"/>
  <c r="AJ344" i="23" s="1"/>
  <c r="AJ394" i="23"/>
  <c r="AJ357" i="23" s="1"/>
  <c r="AJ393" i="23"/>
  <c r="AJ348" i="23" s="1"/>
  <c r="AQ72" i="22" l="1"/>
  <c r="AS418" i="23" s="1"/>
  <c r="AR420" i="23"/>
  <c r="AS18" i="23"/>
  <c r="AQ70" i="22"/>
  <c r="AS417" i="23" s="1"/>
  <c r="AJ207" i="23"/>
  <c r="AJ208" i="23" s="1"/>
  <c r="AJ209" i="23" s="1"/>
  <c r="AK205" i="23" s="1"/>
  <c r="AJ251" i="23"/>
  <c r="AJ253" i="23" s="1"/>
  <c r="AR71" i="22"/>
  <c r="AR31" i="22"/>
  <c r="AR72" i="22" s="1"/>
  <c r="AS48" i="22"/>
  <c r="AS62" i="22" s="1"/>
  <c r="AT46" i="22"/>
  <c r="AS69" i="22"/>
  <c r="AY71" i="23"/>
  <c r="AY331" i="23" s="1"/>
  <c r="AZ82" i="23"/>
  <c r="AZ377" i="23" s="1"/>
  <c r="AZ380" i="23" s="1"/>
  <c r="AZ354" i="23" s="1"/>
  <c r="AV37" i="22"/>
  <c r="AV57" i="22" s="1"/>
  <c r="AZ435" i="23"/>
  <c r="AG163" i="23"/>
  <c r="AG164" i="23" s="1"/>
  <c r="AH160" i="23" s="1"/>
  <c r="AH139" i="23"/>
  <c r="AH140" i="23" s="1"/>
  <c r="AK280" i="23"/>
  <c r="AK391" i="23"/>
  <c r="AK351" i="23"/>
  <c r="AK273" i="23"/>
  <c r="AL269" i="23" s="1"/>
  <c r="AV45" i="22"/>
  <c r="AV54" i="22"/>
  <c r="AX161" i="22"/>
  <c r="AX6" i="22"/>
  <c r="AY5" i="22"/>
  <c r="AY178" i="16"/>
  <c r="AZ76" i="16"/>
  <c r="AV128" i="22"/>
  <c r="AX48" i="23"/>
  <c r="AW146" i="22"/>
  <c r="AW150" i="22"/>
  <c r="AW149" i="22"/>
  <c r="AW147" i="22"/>
  <c r="AW142" i="22"/>
  <c r="AW79" i="22" s="1"/>
  <c r="AW141" i="22"/>
  <c r="AW148" i="22"/>
  <c r="AW89" i="22"/>
  <c r="AW100" i="22"/>
  <c r="AW127" i="22" s="1"/>
  <c r="AW104" i="22"/>
  <c r="AW94" i="22"/>
  <c r="AW95" i="22"/>
  <c r="AW107" i="22"/>
  <c r="AW134" i="22" s="1"/>
  <c r="AW93" i="22"/>
  <c r="AW120" i="22" s="1"/>
  <c r="AW90" i="22"/>
  <c r="AW103" i="22"/>
  <c r="AW130" i="22" s="1"/>
  <c r="AW105" i="22"/>
  <c r="AW101" i="22"/>
  <c r="AW97" i="22"/>
  <c r="AW99" i="22"/>
  <c r="AW126" i="22" s="1"/>
  <c r="AW92" i="22"/>
  <c r="AW119" i="22" s="1"/>
  <c r="AW96" i="22"/>
  <c r="AW98" i="22"/>
  <c r="AW125" i="22" s="1"/>
  <c r="AW91" i="22"/>
  <c r="AW88" i="22"/>
  <c r="AW106" i="22"/>
  <c r="AW133" i="22" s="1"/>
  <c r="AV115" i="22"/>
  <c r="AX39" i="23"/>
  <c r="AW159" i="22"/>
  <c r="AW55" i="22" s="1"/>
  <c r="AW160" i="22"/>
  <c r="AI194" i="23"/>
  <c r="AI179" i="23"/>
  <c r="AV117" i="22"/>
  <c r="AX41" i="23"/>
  <c r="AV118" i="22"/>
  <c r="AX43" i="23"/>
  <c r="AZ286" i="23"/>
  <c r="AZ252" i="23"/>
  <c r="AZ221" i="23"/>
  <c r="AZ235" i="23"/>
  <c r="AZ337" i="23" s="1"/>
  <c r="AZ200" i="23"/>
  <c r="AZ90" i="23"/>
  <c r="AY91" i="23"/>
  <c r="AY333" i="23" s="1"/>
  <c r="AZ264" i="23"/>
  <c r="AV22" i="22"/>
  <c r="AW19" i="22"/>
  <c r="AI187" i="23"/>
  <c r="AJ183" i="23" s="1"/>
  <c r="AW35" i="22"/>
  <c r="AX11" i="22"/>
  <c r="AV132" i="22"/>
  <c r="AX51" i="23"/>
  <c r="AV78" i="22"/>
  <c r="BA433" i="23"/>
  <c r="BA432" i="23"/>
  <c r="BA270" i="23"/>
  <c r="BA292" i="23"/>
  <c r="BA206" i="23"/>
  <c r="BA80" i="23"/>
  <c r="BA81" i="23"/>
  <c r="BA6" i="23"/>
  <c r="BB5" i="23"/>
  <c r="AY335" i="23"/>
  <c r="AV123" i="22"/>
  <c r="AX42" i="23"/>
  <c r="AZ60" i="23"/>
  <c r="AZ69" i="23"/>
  <c r="AZ68" i="23"/>
  <c r="AZ31" i="23"/>
  <c r="AZ67" i="23"/>
  <c r="AH293" i="23"/>
  <c r="AV122" i="22"/>
  <c r="AX46" i="23"/>
  <c r="AV116" i="22"/>
  <c r="AX40" i="23"/>
  <c r="AV124" i="22"/>
  <c r="AX47" i="23"/>
  <c r="AY380" i="23"/>
  <c r="AY354" i="23" s="1"/>
  <c r="AY381" i="23"/>
  <c r="AY358" i="23" s="1"/>
  <c r="AY378" i="23"/>
  <c r="AY346" i="23" s="1"/>
  <c r="AY379" i="23"/>
  <c r="AY350" i="23" s="1"/>
  <c r="AV121" i="22"/>
  <c r="AX45" i="23"/>
  <c r="AX44" i="23"/>
  <c r="AX10" i="22"/>
  <c r="AW13" i="22"/>
  <c r="AV131" i="22"/>
  <c r="AX50" i="23"/>
  <c r="BB68" i="16"/>
  <c r="BB71" i="16" s="1"/>
  <c r="BA71" i="16"/>
  <c r="AG399" i="23"/>
  <c r="AG353" i="23" s="1"/>
  <c r="AG397" i="23"/>
  <c r="AG345" i="23" s="1"/>
  <c r="AG398" i="23"/>
  <c r="AG349" i="23" s="1"/>
  <c r="AS23" i="23" l="1"/>
  <c r="AS420" i="23"/>
  <c r="AJ386" i="23"/>
  <c r="AJ387" i="23" s="1"/>
  <c r="AJ343" i="23" s="1"/>
  <c r="AU46" i="22"/>
  <c r="AT48" i="22"/>
  <c r="AT62" i="22" s="1"/>
  <c r="AT69" i="22"/>
  <c r="AS31" i="22"/>
  <c r="AS71" i="22"/>
  <c r="AT418" i="23"/>
  <c r="AT23" i="23"/>
  <c r="AZ379" i="23"/>
  <c r="AZ350" i="23" s="1"/>
  <c r="AT18" i="23"/>
  <c r="AR70" i="22"/>
  <c r="AT417" i="23" s="1"/>
  <c r="AZ378" i="23"/>
  <c r="AZ346" i="23" s="1"/>
  <c r="AZ381" i="23"/>
  <c r="AZ358" i="23" s="1"/>
  <c r="AJ347" i="23"/>
  <c r="AH162" i="23"/>
  <c r="AH163" i="23" s="1"/>
  <c r="AH384" i="23" s="1"/>
  <c r="AK258" i="23"/>
  <c r="AK251" i="23"/>
  <c r="AK253" i="23" s="1"/>
  <c r="AK207" i="23"/>
  <c r="AK208" i="23" s="1"/>
  <c r="AK209" i="23" s="1"/>
  <c r="AL205" i="23" s="1"/>
  <c r="AH148" i="23"/>
  <c r="AH133" i="23"/>
  <c r="AH141" i="23"/>
  <c r="AI137" i="23" s="1"/>
  <c r="AI139" i="23" s="1"/>
  <c r="AI140" i="23" s="1"/>
  <c r="AI148" i="23" s="1"/>
  <c r="AG171" i="23"/>
  <c r="AG156" i="23"/>
  <c r="AG94" i="23"/>
  <c r="AG384" i="23"/>
  <c r="AJ216" i="23"/>
  <c r="AH294" i="23"/>
  <c r="AH355" i="23" s="1"/>
  <c r="AZ178" i="16"/>
  <c r="BA76" i="16"/>
  <c r="AW45" i="22"/>
  <c r="AW117" i="22"/>
  <c r="AY41" i="23"/>
  <c r="AY161" i="22"/>
  <c r="AZ5" i="22"/>
  <c r="AY6" i="22"/>
  <c r="AX35" i="22"/>
  <c r="AY11" i="22"/>
  <c r="AW122" i="22"/>
  <c r="AY46" i="23"/>
  <c r="AX150" i="22"/>
  <c r="AX149" i="22"/>
  <c r="AX148" i="22"/>
  <c r="AX142" i="22"/>
  <c r="AX79" i="22" s="1"/>
  <c r="AX147" i="22"/>
  <c r="AX141" i="22"/>
  <c r="AX146" i="22"/>
  <c r="AX103" i="22"/>
  <c r="AX130" i="22" s="1"/>
  <c r="AX105" i="22"/>
  <c r="AX96" i="22"/>
  <c r="AX101" i="22"/>
  <c r="AX97" i="22"/>
  <c r="AX100" i="22"/>
  <c r="AX127" i="22" s="1"/>
  <c r="AX88" i="22"/>
  <c r="AX99" i="22"/>
  <c r="AX126" i="22" s="1"/>
  <c r="AX106" i="22"/>
  <c r="AX133" i="22" s="1"/>
  <c r="AX95" i="22"/>
  <c r="AX98" i="22"/>
  <c r="AX125" i="22" s="1"/>
  <c r="AX92" i="22"/>
  <c r="AX119" i="22" s="1"/>
  <c r="AX104" i="22"/>
  <c r="AX107" i="22"/>
  <c r="AX134" i="22" s="1"/>
  <c r="AX93" i="22"/>
  <c r="AX120" i="22" s="1"/>
  <c r="AX89" i="22"/>
  <c r="AX91" i="22"/>
  <c r="AX94" i="22"/>
  <c r="AX90" i="22"/>
  <c r="AZ91" i="23"/>
  <c r="AZ333" i="23" s="1"/>
  <c r="AZ335" i="23"/>
  <c r="AY44" i="23"/>
  <c r="AW121" i="22"/>
  <c r="AY45" i="23"/>
  <c r="AX159" i="22"/>
  <c r="AX55" i="22" s="1"/>
  <c r="AX160" i="22"/>
  <c r="BA235" i="23"/>
  <c r="BA337" i="23" s="1"/>
  <c r="BA252" i="23"/>
  <c r="BA221" i="23"/>
  <c r="BA200" i="23"/>
  <c r="BA90" i="23"/>
  <c r="AW115" i="22"/>
  <c r="AY39" i="23"/>
  <c r="AW131" i="22"/>
  <c r="AY50" i="23"/>
  <c r="AJ185" i="23"/>
  <c r="AW118" i="22"/>
  <c r="AY43" i="23"/>
  <c r="AW132" i="22"/>
  <c r="AY51" i="23"/>
  <c r="AW22" i="22"/>
  <c r="AX19" i="22"/>
  <c r="AX34" i="22" s="1"/>
  <c r="AW116" i="22"/>
  <c r="AY40" i="23"/>
  <c r="AL271" i="23"/>
  <c r="BA286" i="23"/>
  <c r="AW123" i="22"/>
  <c r="AY42" i="23"/>
  <c r="AK392" i="23"/>
  <c r="AK344" i="23" s="1"/>
  <c r="AK393" i="23"/>
  <c r="AK348" i="23" s="1"/>
  <c r="AK394" i="23"/>
  <c r="AK357" i="23" s="1"/>
  <c r="AZ71" i="23"/>
  <c r="BB433" i="23"/>
  <c r="BB432" i="23"/>
  <c r="BB270" i="23"/>
  <c r="BB292" i="23"/>
  <c r="BB206" i="23"/>
  <c r="BB80" i="23"/>
  <c r="BB81" i="23"/>
  <c r="BB6" i="23"/>
  <c r="BC5" i="23"/>
  <c r="BA264" i="23"/>
  <c r="BA60" i="23"/>
  <c r="BA69" i="23"/>
  <c r="BA68" i="23"/>
  <c r="BA31" i="23"/>
  <c r="BA67" i="23"/>
  <c r="AY10" i="22"/>
  <c r="AX13" i="22"/>
  <c r="AW124" i="22"/>
  <c r="AY47" i="23"/>
  <c r="AW78" i="22"/>
  <c r="AW34" i="22"/>
  <c r="AW37" i="22" s="1"/>
  <c r="AW57" i="22" s="1"/>
  <c r="BA82" i="23"/>
  <c r="BA377" i="23" s="1"/>
  <c r="BA435" i="23"/>
  <c r="AW128" i="22"/>
  <c r="AY48" i="23"/>
  <c r="AW54" i="22"/>
  <c r="AS72" i="22" l="1"/>
  <c r="AU418" i="23" s="1"/>
  <c r="AJ389" i="23"/>
  <c r="AJ356" i="23" s="1"/>
  <c r="AJ388" i="23"/>
  <c r="AJ352" i="23" s="1"/>
  <c r="AT420" i="23"/>
  <c r="AX37" i="22"/>
  <c r="AX57" i="22" s="1"/>
  <c r="AU18" i="23"/>
  <c r="AS70" i="22"/>
  <c r="AU417" i="23" s="1"/>
  <c r="AT71" i="22"/>
  <c r="AT31" i="22"/>
  <c r="AT72" i="22" s="1"/>
  <c r="AV46" i="22"/>
  <c r="AU48" i="22"/>
  <c r="AU62" i="22" s="1"/>
  <c r="AU69" i="22"/>
  <c r="AX54" i="22"/>
  <c r="AH396" i="23"/>
  <c r="AH399" i="23" s="1"/>
  <c r="AH353" i="23" s="1"/>
  <c r="AH295" i="23"/>
  <c r="AI291" i="23" s="1"/>
  <c r="AI293" i="23" s="1"/>
  <c r="AH302" i="23"/>
  <c r="BB435" i="23"/>
  <c r="BB82" i="23"/>
  <c r="BB377" i="23" s="1"/>
  <c r="BB381" i="23" s="1"/>
  <c r="BB358" i="23" s="1"/>
  <c r="AI133" i="23"/>
  <c r="AH164" i="23"/>
  <c r="AI160" i="23" s="1"/>
  <c r="AI162" i="23" s="1"/>
  <c r="AI163" i="23" s="1"/>
  <c r="AG342" i="23"/>
  <c r="AG93" i="23"/>
  <c r="BA71" i="23"/>
  <c r="BA331" i="23" s="1"/>
  <c r="AH94" i="23"/>
  <c r="AI141" i="23"/>
  <c r="AJ137" i="23" s="1"/>
  <c r="AJ139" i="23" s="1"/>
  <c r="AH156" i="23"/>
  <c r="AH342" i="23" s="1"/>
  <c r="AH171" i="23"/>
  <c r="BB264" i="23"/>
  <c r="BA379" i="23"/>
  <c r="BA350" i="23" s="1"/>
  <c r="BA381" i="23"/>
  <c r="BA358" i="23" s="1"/>
  <c r="BA378" i="23"/>
  <c r="BA346" i="23" s="1"/>
  <c r="BA380" i="23"/>
  <c r="BA354" i="23" s="1"/>
  <c r="BA91" i="23"/>
  <c r="BA333" i="23" s="1"/>
  <c r="BC270" i="23"/>
  <c r="BC292" i="23"/>
  <c r="BC206" i="23"/>
  <c r="BD5" i="23"/>
  <c r="BC6" i="23"/>
  <c r="AX115" i="22"/>
  <c r="AZ39" i="23"/>
  <c r="AL258" i="23"/>
  <c r="AL251" i="23"/>
  <c r="AL253" i="23" s="1"/>
  <c r="AL207" i="23"/>
  <c r="AL208" i="23" s="1"/>
  <c r="AJ186" i="23"/>
  <c r="AX124" i="22"/>
  <c r="AZ47" i="23"/>
  <c r="AX117" i="22"/>
  <c r="AZ41" i="23"/>
  <c r="AX128" i="22"/>
  <c r="AZ48" i="23"/>
  <c r="AZ44" i="23"/>
  <c r="AX121" i="22"/>
  <c r="AZ45" i="23"/>
  <c r="AX123" i="22"/>
  <c r="AZ42" i="23"/>
  <c r="AX118" i="22"/>
  <c r="AZ43" i="23"/>
  <c r="AX132" i="22"/>
  <c r="AZ51" i="23"/>
  <c r="AZ10" i="22"/>
  <c r="AY13" i="22"/>
  <c r="AZ331" i="23"/>
  <c r="AX116" i="22"/>
  <c r="AZ40" i="23"/>
  <c r="AY149" i="22"/>
  <c r="AY148" i="22"/>
  <c r="AY147" i="22"/>
  <c r="AY142" i="22"/>
  <c r="AY79" i="22" s="1"/>
  <c r="AY141" i="22"/>
  <c r="AY150" i="22"/>
  <c r="AY146" i="22"/>
  <c r="AY106" i="22"/>
  <c r="AY133" i="22" s="1"/>
  <c r="AY100" i="22"/>
  <c r="AY127" i="22" s="1"/>
  <c r="AY99" i="22"/>
  <c r="AY126" i="22" s="1"/>
  <c r="AY104" i="22"/>
  <c r="AY107" i="22"/>
  <c r="AY134" i="22" s="1"/>
  <c r="AY94" i="22"/>
  <c r="AY93" i="22"/>
  <c r="AY120" i="22" s="1"/>
  <c r="AY88" i="22"/>
  <c r="AY105" i="22"/>
  <c r="AY92" i="22"/>
  <c r="AY119" i="22" s="1"/>
  <c r="AY101" i="22"/>
  <c r="AY98" i="22"/>
  <c r="AY125" i="22" s="1"/>
  <c r="AY89" i="22"/>
  <c r="AY95" i="22"/>
  <c r="AY103" i="22"/>
  <c r="AY130" i="22" s="1"/>
  <c r="AY96" i="22"/>
  <c r="AY97" i="22"/>
  <c r="AY90" i="22"/>
  <c r="AY91" i="22"/>
  <c r="AL272" i="23"/>
  <c r="AL273" i="23" s="1"/>
  <c r="AM269" i="23" s="1"/>
  <c r="AZ161" i="22"/>
  <c r="BA5" i="22"/>
  <c r="AZ6" i="22"/>
  <c r="AY159" i="22"/>
  <c r="AY55" i="22" s="1"/>
  <c r="AY160" i="22"/>
  <c r="AX131" i="22"/>
  <c r="AZ50" i="23"/>
  <c r="AK216" i="23"/>
  <c r="AK386" i="23"/>
  <c r="AK347" i="23"/>
  <c r="BB69" i="23"/>
  <c r="BB68" i="23"/>
  <c r="BB60" i="23"/>
  <c r="BB67" i="23"/>
  <c r="BB31" i="23"/>
  <c r="BB235" i="23"/>
  <c r="BB337" i="23" s="1"/>
  <c r="BB252" i="23"/>
  <c r="BB221" i="23"/>
  <c r="BB200" i="23"/>
  <c r="BB90" i="23"/>
  <c r="AX45" i="22"/>
  <c r="BA335" i="23"/>
  <c r="AX22" i="22"/>
  <c r="AY19" i="22"/>
  <c r="AX78" i="22"/>
  <c r="AY35" i="22"/>
  <c r="AZ11" i="22"/>
  <c r="BA178" i="16"/>
  <c r="BB76" i="16"/>
  <c r="BB178" i="16" s="1"/>
  <c r="BB286" i="23"/>
  <c r="AX122" i="22"/>
  <c r="AZ46" i="23"/>
  <c r="AU23" i="23" l="1"/>
  <c r="AU420" i="23"/>
  <c r="AH397" i="23"/>
  <c r="AH345" i="23" s="1"/>
  <c r="AH398" i="23"/>
  <c r="AH349" i="23" s="1"/>
  <c r="AU71" i="22"/>
  <c r="AU31" i="22"/>
  <c r="AU72" i="22" s="1"/>
  <c r="AV69" i="22"/>
  <c r="AV48" i="22"/>
  <c r="AV62" i="22" s="1"/>
  <c r="AW46" i="22"/>
  <c r="AV418" i="23"/>
  <c r="AV23" i="23"/>
  <c r="AT70" i="22"/>
  <c r="AV417" i="23" s="1"/>
  <c r="AV18" i="23"/>
  <c r="AI294" i="23"/>
  <c r="AI295" i="23" s="1"/>
  <c r="AJ291" i="23" s="1"/>
  <c r="AJ293" i="23" s="1"/>
  <c r="AJ294" i="23" s="1"/>
  <c r="BB379" i="23"/>
  <c r="BB350" i="23" s="1"/>
  <c r="BB380" i="23"/>
  <c r="BB354" i="23" s="1"/>
  <c r="BB378" i="23"/>
  <c r="BB346" i="23" s="1"/>
  <c r="AI171" i="23"/>
  <c r="AI156" i="23"/>
  <c r="AI384" i="23"/>
  <c r="AI164" i="23"/>
  <c r="AJ160" i="23" s="1"/>
  <c r="AJ162" i="23" s="1"/>
  <c r="AJ163" i="23" s="1"/>
  <c r="AH93" i="23"/>
  <c r="AY54" i="22"/>
  <c r="BB71" i="23"/>
  <c r="BB331" i="23" s="1"/>
  <c r="AM271" i="23"/>
  <c r="BA44" i="23"/>
  <c r="AY121" i="22"/>
  <c r="BA45" i="23"/>
  <c r="BC286" i="23"/>
  <c r="AY131" i="22"/>
  <c r="BA50" i="23"/>
  <c r="AY117" i="22"/>
  <c r="BA41" i="23"/>
  <c r="BD433" i="23"/>
  <c r="BD432" i="23"/>
  <c r="BD292" i="23"/>
  <c r="BD270" i="23"/>
  <c r="BD206" i="23"/>
  <c r="BD81" i="23"/>
  <c r="BD80" i="23"/>
  <c r="BE5" i="23"/>
  <c r="BD6" i="23"/>
  <c r="BC264" i="23"/>
  <c r="BC69" i="23"/>
  <c r="BC68" i="23"/>
  <c r="BC60" i="23"/>
  <c r="BC31" i="23"/>
  <c r="BC67" i="23"/>
  <c r="BB91" i="23"/>
  <c r="BB333" i="23" s="1"/>
  <c r="AY124" i="22"/>
  <c r="BA47" i="23"/>
  <c r="AY45" i="22"/>
  <c r="AZ35" i="22"/>
  <c r="BA11" i="22"/>
  <c r="AY123" i="22"/>
  <c r="BA42" i="23"/>
  <c r="BB335" i="23"/>
  <c r="AJ140" i="23"/>
  <c r="AJ141" i="23" s="1"/>
  <c r="AK137" i="23" s="1"/>
  <c r="AY122" i="22"/>
  <c r="BA46" i="23"/>
  <c r="AY116" i="22"/>
  <c r="BA40" i="23"/>
  <c r="AY22" i="22"/>
  <c r="AZ19" i="22"/>
  <c r="AY128" i="22"/>
  <c r="BA48" i="23"/>
  <c r="AL216" i="23"/>
  <c r="AL347" i="23"/>
  <c r="AL386" i="23"/>
  <c r="AK387" i="23"/>
  <c r="AK343" i="23" s="1"/>
  <c r="AK388" i="23"/>
  <c r="AK352" i="23" s="1"/>
  <c r="AK389" i="23"/>
  <c r="AK356" i="23" s="1"/>
  <c r="AZ150" i="22"/>
  <c r="AZ148" i="22"/>
  <c r="AZ147" i="22"/>
  <c r="AZ141" i="22"/>
  <c r="AZ149" i="22"/>
  <c r="AZ146" i="22"/>
  <c r="AZ142" i="22"/>
  <c r="AZ79" i="22" s="1"/>
  <c r="AZ107" i="22"/>
  <c r="AZ134" i="22" s="1"/>
  <c r="AZ89" i="22"/>
  <c r="AZ95" i="22"/>
  <c r="AZ103" i="22"/>
  <c r="AZ130" i="22" s="1"/>
  <c r="AZ105" i="22"/>
  <c r="AZ94" i="22"/>
  <c r="AZ96" i="22"/>
  <c r="AZ88" i="22"/>
  <c r="AZ92" i="22"/>
  <c r="AZ119" i="22" s="1"/>
  <c r="AZ91" i="22"/>
  <c r="AZ99" i="22"/>
  <c r="AZ126" i="22" s="1"/>
  <c r="AZ101" i="22"/>
  <c r="AZ97" i="22"/>
  <c r="AZ93" i="22"/>
  <c r="AZ120" i="22" s="1"/>
  <c r="AZ98" i="22"/>
  <c r="AZ125" i="22" s="1"/>
  <c r="AZ90" i="22"/>
  <c r="AZ104" i="22"/>
  <c r="AZ100" i="22"/>
  <c r="AZ127" i="22" s="1"/>
  <c r="AZ106" i="22"/>
  <c r="AZ133" i="22" s="1"/>
  <c r="BA161" i="22"/>
  <c r="BB5" i="22"/>
  <c r="BA6" i="22"/>
  <c r="AY132" i="22"/>
  <c r="BA51" i="23"/>
  <c r="BA10" i="22"/>
  <c r="AZ13" i="22"/>
  <c r="AJ179" i="23"/>
  <c r="AJ194" i="23"/>
  <c r="AL209" i="23"/>
  <c r="AM205" i="23" s="1"/>
  <c r="AJ187" i="23"/>
  <c r="AK183" i="23" s="1"/>
  <c r="AZ159" i="22"/>
  <c r="AZ55" i="22" s="1"/>
  <c r="AZ160" i="22"/>
  <c r="AY115" i="22"/>
  <c r="BA39" i="23"/>
  <c r="AY34" i="22"/>
  <c r="AY37" i="22" s="1"/>
  <c r="AY57" i="22" s="1"/>
  <c r="BC252" i="23"/>
  <c r="BC221" i="23"/>
  <c r="BC235" i="23"/>
  <c r="BC337" i="23" s="1"/>
  <c r="BC200" i="23"/>
  <c r="BC90" i="23"/>
  <c r="AY118" i="22"/>
  <c r="BA43" i="23"/>
  <c r="AL280" i="23"/>
  <c r="AL391" i="23"/>
  <c r="AL351" i="23"/>
  <c r="AY78" i="22"/>
  <c r="AI94" i="23" l="1"/>
  <c r="AV420" i="23"/>
  <c r="AI396" i="23"/>
  <c r="AI399" i="23" s="1"/>
  <c r="AI353" i="23" s="1"/>
  <c r="AW69" i="22"/>
  <c r="AX46" i="22"/>
  <c r="AW48" i="22"/>
  <c r="AW62" i="22" s="1"/>
  <c r="AV71" i="22"/>
  <c r="AV31" i="22"/>
  <c r="AW23" i="23"/>
  <c r="AW418" i="23"/>
  <c r="AW18" i="23"/>
  <c r="AU70" i="22"/>
  <c r="AW417" i="23" s="1"/>
  <c r="AI355" i="23"/>
  <c r="AI302" i="23"/>
  <c r="BC71" i="23"/>
  <c r="BC331" i="23" s="1"/>
  <c r="BD82" i="23"/>
  <c r="BD377" i="23" s="1"/>
  <c r="BD379" i="23" s="1"/>
  <c r="BD350" i="23" s="1"/>
  <c r="AZ54" i="22"/>
  <c r="AJ295" i="23"/>
  <c r="AK291" i="23" s="1"/>
  <c r="AK293" i="23" s="1"/>
  <c r="AI342" i="23"/>
  <c r="AI93" i="23"/>
  <c r="AK139" i="23"/>
  <c r="AK140" i="23" s="1"/>
  <c r="AJ171" i="23"/>
  <c r="AJ156" i="23"/>
  <c r="AJ164" i="23"/>
  <c r="AK160" i="23" s="1"/>
  <c r="AZ128" i="22"/>
  <c r="BB48" i="23"/>
  <c r="BC91" i="23"/>
  <c r="BC333" i="23" s="1"/>
  <c r="BA150" i="22"/>
  <c r="BA149" i="22"/>
  <c r="BA147" i="22"/>
  <c r="BA146" i="22"/>
  <c r="BA148" i="22"/>
  <c r="BA142" i="22"/>
  <c r="BA79" i="22" s="1"/>
  <c r="BA141" i="22"/>
  <c r="BA93" i="22"/>
  <c r="BA120" i="22" s="1"/>
  <c r="BA99" i="22"/>
  <c r="BA126" i="22" s="1"/>
  <c r="BA101" i="22"/>
  <c r="BA88" i="22"/>
  <c r="BA106" i="22"/>
  <c r="BA133" i="22" s="1"/>
  <c r="BA98" i="22"/>
  <c r="BA125" i="22" s="1"/>
  <c r="BA90" i="22"/>
  <c r="BA104" i="22"/>
  <c r="BA100" i="22"/>
  <c r="BA127" i="22" s="1"/>
  <c r="BA107" i="22"/>
  <c r="BA134" i="22" s="1"/>
  <c r="BA92" i="22"/>
  <c r="BA119" i="22" s="1"/>
  <c r="BA89" i="22"/>
  <c r="BA95" i="22"/>
  <c r="BA103" i="22"/>
  <c r="BA130" i="22" s="1"/>
  <c r="BA105" i="22"/>
  <c r="BA91" i="22"/>
  <c r="BA94" i="22"/>
  <c r="BA97" i="22"/>
  <c r="BA96" i="22"/>
  <c r="BB161" i="22"/>
  <c r="BC5" i="22"/>
  <c r="BB6" i="22"/>
  <c r="AZ115" i="22"/>
  <c r="BB39" i="23"/>
  <c r="BA159" i="22"/>
  <c r="BA55" i="22" s="1"/>
  <c r="BA160" i="22"/>
  <c r="AZ123" i="22"/>
  <c r="BB42" i="23"/>
  <c r="AZ78" i="22"/>
  <c r="AJ396" i="23"/>
  <c r="AJ302" i="23"/>
  <c r="AJ355" i="23"/>
  <c r="BC335" i="23"/>
  <c r="BB44" i="23"/>
  <c r="AZ121" i="22"/>
  <c r="BB45" i="23"/>
  <c r="BD252" i="23"/>
  <c r="BD235" i="23"/>
  <c r="BD337" i="23" s="1"/>
  <c r="BD200" i="23"/>
  <c r="BD221" i="23"/>
  <c r="BD90" i="23"/>
  <c r="AZ132" i="22"/>
  <c r="BB51" i="23"/>
  <c r="BD264" i="23"/>
  <c r="AZ118" i="22"/>
  <c r="BB43" i="23"/>
  <c r="AK185" i="23"/>
  <c r="AK186" i="23" s="1"/>
  <c r="AZ122" i="22"/>
  <c r="BB46" i="23"/>
  <c r="BD286" i="23"/>
  <c r="AZ22" i="22"/>
  <c r="BA19" i="22"/>
  <c r="BA34" i="22" s="1"/>
  <c r="AM258" i="23"/>
  <c r="AM251" i="23"/>
  <c r="AM253" i="23" s="1"/>
  <c r="AM207" i="23"/>
  <c r="AM208" i="23" s="1"/>
  <c r="AZ131" i="22"/>
  <c r="BB50" i="23"/>
  <c r="AZ116" i="22"/>
  <c r="BB40" i="23"/>
  <c r="BD69" i="23"/>
  <c r="BD41" i="23"/>
  <c r="BD44" i="23"/>
  <c r="BD47" i="23"/>
  <c r="BD68" i="23"/>
  <c r="BD50" i="23"/>
  <c r="BD46" i="23"/>
  <c r="BD60" i="23"/>
  <c r="BD51" i="23"/>
  <c r="BD45" i="23"/>
  <c r="BD40" i="23"/>
  <c r="BD43" i="23"/>
  <c r="BD39" i="23"/>
  <c r="BD42" i="23"/>
  <c r="BD48" i="23"/>
  <c r="BD31" i="23"/>
  <c r="BE433" i="23"/>
  <c r="BE432" i="23"/>
  <c r="BE270" i="23"/>
  <c r="BE292" i="23"/>
  <c r="BE206" i="23"/>
  <c r="BE81" i="23"/>
  <c r="BE80" i="23"/>
  <c r="BF5" i="23"/>
  <c r="BE6" i="23"/>
  <c r="BA35" i="22"/>
  <c r="BB11" i="22"/>
  <c r="AL392" i="23"/>
  <c r="AL344" i="23" s="1"/>
  <c r="AL393" i="23"/>
  <c r="AL348" i="23" s="1"/>
  <c r="AL394" i="23"/>
  <c r="AL357" i="23" s="1"/>
  <c r="AJ384" i="23"/>
  <c r="AJ148" i="23"/>
  <c r="AJ94" i="23"/>
  <c r="AJ133" i="23"/>
  <c r="BD435" i="23"/>
  <c r="AM272" i="23"/>
  <c r="AM273" i="23" s="1"/>
  <c r="AN269" i="23" s="1"/>
  <c r="AZ117" i="22"/>
  <c r="BB41" i="23"/>
  <c r="BA13" i="22"/>
  <c r="BB10" i="22"/>
  <c r="AL389" i="23"/>
  <c r="AL356" i="23" s="1"/>
  <c r="AL388" i="23"/>
  <c r="AL352" i="23" s="1"/>
  <c r="AL387" i="23"/>
  <c r="AL343" i="23" s="1"/>
  <c r="AZ34" i="22"/>
  <c r="AZ37" i="22" s="1"/>
  <c r="AZ57" i="22" s="1"/>
  <c r="AZ124" i="22"/>
  <c r="BB47" i="23"/>
  <c r="AZ45" i="22"/>
  <c r="AI398" i="23" l="1"/>
  <c r="AI349" i="23" s="1"/>
  <c r="AI397" i="23"/>
  <c r="AI345" i="23" s="1"/>
  <c r="AV72" i="22"/>
  <c r="AX23" i="23" s="1"/>
  <c r="AW420" i="23"/>
  <c r="BD380" i="23"/>
  <c r="BD354" i="23" s="1"/>
  <c r="BD378" i="23"/>
  <c r="BD346" i="23" s="1"/>
  <c r="BD381" i="23"/>
  <c r="BD358" i="23" s="1"/>
  <c r="AX18" i="23"/>
  <c r="AV70" i="22"/>
  <c r="AX417" i="23" s="1"/>
  <c r="AW31" i="22"/>
  <c r="AW72" i="22" s="1"/>
  <c r="AW71" i="22"/>
  <c r="AY46" i="22"/>
  <c r="AX69" i="22"/>
  <c r="AX48" i="22"/>
  <c r="AX62" i="22" s="1"/>
  <c r="BA37" i="22"/>
  <c r="BA57" i="22" s="1"/>
  <c r="BA54" i="22"/>
  <c r="AK187" i="23"/>
  <c r="AL183" i="23" s="1"/>
  <c r="AL185" i="23" s="1"/>
  <c r="AN271" i="23"/>
  <c r="AN272" i="23" s="1"/>
  <c r="AK148" i="23"/>
  <c r="AK133" i="23"/>
  <c r="AK141" i="23"/>
  <c r="AL137" i="23" s="1"/>
  <c r="BE435" i="23"/>
  <c r="BA131" i="22"/>
  <c r="BC50" i="23"/>
  <c r="BC161" i="22"/>
  <c r="BD5" i="22"/>
  <c r="BC6" i="22"/>
  <c r="BA117" i="22"/>
  <c r="BC41" i="23"/>
  <c r="BB159" i="22"/>
  <c r="BB160" i="22"/>
  <c r="AK162" i="23"/>
  <c r="BD91" i="23"/>
  <c r="BD333" i="23" s="1"/>
  <c r="AK294" i="23"/>
  <c r="AK295" i="23" s="1"/>
  <c r="AL291" i="23" s="1"/>
  <c r="AJ399" i="23"/>
  <c r="AJ353" i="23" s="1"/>
  <c r="AJ397" i="23"/>
  <c r="AJ345" i="23" s="1"/>
  <c r="AJ398" i="23"/>
  <c r="AJ349" i="23" s="1"/>
  <c r="BA123" i="22"/>
  <c r="BC42" i="23"/>
  <c r="BA115" i="22"/>
  <c r="BC39" i="23"/>
  <c r="BD335" i="23"/>
  <c r="AM280" i="23"/>
  <c r="AM391" i="23"/>
  <c r="AM351" i="23"/>
  <c r="BE252" i="23"/>
  <c r="BE235" i="23"/>
  <c r="BE337" i="23" s="1"/>
  <c r="BE200" i="23"/>
  <c r="BE221" i="23"/>
  <c r="BE90" i="23"/>
  <c r="BA124" i="22"/>
  <c r="BC47" i="23"/>
  <c r="BA128" i="22"/>
  <c r="BC48" i="23"/>
  <c r="BB13" i="22"/>
  <c r="BC10" i="22"/>
  <c r="AK194" i="23"/>
  <c r="AK179" i="23"/>
  <c r="BA22" i="22"/>
  <c r="BA121" i="22"/>
  <c r="BC44" i="23"/>
  <c r="BC45" i="23"/>
  <c r="AM216" i="23"/>
  <c r="AM347" i="23"/>
  <c r="AM386" i="23"/>
  <c r="BA118" i="22"/>
  <c r="BC43" i="23"/>
  <c r="BA45" i="22"/>
  <c r="AJ342" i="23"/>
  <c r="AJ93" i="23"/>
  <c r="BE286" i="23"/>
  <c r="BA132" i="22"/>
  <c r="BC51" i="23"/>
  <c r="BC11" i="22"/>
  <c r="BE44" i="23"/>
  <c r="BE47" i="23"/>
  <c r="BE68" i="23"/>
  <c r="BE50" i="23"/>
  <c r="BE46" i="23"/>
  <c r="BE45" i="23"/>
  <c r="BE60" i="23"/>
  <c r="BE51" i="23"/>
  <c r="BE69" i="23"/>
  <c r="BE41" i="23"/>
  <c r="BE40" i="23"/>
  <c r="BE43" i="23"/>
  <c r="BE48" i="23"/>
  <c r="BE39" i="23"/>
  <c r="BE42" i="23"/>
  <c r="BE31" i="23"/>
  <c r="BB150" i="22"/>
  <c r="BB149" i="22"/>
  <c r="BB148" i="22"/>
  <c r="BB146" i="22"/>
  <c r="BB147" i="22"/>
  <c r="BB142" i="22"/>
  <c r="BB79" i="22" s="1"/>
  <c r="BB141" i="22"/>
  <c r="BB26" i="22"/>
  <c r="BB20" i="22" s="1"/>
  <c r="BB35" i="22" s="1"/>
  <c r="BB25" i="22"/>
  <c r="BB19" i="22" s="1"/>
  <c r="BF433" i="23"/>
  <c r="BF432" i="23"/>
  <c r="BF270" i="23"/>
  <c r="BF292" i="23"/>
  <c r="BF206" i="23"/>
  <c r="BF81" i="23"/>
  <c r="BF80" i="23"/>
  <c r="BG5" i="23"/>
  <c r="BF6" i="23"/>
  <c r="BE264" i="23"/>
  <c r="BA122" i="22"/>
  <c r="BC46" i="23"/>
  <c r="AM209" i="23"/>
  <c r="AN205" i="23" s="1"/>
  <c r="BE82" i="23"/>
  <c r="BE377" i="23" s="1"/>
  <c r="BA116" i="22"/>
  <c r="BC40" i="23"/>
  <c r="BA78" i="22"/>
  <c r="AX418" i="23" l="1"/>
  <c r="AX420" i="23" s="1"/>
  <c r="AX71" i="22"/>
  <c r="AX31" i="22"/>
  <c r="AX72" i="22" s="1"/>
  <c r="AY69" i="22"/>
  <c r="AZ46" i="22"/>
  <c r="AY48" i="22"/>
  <c r="AY62" i="22" s="1"/>
  <c r="AY18" i="23"/>
  <c r="AW70" i="22"/>
  <c r="AY417" i="23" s="1"/>
  <c r="AY418" i="23"/>
  <c r="AY23" i="23"/>
  <c r="BB54" i="22"/>
  <c r="BF82" i="23"/>
  <c r="BF377" i="23" s="1"/>
  <c r="BF380" i="23" s="1"/>
  <c r="BF354" i="23" s="1"/>
  <c r="BF435" i="23"/>
  <c r="BB55" i="22"/>
  <c r="AN273" i="23"/>
  <c r="AO269" i="23" s="1"/>
  <c r="AO271" i="23" s="1"/>
  <c r="AO272" i="23" s="1"/>
  <c r="BD161" i="22"/>
  <c r="BD6" i="22"/>
  <c r="BE5" i="22"/>
  <c r="BB78" i="22"/>
  <c r="BF252" i="23"/>
  <c r="BF235" i="23"/>
  <c r="BF337" i="23" s="1"/>
  <c r="BF221" i="23"/>
  <c r="BF200" i="23"/>
  <c r="BF90" i="23"/>
  <c r="AL293" i="23"/>
  <c r="BB45" i="22"/>
  <c r="BB22" i="22"/>
  <c r="BE335" i="23"/>
  <c r="BF286" i="23"/>
  <c r="BG432" i="23"/>
  <c r="BG433" i="23"/>
  <c r="BG270" i="23"/>
  <c r="BG292" i="23"/>
  <c r="BG206" i="23"/>
  <c r="BG81" i="23"/>
  <c r="BG80" i="23"/>
  <c r="BH5" i="23"/>
  <c r="BG6" i="23"/>
  <c r="BE91" i="23"/>
  <c r="BE333" i="23" s="1"/>
  <c r="AK163" i="23"/>
  <c r="AK164" i="23" s="1"/>
  <c r="AL160" i="23" s="1"/>
  <c r="BF264" i="23"/>
  <c r="AL186" i="23"/>
  <c r="AK396" i="23"/>
  <c r="AK302" i="23"/>
  <c r="AK355" i="23"/>
  <c r="BC159" i="22"/>
  <c r="BC160" i="22"/>
  <c r="BF47" i="23"/>
  <c r="BF68" i="23"/>
  <c r="BF50" i="23"/>
  <c r="BF46" i="23"/>
  <c r="BF60" i="23"/>
  <c r="BF48" i="23"/>
  <c r="BF51" i="23"/>
  <c r="BF69" i="23"/>
  <c r="BF45" i="23"/>
  <c r="BF41" i="23"/>
  <c r="BF44" i="23"/>
  <c r="BF40" i="23"/>
  <c r="BF43" i="23"/>
  <c r="BF39" i="23"/>
  <c r="BF42" i="23"/>
  <c r="BF31" i="23"/>
  <c r="BC13" i="22"/>
  <c r="BD10" i="22"/>
  <c r="AM387" i="23"/>
  <c r="AM343" i="23" s="1"/>
  <c r="AM388" i="23"/>
  <c r="AM352" i="23" s="1"/>
  <c r="AM389" i="23"/>
  <c r="AM356" i="23" s="1"/>
  <c r="BB34" i="22"/>
  <c r="BB37" i="22" s="1"/>
  <c r="BB57" i="22" s="1"/>
  <c r="BD11" i="22"/>
  <c r="AN280" i="23"/>
  <c r="AN391" i="23"/>
  <c r="AN351" i="23"/>
  <c r="BD67" i="23"/>
  <c r="BD71" i="23" s="1"/>
  <c r="BB28" i="22"/>
  <c r="AL139" i="23"/>
  <c r="AL140" i="23" s="1"/>
  <c r="BE379" i="23"/>
  <c r="BE350" i="23" s="1"/>
  <c r="BE380" i="23"/>
  <c r="BE354" i="23" s="1"/>
  <c r="BE378" i="23"/>
  <c r="BE346" i="23" s="1"/>
  <c r="BE381" i="23"/>
  <c r="BE358" i="23" s="1"/>
  <c r="AN258" i="23"/>
  <c r="AN251" i="23"/>
  <c r="AN253" i="23" s="1"/>
  <c r="AN207" i="23"/>
  <c r="AN208" i="23" s="1"/>
  <c r="AM394" i="23"/>
  <c r="AM357" i="23" s="1"/>
  <c r="AM393" i="23"/>
  <c r="AM348" i="23" s="1"/>
  <c r="AM392" i="23"/>
  <c r="AM344" i="23" s="1"/>
  <c r="BC150" i="22"/>
  <c r="BC149" i="22"/>
  <c r="BC148" i="22"/>
  <c r="BC147" i="22"/>
  <c r="BC146" i="22"/>
  <c r="BC142" i="22"/>
  <c r="BC79" i="22" s="1"/>
  <c r="BC141" i="22"/>
  <c r="BC25" i="22"/>
  <c r="BC19" i="22" s="1"/>
  <c r="BC34" i="22" s="1"/>
  <c r="BC26" i="22"/>
  <c r="BC20" i="22" s="1"/>
  <c r="BC55" i="22" l="1"/>
  <c r="BF378" i="23"/>
  <c r="BF346" i="23" s="1"/>
  <c r="AY420" i="23"/>
  <c r="BF381" i="23"/>
  <c r="BF358" i="23" s="1"/>
  <c r="BF379" i="23"/>
  <c r="BF350" i="23" s="1"/>
  <c r="AY71" i="22"/>
  <c r="AY31" i="22"/>
  <c r="AY72" i="22" s="1"/>
  <c r="BA46" i="22"/>
  <c r="AZ69" i="22"/>
  <c r="AZ48" i="22"/>
  <c r="AZ62" i="22" s="1"/>
  <c r="AZ418" i="23"/>
  <c r="AZ23" i="23"/>
  <c r="AZ18" i="23"/>
  <c r="AX70" i="22"/>
  <c r="AZ417" i="23" s="1"/>
  <c r="AO273" i="23"/>
  <c r="AP269" i="23" s="1"/>
  <c r="AP271" i="23" s="1"/>
  <c r="BG82" i="23"/>
  <c r="BG377" i="23" s="1"/>
  <c r="BG379" i="23" s="1"/>
  <c r="BG350" i="23" s="1"/>
  <c r="BC35" i="22"/>
  <c r="BC37" i="22" s="1"/>
  <c r="BC57" i="22" s="1"/>
  <c r="AL148" i="23"/>
  <c r="AL133" i="23"/>
  <c r="AL141" i="23"/>
  <c r="AM137" i="23" s="1"/>
  <c r="AL162" i="23"/>
  <c r="AL163" i="23" s="1"/>
  <c r="BF335" i="23"/>
  <c r="BD13" i="22"/>
  <c r="BE10" i="22"/>
  <c r="BD331" i="23"/>
  <c r="AL194" i="23"/>
  <c r="AL179" i="23"/>
  <c r="BG252" i="23"/>
  <c r="BG235" i="23"/>
  <c r="BG337" i="23" s="1"/>
  <c r="BG221" i="23"/>
  <c r="BG200" i="23"/>
  <c r="BG90" i="23"/>
  <c r="BE67" i="23"/>
  <c r="BE71" i="23" s="1"/>
  <c r="BC28" i="22"/>
  <c r="AN393" i="23"/>
  <c r="AN348" i="23" s="1"/>
  <c r="AN392" i="23"/>
  <c r="AN344" i="23" s="1"/>
  <c r="AN394" i="23"/>
  <c r="AN357" i="23" s="1"/>
  <c r="AO280" i="23"/>
  <c r="AO351" i="23"/>
  <c r="AO391" i="23"/>
  <c r="BE161" i="22"/>
  <c r="BE6" i="22"/>
  <c r="BF5" i="22"/>
  <c r="BD150" i="22"/>
  <c r="BD149" i="22"/>
  <c r="BD148" i="22"/>
  <c r="BD147" i="22"/>
  <c r="BD146" i="22"/>
  <c r="BD142" i="22"/>
  <c r="BD79" i="22" s="1"/>
  <c r="BD141" i="22"/>
  <c r="BD25" i="22"/>
  <c r="BD26" i="22"/>
  <c r="BD20" i="22" s="1"/>
  <c r="AL187" i="23"/>
  <c r="AM183" i="23" s="1"/>
  <c r="BG68" i="23"/>
  <c r="BG50" i="23"/>
  <c r="BG46" i="23"/>
  <c r="BG45" i="23"/>
  <c r="BG51" i="23"/>
  <c r="BG69" i="23"/>
  <c r="BG41" i="23"/>
  <c r="BG44" i="23"/>
  <c r="BG40" i="23"/>
  <c r="BG47" i="23"/>
  <c r="BG43" i="23"/>
  <c r="BG48" i="23"/>
  <c r="BG39" i="23"/>
  <c r="BG42" i="23"/>
  <c r="BG60" i="23"/>
  <c r="BG31" i="23"/>
  <c r="BG286" i="23"/>
  <c r="BD159" i="22"/>
  <c r="BD160" i="22"/>
  <c r="BC78" i="22"/>
  <c r="BE11" i="22"/>
  <c r="BH432" i="23"/>
  <c r="BH433" i="23"/>
  <c r="BH292" i="23"/>
  <c r="BH270" i="23"/>
  <c r="BH206" i="23"/>
  <c r="BH81" i="23"/>
  <c r="BH80" i="23"/>
  <c r="BI5" i="23"/>
  <c r="BH6" i="23"/>
  <c r="AL294" i="23"/>
  <c r="BC22" i="22"/>
  <c r="AN216" i="23"/>
  <c r="AN347" i="23"/>
  <c r="AN386" i="23"/>
  <c r="BG264" i="23"/>
  <c r="BC45" i="22"/>
  <c r="BC54" i="22"/>
  <c r="AN209" i="23"/>
  <c r="AO205" i="23" s="1"/>
  <c r="AK399" i="23"/>
  <c r="AK353" i="23" s="1"/>
  <c r="AK397" i="23"/>
  <c r="AK345" i="23" s="1"/>
  <c r="AK398" i="23"/>
  <c r="AK349" i="23" s="1"/>
  <c r="AK171" i="23"/>
  <c r="AK156" i="23"/>
  <c r="AK94" i="23"/>
  <c r="AK384" i="23"/>
  <c r="BG435" i="23"/>
  <c r="BF91" i="23"/>
  <c r="BF333" i="23" s="1"/>
  <c r="BD55" i="22" l="1"/>
  <c r="BG380" i="23"/>
  <c r="BG354" i="23" s="1"/>
  <c r="BG378" i="23"/>
  <c r="BG346" i="23" s="1"/>
  <c r="BG381" i="23"/>
  <c r="BG358" i="23" s="1"/>
  <c r="AZ420" i="23"/>
  <c r="AZ71" i="22"/>
  <c r="AZ31" i="22"/>
  <c r="AZ72" i="22" s="1"/>
  <c r="BB46" i="22"/>
  <c r="BA69" i="22"/>
  <c r="BA48" i="22"/>
  <c r="BA62" i="22" s="1"/>
  <c r="BA418" i="23"/>
  <c r="BA23" i="23"/>
  <c r="BA18" i="23"/>
  <c r="AY70" i="22"/>
  <c r="BA417" i="23" s="1"/>
  <c r="BD54" i="22"/>
  <c r="AL171" i="23"/>
  <c r="AL156" i="23"/>
  <c r="AL93" i="23" s="1"/>
  <c r="AL384" i="23"/>
  <c r="AL94" i="23"/>
  <c r="AL164" i="23"/>
  <c r="AM160" i="23" s="1"/>
  <c r="BD35" i="22"/>
  <c r="BD45" i="22"/>
  <c r="BH82" i="23"/>
  <c r="BH377" i="23" s="1"/>
  <c r="BF67" i="23"/>
  <c r="BF71" i="23" s="1"/>
  <c r="BD28" i="22"/>
  <c r="BG91" i="23"/>
  <c r="BG333" i="23" s="1"/>
  <c r="BG335" i="23"/>
  <c r="BH435" i="23"/>
  <c r="BE13" i="22"/>
  <c r="BF10" i="22"/>
  <c r="AM185" i="23"/>
  <c r="AM186" i="23" s="1"/>
  <c r="BF11" i="22"/>
  <c r="AO394" i="23"/>
  <c r="AO357" i="23" s="1"/>
  <c r="AO393" i="23"/>
  <c r="AO348" i="23" s="1"/>
  <c r="AO392" i="23"/>
  <c r="AO344" i="23" s="1"/>
  <c r="AM139" i="23"/>
  <c r="BD78" i="22"/>
  <c r="BH43" i="23"/>
  <c r="BH46" i="23"/>
  <c r="BH42" i="23"/>
  <c r="BH60" i="23"/>
  <c r="BH48" i="23"/>
  <c r="BH69" i="23"/>
  <c r="BH68" i="23"/>
  <c r="BH41" i="23"/>
  <c r="BH44" i="23"/>
  <c r="BH40" i="23"/>
  <c r="BH47" i="23"/>
  <c r="BH39" i="23"/>
  <c r="BH51" i="23"/>
  <c r="BH45" i="23"/>
  <c r="BH50" i="23"/>
  <c r="BH31" i="23"/>
  <c r="AK342" i="23"/>
  <c r="AK93" i="23"/>
  <c r="BH252" i="23"/>
  <c r="BH235" i="23"/>
  <c r="BH337" i="23" s="1"/>
  <c r="BH221" i="23"/>
  <c r="BH200" i="23"/>
  <c r="BH90" i="23"/>
  <c r="AN389" i="23"/>
  <c r="AN356" i="23" s="1"/>
  <c r="AN388" i="23"/>
  <c r="AN352" i="23" s="1"/>
  <c r="AN387" i="23"/>
  <c r="AN343" i="23" s="1"/>
  <c r="BH286" i="23"/>
  <c r="BF161" i="22"/>
  <c r="BF6" i="22"/>
  <c r="BG5" i="22"/>
  <c r="BD19" i="22"/>
  <c r="BE150" i="22"/>
  <c r="BE149" i="22"/>
  <c r="BE148" i="22"/>
  <c r="BE147" i="22"/>
  <c r="BE146" i="22"/>
  <c r="BE142" i="22"/>
  <c r="BE79" i="22" s="1"/>
  <c r="BE141" i="22"/>
  <c r="BE26" i="22"/>
  <c r="BE20" i="22" s="1"/>
  <c r="BE25" i="22"/>
  <c r="AP272" i="23"/>
  <c r="BE159" i="22"/>
  <c r="BE55" i="22" s="1"/>
  <c r="BE160" i="22"/>
  <c r="BE331" i="23"/>
  <c r="BH264" i="23"/>
  <c r="BI432" i="23"/>
  <c r="BI433" i="23"/>
  <c r="BI292" i="23"/>
  <c r="BI270" i="23"/>
  <c r="BI206" i="23"/>
  <c r="BI81" i="23"/>
  <c r="BI80" i="23"/>
  <c r="BJ5" i="23"/>
  <c r="BI6" i="23"/>
  <c r="AO258" i="23"/>
  <c r="AO251" i="23"/>
  <c r="AO253" i="23" s="1"/>
  <c r="AO207" i="23"/>
  <c r="AO208" i="23" s="1"/>
  <c r="AO209" i="23" s="1"/>
  <c r="AP205" i="23" s="1"/>
  <c r="AL396" i="23"/>
  <c r="AL302" i="23"/>
  <c r="AL355" i="23"/>
  <c r="AL295" i="23"/>
  <c r="AM291" i="23" s="1"/>
  <c r="BA420" i="23" l="1"/>
  <c r="AL342" i="23"/>
  <c r="BA31" i="22"/>
  <c r="BA72" i="22" s="1"/>
  <c r="BA71" i="22"/>
  <c r="BB69" i="22"/>
  <c r="BC46" i="22"/>
  <c r="BB48" i="22"/>
  <c r="BB62" i="22" s="1"/>
  <c r="BB23" i="23"/>
  <c r="BB418" i="23"/>
  <c r="AZ70" i="22"/>
  <c r="BB417" i="23" s="1"/>
  <c r="BB18" i="23"/>
  <c r="BI82" i="23"/>
  <c r="BI377" i="23" s="1"/>
  <c r="BI381" i="23" s="1"/>
  <c r="BI358" i="23" s="1"/>
  <c r="AM194" i="23"/>
  <c r="AM179" i="23"/>
  <c r="BE35" i="22"/>
  <c r="AO216" i="23"/>
  <c r="AO386" i="23"/>
  <c r="AO347" i="23"/>
  <c r="BE54" i="22"/>
  <c r="BG11" i="22"/>
  <c r="AP280" i="23"/>
  <c r="AP391" i="23"/>
  <c r="AP351" i="23"/>
  <c r="BI264" i="23"/>
  <c r="BG67" i="23"/>
  <c r="BG71" i="23" s="1"/>
  <c r="BE28" i="22"/>
  <c r="BD22" i="22"/>
  <c r="BE19" i="22"/>
  <c r="BD34" i="22"/>
  <c r="BD37" i="22" s="1"/>
  <c r="BD57" i="22" s="1"/>
  <c r="BF160" i="22"/>
  <c r="BF159" i="22"/>
  <c r="BF55" i="22" s="1"/>
  <c r="BH335" i="23"/>
  <c r="AM187" i="23"/>
  <c r="AN183" i="23" s="1"/>
  <c r="BF331" i="23"/>
  <c r="AM293" i="23"/>
  <c r="BI43" i="23"/>
  <c r="BI46" i="23"/>
  <c r="BI45" i="23"/>
  <c r="BI60" i="23"/>
  <c r="BI48" i="23"/>
  <c r="BI51" i="23"/>
  <c r="BI69" i="23"/>
  <c r="BI68" i="23"/>
  <c r="BI50" i="23"/>
  <c r="BI44" i="23"/>
  <c r="BI40" i="23"/>
  <c r="BI47" i="23"/>
  <c r="BI39" i="23"/>
  <c r="BI42" i="23"/>
  <c r="BI41" i="23"/>
  <c r="BI31" i="23"/>
  <c r="BI435" i="23"/>
  <c r="BF13" i="22"/>
  <c r="BG10" i="22"/>
  <c r="BH380" i="23"/>
  <c r="BH354" i="23" s="1"/>
  <c r="BH379" i="23"/>
  <c r="BH350" i="23" s="1"/>
  <c r="BH381" i="23"/>
  <c r="BH358" i="23" s="1"/>
  <c r="BH378" i="23"/>
  <c r="BH346" i="23" s="1"/>
  <c r="AM162" i="23"/>
  <c r="AM163" i="23" s="1"/>
  <c r="BG161" i="22"/>
  <c r="BG6" i="22"/>
  <c r="BH5" i="22"/>
  <c r="BI286" i="23"/>
  <c r="BE78" i="22"/>
  <c r="BF150" i="22"/>
  <c r="BF149" i="22"/>
  <c r="BF148" i="22"/>
  <c r="BF147" i="22"/>
  <c r="BF146" i="22"/>
  <c r="BF142" i="22"/>
  <c r="BF79" i="22" s="1"/>
  <c r="BF141" i="22"/>
  <c r="BF26" i="22"/>
  <c r="BF20" i="22" s="1"/>
  <c r="BF25" i="22"/>
  <c r="BE45" i="22"/>
  <c r="BJ433" i="23"/>
  <c r="BJ432" i="23"/>
  <c r="BJ292" i="23"/>
  <c r="BJ270" i="23"/>
  <c r="BJ81" i="23"/>
  <c r="BJ206" i="23"/>
  <c r="BJ80" i="23"/>
  <c r="BK5" i="23"/>
  <c r="BJ6" i="23"/>
  <c r="AM140" i="23"/>
  <c r="AP258" i="23"/>
  <c r="AP251" i="23"/>
  <c r="AP253" i="23" s="1"/>
  <c r="AP207" i="23"/>
  <c r="AL399" i="23"/>
  <c r="AL353" i="23" s="1"/>
  <c r="AL398" i="23"/>
  <c r="AL349" i="23" s="1"/>
  <c r="AL397" i="23"/>
  <c r="AL345" i="23" s="1"/>
  <c r="BI252" i="23"/>
  <c r="BI235" i="23"/>
  <c r="BI337" i="23" s="1"/>
  <c r="BI221" i="23"/>
  <c r="BI200" i="23"/>
  <c r="BI90" i="23"/>
  <c r="AP273" i="23"/>
  <c r="AQ269" i="23" s="1"/>
  <c r="BH91" i="23"/>
  <c r="BH333" i="23" s="1"/>
  <c r="BB420" i="23" l="1"/>
  <c r="BI378" i="23"/>
  <c r="BI346" i="23" s="1"/>
  <c r="BI379" i="23"/>
  <c r="BI350" i="23" s="1"/>
  <c r="BB31" i="22"/>
  <c r="BB71" i="22"/>
  <c r="BI380" i="23"/>
  <c r="BI354" i="23" s="1"/>
  <c r="BC69" i="22"/>
  <c r="BC48" i="22"/>
  <c r="BC62" i="22" s="1"/>
  <c r="BD46" i="22"/>
  <c r="BD48" i="22" s="1"/>
  <c r="BD62" i="22" s="1"/>
  <c r="BC18" i="23"/>
  <c r="BA70" i="22"/>
  <c r="BC417" i="23" s="1"/>
  <c r="BC418" i="23"/>
  <c r="BC23" i="23"/>
  <c r="BF54" i="22"/>
  <c r="AM164" i="23"/>
  <c r="AN160" i="23" s="1"/>
  <c r="AN162" i="23" s="1"/>
  <c r="BF35" i="22"/>
  <c r="AQ271" i="23"/>
  <c r="BJ252" i="23"/>
  <c r="BJ235" i="23"/>
  <c r="BJ337" i="23" s="1"/>
  <c r="BJ221" i="23"/>
  <c r="BJ200" i="23"/>
  <c r="BJ90" i="23"/>
  <c r="BG150" i="22"/>
  <c r="BG149" i="22"/>
  <c r="BG148" i="22"/>
  <c r="BG147" i="22"/>
  <c r="BG146" i="22"/>
  <c r="BG142" i="22"/>
  <c r="BG79" i="22" s="1"/>
  <c r="BG141" i="22"/>
  <c r="BG26" i="22"/>
  <c r="BG20" i="22" s="1"/>
  <c r="BG25" i="22"/>
  <c r="BG160" i="22"/>
  <c r="BG159" i="22"/>
  <c r="AM294" i="23"/>
  <c r="AM94" i="23" s="1"/>
  <c r="AM171" i="23"/>
  <c r="AM156" i="23"/>
  <c r="BH67" i="23"/>
  <c r="BH71" i="23" s="1"/>
  <c r="BF28" i="22"/>
  <c r="BG331" i="23"/>
  <c r="AO389" i="23"/>
  <c r="AO356" i="23" s="1"/>
  <c r="AO388" i="23"/>
  <c r="AO352" i="23" s="1"/>
  <c r="AO387" i="23"/>
  <c r="AO343" i="23" s="1"/>
  <c r="BI91" i="23"/>
  <c r="BI333" i="23" s="1"/>
  <c r="AN185" i="23"/>
  <c r="AM384" i="23"/>
  <c r="AM148" i="23"/>
  <c r="AM133" i="23"/>
  <c r="BJ264" i="23"/>
  <c r="BH11" i="22"/>
  <c r="AP208" i="23"/>
  <c r="AP209" i="23" s="1"/>
  <c r="AQ205" i="23" s="1"/>
  <c r="BJ43" i="23"/>
  <c r="BJ46" i="23"/>
  <c r="BJ60" i="23"/>
  <c r="BJ48" i="23"/>
  <c r="BJ51" i="23"/>
  <c r="BJ68" i="23"/>
  <c r="BJ50" i="23"/>
  <c r="BJ40" i="23"/>
  <c r="BJ47" i="23"/>
  <c r="BJ39" i="23"/>
  <c r="BJ69" i="23"/>
  <c r="BJ44" i="23"/>
  <c r="BJ45" i="23"/>
  <c r="BJ42" i="23"/>
  <c r="BJ41" i="23"/>
  <c r="BJ31" i="23"/>
  <c r="BF78" i="22"/>
  <c r="BF45" i="22"/>
  <c r="BF19" i="22"/>
  <c r="BE22" i="22"/>
  <c r="BE34" i="22"/>
  <c r="BE37" i="22" s="1"/>
  <c r="BE57" i="22" s="1"/>
  <c r="BK432" i="23"/>
  <c r="BK433" i="23"/>
  <c r="BK292" i="23"/>
  <c r="BK270" i="23"/>
  <c r="BK206" i="23"/>
  <c r="BK81" i="23"/>
  <c r="BK80" i="23"/>
  <c r="BK6" i="23"/>
  <c r="BL5" i="23"/>
  <c r="BJ286" i="23"/>
  <c r="BG13" i="22"/>
  <c r="BH10" i="22"/>
  <c r="AP394" i="23"/>
  <c r="AP357" i="23" s="1"/>
  <c r="AP393" i="23"/>
  <c r="AP348" i="23" s="1"/>
  <c r="AP392" i="23"/>
  <c r="AP344" i="23" s="1"/>
  <c r="BI335" i="23"/>
  <c r="BJ82" i="23"/>
  <c r="BJ377" i="23" s="1"/>
  <c r="BJ435" i="23"/>
  <c r="BH161" i="22"/>
  <c r="BH6" i="22"/>
  <c r="BI5" i="22"/>
  <c r="AM141" i="23"/>
  <c r="AN137" i="23" s="1"/>
  <c r="BG54" i="22" l="1"/>
  <c r="BB144" i="22"/>
  <c r="BB145" i="22"/>
  <c r="BB72" i="22"/>
  <c r="BD418" i="23" s="1"/>
  <c r="BB143" i="22"/>
  <c r="BC420" i="23"/>
  <c r="BE46" i="22"/>
  <c r="BE48" i="22" s="1"/>
  <c r="BE62" i="22" s="1"/>
  <c r="BD69" i="22"/>
  <c r="BC71" i="22"/>
  <c r="BC31" i="22"/>
  <c r="BD18" i="23"/>
  <c r="BB70" i="22"/>
  <c r="BD417" i="23" s="1"/>
  <c r="AQ258" i="23"/>
  <c r="AQ251" i="23"/>
  <c r="AQ253" i="23" s="1"/>
  <c r="AQ207" i="23"/>
  <c r="BK82" i="23"/>
  <c r="BK377" i="23" s="1"/>
  <c r="BK286" i="23"/>
  <c r="BK435" i="23"/>
  <c r="AQ272" i="23"/>
  <c r="AN139" i="23"/>
  <c r="BG45" i="22"/>
  <c r="AM396" i="23"/>
  <c r="AM302" i="23"/>
  <c r="AM355" i="23"/>
  <c r="BI67" i="23"/>
  <c r="BI71" i="23" s="1"/>
  <c r="BG28" i="22"/>
  <c r="AM342" i="23"/>
  <c r="AM93" i="23"/>
  <c r="BK252" i="23"/>
  <c r="BK221" i="23"/>
  <c r="BK235" i="23"/>
  <c r="BK337" i="23" s="1"/>
  <c r="BK200" i="23"/>
  <c r="BK90" i="23"/>
  <c r="AM295" i="23"/>
  <c r="AN291" i="23" s="1"/>
  <c r="BI161" i="22"/>
  <c r="BI6" i="22"/>
  <c r="BJ5" i="22"/>
  <c r="AP216" i="23"/>
  <c r="AP386" i="23"/>
  <c r="AP347" i="23"/>
  <c r="BJ91" i="23"/>
  <c r="BJ333" i="23" s="1"/>
  <c r="BG55" i="22"/>
  <c r="BH150" i="22"/>
  <c r="BH149" i="22"/>
  <c r="BH148" i="22"/>
  <c r="BH147" i="22"/>
  <c r="BH146" i="22"/>
  <c r="BH142" i="22"/>
  <c r="BH79" i="22" s="1"/>
  <c r="BH141" i="22"/>
  <c r="BH25" i="22"/>
  <c r="BH26" i="22"/>
  <c r="BH20" i="22" s="1"/>
  <c r="BJ335" i="23"/>
  <c r="BD71" i="22"/>
  <c r="BD31" i="22"/>
  <c r="BH13" i="22"/>
  <c r="BI10" i="22"/>
  <c r="BJ381" i="23"/>
  <c r="BJ358" i="23" s="1"/>
  <c r="BJ380" i="23"/>
  <c r="BJ354" i="23" s="1"/>
  <c r="BJ379" i="23"/>
  <c r="BJ350" i="23" s="1"/>
  <c r="BJ378" i="23"/>
  <c r="BJ346" i="23" s="1"/>
  <c r="BG35" i="22"/>
  <c r="BH331" i="23"/>
  <c r="BG78" i="22"/>
  <c r="AN163" i="23"/>
  <c r="AN164" i="23" s="1"/>
  <c r="AO160" i="23" s="1"/>
  <c r="BG19" i="22"/>
  <c r="BF22" i="22"/>
  <c r="BF34" i="22"/>
  <c r="BF37" i="22" s="1"/>
  <c r="BF57" i="22" s="1"/>
  <c r="BH160" i="22"/>
  <c r="BH159" i="22"/>
  <c r="BL432" i="23"/>
  <c r="BL433" i="23"/>
  <c r="BL292" i="23"/>
  <c r="BL270" i="23"/>
  <c r="BL206" i="23"/>
  <c r="BL80" i="23"/>
  <c r="BL81" i="23"/>
  <c r="BL6" i="23"/>
  <c r="BM5" i="23"/>
  <c r="BI11" i="22"/>
  <c r="AN186" i="23"/>
  <c r="BK46" i="23"/>
  <c r="BK45" i="23"/>
  <c r="BK60" i="23"/>
  <c r="BK48" i="23"/>
  <c r="BK51" i="23"/>
  <c r="BK69" i="23"/>
  <c r="BK47" i="23"/>
  <c r="BK68" i="23"/>
  <c r="BK50" i="23"/>
  <c r="BK43" i="23"/>
  <c r="BK39" i="23"/>
  <c r="BK42" i="23"/>
  <c r="BK41" i="23"/>
  <c r="BK40" i="23"/>
  <c r="BK44" i="23"/>
  <c r="BK31" i="23"/>
  <c r="BK264" i="23"/>
  <c r="BH54" i="22" l="1"/>
  <c r="BD23" i="23"/>
  <c r="BB152" i="22"/>
  <c r="BB81" i="22" s="1"/>
  <c r="BD144" i="22"/>
  <c r="BD145" i="22"/>
  <c r="BC144" i="22"/>
  <c r="BC145" i="22"/>
  <c r="BD72" i="22"/>
  <c r="BF23" i="23" s="1"/>
  <c r="BD143" i="22"/>
  <c r="BC72" i="22"/>
  <c r="BE418" i="23" s="1"/>
  <c r="BC143" i="22"/>
  <c r="BD30" i="23"/>
  <c r="BD420" i="23"/>
  <c r="BE18" i="23"/>
  <c r="BC70" i="22"/>
  <c r="BE417" i="23" s="1"/>
  <c r="BE69" i="22"/>
  <c r="BF46" i="22"/>
  <c r="BL435" i="23"/>
  <c r="BH55" i="22"/>
  <c r="BH35" i="22"/>
  <c r="AO162" i="23"/>
  <c r="BH45" i="22"/>
  <c r="AN194" i="23"/>
  <c r="AN179" i="23"/>
  <c r="BK91" i="23"/>
  <c r="BK333" i="23" s="1"/>
  <c r="BK381" i="23"/>
  <c r="BK358" i="23" s="1"/>
  <c r="BK380" i="23"/>
  <c r="BK354" i="23" s="1"/>
  <c r="BK379" i="23"/>
  <c r="BK350" i="23" s="1"/>
  <c r="BK378" i="23"/>
  <c r="BK346" i="23" s="1"/>
  <c r="BJ11" i="22"/>
  <c r="BJ67" i="23"/>
  <c r="BJ71" i="23" s="1"/>
  <c r="BH28" i="22"/>
  <c r="BK335" i="23"/>
  <c r="BE71" i="22"/>
  <c r="BE31" i="22"/>
  <c r="BM433" i="23"/>
  <c r="BM432" i="23"/>
  <c r="BM292" i="23"/>
  <c r="BM270" i="23"/>
  <c r="BM206" i="23"/>
  <c r="BM81" i="23"/>
  <c r="BM80" i="23"/>
  <c r="BM6" i="23"/>
  <c r="BN5" i="23"/>
  <c r="BL60" i="23"/>
  <c r="BL48" i="23"/>
  <c r="BL51" i="23"/>
  <c r="BL69" i="23"/>
  <c r="BL68" i="23"/>
  <c r="BL50" i="23"/>
  <c r="BL47" i="23"/>
  <c r="BL43" i="23"/>
  <c r="BL39" i="23"/>
  <c r="BL42" i="23"/>
  <c r="BL41" i="23"/>
  <c r="BL46" i="23"/>
  <c r="BL45" i="23"/>
  <c r="BL44" i="23"/>
  <c r="BL40" i="23"/>
  <c r="BL31" i="23"/>
  <c r="BG22" i="22"/>
  <c r="BH19" i="22"/>
  <c r="BG34" i="22"/>
  <c r="BG37" i="22" s="1"/>
  <c r="BG57" i="22" s="1"/>
  <c r="BL286" i="23"/>
  <c r="AN171" i="23"/>
  <c r="AN156" i="23"/>
  <c r="BL264" i="23"/>
  <c r="BL82" i="23"/>
  <c r="BL377" i="23" s="1"/>
  <c r="AP389" i="23"/>
  <c r="AP356" i="23" s="1"/>
  <c r="AP387" i="23"/>
  <c r="AP343" i="23" s="1"/>
  <c r="AP388" i="23"/>
  <c r="AP352" i="23" s="1"/>
  <c r="AN140" i="23"/>
  <c r="BH78" i="22"/>
  <c r="AQ208" i="23"/>
  <c r="AQ209" i="23" s="1"/>
  <c r="AR205" i="23" s="1"/>
  <c r="BJ161" i="22"/>
  <c r="BJ6" i="22"/>
  <c r="BK5" i="22"/>
  <c r="AQ280" i="23"/>
  <c r="AQ391" i="23"/>
  <c r="AQ351" i="23"/>
  <c r="BF18" i="23"/>
  <c r="BD70" i="22"/>
  <c r="BF417" i="23" s="1"/>
  <c r="BI150" i="22"/>
  <c r="BI149" i="22"/>
  <c r="BI148" i="22"/>
  <c r="BI147" i="22"/>
  <c r="BI146" i="22"/>
  <c r="BI142" i="22"/>
  <c r="BI79" i="22" s="1"/>
  <c r="BI141" i="22"/>
  <c r="BI26" i="22"/>
  <c r="BI20" i="22" s="1"/>
  <c r="BI25" i="22"/>
  <c r="BI331" i="23"/>
  <c r="BI160" i="22"/>
  <c r="BI159" i="22"/>
  <c r="AN293" i="23"/>
  <c r="AN294" i="23" s="1"/>
  <c r="AN187" i="23"/>
  <c r="AO183" i="23" s="1"/>
  <c r="BI13" i="22"/>
  <c r="BJ10" i="22"/>
  <c r="AQ273" i="23"/>
  <c r="AR269" i="23" s="1"/>
  <c r="BL235" i="23"/>
  <c r="BL337" i="23" s="1"/>
  <c r="BL252" i="23"/>
  <c r="BL221" i="23"/>
  <c r="BL200" i="23"/>
  <c r="BL90" i="23"/>
  <c r="AM399" i="23"/>
  <c r="AM353" i="23" s="1"/>
  <c r="AM397" i="23"/>
  <c r="AM345" i="23" s="1"/>
  <c r="AM398" i="23"/>
  <c r="AM349" i="23" s="1"/>
  <c r="BC152" i="22" l="1"/>
  <c r="BE30" i="23" s="1"/>
  <c r="BF418" i="23"/>
  <c r="BF420" i="23" s="1"/>
  <c r="BE23" i="23"/>
  <c r="BD152" i="22"/>
  <c r="BD81" i="22" s="1"/>
  <c r="BE420" i="23"/>
  <c r="BE144" i="22"/>
  <c r="BE145" i="22"/>
  <c r="BE72" i="22"/>
  <c r="BG23" i="23" s="1"/>
  <c r="BE143" i="22"/>
  <c r="BI55" i="22"/>
  <c r="BG46" i="22"/>
  <c r="BG48" i="22" s="1"/>
  <c r="BG62" i="22" s="1"/>
  <c r="BF69" i="22"/>
  <c r="BF48" i="22"/>
  <c r="BF62" i="22" s="1"/>
  <c r="AN295" i="23"/>
  <c r="AO291" i="23" s="1"/>
  <c r="AO293" i="23" s="1"/>
  <c r="BM82" i="23"/>
  <c r="BM377" i="23" s="1"/>
  <c r="BM379" i="23" s="1"/>
  <c r="BM350" i="23" s="1"/>
  <c r="BM435" i="23"/>
  <c r="BI35" i="22"/>
  <c r="AR251" i="23"/>
  <c r="AR253" i="23" s="1"/>
  <c r="AR258" i="23"/>
  <c r="AR207" i="23"/>
  <c r="AR208" i="23" s="1"/>
  <c r="BM235" i="23"/>
  <c r="BM337" i="23" s="1"/>
  <c r="BM252" i="23"/>
  <c r="BM221" i="23"/>
  <c r="BM200" i="23"/>
  <c r="BM90" i="23"/>
  <c r="BI45" i="22"/>
  <c r="AO185" i="23"/>
  <c r="AN384" i="23"/>
  <c r="AN148" i="23"/>
  <c r="AN94" i="23"/>
  <c r="AN133" i="23"/>
  <c r="BL91" i="23"/>
  <c r="BL333" i="23" s="1"/>
  <c r="BL335" i="23"/>
  <c r="BI78" i="22"/>
  <c r="BM264" i="23"/>
  <c r="AN396" i="23"/>
  <c r="AN302" i="23"/>
  <c r="AN355" i="23"/>
  <c r="BK11" i="22"/>
  <c r="BI54" i="22"/>
  <c r="BK10" i="22"/>
  <c r="BJ13" i="22"/>
  <c r="BJ331" i="23"/>
  <c r="AQ394" i="23"/>
  <c r="AQ357" i="23" s="1"/>
  <c r="AQ392" i="23"/>
  <c r="AQ344" i="23" s="1"/>
  <c r="AQ393" i="23"/>
  <c r="AQ348" i="23" s="1"/>
  <c r="BH22" i="22"/>
  <c r="BI19" i="22"/>
  <c r="BH34" i="22"/>
  <c r="BH37" i="22" s="1"/>
  <c r="BH57" i="22" s="1"/>
  <c r="AN141" i="23"/>
  <c r="AO137" i="23" s="1"/>
  <c r="BN433" i="23"/>
  <c r="BN432" i="23"/>
  <c r="BN292" i="23"/>
  <c r="BN270" i="23"/>
  <c r="BN206" i="23"/>
  <c r="BN80" i="23"/>
  <c r="BN81" i="23"/>
  <c r="BN6" i="23"/>
  <c r="BO5" i="23"/>
  <c r="BK161" i="22"/>
  <c r="BK6" i="22"/>
  <c r="BL5" i="22"/>
  <c r="BM45" i="23"/>
  <c r="BM60" i="23"/>
  <c r="BM48" i="23"/>
  <c r="BM51" i="23"/>
  <c r="BM69" i="23"/>
  <c r="BM47" i="23"/>
  <c r="BM43" i="23"/>
  <c r="BM39" i="23"/>
  <c r="BM68" i="23"/>
  <c r="BM42" i="23"/>
  <c r="BM41" i="23"/>
  <c r="BM46" i="23"/>
  <c r="BM44" i="23"/>
  <c r="BM50" i="23"/>
  <c r="BM40" i="23"/>
  <c r="BM31" i="23"/>
  <c r="BJ149" i="22"/>
  <c r="BJ148" i="22"/>
  <c r="BJ147" i="22"/>
  <c r="BJ146" i="22"/>
  <c r="BJ150" i="22"/>
  <c r="BJ142" i="22"/>
  <c r="BJ79" i="22" s="1"/>
  <c r="BJ141" i="22"/>
  <c r="BJ26" i="22"/>
  <c r="BJ20" i="22" s="1"/>
  <c r="BJ25" i="22"/>
  <c r="BL381" i="23"/>
  <c r="BL358" i="23" s="1"/>
  <c r="BL380" i="23"/>
  <c r="BL354" i="23" s="1"/>
  <c r="BL379" i="23"/>
  <c r="BL350" i="23" s="1"/>
  <c r="BL378" i="23"/>
  <c r="BL346" i="23" s="1"/>
  <c r="BM286" i="23"/>
  <c r="BJ160" i="22"/>
  <c r="BJ159" i="22"/>
  <c r="AO163" i="23"/>
  <c r="AR271" i="23"/>
  <c r="AR272" i="23" s="1"/>
  <c r="AR273" i="23" s="1"/>
  <c r="AS269" i="23" s="1"/>
  <c r="AQ216" i="23"/>
  <c r="AQ386" i="23"/>
  <c r="AQ347" i="23"/>
  <c r="BK67" i="23"/>
  <c r="BK71" i="23" s="1"/>
  <c r="BI28" i="22"/>
  <c r="BG18" i="23"/>
  <c r="BE70" i="22"/>
  <c r="BG417" i="23" s="1"/>
  <c r="BC81" i="22" l="1"/>
  <c r="BF30" i="23"/>
  <c r="BG418" i="23"/>
  <c r="BG420" i="23" s="1"/>
  <c r="BE152" i="22"/>
  <c r="BG30" i="23" s="1"/>
  <c r="BJ55" i="22"/>
  <c r="BM381" i="23"/>
  <c r="BM358" i="23" s="1"/>
  <c r="BM378" i="23"/>
  <c r="BM346" i="23" s="1"/>
  <c r="BM380" i="23"/>
  <c r="BM354" i="23" s="1"/>
  <c r="BF71" i="22"/>
  <c r="BF31" i="22"/>
  <c r="BH46" i="22"/>
  <c r="BG69" i="22"/>
  <c r="BN82" i="23"/>
  <c r="BN377" i="23" s="1"/>
  <c r="BN380" i="23" s="1"/>
  <c r="BN354" i="23" s="1"/>
  <c r="AR216" i="23"/>
  <c r="AR386" i="23"/>
  <c r="AR347" i="23"/>
  <c r="AR209" i="23"/>
  <c r="AS205" i="23" s="1"/>
  <c r="AS271" i="23"/>
  <c r="AS272" i="23" s="1"/>
  <c r="BJ35" i="22"/>
  <c r="BG71" i="22"/>
  <c r="BG31" i="22"/>
  <c r="BG145" i="22" s="1"/>
  <c r="BL10" i="22"/>
  <c r="BK13" i="22"/>
  <c r="BJ54" i="22"/>
  <c r="AN342" i="23"/>
  <c r="AN93" i="23"/>
  <c r="BM91" i="23"/>
  <c r="BM333" i="23" s="1"/>
  <c r="BL11" i="22"/>
  <c r="BM335" i="23"/>
  <c r="BN252" i="23"/>
  <c r="BN221" i="23"/>
  <c r="BN235" i="23"/>
  <c r="BN337" i="23" s="1"/>
  <c r="BN200" i="23"/>
  <c r="BN90" i="23"/>
  <c r="BL67" i="23"/>
  <c r="BL71" i="23" s="1"/>
  <c r="BJ28" i="22"/>
  <c r="BL161" i="22"/>
  <c r="BL6" i="22"/>
  <c r="BM5" i="22"/>
  <c r="BI22" i="22"/>
  <c r="BJ19" i="22"/>
  <c r="BI34" i="22"/>
  <c r="BI37" i="22" s="1"/>
  <c r="BI57" i="22" s="1"/>
  <c r="AO156" i="23"/>
  <c r="AO171" i="23"/>
  <c r="BK148" i="22"/>
  <c r="BK147" i="22"/>
  <c r="BK146" i="22"/>
  <c r="BK149" i="22"/>
  <c r="BK142" i="22"/>
  <c r="BK79" i="22" s="1"/>
  <c r="BK141" i="22"/>
  <c r="BK150" i="22"/>
  <c r="BK26" i="22"/>
  <c r="BK20" i="22" s="1"/>
  <c r="BK25" i="22"/>
  <c r="AN398" i="23"/>
  <c r="AN349" i="23" s="1"/>
  <c r="AN399" i="23"/>
  <c r="AN353" i="23" s="1"/>
  <c r="AN397" i="23"/>
  <c r="AN345" i="23" s="1"/>
  <c r="AR280" i="23"/>
  <c r="AR391" i="23"/>
  <c r="AR351" i="23"/>
  <c r="BK160" i="22"/>
  <c r="BK159" i="22"/>
  <c r="BK55" i="22" s="1"/>
  <c r="BN264" i="23"/>
  <c r="AO186" i="23"/>
  <c r="BN286" i="23"/>
  <c r="AO294" i="23"/>
  <c r="AO295" i="23" s="1"/>
  <c r="AP291" i="23" s="1"/>
  <c r="BO292" i="23"/>
  <c r="BO270" i="23"/>
  <c r="BO206" i="23"/>
  <c r="BO6" i="23"/>
  <c r="BP5" i="23"/>
  <c r="AO164" i="23"/>
  <c r="AP160" i="23" s="1"/>
  <c r="AO139" i="23"/>
  <c r="AO140" i="23" s="1"/>
  <c r="AO141" i="23" s="1"/>
  <c r="AP137" i="23" s="1"/>
  <c r="BK331" i="23"/>
  <c r="BJ78" i="22"/>
  <c r="BN42" i="23"/>
  <c r="BN45" i="23"/>
  <c r="BN60" i="23"/>
  <c r="BN48" i="23"/>
  <c r="BN51" i="23"/>
  <c r="BN69" i="23"/>
  <c r="BN44" i="23"/>
  <c r="BN47" i="23"/>
  <c r="BN68" i="23"/>
  <c r="BN50" i="23"/>
  <c r="BN43" i="23"/>
  <c r="BN39" i="23"/>
  <c r="BN46" i="23"/>
  <c r="BN40" i="23"/>
  <c r="BN41" i="23"/>
  <c r="BN31" i="23"/>
  <c r="BJ45" i="22"/>
  <c r="AQ389" i="23"/>
  <c r="AQ356" i="23" s="1"/>
  <c r="AQ388" i="23"/>
  <c r="AQ352" i="23" s="1"/>
  <c r="AQ387" i="23"/>
  <c r="AQ343" i="23" s="1"/>
  <c r="BN435" i="23"/>
  <c r="BE81" i="22" l="1"/>
  <c r="BF144" i="22"/>
  <c r="BF145" i="22"/>
  <c r="BG143" i="22"/>
  <c r="BG144" i="22"/>
  <c r="BF72" i="22"/>
  <c r="BF143" i="22"/>
  <c r="BN381" i="23"/>
  <c r="BN358" i="23" s="1"/>
  <c r="BN378" i="23"/>
  <c r="BN346" i="23" s="1"/>
  <c r="BG72" i="22"/>
  <c r="BI418" i="23" s="1"/>
  <c r="BN379" i="23"/>
  <c r="BN350" i="23" s="1"/>
  <c r="BI46" i="22"/>
  <c r="BH69" i="22"/>
  <c r="BH418" i="23"/>
  <c r="BH23" i="23"/>
  <c r="BH18" i="23"/>
  <c r="BF70" i="22"/>
  <c r="BH417" i="23" s="1"/>
  <c r="BH48" i="22"/>
  <c r="BH62" i="22" s="1"/>
  <c r="BK54" i="22"/>
  <c r="AP139" i="23"/>
  <c r="AS280" i="23"/>
  <c r="AS391" i="23"/>
  <c r="AS351" i="23"/>
  <c r="AS273" i="23"/>
  <c r="AT269" i="23" s="1"/>
  <c r="BK35" i="22"/>
  <c r="BL160" i="22"/>
  <c r="BL159" i="22"/>
  <c r="BL55" i="22" s="1"/>
  <c r="AR394" i="23"/>
  <c r="AR357" i="23" s="1"/>
  <c r="AR393" i="23"/>
  <c r="AR348" i="23" s="1"/>
  <c r="AR392" i="23"/>
  <c r="AR344" i="23" s="1"/>
  <c r="BK78" i="22"/>
  <c r="AP162" i="23"/>
  <c r="AP163" i="23" s="1"/>
  <c r="BO252" i="23"/>
  <c r="BO221" i="23"/>
  <c r="BO235" i="23"/>
  <c r="BO337" i="23" s="1"/>
  <c r="BO200" i="23"/>
  <c r="BO90" i="23"/>
  <c r="BL13" i="22"/>
  <c r="BM10" i="22"/>
  <c r="BL331" i="23"/>
  <c r="AP293" i="23"/>
  <c r="BO286" i="23"/>
  <c r="BI18" i="23"/>
  <c r="BG70" i="22"/>
  <c r="BI417" i="23" s="1"/>
  <c r="BO264" i="23"/>
  <c r="BM11" i="22"/>
  <c r="AO384" i="23"/>
  <c r="AO148" i="23"/>
  <c r="AO94" i="23"/>
  <c r="AO133" i="23"/>
  <c r="BK45" i="22"/>
  <c r="BO42" i="23"/>
  <c r="BO45" i="23"/>
  <c r="BO60" i="23"/>
  <c r="BO48" i="23"/>
  <c r="BO51" i="23"/>
  <c r="BO69" i="23"/>
  <c r="BO47" i="23"/>
  <c r="BO68" i="23"/>
  <c r="BO50" i="23"/>
  <c r="BO43" i="23"/>
  <c r="BO39" i="23"/>
  <c r="BO41" i="23"/>
  <c r="BO44" i="23"/>
  <c r="BO40" i="23"/>
  <c r="BO46" i="23"/>
  <c r="BO31" i="23"/>
  <c r="AO194" i="23"/>
  <c r="AO179" i="23"/>
  <c r="BN91" i="23"/>
  <c r="BN333" i="23" s="1"/>
  <c r="BM67" i="23"/>
  <c r="BM71" i="23" s="1"/>
  <c r="BK28" i="22"/>
  <c r="BN335" i="23"/>
  <c r="AS251" i="23"/>
  <c r="AS253" i="23" s="1"/>
  <c r="AS258" i="23"/>
  <c r="AS207" i="23"/>
  <c r="BP432" i="23"/>
  <c r="BP433" i="23"/>
  <c r="BP292" i="23"/>
  <c r="BP270" i="23"/>
  <c r="BP206" i="23"/>
  <c r="BP80" i="23"/>
  <c r="BP81" i="23"/>
  <c r="BP6" i="23"/>
  <c r="BQ5" i="23"/>
  <c r="BK19" i="22"/>
  <c r="BJ22" i="22"/>
  <c r="BJ34" i="22"/>
  <c r="BJ37" i="22" s="1"/>
  <c r="BJ57" i="22" s="1"/>
  <c r="AR389" i="23"/>
  <c r="AR356" i="23" s="1"/>
  <c r="AR387" i="23"/>
  <c r="AR343" i="23" s="1"/>
  <c r="AR388" i="23"/>
  <c r="AR352" i="23" s="1"/>
  <c r="AO396" i="23"/>
  <c r="AO302" i="23"/>
  <c r="AO355" i="23"/>
  <c r="BM161" i="22"/>
  <c r="BM6" i="22"/>
  <c r="BN5" i="22"/>
  <c r="AO187" i="23"/>
  <c r="AP183" i="23" s="1"/>
  <c r="BL147" i="22"/>
  <c r="BL146" i="22"/>
  <c r="BL150" i="22"/>
  <c r="BL148" i="22"/>
  <c r="BL142" i="22"/>
  <c r="BL79" i="22" s="1"/>
  <c r="BL141" i="22"/>
  <c r="BL149" i="22"/>
  <c r="BL26" i="22"/>
  <c r="BL20" i="22" s="1"/>
  <c r="BL25" i="22"/>
  <c r="BF152" i="22" l="1"/>
  <c r="BH30" i="23" s="1"/>
  <c r="BI23" i="23"/>
  <c r="BG152" i="22"/>
  <c r="BH420" i="23"/>
  <c r="BH71" i="22"/>
  <c r="BH31" i="22"/>
  <c r="BI69" i="22"/>
  <c r="BJ46" i="22"/>
  <c r="BI48" i="22"/>
  <c r="BI62" i="22" s="1"/>
  <c r="BI71" i="22" s="1"/>
  <c r="BP435" i="23"/>
  <c r="BL54" i="22"/>
  <c r="AP164" i="23"/>
  <c r="AQ160" i="23" s="1"/>
  <c r="AQ162" i="23" s="1"/>
  <c r="BL35" i="22"/>
  <c r="BN161" i="22"/>
  <c r="BN6" i="22"/>
  <c r="BO5" i="22"/>
  <c r="AP294" i="23"/>
  <c r="AP295" i="23" s="1"/>
  <c r="AQ291" i="23" s="1"/>
  <c r="BM146" i="22"/>
  <c r="BM150" i="22"/>
  <c r="BM149" i="22"/>
  <c r="BM147" i="22"/>
  <c r="BM142" i="22"/>
  <c r="BM79" i="22" s="1"/>
  <c r="BM141" i="22"/>
  <c r="BM148" i="22"/>
  <c r="BM26" i="22"/>
  <c r="BM20" i="22" s="1"/>
  <c r="BM25" i="22"/>
  <c r="BP286" i="23"/>
  <c r="BL78" i="22"/>
  <c r="BM160" i="22"/>
  <c r="BM159" i="22"/>
  <c r="BM55" i="22" s="1"/>
  <c r="BQ433" i="23"/>
  <c r="BQ432" i="23"/>
  <c r="BQ292" i="23"/>
  <c r="BQ270" i="23"/>
  <c r="BQ206" i="23"/>
  <c r="BQ80" i="23"/>
  <c r="BQ81" i="23"/>
  <c r="BQ6" i="23"/>
  <c r="BR5" i="23"/>
  <c r="BP45" i="23"/>
  <c r="BP60" i="23"/>
  <c r="BP48" i="23"/>
  <c r="BP51" i="23"/>
  <c r="BP69" i="23"/>
  <c r="BP47" i="23"/>
  <c r="BP68" i="23"/>
  <c r="BP50" i="23"/>
  <c r="BP46" i="23"/>
  <c r="BP42" i="23"/>
  <c r="BP41" i="23"/>
  <c r="BP43" i="23"/>
  <c r="BP39" i="23"/>
  <c r="BP40" i="23"/>
  <c r="BP44" i="23"/>
  <c r="BP31" i="23"/>
  <c r="BK22" i="22"/>
  <c r="BL19" i="22"/>
  <c r="BK34" i="22"/>
  <c r="BK37" i="22" s="1"/>
  <c r="BK57" i="22" s="1"/>
  <c r="BM331" i="23"/>
  <c r="AT271" i="23"/>
  <c r="BP82" i="23"/>
  <c r="BP377" i="23" s="1"/>
  <c r="BL45" i="22"/>
  <c r="BI420" i="23"/>
  <c r="AO342" i="23"/>
  <c r="AO93" i="23"/>
  <c r="AP156" i="23"/>
  <c r="AP171" i="23"/>
  <c r="AS394" i="23"/>
  <c r="AS357" i="23" s="1"/>
  <c r="AS393" i="23"/>
  <c r="AS348" i="23" s="1"/>
  <c r="AS392" i="23"/>
  <c r="AS344" i="23" s="1"/>
  <c r="BP264" i="23"/>
  <c r="BM13" i="22"/>
  <c r="BN10" i="22"/>
  <c r="AO398" i="23"/>
  <c r="AO349" i="23" s="1"/>
  <c r="AO397" i="23"/>
  <c r="AO345" i="23" s="1"/>
  <c r="AO399" i="23"/>
  <c r="AO353" i="23" s="1"/>
  <c r="BO335" i="23"/>
  <c r="AS208" i="23"/>
  <c r="AS209" i="23" s="1"/>
  <c r="AT205" i="23" s="1"/>
  <c r="AP140" i="23"/>
  <c r="AP141" i="23" s="1"/>
  <c r="AQ137" i="23" s="1"/>
  <c r="BN67" i="23"/>
  <c r="BN71" i="23" s="1"/>
  <c r="BL28" i="22"/>
  <c r="AP185" i="23"/>
  <c r="BP252" i="23"/>
  <c r="BP221" i="23"/>
  <c r="BP200" i="23"/>
  <c r="BP235" i="23"/>
  <c r="BP337" i="23" s="1"/>
  <c r="BP90" i="23"/>
  <c r="BN11" i="22"/>
  <c r="BO91" i="23"/>
  <c r="BO333" i="23" s="1"/>
  <c r="BF81" i="22" l="1"/>
  <c r="BH144" i="22"/>
  <c r="BH145" i="22"/>
  <c r="BI30" i="23"/>
  <c r="BG81" i="22"/>
  <c r="BH72" i="22"/>
  <c r="BJ23" i="23" s="1"/>
  <c r="BH143" i="22"/>
  <c r="BI31" i="22"/>
  <c r="BK46" i="22"/>
  <c r="BK48" i="22" s="1"/>
  <c r="BK62" i="22" s="1"/>
  <c r="BJ69" i="22"/>
  <c r="BJ48" i="22"/>
  <c r="BJ62" i="22" s="1"/>
  <c r="BJ71" i="22" s="1"/>
  <c r="BH70" i="22"/>
  <c r="BJ417" i="23" s="1"/>
  <c r="BJ18" i="23"/>
  <c r="AP186" i="23"/>
  <c r="AP187" i="23" s="1"/>
  <c r="AQ183" i="23" s="1"/>
  <c r="AQ185" i="23" s="1"/>
  <c r="BQ82" i="23"/>
  <c r="BQ377" i="23" s="1"/>
  <c r="BQ380" i="23" s="1"/>
  <c r="BQ354" i="23" s="1"/>
  <c r="BQ435" i="23"/>
  <c r="BM35" i="22"/>
  <c r="AT251" i="23"/>
  <c r="AT253" i="23" s="1"/>
  <c r="AT258" i="23"/>
  <c r="AT207" i="23"/>
  <c r="AQ139" i="23"/>
  <c r="BR433" i="23"/>
  <c r="BR432" i="23"/>
  <c r="BR292" i="23"/>
  <c r="BR270" i="23"/>
  <c r="BR206" i="23"/>
  <c r="BR80" i="23"/>
  <c r="BR81" i="23"/>
  <c r="BR6" i="23"/>
  <c r="BS5" i="23"/>
  <c r="BN150" i="22"/>
  <c r="BN149" i="22"/>
  <c r="BN148" i="22"/>
  <c r="BN142" i="22"/>
  <c r="BN79" i="22" s="1"/>
  <c r="BN141" i="22"/>
  <c r="BN146" i="22"/>
  <c r="BN147" i="22"/>
  <c r="BN26" i="22"/>
  <c r="BN20" i="22" s="1"/>
  <c r="BN25" i="22"/>
  <c r="AT272" i="23"/>
  <c r="BQ60" i="23"/>
  <c r="BQ48" i="23"/>
  <c r="BQ51" i="23"/>
  <c r="BQ69" i="23"/>
  <c r="BQ47" i="23"/>
  <c r="BQ68" i="23"/>
  <c r="BQ50" i="23"/>
  <c r="BQ42" i="23"/>
  <c r="BQ41" i="23"/>
  <c r="BQ46" i="23"/>
  <c r="BQ44" i="23"/>
  <c r="BQ40" i="23"/>
  <c r="BQ45" i="23"/>
  <c r="BQ43" i="23"/>
  <c r="BQ39" i="23"/>
  <c r="BQ31" i="23"/>
  <c r="BN160" i="22"/>
  <c r="BN159" i="22"/>
  <c r="BN55" i="22" s="1"/>
  <c r="BM78" i="22"/>
  <c r="BN13" i="22"/>
  <c r="BO10" i="22"/>
  <c r="AQ293" i="23"/>
  <c r="BO11" i="22"/>
  <c r="BL22" i="22"/>
  <c r="BM19" i="22"/>
  <c r="BL34" i="22"/>
  <c r="BL37" i="22" s="1"/>
  <c r="BL57" i="22" s="1"/>
  <c r="AQ163" i="23"/>
  <c r="AQ164" i="23" s="1"/>
  <c r="AR160" i="23" s="1"/>
  <c r="BM54" i="22"/>
  <c r="BK18" i="23"/>
  <c r="BI70" i="22"/>
  <c r="BK417" i="23" s="1"/>
  <c r="BN331" i="23"/>
  <c r="BM45" i="22"/>
  <c r="BQ235" i="23"/>
  <c r="BQ337" i="23" s="1"/>
  <c r="BQ252" i="23"/>
  <c r="BQ221" i="23"/>
  <c r="BQ200" i="23"/>
  <c r="BQ90" i="23"/>
  <c r="BO67" i="23"/>
  <c r="BO71" i="23" s="1"/>
  <c r="BM28" i="22"/>
  <c r="AP396" i="23"/>
  <c r="AP302" i="23"/>
  <c r="AP355" i="23"/>
  <c r="BP91" i="23"/>
  <c r="BP333" i="23" s="1"/>
  <c r="AP148" i="23"/>
  <c r="AP133" i="23"/>
  <c r="BP335" i="23"/>
  <c r="BP380" i="23"/>
  <c r="BP354" i="23" s="1"/>
  <c r="BP379" i="23"/>
  <c r="BP350" i="23" s="1"/>
  <c r="BP378" i="23"/>
  <c r="BP346" i="23" s="1"/>
  <c r="BP381" i="23"/>
  <c r="BP358" i="23" s="1"/>
  <c r="BQ264" i="23"/>
  <c r="AS216" i="23"/>
  <c r="AS347" i="23"/>
  <c r="AS386" i="23"/>
  <c r="BQ286" i="23"/>
  <c r="BO161" i="22"/>
  <c r="BP5" i="22"/>
  <c r="BO6" i="22"/>
  <c r="BJ418" i="23" l="1"/>
  <c r="BJ420" i="23" s="1"/>
  <c r="BH152" i="22"/>
  <c r="BJ30" i="23" s="1"/>
  <c r="BI144" i="22"/>
  <c r="BI145" i="22"/>
  <c r="BI72" i="22"/>
  <c r="BK23" i="23" s="1"/>
  <c r="BI143" i="22"/>
  <c r="BJ31" i="22"/>
  <c r="BQ381" i="23"/>
  <c r="BQ358" i="23" s="1"/>
  <c r="BQ378" i="23"/>
  <c r="BQ346" i="23" s="1"/>
  <c r="BQ379" i="23"/>
  <c r="BQ350" i="23" s="1"/>
  <c r="AP94" i="23"/>
  <c r="AP384" i="23"/>
  <c r="AP179" i="23"/>
  <c r="AP342" i="23" s="1"/>
  <c r="AP194" i="23"/>
  <c r="BN54" i="22"/>
  <c r="BK69" i="22"/>
  <c r="BL46" i="22"/>
  <c r="BR82" i="23"/>
  <c r="BR377" i="23" s="1"/>
  <c r="BR381" i="23" s="1"/>
  <c r="BR358" i="23" s="1"/>
  <c r="BR435" i="23"/>
  <c r="AR162" i="23"/>
  <c r="BN35" i="22"/>
  <c r="BO149" i="22"/>
  <c r="BO148" i="22"/>
  <c r="BO147" i="22"/>
  <c r="BO142" i="22"/>
  <c r="BO79" i="22" s="1"/>
  <c r="BO141" i="22"/>
  <c r="BO150" i="22"/>
  <c r="BO146" i="22"/>
  <c r="BO26" i="22"/>
  <c r="BO20" i="22" s="1"/>
  <c r="BO25" i="22"/>
  <c r="AP397" i="23"/>
  <c r="AP345" i="23" s="1"/>
  <c r="AP398" i="23"/>
  <c r="AP349" i="23" s="1"/>
  <c r="AP399" i="23"/>
  <c r="AP353" i="23" s="1"/>
  <c r="BS433" i="23"/>
  <c r="BS432" i="23"/>
  <c r="BS292" i="23"/>
  <c r="BS270" i="23"/>
  <c r="BS206" i="23"/>
  <c r="BS80" i="23"/>
  <c r="BS81" i="23"/>
  <c r="BT5" i="23"/>
  <c r="BS6" i="23"/>
  <c r="BP11" i="22"/>
  <c r="BP161" i="22"/>
  <c r="BQ5" i="22"/>
  <c r="BP6" i="22"/>
  <c r="BR51" i="23"/>
  <c r="BR69" i="23"/>
  <c r="BR47" i="23"/>
  <c r="BR68" i="23"/>
  <c r="BR50" i="23"/>
  <c r="BR46" i="23"/>
  <c r="BR60" i="23"/>
  <c r="BR42" i="23"/>
  <c r="BR41" i="23"/>
  <c r="BR48" i="23"/>
  <c r="BR44" i="23"/>
  <c r="BR40" i="23"/>
  <c r="BR45" i="23"/>
  <c r="BR43" i="23"/>
  <c r="BR39" i="23"/>
  <c r="BR31" i="23"/>
  <c r="AT208" i="23"/>
  <c r="BO160" i="22"/>
  <c r="BO159" i="22"/>
  <c r="BO331" i="23"/>
  <c r="AQ294" i="23"/>
  <c r="AT280" i="23"/>
  <c r="AT391" i="23"/>
  <c r="AT351" i="23"/>
  <c r="BP67" i="23"/>
  <c r="BP71" i="23" s="1"/>
  <c r="BN28" i="22"/>
  <c r="AS389" i="23"/>
  <c r="AS356" i="23" s="1"/>
  <c r="AS388" i="23"/>
  <c r="AS352" i="23" s="1"/>
  <c r="AS387" i="23"/>
  <c r="AS343" i="23" s="1"/>
  <c r="BQ91" i="23"/>
  <c r="BQ333" i="23" s="1"/>
  <c r="BO13" i="22"/>
  <c r="BP10" i="22"/>
  <c r="BR286" i="23"/>
  <c r="BQ335" i="23"/>
  <c r="AQ171" i="23"/>
  <c r="AQ156" i="23"/>
  <c r="AQ186" i="23"/>
  <c r="AQ187" i="23" s="1"/>
  <c r="AR183" i="23" s="1"/>
  <c r="BL18" i="23"/>
  <c r="BJ70" i="22"/>
  <c r="BL417" i="23" s="1"/>
  <c r="BK71" i="22"/>
  <c r="BK31" i="22"/>
  <c r="BN78" i="22"/>
  <c r="AQ140" i="23"/>
  <c r="AQ141" i="23" s="1"/>
  <c r="AR137" i="23" s="1"/>
  <c r="BM22" i="22"/>
  <c r="BN19" i="22"/>
  <c r="BM34" i="22"/>
  <c r="BM37" i="22" s="1"/>
  <c r="BM57" i="22" s="1"/>
  <c r="BR235" i="23"/>
  <c r="BR337" i="23" s="1"/>
  <c r="BR252" i="23"/>
  <c r="BR221" i="23"/>
  <c r="BR200" i="23"/>
  <c r="BR90" i="23"/>
  <c r="BN45" i="22"/>
  <c r="BR264" i="23"/>
  <c r="AT273" i="23"/>
  <c r="AU269" i="23" s="1"/>
  <c r="BK418" i="23" l="1"/>
  <c r="BK420" i="23" s="1"/>
  <c r="BH81" i="22"/>
  <c r="BI152" i="22"/>
  <c r="BK30" i="23" s="1"/>
  <c r="BK144" i="22"/>
  <c r="BK145" i="22"/>
  <c r="BJ144" i="22"/>
  <c r="BJ145" i="22"/>
  <c r="BK72" i="22"/>
  <c r="BM418" i="23" s="1"/>
  <c r="BK143" i="22"/>
  <c r="BJ72" i="22"/>
  <c r="BL418" i="23" s="1"/>
  <c r="BL420" i="23" s="1"/>
  <c r="BJ143" i="22"/>
  <c r="BO54" i="22"/>
  <c r="AP93" i="23"/>
  <c r="BR380" i="23"/>
  <c r="BR354" i="23" s="1"/>
  <c r="BR378" i="23"/>
  <c r="BR346" i="23" s="1"/>
  <c r="BR379" i="23"/>
  <c r="BR350" i="23" s="1"/>
  <c r="BM46" i="22"/>
  <c r="BM48" i="22" s="1"/>
  <c r="BM62" i="22" s="1"/>
  <c r="BL69" i="22"/>
  <c r="BL48" i="22"/>
  <c r="BL62" i="22" s="1"/>
  <c r="BS82" i="23"/>
  <c r="BS377" i="23" s="1"/>
  <c r="BS379" i="23" s="1"/>
  <c r="BS350" i="23" s="1"/>
  <c r="BS435" i="23"/>
  <c r="AR185" i="23"/>
  <c r="AR186" i="23" s="1"/>
  <c r="AR139" i="23"/>
  <c r="BO35" i="22"/>
  <c r="BR335" i="23"/>
  <c r="BQ67" i="23"/>
  <c r="BQ71" i="23" s="1"/>
  <c r="BO28" i="22"/>
  <c r="BO55" i="22"/>
  <c r="AQ396" i="23"/>
  <c r="AQ302" i="23"/>
  <c r="AQ355" i="23"/>
  <c r="AT216" i="23"/>
  <c r="AT386" i="23"/>
  <c r="AT347" i="23"/>
  <c r="AQ295" i="23"/>
  <c r="AR291" i="23" s="1"/>
  <c r="AU271" i="23"/>
  <c r="AU272" i="23" s="1"/>
  <c r="BP150" i="22"/>
  <c r="BP148" i="22"/>
  <c r="BP147" i="22"/>
  <c r="BP141" i="22"/>
  <c r="BP146" i="22"/>
  <c r="BP149" i="22"/>
  <c r="BP142" i="22"/>
  <c r="BP79" i="22" s="1"/>
  <c r="BP26" i="22"/>
  <c r="BP20" i="22" s="1"/>
  <c r="BP25" i="22"/>
  <c r="BS252" i="23"/>
  <c r="BS221" i="23"/>
  <c r="BS235" i="23"/>
  <c r="BS337" i="23" s="1"/>
  <c r="BS200" i="23"/>
  <c r="BS90" i="23"/>
  <c r="BN22" i="22"/>
  <c r="BO19" i="22"/>
  <c r="BN34" i="22"/>
  <c r="BN37" i="22" s="1"/>
  <c r="BN57" i="22" s="1"/>
  <c r="BQ161" i="22"/>
  <c r="BR5" i="22"/>
  <c r="BQ6" i="22"/>
  <c r="AT209" i="23"/>
  <c r="AU205" i="23" s="1"/>
  <c r="AQ194" i="23"/>
  <c r="AQ179" i="23"/>
  <c r="BP13" i="22"/>
  <c r="BQ10" i="22"/>
  <c r="BP160" i="22"/>
  <c r="BP159" i="22"/>
  <c r="BS264" i="23"/>
  <c r="BQ11" i="22"/>
  <c r="BP331" i="23"/>
  <c r="BS286" i="23"/>
  <c r="AQ384" i="23"/>
  <c r="AQ148" i="23"/>
  <c r="AQ94" i="23"/>
  <c r="AQ133" i="23"/>
  <c r="BS69" i="23"/>
  <c r="BS44" i="23"/>
  <c r="BS47" i="23"/>
  <c r="BS68" i="23"/>
  <c r="BS50" i="23"/>
  <c r="BS43" i="23"/>
  <c r="BS46" i="23"/>
  <c r="BS60" i="23"/>
  <c r="BS42" i="23"/>
  <c r="BS41" i="23"/>
  <c r="BS48" i="23"/>
  <c r="BS40" i="23"/>
  <c r="BS51" i="23"/>
  <c r="BS39" i="23"/>
  <c r="BS45" i="23"/>
  <c r="BS31" i="23"/>
  <c r="BM18" i="23"/>
  <c r="BK70" i="22"/>
  <c r="BM417" i="23" s="1"/>
  <c r="BO45" i="22"/>
  <c r="BT433" i="23"/>
  <c r="BT432" i="23"/>
  <c r="BT292" i="23"/>
  <c r="BT270" i="23"/>
  <c r="BT206" i="23"/>
  <c r="BT80" i="23"/>
  <c r="BT81" i="23"/>
  <c r="BU5" i="23"/>
  <c r="BT6" i="23"/>
  <c r="AR163" i="23"/>
  <c r="AR164" i="23" s="1"/>
  <c r="AS160" i="23" s="1"/>
  <c r="BR91" i="23"/>
  <c r="BR333" i="23" s="1"/>
  <c r="AT393" i="23"/>
  <c r="AT348" i="23" s="1"/>
  <c r="AT394" i="23"/>
  <c r="AT357" i="23" s="1"/>
  <c r="AT392" i="23"/>
  <c r="AT344" i="23" s="1"/>
  <c r="BO78" i="22"/>
  <c r="BI81" i="22" l="1"/>
  <c r="BL23" i="23"/>
  <c r="BM23" i="23"/>
  <c r="BJ152" i="22"/>
  <c r="BJ81" i="22" s="1"/>
  <c r="BK152" i="22"/>
  <c r="BM30" i="23" s="1"/>
  <c r="BP54" i="22"/>
  <c r="BS380" i="23"/>
  <c r="BS354" i="23" s="1"/>
  <c r="BS381" i="23"/>
  <c r="BS358" i="23" s="1"/>
  <c r="BS378" i="23"/>
  <c r="BS346" i="23" s="1"/>
  <c r="BL31" i="22"/>
  <c r="BL71" i="22"/>
  <c r="BM69" i="22"/>
  <c r="BN46" i="22"/>
  <c r="AU273" i="23"/>
  <c r="AV269" i="23" s="1"/>
  <c r="AV271" i="23" s="1"/>
  <c r="AR187" i="23"/>
  <c r="AS183" i="23" s="1"/>
  <c r="AS185" i="23" s="1"/>
  <c r="BT82" i="23"/>
  <c r="BT377" i="23" s="1"/>
  <c r="BT435" i="23"/>
  <c r="BP78" i="22"/>
  <c r="AT387" i="23"/>
  <c r="AT343" i="23" s="1"/>
  <c r="AT389" i="23"/>
  <c r="AT356" i="23" s="1"/>
  <c r="AT388" i="23"/>
  <c r="AT352" i="23" s="1"/>
  <c r="AQ398" i="23"/>
  <c r="AQ349" i="23" s="1"/>
  <c r="AQ397" i="23"/>
  <c r="AQ345" i="23" s="1"/>
  <c r="AQ399" i="23"/>
  <c r="AQ353" i="23" s="1"/>
  <c r="BP55" i="22"/>
  <c r="BP45" i="22"/>
  <c r="BQ13" i="22"/>
  <c r="BR10" i="22"/>
  <c r="BQ331" i="23"/>
  <c r="AR140" i="23"/>
  <c r="BS91" i="23"/>
  <c r="BS333" i="23" s="1"/>
  <c r="BQ160" i="22"/>
  <c r="BQ159" i="22"/>
  <c r="BM420" i="23"/>
  <c r="BR67" i="23"/>
  <c r="BR71" i="23" s="1"/>
  <c r="BP28" i="22"/>
  <c r="AU280" i="23"/>
  <c r="AU391" i="23"/>
  <c r="AU351" i="23"/>
  <c r="BO22" i="22"/>
  <c r="BP19" i="22"/>
  <c r="BO34" i="22"/>
  <c r="BO37" i="22" s="1"/>
  <c r="BO57" i="22" s="1"/>
  <c r="BU433" i="23"/>
  <c r="BU432" i="23"/>
  <c r="BU270" i="23"/>
  <c r="BU292" i="23"/>
  <c r="BU206" i="23"/>
  <c r="BU81" i="23"/>
  <c r="BU80" i="23"/>
  <c r="BV5" i="23"/>
  <c r="BU6" i="23"/>
  <c r="AS162" i="23"/>
  <c r="AR171" i="23"/>
  <c r="AR156" i="23"/>
  <c r="BT264" i="23"/>
  <c r="BR11" i="22"/>
  <c r="BM71" i="22"/>
  <c r="BM31" i="22"/>
  <c r="AR194" i="23"/>
  <c r="AR179" i="23"/>
  <c r="BT252" i="23"/>
  <c r="BT235" i="23"/>
  <c r="BT337" i="23" s="1"/>
  <c r="BT200" i="23"/>
  <c r="BT221" i="23"/>
  <c r="BT90" i="23"/>
  <c r="AQ342" i="23"/>
  <c r="AQ93" i="23"/>
  <c r="BP35" i="22"/>
  <c r="AU251" i="23"/>
  <c r="AU253" i="23" s="1"/>
  <c r="AU258" i="23"/>
  <c r="AU207" i="23"/>
  <c r="AU208" i="23" s="1"/>
  <c r="BT286" i="23"/>
  <c r="BQ150" i="22"/>
  <c r="BQ149" i="22"/>
  <c r="BQ147" i="22"/>
  <c r="BQ146" i="22"/>
  <c r="BQ148" i="22"/>
  <c r="BQ142" i="22"/>
  <c r="BQ79" i="22" s="1"/>
  <c r="BQ141" i="22"/>
  <c r="BQ26" i="22"/>
  <c r="BQ20" i="22" s="1"/>
  <c r="BQ25" i="22"/>
  <c r="AR293" i="23"/>
  <c r="AR294" i="23" s="1"/>
  <c r="BS335" i="23"/>
  <c r="BT69" i="23"/>
  <c r="BT41" i="23"/>
  <c r="BT44" i="23"/>
  <c r="BT47" i="23"/>
  <c r="BT68" i="23"/>
  <c r="BT50" i="23"/>
  <c r="BT46" i="23"/>
  <c r="BT60" i="23"/>
  <c r="BT51" i="23"/>
  <c r="BT42" i="23"/>
  <c r="BT48" i="23"/>
  <c r="BT40" i="23"/>
  <c r="BT45" i="23"/>
  <c r="BT39" i="23"/>
  <c r="BT43" i="23"/>
  <c r="BT31" i="23"/>
  <c r="BR161" i="22"/>
  <c r="BS5" i="22"/>
  <c r="BR6" i="22"/>
  <c r="BK81" i="22" l="1"/>
  <c r="BL30" i="23"/>
  <c r="BQ54" i="22"/>
  <c r="BM144" i="22"/>
  <c r="BM145" i="22"/>
  <c r="BL144" i="22"/>
  <c r="BL145" i="22"/>
  <c r="BM72" i="22"/>
  <c r="BO418" i="23" s="1"/>
  <c r="BM143" i="22"/>
  <c r="BL72" i="22"/>
  <c r="BN23" i="23" s="1"/>
  <c r="BL143" i="22"/>
  <c r="BO46" i="22"/>
  <c r="BN69" i="22"/>
  <c r="BL70" i="22"/>
  <c r="BN417" i="23" s="1"/>
  <c r="BN18" i="23"/>
  <c r="BN48" i="22"/>
  <c r="BN62" i="22" s="1"/>
  <c r="BN71" i="22" s="1"/>
  <c r="AS163" i="23"/>
  <c r="AS164" i="23" s="1"/>
  <c r="AT160" i="23" s="1"/>
  <c r="AT162" i="23" s="1"/>
  <c r="AT163" i="23" s="1"/>
  <c r="AR295" i="23"/>
  <c r="AS291" i="23" s="1"/>
  <c r="AS293" i="23" s="1"/>
  <c r="AU209" i="23"/>
  <c r="AV205" i="23" s="1"/>
  <c r="AV251" i="23" s="1"/>
  <c r="AV253" i="23" s="1"/>
  <c r="BQ35" i="22"/>
  <c r="BT379" i="23"/>
  <c r="BT350" i="23" s="1"/>
  <c r="BT381" i="23"/>
  <c r="BT358" i="23" s="1"/>
  <c r="BT378" i="23"/>
  <c r="BT346" i="23" s="1"/>
  <c r="BT380" i="23"/>
  <c r="BT354" i="23" s="1"/>
  <c r="BQ45" i="22"/>
  <c r="BU252" i="23"/>
  <c r="BU235" i="23"/>
  <c r="BU337" i="23" s="1"/>
  <c r="BU200" i="23"/>
  <c r="BU221" i="23"/>
  <c r="BU90" i="23"/>
  <c r="BO18" i="23"/>
  <c r="BM70" i="22"/>
  <c r="BO417" i="23" s="1"/>
  <c r="AR384" i="23"/>
  <c r="AR148" i="23"/>
  <c r="AR94" i="23"/>
  <c r="AR133" i="23"/>
  <c r="BQ55" i="22"/>
  <c r="AS186" i="23"/>
  <c r="BS11" i="22"/>
  <c r="BU286" i="23"/>
  <c r="AR396" i="23"/>
  <c r="AR302" i="23"/>
  <c r="AR355" i="23"/>
  <c r="AU216" i="23"/>
  <c r="AU386" i="23"/>
  <c r="AU347" i="23"/>
  <c r="BU44" i="23"/>
  <c r="BU47" i="23"/>
  <c r="BU68" i="23"/>
  <c r="BU50" i="23"/>
  <c r="BU46" i="23"/>
  <c r="BU45" i="23"/>
  <c r="BU60" i="23"/>
  <c r="BU51" i="23"/>
  <c r="BU69" i="23"/>
  <c r="BU42" i="23"/>
  <c r="BU48" i="23"/>
  <c r="BU41" i="23"/>
  <c r="BU40" i="23"/>
  <c r="BU43" i="23"/>
  <c r="BU39" i="23"/>
  <c r="BU31" i="23"/>
  <c r="AR141" i="23"/>
  <c r="AS137" i="23" s="1"/>
  <c r="BR150" i="22"/>
  <c r="BR149" i="22"/>
  <c r="BR148" i="22"/>
  <c r="BR146" i="22"/>
  <c r="BR142" i="22"/>
  <c r="BR79" i="22" s="1"/>
  <c r="BR147" i="22"/>
  <c r="BR141" i="22"/>
  <c r="BR26" i="22"/>
  <c r="BR20" i="22" s="1"/>
  <c r="BR25" i="22"/>
  <c r="BQ78" i="22"/>
  <c r="BV433" i="23"/>
  <c r="BV432" i="23"/>
  <c r="BV270" i="23"/>
  <c r="BV292" i="23"/>
  <c r="BV206" i="23"/>
  <c r="BV81" i="23"/>
  <c r="BV80" i="23"/>
  <c r="BW5" i="23"/>
  <c r="BV6" i="23"/>
  <c r="BU264" i="23"/>
  <c r="AU393" i="23"/>
  <c r="AU348" i="23" s="1"/>
  <c r="AU394" i="23"/>
  <c r="AU357" i="23" s="1"/>
  <c r="AU392" i="23"/>
  <c r="AU344" i="23" s="1"/>
  <c r="BS161" i="22"/>
  <c r="BT5" i="22"/>
  <c r="BS6" i="22"/>
  <c r="BT335" i="23"/>
  <c r="BU82" i="23"/>
  <c r="BU377" i="23" s="1"/>
  <c r="BR159" i="22"/>
  <c r="BR54" i="22" s="1"/>
  <c r="BR160" i="22"/>
  <c r="BT91" i="23"/>
  <c r="BT333" i="23" s="1"/>
  <c r="BU435" i="23"/>
  <c r="BR331" i="23"/>
  <c r="AV272" i="23"/>
  <c r="AV273" i="23" s="1"/>
  <c r="AW269" i="23" s="1"/>
  <c r="BS67" i="23"/>
  <c r="BS71" i="23" s="1"/>
  <c r="BQ28" i="22"/>
  <c r="BP22" i="22"/>
  <c r="BQ19" i="22"/>
  <c r="BP34" i="22"/>
  <c r="BP37" i="22" s="1"/>
  <c r="BP57" i="22" s="1"/>
  <c r="BR13" i="22"/>
  <c r="BS10" i="22"/>
  <c r="BN418" i="23" l="1"/>
  <c r="BN420" i="23" s="1"/>
  <c r="BO23" i="23"/>
  <c r="BL152" i="22"/>
  <c r="BN30" i="23" s="1"/>
  <c r="BM152" i="22"/>
  <c r="BO30" i="23" s="1"/>
  <c r="AV207" i="23"/>
  <c r="AV208" i="23" s="1"/>
  <c r="AV209" i="23" s="1"/>
  <c r="AW205" i="23" s="1"/>
  <c r="AV258" i="23"/>
  <c r="BN31" i="22"/>
  <c r="AS156" i="23"/>
  <c r="AS171" i="23"/>
  <c r="BP46" i="22"/>
  <c r="BO69" i="22"/>
  <c r="BO48" i="22"/>
  <c r="BO62" i="22" s="1"/>
  <c r="BO71" i="22" s="1"/>
  <c r="BV82" i="23"/>
  <c r="BV377" i="23" s="1"/>
  <c r="BV381" i="23" s="1"/>
  <c r="BV358" i="23" s="1"/>
  <c r="AT171" i="23"/>
  <c r="AT156" i="23"/>
  <c r="AT164" i="23"/>
  <c r="AU160" i="23" s="1"/>
  <c r="BR35" i="22"/>
  <c r="AW271" i="23"/>
  <c r="BV435" i="23"/>
  <c r="BP18" i="23"/>
  <c r="BN70" i="22"/>
  <c r="BP417" i="23" s="1"/>
  <c r="BS150" i="22"/>
  <c r="BS149" i="22"/>
  <c r="BS148" i="22"/>
  <c r="BS147" i="22"/>
  <c r="BS146" i="22"/>
  <c r="BS142" i="22"/>
  <c r="BS79" i="22" s="1"/>
  <c r="BS141" i="22"/>
  <c r="BS25" i="22"/>
  <c r="BS26" i="22"/>
  <c r="BS20" i="22" s="1"/>
  <c r="AR342" i="23"/>
  <c r="AR93" i="23"/>
  <c r="BU335" i="23"/>
  <c r="AS294" i="23"/>
  <c r="AS139" i="23"/>
  <c r="BU91" i="23"/>
  <c r="BU333" i="23" s="1"/>
  <c r="BS331" i="23"/>
  <c r="BS159" i="22"/>
  <c r="BS54" i="22" s="1"/>
  <c r="BS160" i="22"/>
  <c r="BU379" i="23"/>
  <c r="BU350" i="23" s="1"/>
  <c r="BU381" i="23"/>
  <c r="BU358" i="23" s="1"/>
  <c r="BU380" i="23"/>
  <c r="BU354" i="23" s="1"/>
  <c r="BU378" i="23"/>
  <c r="BU346" i="23" s="1"/>
  <c r="AS194" i="23"/>
  <c r="AS179" i="23"/>
  <c r="BT161" i="22"/>
  <c r="BU5" i="22"/>
  <c r="BT6" i="22"/>
  <c r="BT67" i="23"/>
  <c r="BT71" i="23" s="1"/>
  <c r="BR28" i="22"/>
  <c r="AU388" i="23"/>
  <c r="AU352" i="23" s="1"/>
  <c r="AU387" i="23"/>
  <c r="AU343" i="23" s="1"/>
  <c r="AU389" i="23"/>
  <c r="AU356" i="23" s="1"/>
  <c r="BT11" i="22"/>
  <c r="BR55" i="22"/>
  <c r="BS13" i="22"/>
  <c r="BT10" i="22"/>
  <c r="BV252" i="23"/>
  <c r="BV235" i="23"/>
  <c r="BV337" i="23" s="1"/>
  <c r="BV221" i="23"/>
  <c r="BV200" i="23"/>
  <c r="BV90" i="23"/>
  <c r="AV280" i="23"/>
  <c r="AV391" i="23"/>
  <c r="AV351" i="23"/>
  <c r="BQ22" i="22"/>
  <c r="BR19" i="22"/>
  <c r="BQ34" i="22"/>
  <c r="BQ37" i="22" s="1"/>
  <c r="BQ57" i="22" s="1"/>
  <c r="BR78" i="22"/>
  <c r="AR398" i="23"/>
  <c r="AR349" i="23" s="1"/>
  <c r="AR397" i="23"/>
  <c r="AR345" i="23" s="1"/>
  <c r="AR399" i="23"/>
  <c r="AR353" i="23" s="1"/>
  <c r="AS187" i="23"/>
  <c r="AT183" i="23" s="1"/>
  <c r="BV47" i="23"/>
  <c r="BV68" i="23"/>
  <c r="BV50" i="23"/>
  <c r="BV46" i="23"/>
  <c r="BV60" i="23"/>
  <c r="BV48" i="23"/>
  <c r="BV51" i="23"/>
  <c r="BV69" i="23"/>
  <c r="BV42" i="23"/>
  <c r="BV41" i="23"/>
  <c r="BV40" i="23"/>
  <c r="BV44" i="23"/>
  <c r="BV45" i="23"/>
  <c r="BV39" i="23"/>
  <c r="BV43" i="23"/>
  <c r="BV31" i="23"/>
  <c r="BV286" i="23"/>
  <c r="BO420" i="23"/>
  <c r="BV264" i="23"/>
  <c r="BW432" i="23"/>
  <c r="BW433" i="23"/>
  <c r="BW270" i="23"/>
  <c r="BW292" i="23"/>
  <c r="BW206" i="23"/>
  <c r="BW81" i="23"/>
  <c r="BW80" i="23"/>
  <c r="BX5" i="23"/>
  <c r="BW6" i="23"/>
  <c r="BR45" i="22"/>
  <c r="BL81" i="22" l="1"/>
  <c r="BM81" i="22"/>
  <c r="BN144" i="22"/>
  <c r="BN145" i="22"/>
  <c r="BN72" i="22"/>
  <c r="BP418" i="23" s="1"/>
  <c r="BP420" i="23" s="1"/>
  <c r="BN143" i="22"/>
  <c r="BV380" i="23"/>
  <c r="BV354" i="23" s="1"/>
  <c r="BV378" i="23"/>
  <c r="BV346" i="23" s="1"/>
  <c r="BS55" i="22"/>
  <c r="BV379" i="23"/>
  <c r="BV350" i="23" s="1"/>
  <c r="BQ46" i="22"/>
  <c r="BP69" i="22"/>
  <c r="BP48" i="22"/>
  <c r="BP62" i="22" s="1"/>
  <c r="BP31" i="22" s="1"/>
  <c r="BO31" i="22"/>
  <c r="AW258" i="23"/>
  <c r="AW251" i="23"/>
  <c r="AW253" i="23" s="1"/>
  <c r="AW207" i="23"/>
  <c r="BS35" i="22"/>
  <c r="BR22" i="22"/>
  <c r="BS19" i="22"/>
  <c r="BR34" i="22"/>
  <c r="BR37" i="22" s="1"/>
  <c r="BR57" i="22" s="1"/>
  <c r="BQ18" i="23"/>
  <c r="BO70" i="22"/>
  <c r="BQ417" i="23" s="1"/>
  <c r="BT13" i="22"/>
  <c r="BU10" i="22"/>
  <c r="BT331" i="23"/>
  <c r="BS45" i="22"/>
  <c r="AV393" i="23"/>
  <c r="AV348" i="23" s="1"/>
  <c r="AV394" i="23"/>
  <c r="AV357" i="23" s="1"/>
  <c r="AV392" i="23"/>
  <c r="AV344" i="23" s="1"/>
  <c r="BT150" i="22"/>
  <c r="BT149" i="22"/>
  <c r="BT148" i="22"/>
  <c r="BT146" i="22"/>
  <c r="BT142" i="22"/>
  <c r="BT79" i="22" s="1"/>
  <c r="BT141" i="22"/>
  <c r="BT147" i="22"/>
  <c r="BT25" i="22"/>
  <c r="BT26" i="22"/>
  <c r="BT20" i="22" s="1"/>
  <c r="BT35" i="22" s="1"/>
  <c r="BU161" i="22"/>
  <c r="BV5" i="22"/>
  <c r="BU6" i="22"/>
  <c r="BS78" i="22"/>
  <c r="BT159" i="22"/>
  <c r="BT160" i="22"/>
  <c r="AS140" i="23"/>
  <c r="AS141" i="23" s="1"/>
  <c r="AT137" i="23" s="1"/>
  <c r="BX432" i="23"/>
  <c r="BX433" i="23"/>
  <c r="BX292" i="23"/>
  <c r="BX270" i="23"/>
  <c r="BX206" i="23"/>
  <c r="BX81" i="23"/>
  <c r="BX80" i="23"/>
  <c r="BY5" i="23"/>
  <c r="BX6" i="23"/>
  <c r="AW272" i="23"/>
  <c r="AW273" i="23" s="1"/>
  <c r="AX269" i="23" s="1"/>
  <c r="BW82" i="23"/>
  <c r="BW377" i="23" s="1"/>
  <c r="BW264" i="23"/>
  <c r="AS396" i="23"/>
  <c r="AS302" i="23"/>
  <c r="AS355" i="23"/>
  <c r="BW68" i="23"/>
  <c r="BW50" i="23"/>
  <c r="BW46" i="23"/>
  <c r="BW45" i="23"/>
  <c r="BW51" i="23"/>
  <c r="BW69" i="23"/>
  <c r="BW41" i="23"/>
  <c r="BW48" i="23"/>
  <c r="BW40" i="23"/>
  <c r="BW44" i="23"/>
  <c r="BW39" i="23"/>
  <c r="BW43" i="23"/>
  <c r="BW60" i="23"/>
  <c r="BW47" i="23"/>
  <c r="BW42" i="23"/>
  <c r="BW31" i="23"/>
  <c r="AT185" i="23"/>
  <c r="BV91" i="23"/>
  <c r="BV333" i="23" s="1"/>
  <c r="BU11" i="22"/>
  <c r="AV216" i="23"/>
  <c r="AV386" i="23"/>
  <c r="AV347" i="23"/>
  <c r="BW435" i="23"/>
  <c r="BV335" i="23"/>
  <c r="AS295" i="23"/>
  <c r="AT291" i="23" s="1"/>
  <c r="BW286" i="23"/>
  <c r="BW252" i="23"/>
  <c r="BW235" i="23"/>
  <c r="BW337" i="23" s="1"/>
  <c r="BW221" i="23"/>
  <c r="BW200" i="23"/>
  <c r="BW90" i="23"/>
  <c r="AU162" i="23"/>
  <c r="BU67" i="23"/>
  <c r="BU71" i="23" s="1"/>
  <c r="BS28" i="22"/>
  <c r="BP23" i="23" l="1"/>
  <c r="BN152" i="22"/>
  <c r="BP30" i="23" s="1"/>
  <c r="BP71" i="22"/>
  <c r="BP72" i="22" s="1"/>
  <c r="BR418" i="23" s="1"/>
  <c r="BP144" i="22"/>
  <c r="BP145" i="22"/>
  <c r="BO144" i="22"/>
  <c r="BO145" i="22"/>
  <c r="BP143" i="22"/>
  <c r="BO72" i="22"/>
  <c r="BQ418" i="23" s="1"/>
  <c r="BQ420" i="23" s="1"/>
  <c r="BO143" i="22"/>
  <c r="BR46" i="22"/>
  <c r="BR48" i="22" s="1"/>
  <c r="BR62" i="22" s="1"/>
  <c r="BQ69" i="22"/>
  <c r="BQ48" i="22"/>
  <c r="BQ62" i="22" s="1"/>
  <c r="BX435" i="23"/>
  <c r="BT54" i="22"/>
  <c r="AU163" i="23"/>
  <c r="AU164" i="23" s="1"/>
  <c r="AV160" i="23" s="1"/>
  <c r="AV162" i="23" s="1"/>
  <c r="BT55" i="22"/>
  <c r="AT186" i="23"/>
  <c r="AT187" i="23" s="1"/>
  <c r="AU183" i="23" s="1"/>
  <c r="AU185" i="23" s="1"/>
  <c r="BX82" i="23"/>
  <c r="BX377" i="23" s="1"/>
  <c r="BX380" i="23" s="1"/>
  <c r="BX354" i="23" s="1"/>
  <c r="AX271" i="23"/>
  <c r="BT45" i="22"/>
  <c r="BS22" i="22"/>
  <c r="BT19" i="22"/>
  <c r="BS34" i="22"/>
  <c r="BS37" i="22" s="1"/>
  <c r="BS57" i="22" s="1"/>
  <c r="BW91" i="23"/>
  <c r="BW333" i="23" s="1"/>
  <c r="BU13" i="22"/>
  <c r="BV10" i="22"/>
  <c r="BW335" i="23"/>
  <c r="BX252" i="23"/>
  <c r="BX235" i="23"/>
  <c r="BX337" i="23" s="1"/>
  <c r="BX221" i="23"/>
  <c r="BX200" i="23"/>
  <c r="BX90" i="23"/>
  <c r="BT78" i="22"/>
  <c r="AV388" i="23"/>
  <c r="AV352" i="23" s="1"/>
  <c r="AV387" i="23"/>
  <c r="AV343" i="23" s="1"/>
  <c r="AV389" i="23"/>
  <c r="AV356" i="23" s="1"/>
  <c r="BX264" i="23"/>
  <c r="BU150" i="22"/>
  <c r="BU149" i="22"/>
  <c r="BU148" i="22"/>
  <c r="BU147" i="22"/>
  <c r="BU146" i="22"/>
  <c r="BU142" i="22"/>
  <c r="BU79" i="22" s="1"/>
  <c r="BU141" i="22"/>
  <c r="BU26" i="22"/>
  <c r="BU20" i="22" s="1"/>
  <c r="BU25" i="22"/>
  <c r="AT139" i="23"/>
  <c r="AT140" i="23" s="1"/>
  <c r="BV161" i="22"/>
  <c r="BW5" i="22"/>
  <c r="BV6" i="22"/>
  <c r="BX43" i="23"/>
  <c r="BX46" i="23"/>
  <c r="BX42" i="23"/>
  <c r="BX60" i="23"/>
  <c r="BX48" i="23"/>
  <c r="BX69" i="23"/>
  <c r="BX68" i="23"/>
  <c r="BX41" i="23"/>
  <c r="BX40" i="23"/>
  <c r="BX44" i="23"/>
  <c r="BX45" i="23"/>
  <c r="BX39" i="23"/>
  <c r="BX51" i="23"/>
  <c r="BX50" i="23"/>
  <c r="BX47" i="23"/>
  <c r="BX31" i="23"/>
  <c r="BU159" i="22"/>
  <c r="BU160" i="22"/>
  <c r="AS397" i="23"/>
  <c r="AS345" i="23" s="1"/>
  <c r="AS399" i="23"/>
  <c r="AS353" i="23" s="1"/>
  <c r="AS398" i="23"/>
  <c r="AS349" i="23" s="1"/>
  <c r="BV11" i="22"/>
  <c r="BY432" i="23"/>
  <c r="BY433" i="23"/>
  <c r="BY292" i="23"/>
  <c r="BY270" i="23"/>
  <c r="BY206" i="23"/>
  <c r="BY81" i="23"/>
  <c r="BY80" i="23"/>
  <c r="BZ5" i="23"/>
  <c r="BY6" i="23"/>
  <c r="BX286" i="23"/>
  <c r="BW381" i="23"/>
  <c r="BW358" i="23" s="1"/>
  <c r="BW380" i="23"/>
  <c r="BW354" i="23" s="1"/>
  <c r="BW378" i="23"/>
  <c r="BW346" i="23" s="1"/>
  <c r="BW379" i="23"/>
  <c r="BW350" i="23" s="1"/>
  <c r="AW208" i="23"/>
  <c r="BV67" i="23"/>
  <c r="BV71" i="23" s="1"/>
  <c r="BT28" i="22"/>
  <c r="BU331" i="23"/>
  <c r="AT293" i="23"/>
  <c r="AW280" i="23"/>
  <c r="AW391" i="23"/>
  <c r="AW351" i="23"/>
  <c r="AS384" i="23"/>
  <c r="AS148" i="23"/>
  <c r="AS94" i="23"/>
  <c r="AS133" i="23"/>
  <c r="BR18" i="23"/>
  <c r="BP70" i="22"/>
  <c r="BR417" i="23" s="1"/>
  <c r="BN81" i="22" l="1"/>
  <c r="BP152" i="22"/>
  <c r="BR30" i="23" s="1"/>
  <c r="BR23" i="23"/>
  <c r="BO152" i="22"/>
  <c r="BQ30" i="23" s="1"/>
  <c r="BQ23" i="23"/>
  <c r="BX381" i="23"/>
  <c r="BX358" i="23" s="1"/>
  <c r="BU54" i="22"/>
  <c r="BR71" i="22"/>
  <c r="BT18" i="23" s="1"/>
  <c r="BR31" i="22"/>
  <c r="AT179" i="23"/>
  <c r="AT194" i="23"/>
  <c r="BQ71" i="22"/>
  <c r="BQ31" i="22"/>
  <c r="BS46" i="22"/>
  <c r="BR69" i="22"/>
  <c r="AU156" i="23"/>
  <c r="AU171" i="23"/>
  <c r="BY82" i="23"/>
  <c r="BY377" i="23" s="1"/>
  <c r="BY380" i="23" s="1"/>
  <c r="BY354" i="23" s="1"/>
  <c r="BX379" i="23"/>
  <c r="BX350" i="23" s="1"/>
  <c r="BX378" i="23"/>
  <c r="BX346" i="23" s="1"/>
  <c r="AT141" i="23"/>
  <c r="AU137" i="23" s="1"/>
  <c r="AU139" i="23" s="1"/>
  <c r="AU140" i="23" s="1"/>
  <c r="BU35" i="22"/>
  <c r="BW11" i="22"/>
  <c r="BV13" i="22"/>
  <c r="BW10" i="22"/>
  <c r="AT384" i="23"/>
  <c r="AT148" i="23"/>
  <c r="AT133" i="23"/>
  <c r="BX335" i="23"/>
  <c r="BY252" i="23"/>
  <c r="BY235" i="23"/>
  <c r="BY337" i="23" s="1"/>
  <c r="BY221" i="23"/>
  <c r="BY200" i="23"/>
  <c r="BY90" i="23"/>
  <c r="AU186" i="23"/>
  <c r="AU187" i="23" s="1"/>
  <c r="AV183" i="23" s="1"/>
  <c r="BW67" i="23"/>
  <c r="BW71" i="23" s="1"/>
  <c r="BU28" i="22"/>
  <c r="AT294" i="23"/>
  <c r="AW216" i="23"/>
  <c r="AW386" i="23"/>
  <c r="AW347" i="23"/>
  <c r="AV163" i="23"/>
  <c r="AV164" i="23" s="1"/>
  <c r="AW160" i="23" s="1"/>
  <c r="BX91" i="23"/>
  <c r="BX333" i="23" s="1"/>
  <c r="AS342" i="23"/>
  <c r="AS93" i="23"/>
  <c r="BU55" i="22"/>
  <c r="BY264" i="23"/>
  <c r="BV150" i="22"/>
  <c r="BV149" i="22"/>
  <c r="BV148" i="22"/>
  <c r="BV147" i="22"/>
  <c r="BV146" i="22"/>
  <c r="BV142" i="22"/>
  <c r="BV79" i="22" s="1"/>
  <c r="BV141" i="22"/>
  <c r="BV26" i="22"/>
  <c r="BV20" i="22" s="1"/>
  <c r="BV35" i="22" s="1"/>
  <c r="BV25" i="22"/>
  <c r="AW209" i="23"/>
  <c r="AX205" i="23" s="1"/>
  <c r="BW161" i="22"/>
  <c r="BW6" i="22"/>
  <c r="BX5" i="22"/>
  <c r="AW393" i="23"/>
  <c r="AW348" i="23" s="1"/>
  <c r="AW394" i="23"/>
  <c r="AW357" i="23" s="1"/>
  <c r="AW392" i="23"/>
  <c r="AW344" i="23" s="1"/>
  <c r="BY43" i="23"/>
  <c r="BY46" i="23"/>
  <c r="BY45" i="23"/>
  <c r="BY60" i="23"/>
  <c r="BY48" i="23"/>
  <c r="BY51" i="23"/>
  <c r="BY69" i="23"/>
  <c r="BY68" i="23"/>
  <c r="BY50" i="23"/>
  <c r="BY41" i="23"/>
  <c r="BY40" i="23"/>
  <c r="BY44" i="23"/>
  <c r="BY39" i="23"/>
  <c r="BY47" i="23"/>
  <c r="BY42" i="23"/>
  <c r="BY31" i="23"/>
  <c r="BV160" i="22"/>
  <c r="BV159" i="22"/>
  <c r="BU78" i="22"/>
  <c r="BR420" i="23"/>
  <c r="BZ433" i="23"/>
  <c r="BZ432" i="23"/>
  <c r="BZ292" i="23"/>
  <c r="BZ270" i="23"/>
  <c r="BZ206" i="23"/>
  <c r="BZ81" i="23"/>
  <c r="BZ80" i="23"/>
  <c r="CA5" i="23"/>
  <c r="BZ6" i="23"/>
  <c r="BY286" i="23"/>
  <c r="BT22" i="22"/>
  <c r="BU19" i="22"/>
  <c r="BT34" i="22"/>
  <c r="BT37" i="22" s="1"/>
  <c r="BT57" i="22" s="1"/>
  <c r="BV331" i="23"/>
  <c r="AX272" i="23"/>
  <c r="AX273" i="23" s="1"/>
  <c r="AY269" i="23" s="1"/>
  <c r="BY435" i="23"/>
  <c r="BU45" i="22"/>
  <c r="BP81" i="22" l="1"/>
  <c r="BO81" i="22"/>
  <c r="BQ144" i="22"/>
  <c r="BQ145" i="22"/>
  <c r="BR144" i="22"/>
  <c r="BR145" i="22"/>
  <c r="BQ72" i="22"/>
  <c r="BS23" i="23" s="1"/>
  <c r="BQ143" i="22"/>
  <c r="BR72" i="22"/>
  <c r="BT23" i="23" s="1"/>
  <c r="BR143" i="22"/>
  <c r="BR70" i="22"/>
  <c r="BT417" i="23" s="1"/>
  <c r="BV54" i="22"/>
  <c r="BY381" i="23"/>
  <c r="BY358" i="23" s="1"/>
  <c r="BT46" i="22"/>
  <c r="BS69" i="22"/>
  <c r="BQ70" i="22"/>
  <c r="BS417" i="23" s="1"/>
  <c r="BS18" i="23"/>
  <c r="BS48" i="22"/>
  <c r="BS62" i="22" s="1"/>
  <c r="BS71" i="22" s="1"/>
  <c r="BY378" i="23"/>
  <c r="BY346" i="23" s="1"/>
  <c r="BY379" i="23"/>
  <c r="BY350" i="23" s="1"/>
  <c r="AU141" i="23"/>
  <c r="AV137" i="23" s="1"/>
  <c r="AV139" i="23" s="1"/>
  <c r="AV140" i="23" s="1"/>
  <c r="AW162" i="23"/>
  <c r="AW163" i="23" s="1"/>
  <c r="BV78" i="22"/>
  <c r="AT396" i="23"/>
  <c r="AT302" i="23"/>
  <c r="AT355" i="23"/>
  <c r="BX11" i="22"/>
  <c r="BV45" i="22"/>
  <c r="BZ264" i="23"/>
  <c r="AY271" i="23"/>
  <c r="BZ43" i="23"/>
  <c r="BZ46" i="23"/>
  <c r="BZ60" i="23"/>
  <c r="BZ48" i="23"/>
  <c r="BZ51" i="23"/>
  <c r="BZ68" i="23"/>
  <c r="BZ50" i="23"/>
  <c r="BZ40" i="23"/>
  <c r="BZ44" i="23"/>
  <c r="BZ39" i="23"/>
  <c r="BZ45" i="23"/>
  <c r="BZ69" i="23"/>
  <c r="BZ47" i="23"/>
  <c r="BZ42" i="23"/>
  <c r="BZ41" i="23"/>
  <c r="BZ31" i="23"/>
  <c r="BX161" i="22"/>
  <c r="BY5" i="22"/>
  <c r="BX6" i="22"/>
  <c r="BW331" i="23"/>
  <c r="AT295" i="23"/>
  <c r="AU291" i="23" s="1"/>
  <c r="CA292" i="23"/>
  <c r="CA270" i="23"/>
  <c r="CA206" i="23"/>
  <c r="CA6" i="23"/>
  <c r="CB5" i="23"/>
  <c r="BZ286" i="23"/>
  <c r="BW150" i="22"/>
  <c r="BW149" i="22"/>
  <c r="BW148" i="22"/>
  <c r="BW147" i="22"/>
  <c r="BW146" i="22"/>
  <c r="BW142" i="22"/>
  <c r="BW79" i="22" s="1"/>
  <c r="BW141" i="22"/>
  <c r="BW26" i="22"/>
  <c r="BW20" i="22" s="1"/>
  <c r="BW25" i="22"/>
  <c r="AV185" i="23"/>
  <c r="BW160" i="22"/>
  <c r="BW159" i="22"/>
  <c r="BZ82" i="23"/>
  <c r="BZ377" i="23" s="1"/>
  <c r="BZ435" i="23"/>
  <c r="AU194" i="23"/>
  <c r="AU179" i="23"/>
  <c r="AT342" i="23"/>
  <c r="AT93" i="23"/>
  <c r="BV19" i="22"/>
  <c r="BU22" i="22"/>
  <c r="BU34" i="22"/>
  <c r="BU37" i="22" s="1"/>
  <c r="BU57" i="22" s="1"/>
  <c r="AX258" i="23"/>
  <c r="AX251" i="23"/>
  <c r="AX253" i="23" s="1"/>
  <c r="AX207" i="23"/>
  <c r="BX67" i="23"/>
  <c r="BX71" i="23" s="1"/>
  <c r="BV28" i="22"/>
  <c r="AT94" i="23"/>
  <c r="AV171" i="23"/>
  <c r="AV156" i="23"/>
  <c r="BY91" i="23"/>
  <c r="BY333" i="23" s="1"/>
  <c r="BY335" i="23"/>
  <c r="AU384" i="23"/>
  <c r="AU148" i="23"/>
  <c r="AU133" i="23"/>
  <c r="AX280" i="23"/>
  <c r="AX391" i="23"/>
  <c r="AX351" i="23"/>
  <c r="BZ252" i="23"/>
  <c r="BZ235" i="23"/>
  <c r="BZ337" i="23" s="1"/>
  <c r="BZ221" i="23"/>
  <c r="BZ200" i="23"/>
  <c r="BZ90" i="23"/>
  <c r="BV55" i="22"/>
  <c r="AW389" i="23"/>
  <c r="AW356" i="23" s="1"/>
  <c r="AW387" i="23"/>
  <c r="AW343" i="23" s="1"/>
  <c r="AW388" i="23"/>
  <c r="AW352" i="23" s="1"/>
  <c r="BW13" i="22"/>
  <c r="BX10" i="22"/>
  <c r="BS418" i="23" l="1"/>
  <c r="BS420" i="23" s="1"/>
  <c r="BW54" i="22"/>
  <c r="BT418" i="23"/>
  <c r="BT420" i="23" s="1"/>
  <c r="BR152" i="22"/>
  <c r="BT30" i="23" s="1"/>
  <c r="BQ152" i="22"/>
  <c r="BS30" i="23" s="1"/>
  <c r="BS31" i="22"/>
  <c r="BW55" i="22"/>
  <c r="BU46" i="22"/>
  <c r="BT69" i="22"/>
  <c r="BT48" i="22"/>
  <c r="BT62" i="22" s="1"/>
  <c r="AV141" i="23"/>
  <c r="AW137" i="23" s="1"/>
  <c r="AW139" i="23" s="1"/>
  <c r="AW164" i="23"/>
  <c r="AX160" i="23" s="1"/>
  <c r="AX162" i="23" s="1"/>
  <c r="AX163" i="23" s="1"/>
  <c r="BW35" i="22"/>
  <c r="AX208" i="23"/>
  <c r="AX209" i="23" s="1"/>
  <c r="AY205" i="23" s="1"/>
  <c r="BW78" i="22"/>
  <c r="BZ378" i="23"/>
  <c r="BZ346" i="23" s="1"/>
  <c r="BZ381" i="23"/>
  <c r="BZ358" i="23" s="1"/>
  <c r="BZ380" i="23"/>
  <c r="BZ354" i="23" s="1"/>
  <c r="BZ379" i="23"/>
  <c r="BZ350" i="23" s="1"/>
  <c r="AU293" i="23"/>
  <c r="AU294" i="23" s="1"/>
  <c r="AV148" i="23"/>
  <c r="AV133" i="23"/>
  <c r="BX150" i="22"/>
  <c r="BX149" i="22"/>
  <c r="BX148" i="22"/>
  <c r="BX147" i="22"/>
  <c r="BX146" i="22"/>
  <c r="BX142" i="22"/>
  <c r="BX79" i="22" s="1"/>
  <c r="BX141" i="22"/>
  <c r="BX25" i="22"/>
  <c r="BX26" i="22"/>
  <c r="BX20" i="22" s="1"/>
  <c r="AU342" i="23"/>
  <c r="AU93" i="23"/>
  <c r="BY161" i="22"/>
  <c r="BY6" i="22"/>
  <c r="BZ5" i="22"/>
  <c r="BW45" i="22"/>
  <c r="CA252" i="23"/>
  <c r="CA235" i="23"/>
  <c r="CA337" i="23" s="1"/>
  <c r="CA221" i="23"/>
  <c r="CA200" i="23"/>
  <c r="CA90" i="23"/>
  <c r="BX160" i="22"/>
  <c r="BX159" i="22"/>
  <c r="AV186" i="23"/>
  <c r="AV384" i="23" s="1"/>
  <c r="BY11" i="22"/>
  <c r="BU18" i="23"/>
  <c r="BS70" i="22"/>
  <c r="BU417" i="23" s="1"/>
  <c r="BW19" i="22"/>
  <c r="BV22" i="22"/>
  <c r="BV34" i="22"/>
  <c r="BV37" i="22" s="1"/>
  <c r="BV57" i="22" s="1"/>
  <c r="BZ91" i="23"/>
  <c r="BZ333" i="23" s="1"/>
  <c r="BY67" i="23"/>
  <c r="BY71" i="23" s="1"/>
  <c r="BW28" i="22"/>
  <c r="BX331" i="23"/>
  <c r="CA264" i="23"/>
  <c r="AW171" i="23"/>
  <c r="AW156" i="23"/>
  <c r="AX394" i="23"/>
  <c r="AX357" i="23" s="1"/>
  <c r="AX392" i="23"/>
  <c r="AX344" i="23" s="1"/>
  <c r="AX393" i="23"/>
  <c r="AX348" i="23" s="1"/>
  <c r="BZ335" i="23"/>
  <c r="CB432" i="23"/>
  <c r="CB433" i="23"/>
  <c r="CB292" i="23"/>
  <c r="CB270" i="23"/>
  <c r="CB206" i="23"/>
  <c r="CB80" i="23"/>
  <c r="CB81" i="23"/>
  <c r="CB6" i="23"/>
  <c r="CC5" i="23"/>
  <c r="CA46" i="23"/>
  <c r="CA45" i="23"/>
  <c r="CA60" i="23"/>
  <c r="CA48" i="23"/>
  <c r="CA51" i="23"/>
  <c r="CA69" i="23"/>
  <c r="CA47" i="23"/>
  <c r="CA68" i="23"/>
  <c r="CA50" i="23"/>
  <c r="CA44" i="23"/>
  <c r="CA39" i="23"/>
  <c r="CA43" i="23"/>
  <c r="CA42" i="23"/>
  <c r="CA40" i="23"/>
  <c r="CA41" i="23"/>
  <c r="CA31" i="23"/>
  <c r="AY272" i="23"/>
  <c r="AY273" i="23" s="1"/>
  <c r="AZ269" i="23" s="1"/>
  <c r="AT397" i="23"/>
  <c r="AT345" i="23" s="1"/>
  <c r="AT398" i="23"/>
  <c r="AT349" i="23" s="1"/>
  <c r="AT399" i="23"/>
  <c r="AT353" i="23" s="1"/>
  <c r="BX13" i="22"/>
  <c r="BY10" i="22"/>
  <c r="CA286" i="23"/>
  <c r="BR81" i="22" l="1"/>
  <c r="BQ81" i="22"/>
  <c r="BS144" i="22"/>
  <c r="BS145" i="22"/>
  <c r="BS72" i="22"/>
  <c r="BU418" i="23" s="1"/>
  <c r="BU420" i="23" s="1"/>
  <c r="BS143" i="22"/>
  <c r="BT71" i="22"/>
  <c r="BT31" i="22"/>
  <c r="BU69" i="22"/>
  <c r="BV46" i="22"/>
  <c r="BV48" i="22" s="1"/>
  <c r="BV62" i="22" s="1"/>
  <c r="BU48" i="22"/>
  <c r="BU62" i="22" s="1"/>
  <c r="BU71" i="22" s="1"/>
  <c r="CB82" i="23"/>
  <c r="CB377" i="23" s="1"/>
  <c r="CB380" i="23" s="1"/>
  <c r="CB354" i="23" s="1"/>
  <c r="BX54" i="22"/>
  <c r="BX35" i="22"/>
  <c r="AX171" i="23"/>
  <c r="AX156" i="23"/>
  <c r="AU396" i="23"/>
  <c r="AU302" i="23"/>
  <c r="AU355" i="23"/>
  <c r="AU94" i="23"/>
  <c r="AZ271" i="23"/>
  <c r="AZ272" i="23" s="1"/>
  <c r="CA335" i="23"/>
  <c r="AX164" i="23"/>
  <c r="AY160" i="23" s="1"/>
  <c r="AV187" i="23"/>
  <c r="AW183" i="23" s="1"/>
  <c r="AU295" i="23"/>
  <c r="AV291" i="23" s="1"/>
  <c r="CA91" i="23"/>
  <c r="CA333" i="23" s="1"/>
  <c r="AY258" i="23"/>
  <c r="AY251" i="23"/>
  <c r="AY253" i="23" s="1"/>
  <c r="AY207" i="23"/>
  <c r="CB252" i="23"/>
  <c r="CB235" i="23"/>
  <c r="CB337" i="23" s="1"/>
  <c r="CB221" i="23"/>
  <c r="CB200" i="23"/>
  <c r="CB90" i="23"/>
  <c r="BZ11" i="22"/>
  <c r="BZ67" i="23"/>
  <c r="BZ71" i="23" s="1"/>
  <c r="BX28" i="22"/>
  <c r="BX45" i="22"/>
  <c r="BX55" i="22"/>
  <c r="BZ161" i="22"/>
  <c r="BZ6" i="22"/>
  <c r="CA5" i="22"/>
  <c r="AX216" i="23"/>
  <c r="AX347" i="23"/>
  <c r="AX386" i="23"/>
  <c r="CB435" i="23"/>
  <c r="BY150" i="22"/>
  <c r="BY149" i="22"/>
  <c r="BY148" i="22"/>
  <c r="BY147" i="22"/>
  <c r="BY146" i="22"/>
  <c r="BY142" i="22"/>
  <c r="BY79" i="22" s="1"/>
  <c r="BY141" i="22"/>
  <c r="BY26" i="22"/>
  <c r="BY20" i="22" s="1"/>
  <c r="BY25" i="22"/>
  <c r="BY331" i="23"/>
  <c r="BY160" i="22"/>
  <c r="BY159" i="22"/>
  <c r="BX78" i="22"/>
  <c r="AW140" i="23"/>
  <c r="AW141" i="23" s="1"/>
  <c r="AX137" i="23" s="1"/>
  <c r="AY280" i="23"/>
  <c r="AY391" i="23"/>
  <c r="AY351" i="23"/>
  <c r="CC433" i="23"/>
  <c r="CC432" i="23"/>
  <c r="CC292" i="23"/>
  <c r="CC270" i="23"/>
  <c r="CC206" i="23"/>
  <c r="CC81" i="23"/>
  <c r="CC80" i="23"/>
  <c r="CC6" i="23"/>
  <c r="CD5" i="23"/>
  <c r="CB264" i="23"/>
  <c r="BY13" i="22"/>
  <c r="BZ10" i="22"/>
  <c r="BW22" i="22"/>
  <c r="BX19" i="22"/>
  <c r="BW34" i="22"/>
  <c r="BW37" i="22" s="1"/>
  <c r="BW57" i="22" s="1"/>
  <c r="CB60" i="23"/>
  <c r="CB48" i="23"/>
  <c r="CB51" i="23"/>
  <c r="CB69" i="23"/>
  <c r="CB68" i="23"/>
  <c r="CB50" i="23"/>
  <c r="CB44" i="23"/>
  <c r="CB39" i="23"/>
  <c r="CB45" i="23"/>
  <c r="CB43" i="23"/>
  <c r="CB46" i="23"/>
  <c r="CB47" i="23"/>
  <c r="CB42" i="23"/>
  <c r="CB41" i="23"/>
  <c r="CB40" i="23"/>
  <c r="CB31" i="23"/>
  <c r="AV194" i="23"/>
  <c r="AV179" i="23"/>
  <c r="AV342" i="23" s="1"/>
  <c r="CB286" i="23"/>
  <c r="BU23" i="23" l="1"/>
  <c r="BS152" i="22"/>
  <c r="BU30" i="23" s="1"/>
  <c r="BT144" i="22"/>
  <c r="BT145" i="22"/>
  <c r="BT72" i="22"/>
  <c r="BV418" i="23" s="1"/>
  <c r="BT143" i="22"/>
  <c r="BU31" i="22"/>
  <c r="CB381" i="23"/>
  <c r="CB358" i="23" s="1"/>
  <c r="CB379" i="23"/>
  <c r="CB350" i="23" s="1"/>
  <c r="BV69" i="22"/>
  <c r="BW46" i="22"/>
  <c r="CB378" i="23"/>
  <c r="CB346" i="23" s="1"/>
  <c r="BT70" i="22"/>
  <c r="BV417" i="23" s="1"/>
  <c r="BV18" i="23"/>
  <c r="BY55" i="22"/>
  <c r="CC435" i="23"/>
  <c r="AY208" i="23"/>
  <c r="AY209" i="23" s="1"/>
  <c r="AZ205" i="23" s="1"/>
  <c r="BY54" i="22"/>
  <c r="AZ280" i="23"/>
  <c r="AZ391" i="23"/>
  <c r="AZ351" i="23"/>
  <c r="AX139" i="23"/>
  <c r="BY35" i="22"/>
  <c r="CC45" i="23"/>
  <c r="CC60" i="23"/>
  <c r="CC48" i="23"/>
  <c r="CC51" i="23"/>
  <c r="CC69" i="23"/>
  <c r="CC47" i="23"/>
  <c r="CC44" i="23"/>
  <c r="CC39" i="23"/>
  <c r="CC68" i="23"/>
  <c r="CC43" i="23"/>
  <c r="CC46" i="23"/>
  <c r="CC50" i="23"/>
  <c r="CC41" i="23"/>
  <c r="CC40" i="23"/>
  <c r="CC42" i="23"/>
  <c r="CC31" i="23"/>
  <c r="AZ273" i="23"/>
  <c r="BA269" i="23" s="1"/>
  <c r="CC82" i="23"/>
  <c r="CC377" i="23" s="1"/>
  <c r="CC286" i="23"/>
  <c r="CA67" i="23"/>
  <c r="CA71" i="23" s="1"/>
  <c r="BY28" i="22"/>
  <c r="BY45" i="22"/>
  <c r="CB335" i="23"/>
  <c r="BW18" i="23"/>
  <c r="BU70" i="22"/>
  <c r="BW417" i="23" s="1"/>
  <c r="AU399" i="23"/>
  <c r="AU353" i="23" s="1"/>
  <c r="AU397" i="23"/>
  <c r="AU345" i="23" s="1"/>
  <c r="AU398" i="23"/>
  <c r="AU349" i="23" s="1"/>
  <c r="AY392" i="23"/>
  <c r="AY344" i="23" s="1"/>
  <c r="AY393" i="23"/>
  <c r="AY348" i="23" s="1"/>
  <c r="AY394" i="23"/>
  <c r="AY357" i="23" s="1"/>
  <c r="AX388" i="23"/>
  <c r="AX352" i="23" s="1"/>
  <c r="AX387" i="23"/>
  <c r="AX343" i="23" s="1"/>
  <c r="AX389" i="23"/>
  <c r="AX356" i="23" s="1"/>
  <c r="BX22" i="22"/>
  <c r="BY19" i="22"/>
  <c r="BX34" i="22"/>
  <c r="BX37" i="22" s="1"/>
  <c r="BX57" i="22" s="1"/>
  <c r="BY78" i="22"/>
  <c r="AV293" i="23"/>
  <c r="AV294" i="23" s="1"/>
  <c r="CD433" i="23"/>
  <c r="CD432" i="23"/>
  <c r="CD292" i="23"/>
  <c r="CD270" i="23"/>
  <c r="CD206" i="23"/>
  <c r="CD80" i="23"/>
  <c r="CD81" i="23"/>
  <c r="CD6" i="23"/>
  <c r="CE5" i="23"/>
  <c r="AW148" i="23"/>
  <c r="AW133" i="23"/>
  <c r="AV93" i="23"/>
  <c r="BZ331" i="23"/>
  <c r="AW185" i="23"/>
  <c r="AW186" i="23" s="1"/>
  <c r="AW384" i="23" s="1"/>
  <c r="AY162" i="23"/>
  <c r="CC264" i="23"/>
  <c r="CA10" i="22"/>
  <c r="BZ13" i="22"/>
  <c r="CC252" i="23"/>
  <c r="CC235" i="23"/>
  <c r="CC337" i="23" s="1"/>
  <c r="CC221" i="23"/>
  <c r="CC200" i="23"/>
  <c r="CC90" i="23"/>
  <c r="CB91" i="23"/>
  <c r="CB333" i="23" s="1"/>
  <c r="CA161" i="22"/>
  <c r="CA6" i="22"/>
  <c r="CB5" i="22"/>
  <c r="CA11" i="22"/>
  <c r="BZ149" i="22"/>
  <c r="BZ148" i="22"/>
  <c r="BZ147" i="22"/>
  <c r="BZ146" i="22"/>
  <c r="BZ150" i="22"/>
  <c r="BZ142" i="22"/>
  <c r="BZ79" i="22" s="1"/>
  <c r="BZ141" i="22"/>
  <c r="BZ26" i="22"/>
  <c r="BZ20" i="22" s="1"/>
  <c r="BZ25" i="22"/>
  <c r="BV31" i="22"/>
  <c r="BV71" i="22"/>
  <c r="BZ160" i="22"/>
  <c r="BZ159" i="22"/>
  <c r="BS81" i="22" l="1"/>
  <c r="BV23" i="23"/>
  <c r="BT152" i="22"/>
  <c r="BV30" i="23" s="1"/>
  <c r="BU144" i="22"/>
  <c r="BU145" i="22"/>
  <c r="BV144" i="22"/>
  <c r="BV145" i="22"/>
  <c r="BU72" i="22"/>
  <c r="BW23" i="23" s="1"/>
  <c r="BU143" i="22"/>
  <c r="BV72" i="22"/>
  <c r="BX418" i="23" s="1"/>
  <c r="BV143" i="22"/>
  <c r="BV420" i="23"/>
  <c r="AY347" i="23"/>
  <c r="AY386" i="23"/>
  <c r="AY387" i="23" s="1"/>
  <c r="AY343" i="23" s="1"/>
  <c r="AY216" i="23"/>
  <c r="BX46" i="22"/>
  <c r="BW69" i="22"/>
  <c r="BW48" i="22"/>
  <c r="BW62" i="22" s="1"/>
  <c r="BW71" i="22" s="1"/>
  <c r="AZ207" i="23"/>
  <c r="AZ208" i="23" s="1"/>
  <c r="AZ251" i="23"/>
  <c r="AZ253" i="23" s="1"/>
  <c r="AZ258" i="23"/>
  <c r="CD82" i="23"/>
  <c r="CD377" i="23" s="1"/>
  <c r="CD378" i="23" s="1"/>
  <c r="CD346" i="23" s="1"/>
  <c r="BZ55" i="22"/>
  <c r="AV295" i="23"/>
  <c r="AW291" i="23" s="1"/>
  <c r="AW293" i="23" s="1"/>
  <c r="BZ35" i="22"/>
  <c r="CB161" i="22"/>
  <c r="CB6" i="22"/>
  <c r="CC5" i="22"/>
  <c r="CB10" i="22"/>
  <c r="CA13" i="22"/>
  <c r="AW187" i="23"/>
  <c r="AX183" i="23" s="1"/>
  <c r="CC381" i="23"/>
  <c r="CC358" i="23" s="1"/>
  <c r="CC380" i="23"/>
  <c r="CC354" i="23" s="1"/>
  <c r="CC379" i="23"/>
  <c r="CC350" i="23" s="1"/>
  <c r="CC378" i="23"/>
  <c r="CC346" i="23" s="1"/>
  <c r="CA148" i="22"/>
  <c r="CA147" i="22"/>
  <c r="CA146" i="22"/>
  <c r="CA149" i="22"/>
  <c r="CA150" i="22"/>
  <c r="CA142" i="22"/>
  <c r="CA79" i="22" s="1"/>
  <c r="CA141" i="22"/>
  <c r="CA26" i="22"/>
  <c r="CA20" i="22" s="1"/>
  <c r="CA25" i="22"/>
  <c r="CA160" i="22"/>
  <c r="CA159" i="22"/>
  <c r="BA271" i="23"/>
  <c r="BA272" i="23" s="1"/>
  <c r="BA273" i="23" s="1"/>
  <c r="BB269" i="23" s="1"/>
  <c r="CB11" i="22"/>
  <c r="CD252" i="23"/>
  <c r="CD235" i="23"/>
  <c r="CD337" i="23" s="1"/>
  <c r="CD221" i="23"/>
  <c r="CD200" i="23"/>
  <c r="CD90" i="23"/>
  <c r="AV396" i="23"/>
  <c r="AV302" i="23"/>
  <c r="AV355" i="23"/>
  <c r="AV94" i="23"/>
  <c r="BX18" i="23"/>
  <c r="BV70" i="22"/>
  <c r="BX417" i="23" s="1"/>
  <c r="CB67" i="23"/>
  <c r="CB71" i="23" s="1"/>
  <c r="BZ28" i="22"/>
  <c r="CA331" i="23"/>
  <c r="CC91" i="23"/>
  <c r="CC333" i="23" s="1"/>
  <c r="AX140" i="23"/>
  <c r="AX141" i="23" s="1"/>
  <c r="AY137" i="23" s="1"/>
  <c r="CC335" i="23"/>
  <c r="CD264" i="23"/>
  <c r="AW194" i="23"/>
  <c r="AW179" i="23"/>
  <c r="AW93" i="23" s="1"/>
  <c r="AY163" i="23"/>
  <c r="AY164" i="23" s="1"/>
  <c r="AZ160" i="23" s="1"/>
  <c r="CE433" i="23"/>
  <c r="CE432" i="23"/>
  <c r="CE270" i="23"/>
  <c r="CE292" i="23"/>
  <c r="CE206" i="23"/>
  <c r="CE80" i="23"/>
  <c r="CE81" i="23"/>
  <c r="CE6" i="23"/>
  <c r="CF5" i="23"/>
  <c r="CD286" i="23"/>
  <c r="BZ54" i="22"/>
  <c r="CD42" i="23"/>
  <c r="CD45" i="23"/>
  <c r="CD60" i="23"/>
  <c r="CD48" i="23"/>
  <c r="CD51" i="23"/>
  <c r="CD69" i="23"/>
  <c r="CD44" i="23"/>
  <c r="CD47" i="23"/>
  <c r="CD68" i="23"/>
  <c r="CD50" i="23"/>
  <c r="CD39" i="23"/>
  <c r="CD43" i="23"/>
  <c r="CD46" i="23"/>
  <c r="CD41" i="23"/>
  <c r="CD40" i="23"/>
  <c r="CD31" i="23"/>
  <c r="BY22" i="22"/>
  <c r="BZ19" i="22"/>
  <c r="BY34" i="22"/>
  <c r="BY37" i="22" s="1"/>
  <c r="BY57" i="22" s="1"/>
  <c r="BZ45" i="22"/>
  <c r="AZ392" i="23"/>
  <c r="AZ344" i="23" s="1"/>
  <c r="AZ393" i="23"/>
  <c r="AZ348" i="23" s="1"/>
  <c r="AZ394" i="23"/>
  <c r="AZ357" i="23" s="1"/>
  <c r="BZ78" i="22"/>
  <c r="CD435" i="23"/>
  <c r="BT81" i="22" l="1"/>
  <c r="BW418" i="23"/>
  <c r="BW420" i="23" s="1"/>
  <c r="BU152" i="22"/>
  <c r="BU81" i="22" s="1"/>
  <c r="BV152" i="22"/>
  <c r="BX30" i="23" s="1"/>
  <c r="BX23" i="23"/>
  <c r="AY389" i="23"/>
  <c r="AY356" i="23" s="1"/>
  <c r="AY388" i="23"/>
  <c r="AY352" i="23" s="1"/>
  <c r="BW31" i="22"/>
  <c r="CD381" i="23"/>
  <c r="CD358" i="23" s="1"/>
  <c r="CD379" i="23"/>
  <c r="CD350" i="23" s="1"/>
  <c r="CD380" i="23"/>
  <c r="CD354" i="23" s="1"/>
  <c r="AW342" i="23"/>
  <c r="CA54" i="22"/>
  <c r="BY46" i="22"/>
  <c r="BY48" i="22" s="1"/>
  <c r="BY62" i="22" s="1"/>
  <c r="BY31" i="22" s="1"/>
  <c r="BY145" i="22" s="1"/>
  <c r="BX69" i="22"/>
  <c r="BX48" i="22"/>
  <c r="BX62" i="22" s="1"/>
  <c r="BX31" i="22" s="1"/>
  <c r="BX145" i="22" s="1"/>
  <c r="CA55" i="22"/>
  <c r="AZ162" i="23"/>
  <c r="BB271" i="23"/>
  <c r="CA35" i="22"/>
  <c r="AY139" i="23"/>
  <c r="CE252" i="23"/>
  <c r="CE235" i="23"/>
  <c r="CE337" i="23" s="1"/>
  <c r="CE221" i="23"/>
  <c r="CE200" i="23"/>
  <c r="CE90" i="23"/>
  <c r="CC161" i="22"/>
  <c r="CC6" i="22"/>
  <c r="CD5" i="22"/>
  <c r="CB147" i="22"/>
  <c r="CB146" i="22"/>
  <c r="CB150" i="22"/>
  <c r="CB148" i="22"/>
  <c r="CB142" i="22"/>
  <c r="CB79" i="22" s="1"/>
  <c r="CB141" i="22"/>
  <c r="CB149" i="22"/>
  <c r="CB26" i="22"/>
  <c r="CB20" i="22" s="1"/>
  <c r="CB25" i="22"/>
  <c r="CA19" i="22"/>
  <c r="BZ22" i="22"/>
  <c r="BZ34" i="22"/>
  <c r="BZ37" i="22" s="1"/>
  <c r="BZ57" i="22" s="1"/>
  <c r="CE286" i="23"/>
  <c r="CD335" i="23"/>
  <c r="CF432" i="23"/>
  <c r="CF433" i="23"/>
  <c r="CF270" i="23"/>
  <c r="CF292" i="23"/>
  <c r="CF206" i="23"/>
  <c r="CF80" i="23"/>
  <c r="CF81" i="23"/>
  <c r="CF6" i="23"/>
  <c r="CG5" i="23"/>
  <c r="CE264" i="23"/>
  <c r="AX148" i="23"/>
  <c r="AX133" i="23"/>
  <c r="AV397" i="23"/>
  <c r="AV345" i="23" s="1"/>
  <c r="AV398" i="23"/>
  <c r="AV349" i="23" s="1"/>
  <c r="AV399" i="23"/>
  <c r="AV353" i="23" s="1"/>
  <c r="CE42" i="23"/>
  <c r="CE45" i="23"/>
  <c r="CE60" i="23"/>
  <c r="CE48" i="23"/>
  <c r="CE51" i="23"/>
  <c r="CE69" i="23"/>
  <c r="CE47" i="23"/>
  <c r="CE68" i="23"/>
  <c r="CE50" i="23"/>
  <c r="CE39" i="23"/>
  <c r="CE43" i="23"/>
  <c r="CE46" i="23"/>
  <c r="CE40" i="23"/>
  <c r="CE44" i="23"/>
  <c r="CE41" i="23"/>
  <c r="CE31" i="23"/>
  <c r="CC67" i="23"/>
  <c r="CC71" i="23" s="1"/>
  <c r="CA28" i="22"/>
  <c r="CB160" i="22"/>
  <c r="CB159" i="22"/>
  <c r="CE82" i="23"/>
  <c r="CE377" i="23" s="1"/>
  <c r="CE435" i="23"/>
  <c r="BA280" i="23"/>
  <c r="BA351" i="23"/>
  <c r="BA391" i="23"/>
  <c r="BX420" i="23"/>
  <c r="AY171" i="23"/>
  <c r="AY156" i="23"/>
  <c r="CC11" i="22"/>
  <c r="AZ216" i="23"/>
  <c r="AZ386" i="23"/>
  <c r="AZ347" i="23"/>
  <c r="BY18" i="23"/>
  <c r="BW70" i="22"/>
  <c r="BY417" i="23" s="1"/>
  <c r="AX185" i="23"/>
  <c r="AX186" i="23" s="1"/>
  <c r="AW294" i="23"/>
  <c r="AW295" i="23" s="1"/>
  <c r="AX291" i="23" s="1"/>
  <c r="CD91" i="23"/>
  <c r="CD333" i="23" s="1"/>
  <c r="CA78" i="22"/>
  <c r="CB331" i="23"/>
  <c r="CA45" i="22"/>
  <c r="CB13" i="22"/>
  <c r="CC10" i="22"/>
  <c r="AZ209" i="23"/>
  <c r="BA205" i="23" s="1"/>
  <c r="BW30" i="23" l="1"/>
  <c r="BV81" i="22"/>
  <c r="BW144" i="22"/>
  <c r="BW145" i="22"/>
  <c r="BY143" i="22"/>
  <c r="BY144" i="22"/>
  <c r="BX143" i="22"/>
  <c r="BX144" i="22"/>
  <c r="BW72" i="22"/>
  <c r="BY23" i="23" s="1"/>
  <c r="BW143" i="22"/>
  <c r="BX71" i="22"/>
  <c r="BX72" i="22" s="1"/>
  <c r="BY71" i="22"/>
  <c r="BY72" i="22" s="1"/>
  <c r="BY69" i="22"/>
  <c r="BZ46" i="22"/>
  <c r="CB54" i="22"/>
  <c r="AX187" i="23"/>
  <c r="AY183" i="23" s="1"/>
  <c r="AY185" i="23" s="1"/>
  <c r="CF82" i="23"/>
  <c r="CF377" i="23" s="1"/>
  <c r="CF380" i="23" s="1"/>
  <c r="CF354" i="23" s="1"/>
  <c r="AY140" i="23"/>
  <c r="AY141" i="23" s="1"/>
  <c r="AZ137" i="23" s="1"/>
  <c r="AZ139" i="23" s="1"/>
  <c r="CB35" i="22"/>
  <c r="AX293" i="23"/>
  <c r="AX294" i="23" s="1"/>
  <c r="BA392" i="23"/>
  <c r="BA344" i="23" s="1"/>
  <c r="BA393" i="23"/>
  <c r="BA348" i="23" s="1"/>
  <c r="BA394" i="23"/>
  <c r="BA357" i="23" s="1"/>
  <c r="CG433" i="23"/>
  <c r="CG432" i="23"/>
  <c r="CG292" i="23"/>
  <c r="CG270" i="23"/>
  <c r="CG206" i="23"/>
  <c r="CG81" i="23"/>
  <c r="CG80" i="23"/>
  <c r="CG6" i="23"/>
  <c r="CH5" i="23"/>
  <c r="CD67" i="23"/>
  <c r="CD71" i="23" s="1"/>
  <c r="CB28" i="22"/>
  <c r="CD161" i="22"/>
  <c r="CD6" i="22"/>
  <c r="CE5" i="22"/>
  <c r="CC160" i="22"/>
  <c r="CC159" i="22"/>
  <c r="AX194" i="23"/>
  <c r="AX179" i="23"/>
  <c r="AX342" i="23" s="1"/>
  <c r="CE380" i="23"/>
  <c r="CE354" i="23" s="1"/>
  <c r="CE381" i="23"/>
  <c r="CE358" i="23" s="1"/>
  <c r="CE378" i="23"/>
  <c r="CE346" i="23" s="1"/>
  <c r="CE379" i="23"/>
  <c r="CE350" i="23" s="1"/>
  <c r="CF435" i="23"/>
  <c r="CE91" i="23"/>
  <c r="CE333" i="23" s="1"/>
  <c r="CC146" i="22"/>
  <c r="CC150" i="22"/>
  <c r="CC149" i="22"/>
  <c r="CC147" i="22"/>
  <c r="CC142" i="22"/>
  <c r="CC79" i="22" s="1"/>
  <c r="CC141" i="22"/>
  <c r="CC148" i="22"/>
  <c r="CC26" i="22"/>
  <c r="CC20" i="22" s="1"/>
  <c r="CC25" i="22"/>
  <c r="CB78" i="22"/>
  <c r="CB45" i="22"/>
  <c r="CE335" i="23"/>
  <c r="BB272" i="23"/>
  <c r="BB273" i="23" s="1"/>
  <c r="BC269" i="23" s="1"/>
  <c r="CF45" i="23"/>
  <c r="CF60" i="23"/>
  <c r="CF48" i="23"/>
  <c r="CF51" i="23"/>
  <c r="CF69" i="23"/>
  <c r="CF47" i="23"/>
  <c r="CF68" i="23"/>
  <c r="CF50" i="23"/>
  <c r="CF46" i="23"/>
  <c r="CF43" i="23"/>
  <c r="CF42" i="23"/>
  <c r="CF41" i="23"/>
  <c r="CF39" i="23"/>
  <c r="CF40" i="23"/>
  <c r="CF44" i="23"/>
  <c r="CF31" i="23"/>
  <c r="CC331" i="23"/>
  <c r="CF252" i="23"/>
  <c r="CF235" i="23"/>
  <c r="CF337" i="23" s="1"/>
  <c r="CF221" i="23"/>
  <c r="CF200" i="23"/>
  <c r="CF90" i="23"/>
  <c r="AX384" i="23"/>
  <c r="CB55" i="22"/>
  <c r="AW396" i="23"/>
  <c r="AW302" i="23"/>
  <c r="AW355" i="23"/>
  <c r="AW94" i="23"/>
  <c r="CD11" i="22"/>
  <c r="CF286" i="23"/>
  <c r="BA258" i="23"/>
  <c r="BA251" i="23"/>
  <c r="BA253" i="23" s="1"/>
  <c r="BA207" i="23"/>
  <c r="BA208" i="23" s="1"/>
  <c r="CF264" i="23"/>
  <c r="CA22" i="22"/>
  <c r="CB19" i="22"/>
  <c r="CA34" i="22"/>
  <c r="CA37" i="22" s="1"/>
  <c r="CA57" i="22" s="1"/>
  <c r="AZ163" i="23"/>
  <c r="AZ164" i="23" s="1"/>
  <c r="BA160" i="23" s="1"/>
  <c r="CC13" i="22"/>
  <c r="CD10" i="22"/>
  <c r="AZ387" i="23"/>
  <c r="AZ343" i="23" s="1"/>
  <c r="AZ389" i="23"/>
  <c r="AZ356" i="23" s="1"/>
  <c r="AZ388" i="23"/>
  <c r="AZ352" i="23" s="1"/>
  <c r="BW152" i="22" l="1"/>
  <c r="BY30" i="23" s="1"/>
  <c r="BY418" i="23"/>
  <c r="BY420" i="23" s="1"/>
  <c r="CA18" i="23"/>
  <c r="BX152" i="22"/>
  <c r="BY152" i="22"/>
  <c r="BZ18" i="23"/>
  <c r="AY148" i="23"/>
  <c r="CF379" i="23"/>
  <c r="CF350" i="23" s="1"/>
  <c r="CF378" i="23"/>
  <c r="CF346" i="23" s="1"/>
  <c r="CF381" i="23"/>
  <c r="CF358" i="23" s="1"/>
  <c r="BX70" i="22"/>
  <c r="BZ417" i="23" s="1"/>
  <c r="CC54" i="22"/>
  <c r="BZ23" i="23"/>
  <c r="BZ418" i="23"/>
  <c r="BY70" i="22"/>
  <c r="CA417" i="23" s="1"/>
  <c r="CA418" i="23"/>
  <c r="CA23" i="23"/>
  <c r="AY133" i="23"/>
  <c r="CG435" i="23"/>
  <c r="CA46" i="22"/>
  <c r="BZ69" i="22"/>
  <c r="BZ48" i="22"/>
  <c r="BZ62" i="22" s="1"/>
  <c r="CG82" i="23"/>
  <c r="CG377" i="23" s="1"/>
  <c r="CG379" i="23" s="1"/>
  <c r="CG350" i="23" s="1"/>
  <c r="CC55" i="22"/>
  <c r="AX93" i="23"/>
  <c r="CC35" i="22"/>
  <c r="AX396" i="23"/>
  <c r="AX302" i="23"/>
  <c r="AX355" i="23"/>
  <c r="AX94" i="23"/>
  <c r="AX295" i="23"/>
  <c r="AY291" i="23" s="1"/>
  <c r="BA162" i="23"/>
  <c r="CD331" i="23"/>
  <c r="CG286" i="23"/>
  <c r="CG60" i="23"/>
  <c r="CG48" i="23"/>
  <c r="CG51" i="23"/>
  <c r="CG69" i="23"/>
  <c r="CG47" i="23"/>
  <c r="CG68" i="23"/>
  <c r="CG50" i="23"/>
  <c r="CG43" i="23"/>
  <c r="CG46" i="23"/>
  <c r="CG45" i="23"/>
  <c r="CG42" i="23"/>
  <c r="CG41" i="23"/>
  <c r="CG40" i="23"/>
  <c r="CG44" i="23"/>
  <c r="CG39" i="23"/>
  <c r="CG31" i="23"/>
  <c r="CE11" i="22"/>
  <c r="AY186" i="23"/>
  <c r="AY187" i="23" s="1"/>
  <c r="AZ183" i="23" s="1"/>
  <c r="CC78" i="22"/>
  <c r="BB280" i="23"/>
  <c r="BB391" i="23"/>
  <c r="BB351" i="23"/>
  <c r="BA216" i="23"/>
  <c r="BA386" i="23"/>
  <c r="BA347" i="23"/>
  <c r="BA209" i="23"/>
  <c r="BB205" i="23" s="1"/>
  <c r="CF91" i="23"/>
  <c r="CF333" i="23" s="1"/>
  <c r="AW397" i="23"/>
  <c r="AW345" i="23" s="1"/>
  <c r="AW399" i="23"/>
  <c r="AW353" i="23" s="1"/>
  <c r="AW398" i="23"/>
  <c r="AW349" i="23" s="1"/>
  <c r="CF335" i="23"/>
  <c r="AZ140" i="23"/>
  <c r="AZ141" i="23" s="1"/>
  <c r="BA137" i="23" s="1"/>
  <c r="AZ171" i="23"/>
  <c r="AZ156" i="23"/>
  <c r="CC45" i="22"/>
  <c r="CE161" i="22"/>
  <c r="CF5" i="22"/>
  <c r="CE6" i="22"/>
  <c r="CG235" i="23"/>
  <c r="CG337" i="23" s="1"/>
  <c r="CG252" i="23"/>
  <c r="CG221" i="23"/>
  <c r="CG200" i="23"/>
  <c r="CG90" i="23"/>
  <c r="CH433" i="23"/>
  <c r="CH432" i="23"/>
  <c r="CH292" i="23"/>
  <c r="CH270" i="23"/>
  <c r="CH206" i="23"/>
  <c r="CH81" i="23"/>
  <c r="CH80" i="23"/>
  <c r="CH6" i="23"/>
  <c r="CI5" i="23"/>
  <c r="CD13" i="22"/>
  <c r="CE10" i="22"/>
  <c r="CD150" i="22"/>
  <c r="CD149" i="22"/>
  <c r="CD148" i="22"/>
  <c r="CD146" i="22"/>
  <c r="CD142" i="22"/>
  <c r="CD79" i="22" s="1"/>
  <c r="CD141" i="22"/>
  <c r="CD147" i="22"/>
  <c r="CD26" i="22"/>
  <c r="CD20" i="22" s="1"/>
  <c r="CD25" i="22"/>
  <c r="BC271" i="23"/>
  <c r="CB22" i="22"/>
  <c r="CC19" i="22"/>
  <c r="CB34" i="22"/>
  <c r="CB37" i="22" s="1"/>
  <c r="CB57" i="22" s="1"/>
  <c r="CD160" i="22"/>
  <c r="CD159" i="22"/>
  <c r="CG264" i="23"/>
  <c r="CE67" i="23"/>
  <c r="CE71" i="23" s="1"/>
  <c r="CC28" i="22"/>
  <c r="BW81" i="22" l="1"/>
  <c r="CA30" i="23"/>
  <c r="BY81" i="22"/>
  <c r="BX81" i="22"/>
  <c r="BZ30" i="23"/>
  <c r="CD54" i="22"/>
  <c r="CA420" i="23"/>
  <c r="BZ420" i="23"/>
  <c r="CG378" i="23"/>
  <c r="CG346" i="23" s="1"/>
  <c r="CG380" i="23"/>
  <c r="CG354" i="23" s="1"/>
  <c r="CG381" i="23"/>
  <c r="CG358" i="23" s="1"/>
  <c r="BZ71" i="22"/>
  <c r="BZ31" i="22"/>
  <c r="CB46" i="22"/>
  <c r="CA69" i="22"/>
  <c r="CA48" i="22"/>
  <c r="CA62" i="22" s="1"/>
  <c r="CA31" i="22" s="1"/>
  <c r="CA145" i="22" s="1"/>
  <c r="CH435" i="23"/>
  <c r="CH82" i="23"/>
  <c r="CH377" i="23" s="1"/>
  <c r="CH380" i="23" s="1"/>
  <c r="CH354" i="23" s="1"/>
  <c r="BC272" i="23"/>
  <c r="BC273" i="23" s="1"/>
  <c r="BD269" i="23" s="1"/>
  <c r="CD35" i="22"/>
  <c r="BA139" i="23"/>
  <c r="BA140" i="23" s="1"/>
  <c r="AZ185" i="23"/>
  <c r="CG91" i="23"/>
  <c r="CG333" i="23" s="1"/>
  <c r="CF11" i="22"/>
  <c r="CG335" i="23"/>
  <c r="BA163" i="23"/>
  <c r="CH235" i="23"/>
  <c r="CH337" i="23" s="1"/>
  <c r="CH252" i="23"/>
  <c r="CH221" i="23"/>
  <c r="CH200" i="23"/>
  <c r="CH90" i="23"/>
  <c r="AY194" i="23"/>
  <c r="AY179" i="23"/>
  <c r="AY384" i="23"/>
  <c r="CE331" i="23"/>
  <c r="CE13" i="22"/>
  <c r="CF10" i="22"/>
  <c r="CD55" i="22"/>
  <c r="AZ148" i="23"/>
  <c r="AZ133" i="23"/>
  <c r="CF67" i="23"/>
  <c r="CF71" i="23" s="1"/>
  <c r="CD28" i="22"/>
  <c r="CE149" i="22"/>
  <c r="CE148" i="22"/>
  <c r="CE147" i="22"/>
  <c r="CE146" i="22"/>
  <c r="CE142" i="22"/>
  <c r="CE79" i="22" s="1"/>
  <c r="CE141" i="22"/>
  <c r="CE150" i="22"/>
  <c r="CE26" i="22"/>
  <c r="CE20" i="22" s="1"/>
  <c r="CE25" i="22"/>
  <c r="AY293" i="23"/>
  <c r="AY294" i="23" s="1"/>
  <c r="CH264" i="23"/>
  <c r="CC22" i="22"/>
  <c r="CD19" i="22"/>
  <c r="CC34" i="22"/>
  <c r="CC37" i="22" s="1"/>
  <c r="CC57" i="22" s="1"/>
  <c r="CH286" i="23"/>
  <c r="CF161" i="22"/>
  <c r="CG5" i="22"/>
  <c r="CF6" i="22"/>
  <c r="BA387" i="23"/>
  <c r="BA343" i="23" s="1"/>
  <c r="BA389" i="23"/>
  <c r="BA356" i="23" s="1"/>
  <c r="BA388" i="23"/>
  <c r="BA352" i="23" s="1"/>
  <c r="CI433" i="23"/>
  <c r="CI432" i="23"/>
  <c r="CI292" i="23"/>
  <c r="CI270" i="23"/>
  <c r="CI206" i="23"/>
  <c r="CI81" i="23"/>
  <c r="CI80" i="23"/>
  <c r="CJ5" i="23"/>
  <c r="CI6" i="23"/>
  <c r="CE160" i="22"/>
  <c r="CE159" i="22"/>
  <c r="CH51" i="23"/>
  <c r="CH69" i="23"/>
  <c r="CH47" i="23"/>
  <c r="CH68" i="23"/>
  <c r="CH50" i="23"/>
  <c r="CH46" i="23"/>
  <c r="CH60" i="23"/>
  <c r="CH43" i="23"/>
  <c r="CH48" i="23"/>
  <c r="CH45" i="23"/>
  <c r="CH42" i="23"/>
  <c r="CH41" i="23"/>
  <c r="CH40" i="23"/>
  <c r="CH44" i="23"/>
  <c r="CH39" i="23"/>
  <c r="CH31" i="23"/>
  <c r="CD45" i="22"/>
  <c r="BB392" i="23"/>
  <c r="BB344" i="23" s="1"/>
  <c r="BB393" i="23"/>
  <c r="BB348" i="23" s="1"/>
  <c r="BB394" i="23"/>
  <c r="BB357" i="23" s="1"/>
  <c r="AX398" i="23"/>
  <c r="AX349" i="23" s="1"/>
  <c r="AX399" i="23"/>
  <c r="AX353" i="23" s="1"/>
  <c r="AX397" i="23"/>
  <c r="AX345" i="23" s="1"/>
  <c r="BB258" i="23"/>
  <c r="BB251" i="23"/>
  <c r="BB253" i="23" s="1"/>
  <c r="BB207" i="23"/>
  <c r="BB208" i="23" s="1"/>
  <c r="CD78" i="22"/>
  <c r="CE54" i="22" l="1"/>
  <c r="BZ144" i="22"/>
  <c r="BZ145" i="22"/>
  <c r="CA143" i="22"/>
  <c r="CA144" i="22"/>
  <c r="BZ72" i="22"/>
  <c r="CB418" i="23" s="1"/>
  <c r="BZ143" i="22"/>
  <c r="CH378" i="23"/>
  <c r="CH346" i="23" s="1"/>
  <c r="CH381" i="23"/>
  <c r="CH358" i="23" s="1"/>
  <c r="CH379" i="23"/>
  <c r="CH350" i="23" s="1"/>
  <c r="CA71" i="22"/>
  <c r="CA72" i="22" s="1"/>
  <c r="BC351" i="23"/>
  <c r="CC46" i="22"/>
  <c r="CB69" i="22"/>
  <c r="BC391" i="23"/>
  <c r="BC394" i="23" s="1"/>
  <c r="BC357" i="23" s="1"/>
  <c r="CB18" i="23"/>
  <c r="BZ70" i="22"/>
  <c r="CB417" i="23" s="1"/>
  <c r="BC280" i="23"/>
  <c r="CB48" i="22"/>
  <c r="CB62" i="22" s="1"/>
  <c r="CB71" i="22" s="1"/>
  <c r="AY295" i="23"/>
  <c r="AZ291" i="23" s="1"/>
  <c r="AZ293" i="23" s="1"/>
  <c r="BD271" i="23"/>
  <c r="BD272" i="23" s="1"/>
  <c r="BA141" i="23"/>
  <c r="BB137" i="23" s="1"/>
  <c r="BB139" i="23" s="1"/>
  <c r="CE35" i="22"/>
  <c r="BB216" i="23"/>
  <c r="BB386" i="23"/>
  <c r="BB347" i="23"/>
  <c r="BB209" i="23"/>
  <c r="BC205" i="23" s="1"/>
  <c r="CI252" i="23"/>
  <c r="CI221" i="23"/>
  <c r="CI200" i="23"/>
  <c r="CI235" i="23"/>
  <c r="CI337" i="23" s="1"/>
  <c r="CI90" i="23"/>
  <c r="CF150" i="22"/>
  <c r="CF148" i="22"/>
  <c r="CF147" i="22"/>
  <c r="CF141" i="22"/>
  <c r="CF149" i="22"/>
  <c r="CF146" i="22"/>
  <c r="CF142" i="22"/>
  <c r="CF79" i="22" s="1"/>
  <c r="CF26" i="22"/>
  <c r="CF20" i="22" s="1"/>
  <c r="CF25" i="22"/>
  <c r="CH335" i="23"/>
  <c r="CG161" i="22"/>
  <c r="CH5" i="22"/>
  <c r="CG6" i="22"/>
  <c r="AY396" i="23"/>
  <c r="AY302" i="23"/>
  <c r="AY355" i="23"/>
  <c r="CG10" i="22"/>
  <c r="CF13" i="22"/>
  <c r="CG11" i="22"/>
  <c r="CI286" i="23"/>
  <c r="CG67" i="23"/>
  <c r="CG71" i="23" s="1"/>
  <c r="CE28" i="22"/>
  <c r="CI69" i="23"/>
  <c r="CI41" i="23"/>
  <c r="CI44" i="23"/>
  <c r="CI47" i="23"/>
  <c r="CI68" i="23"/>
  <c r="CI50" i="23"/>
  <c r="CI43" i="23"/>
  <c r="CI46" i="23"/>
  <c r="CI60" i="23"/>
  <c r="CI48" i="23"/>
  <c r="CI45" i="23"/>
  <c r="CI42" i="23"/>
  <c r="CI40" i="23"/>
  <c r="CI39" i="23"/>
  <c r="CI51" i="23"/>
  <c r="CI31" i="23"/>
  <c r="CF331" i="23"/>
  <c r="BA171" i="23"/>
  <c r="BA156" i="23"/>
  <c r="CJ433" i="23"/>
  <c r="CJ432" i="23"/>
  <c r="CJ292" i="23"/>
  <c r="CJ270" i="23"/>
  <c r="CJ206" i="23"/>
  <c r="CJ81" i="23"/>
  <c r="CJ80" i="23"/>
  <c r="CK5" i="23"/>
  <c r="CJ6" i="23"/>
  <c r="CD22" i="22"/>
  <c r="CE19" i="22"/>
  <c r="CD34" i="22"/>
  <c r="CD37" i="22" s="1"/>
  <c r="CD57" i="22" s="1"/>
  <c r="CI82" i="23"/>
  <c r="CI377" i="23" s="1"/>
  <c r="AY94" i="23"/>
  <c r="CI435" i="23"/>
  <c r="BA164" i="23"/>
  <c r="BB160" i="23" s="1"/>
  <c r="AY342" i="23"/>
  <c r="AY93" i="23"/>
  <c r="CE45" i="22"/>
  <c r="CE78" i="22"/>
  <c r="CE55" i="22"/>
  <c r="CI264" i="23"/>
  <c r="CH91" i="23"/>
  <c r="CH333" i="23" s="1"/>
  <c r="AZ186" i="23"/>
  <c r="CF160" i="22"/>
  <c r="CF159" i="22"/>
  <c r="CF54" i="22" s="1"/>
  <c r="BA148" i="23"/>
  <c r="BA133" i="23"/>
  <c r="CB23" i="23" l="1"/>
  <c r="BZ152" i="22"/>
  <c r="BZ81" i="22" s="1"/>
  <c r="CA152" i="22"/>
  <c r="CA70" i="22"/>
  <c r="CC417" i="23" s="1"/>
  <c r="CC18" i="23"/>
  <c r="CB420" i="23"/>
  <c r="CC418" i="23"/>
  <c r="CC23" i="23"/>
  <c r="CB31" i="22"/>
  <c r="CJ82" i="23"/>
  <c r="CJ377" i="23" s="1"/>
  <c r="CJ379" i="23" s="1"/>
  <c r="CJ350" i="23" s="1"/>
  <c r="BC392" i="23"/>
  <c r="BC344" i="23" s="1"/>
  <c r="BC393" i="23"/>
  <c r="BC348" i="23" s="1"/>
  <c r="CC69" i="22"/>
  <c r="CD46" i="22"/>
  <c r="CC48" i="22"/>
  <c r="CC62" i="22" s="1"/>
  <c r="CC31" i="22" s="1"/>
  <c r="BD280" i="23"/>
  <c r="BD351" i="23"/>
  <c r="BD391" i="23"/>
  <c r="BD393" i="23" s="1"/>
  <c r="BD348" i="23" s="1"/>
  <c r="CF55" i="22"/>
  <c r="CJ435" i="23"/>
  <c r="BD273" i="23"/>
  <c r="BE269" i="23" s="1"/>
  <c r="CF35" i="22"/>
  <c r="CD18" i="23"/>
  <c r="CB70" i="22"/>
  <c r="CD417" i="23" s="1"/>
  <c r="CJ252" i="23"/>
  <c r="CJ235" i="23"/>
  <c r="CJ337" i="23" s="1"/>
  <c r="CJ200" i="23"/>
  <c r="CJ221" i="23"/>
  <c r="CJ90" i="23"/>
  <c r="CG160" i="22"/>
  <c r="CG159" i="22"/>
  <c r="CF78" i="22"/>
  <c r="CE22" i="22"/>
  <c r="CF19" i="22"/>
  <c r="CE34" i="22"/>
  <c r="CE37" i="22" s="1"/>
  <c r="CE57" i="22" s="1"/>
  <c r="CJ69" i="23"/>
  <c r="CJ41" i="23"/>
  <c r="CJ44" i="23"/>
  <c r="CJ47" i="23"/>
  <c r="CJ68" i="23"/>
  <c r="CJ50" i="23"/>
  <c r="CJ46" i="23"/>
  <c r="CJ60" i="23"/>
  <c r="CJ51" i="23"/>
  <c r="CJ48" i="23"/>
  <c r="CJ43" i="23"/>
  <c r="CJ45" i="23"/>
  <c r="CJ42" i="23"/>
  <c r="CJ40" i="23"/>
  <c r="CJ39" i="23"/>
  <c r="CJ31" i="23"/>
  <c r="CJ264" i="23"/>
  <c r="CH67" i="23"/>
  <c r="CH71" i="23" s="1"/>
  <c r="CF28" i="22"/>
  <c r="CI91" i="23"/>
  <c r="CI333" i="23" s="1"/>
  <c r="BB140" i="23"/>
  <c r="BB162" i="23"/>
  <c r="CG13" i="22"/>
  <c r="CH10" i="22"/>
  <c r="CF45" i="22"/>
  <c r="CI335" i="23"/>
  <c r="BC258" i="23"/>
  <c r="BC251" i="23"/>
  <c r="BC253" i="23" s="1"/>
  <c r="BC207" i="23"/>
  <c r="AZ294" i="23"/>
  <c r="AZ94" i="23" s="1"/>
  <c r="CK433" i="23"/>
  <c r="CK432" i="23"/>
  <c r="CK270" i="23"/>
  <c r="CK292" i="23"/>
  <c r="CK206" i="23"/>
  <c r="CK81" i="23"/>
  <c r="CK80" i="23"/>
  <c r="CL5" i="23"/>
  <c r="CK6" i="23"/>
  <c r="AZ194" i="23"/>
  <c r="AZ179" i="23"/>
  <c r="AZ384" i="23"/>
  <c r="BB389" i="23"/>
  <c r="BB356" i="23" s="1"/>
  <c r="BB388" i="23"/>
  <c r="BB352" i="23" s="1"/>
  <c r="BB387" i="23"/>
  <c r="BB343" i="23" s="1"/>
  <c r="CG331" i="23"/>
  <c r="CJ286" i="23"/>
  <c r="CH11" i="22"/>
  <c r="AY399" i="23"/>
  <c r="AY353" i="23" s="1"/>
  <c r="AY398" i="23"/>
  <c r="AY349" i="23" s="1"/>
  <c r="AY397" i="23"/>
  <c r="AY345" i="23" s="1"/>
  <c r="AZ187" i="23"/>
  <c r="BA183" i="23" s="1"/>
  <c r="CG150" i="22"/>
  <c r="CG149" i="22"/>
  <c r="CG147" i="22"/>
  <c r="CG146" i="22"/>
  <c r="CG148" i="22"/>
  <c r="CG142" i="22"/>
  <c r="CG79" i="22" s="1"/>
  <c r="CG141" i="22"/>
  <c r="CG26" i="22"/>
  <c r="CG20" i="22" s="1"/>
  <c r="CG25" i="22"/>
  <c r="CI379" i="23"/>
  <c r="CI350" i="23" s="1"/>
  <c r="CI378" i="23"/>
  <c r="CI346" i="23" s="1"/>
  <c r="CI381" i="23"/>
  <c r="CI358" i="23" s="1"/>
  <c r="CI380" i="23"/>
  <c r="CI354" i="23" s="1"/>
  <c r="CH161" i="22"/>
  <c r="CI5" i="22"/>
  <c r="CH6" i="22"/>
  <c r="CB30" i="23" l="1"/>
  <c r="CC144" i="22"/>
  <c r="CC145" i="22"/>
  <c r="CB144" i="22"/>
  <c r="CB145" i="22"/>
  <c r="CJ381" i="23"/>
  <c r="CJ358" i="23" s="1"/>
  <c r="CC420" i="23"/>
  <c r="CA81" i="22"/>
  <c r="CC30" i="23"/>
  <c r="CC143" i="22"/>
  <c r="CC71" i="22"/>
  <c r="CC72" i="22" s="1"/>
  <c r="CB72" i="22"/>
  <c r="CD23" i="23" s="1"/>
  <c r="CB143" i="22"/>
  <c r="CJ378" i="23"/>
  <c r="CJ346" i="23" s="1"/>
  <c r="CJ380" i="23"/>
  <c r="CJ354" i="23" s="1"/>
  <c r="CE46" i="22"/>
  <c r="CD69" i="22"/>
  <c r="BD394" i="23"/>
  <c r="BD357" i="23" s="1"/>
  <c r="BD392" i="23"/>
  <c r="BD344" i="23" s="1"/>
  <c r="CD48" i="22"/>
  <c r="CD62" i="22" s="1"/>
  <c r="CD71" i="22" s="1"/>
  <c r="CG54" i="22"/>
  <c r="BE271" i="23"/>
  <c r="BC208" i="23"/>
  <c r="BC209" i="23" s="1"/>
  <c r="BD205" i="23" s="1"/>
  <c r="CG35" i="22"/>
  <c r="CK252" i="23"/>
  <c r="CK235" i="23"/>
  <c r="CK337" i="23" s="1"/>
  <c r="CK200" i="23"/>
  <c r="CK221" i="23"/>
  <c r="CK90" i="23"/>
  <c r="BB163" i="23"/>
  <c r="BB164" i="23" s="1"/>
  <c r="BC160" i="23" s="1"/>
  <c r="CI11" i="22"/>
  <c r="AZ342" i="23"/>
  <c r="AZ93" i="23"/>
  <c r="CI67" i="23"/>
  <c r="CI71" i="23" s="1"/>
  <c r="CG28" i="22"/>
  <c r="CK286" i="23"/>
  <c r="CL433" i="23"/>
  <c r="CL432" i="23"/>
  <c r="CL270" i="23"/>
  <c r="CL292" i="23"/>
  <c r="CL206" i="23"/>
  <c r="CL81" i="23"/>
  <c r="CL80" i="23"/>
  <c r="CM5" i="23"/>
  <c r="CL6" i="23"/>
  <c r="CK264" i="23"/>
  <c r="CF22" i="22"/>
  <c r="CG19" i="22"/>
  <c r="CF34" i="22"/>
  <c r="CF37" i="22" s="1"/>
  <c r="CF57" i="22" s="1"/>
  <c r="CK44" i="23"/>
  <c r="CK47" i="23"/>
  <c r="CK68" i="23"/>
  <c r="CK50" i="23"/>
  <c r="CK46" i="23"/>
  <c r="CK45" i="23"/>
  <c r="CK60" i="23"/>
  <c r="CK51" i="23"/>
  <c r="CK69" i="23"/>
  <c r="CK42" i="23"/>
  <c r="CK40" i="23"/>
  <c r="CK41" i="23"/>
  <c r="CK48" i="23"/>
  <c r="CK43" i="23"/>
  <c r="CK39" i="23"/>
  <c r="CK31" i="23"/>
  <c r="CK82" i="23"/>
  <c r="CK377" i="23" s="1"/>
  <c r="CK435" i="23"/>
  <c r="CJ335" i="23"/>
  <c r="CG78" i="22"/>
  <c r="CG45" i="22"/>
  <c r="CH331" i="23"/>
  <c r="CG55" i="22"/>
  <c r="CJ91" i="23"/>
  <c r="CJ333" i="23" s="1"/>
  <c r="BA185" i="23"/>
  <c r="BA186" i="23" s="1"/>
  <c r="CH150" i="22"/>
  <c r="CH149" i="22"/>
  <c r="CH148" i="22"/>
  <c r="CH146" i="22"/>
  <c r="CH147" i="22"/>
  <c r="CH142" i="22"/>
  <c r="CH79" i="22" s="1"/>
  <c r="CH141" i="22"/>
  <c r="CH26" i="22"/>
  <c r="CH20" i="22" s="1"/>
  <c r="CH25" i="22"/>
  <c r="CI161" i="22"/>
  <c r="CI6" i="22"/>
  <c r="CJ5" i="22"/>
  <c r="AZ396" i="23"/>
  <c r="AZ302" i="23"/>
  <c r="AZ355" i="23"/>
  <c r="CH13" i="22"/>
  <c r="CI10" i="22"/>
  <c r="AZ295" i="23"/>
  <c r="BA291" i="23" s="1"/>
  <c r="BB148" i="23"/>
  <c r="BB133" i="23"/>
  <c r="CH159" i="22"/>
  <c r="CH160" i="22"/>
  <c r="BB141" i="23"/>
  <c r="BC137" i="23" s="1"/>
  <c r="CC152" i="22" l="1"/>
  <c r="CE30" i="23" s="1"/>
  <c r="CD418" i="23"/>
  <c r="CD420" i="23" s="1"/>
  <c r="CB152" i="22"/>
  <c r="CB81" i="22" s="1"/>
  <c r="CC70" i="22"/>
  <c r="CE417" i="23" s="1"/>
  <c r="CE18" i="23"/>
  <c r="CE418" i="23"/>
  <c r="CE23" i="23"/>
  <c r="CD31" i="22"/>
  <c r="BC347" i="23"/>
  <c r="BC216" i="23"/>
  <c r="CF46" i="22"/>
  <c r="CE69" i="22"/>
  <c r="CE48" i="22"/>
  <c r="CE62" i="22" s="1"/>
  <c r="BD258" i="23"/>
  <c r="BD251" i="23"/>
  <c r="BD253" i="23" s="1"/>
  <c r="BD207" i="23"/>
  <c r="BD208" i="23" s="1"/>
  <c r="BC386" i="23"/>
  <c r="BC389" i="23" s="1"/>
  <c r="BC356" i="23" s="1"/>
  <c r="BE272" i="23"/>
  <c r="BE273" i="23" s="1"/>
  <c r="BF269" i="23" s="1"/>
  <c r="CH54" i="22"/>
  <c r="BA194" i="23"/>
  <c r="BA179" i="23"/>
  <c r="BA384" i="23"/>
  <c r="BA187" i="23"/>
  <c r="BB183" i="23" s="1"/>
  <c r="CH35" i="22"/>
  <c r="CH45" i="22"/>
  <c r="CK335" i="23"/>
  <c r="CK91" i="23"/>
  <c r="CK333" i="23" s="1"/>
  <c r="CL252" i="23"/>
  <c r="CL221" i="23"/>
  <c r="CL235" i="23"/>
  <c r="CL337" i="23" s="1"/>
  <c r="CL200" i="23"/>
  <c r="CL90" i="23"/>
  <c r="CF18" i="23"/>
  <c r="CD70" i="22"/>
  <c r="CF417" i="23" s="1"/>
  <c r="CL47" i="23"/>
  <c r="CL68" i="23"/>
  <c r="CL50" i="23"/>
  <c r="CL46" i="23"/>
  <c r="CL60" i="23"/>
  <c r="CL48" i="23"/>
  <c r="CL51" i="23"/>
  <c r="CL69" i="23"/>
  <c r="CL45" i="23"/>
  <c r="CL42" i="23"/>
  <c r="CL40" i="23"/>
  <c r="CL41" i="23"/>
  <c r="CL39" i="23"/>
  <c r="CL44" i="23"/>
  <c r="CL43" i="23"/>
  <c r="CL31" i="23"/>
  <c r="CL286" i="23"/>
  <c r="CJ11" i="22"/>
  <c r="BC162" i="23"/>
  <c r="CI150" i="22"/>
  <c r="CI149" i="22"/>
  <c r="CI148" i="22"/>
  <c r="CI147" i="22"/>
  <c r="CI142" i="22"/>
  <c r="CI79" i="22" s="1"/>
  <c r="CI141" i="22"/>
  <c r="CI146" i="22"/>
  <c r="CI25" i="22"/>
  <c r="CI26" i="22"/>
  <c r="CI20" i="22" s="1"/>
  <c r="CM270" i="23"/>
  <c r="CM292" i="23"/>
  <c r="CM206" i="23"/>
  <c r="CN5" i="23"/>
  <c r="CM6" i="23"/>
  <c r="CL82" i="23"/>
  <c r="CL377" i="23" s="1"/>
  <c r="CL264" i="23"/>
  <c r="BA293" i="23"/>
  <c r="BA294" i="23" s="1"/>
  <c r="CJ67" i="23"/>
  <c r="CJ71" i="23" s="1"/>
  <c r="CH28" i="22"/>
  <c r="CL435" i="23"/>
  <c r="CI13" i="22"/>
  <c r="CJ10" i="22"/>
  <c r="CI159" i="22"/>
  <c r="CI160" i="22"/>
  <c r="CH78" i="22"/>
  <c r="CI331" i="23"/>
  <c r="BB171" i="23"/>
  <c r="BB156" i="23"/>
  <c r="CH55" i="22"/>
  <c r="CK379" i="23"/>
  <c r="CK350" i="23" s="1"/>
  <c r="CK381" i="23"/>
  <c r="CK358" i="23" s="1"/>
  <c r="CK380" i="23"/>
  <c r="CK354" i="23" s="1"/>
  <c r="CK378" i="23"/>
  <c r="CK346" i="23" s="1"/>
  <c r="AZ399" i="23"/>
  <c r="AZ353" i="23" s="1"/>
  <c r="AZ397" i="23"/>
  <c r="AZ345" i="23" s="1"/>
  <c r="AZ398" i="23"/>
  <c r="AZ349" i="23" s="1"/>
  <c r="BC139" i="23"/>
  <c r="BC140" i="23" s="1"/>
  <c r="CJ161" i="22"/>
  <c r="CJ6" i="22"/>
  <c r="CK5" i="22"/>
  <c r="CG22" i="22"/>
  <c r="CH19" i="22"/>
  <c r="CG34" i="22"/>
  <c r="CG37" i="22" s="1"/>
  <c r="CG57" i="22" s="1"/>
  <c r="CC81" i="22" l="1"/>
  <c r="CE420" i="23"/>
  <c r="CD30" i="23"/>
  <c r="CD144" i="22"/>
  <c r="CD145" i="22"/>
  <c r="CD72" i="22"/>
  <c r="CF418" i="23" s="1"/>
  <c r="CF420" i="23" s="1"/>
  <c r="CD143" i="22"/>
  <c r="BC388" i="23"/>
  <c r="BC352" i="23" s="1"/>
  <c r="BC387" i="23"/>
  <c r="BC343" i="23" s="1"/>
  <c r="CE31" i="22"/>
  <c r="CE71" i="22"/>
  <c r="CG46" i="22"/>
  <c r="CF69" i="22"/>
  <c r="CF48" i="22"/>
  <c r="CF62" i="22" s="1"/>
  <c r="BE280" i="23"/>
  <c r="BE391" i="23"/>
  <c r="BE351" i="23"/>
  <c r="BF271" i="23"/>
  <c r="BF272" i="23" s="1"/>
  <c r="BA295" i="23"/>
  <c r="BB291" i="23" s="1"/>
  <c r="BB293" i="23" s="1"/>
  <c r="CI78" i="22"/>
  <c r="CI45" i="22"/>
  <c r="CM68" i="23"/>
  <c r="CM50" i="23"/>
  <c r="CM46" i="23"/>
  <c r="CM45" i="23"/>
  <c r="CM51" i="23"/>
  <c r="CM69" i="23"/>
  <c r="CM42" i="23"/>
  <c r="CM40" i="23"/>
  <c r="CM41" i="23"/>
  <c r="CM39" i="23"/>
  <c r="CM60" i="23"/>
  <c r="CM43" i="23"/>
  <c r="CM47" i="23"/>
  <c r="CM44" i="23"/>
  <c r="CM48" i="23"/>
  <c r="CM31" i="23"/>
  <c r="CM286" i="23"/>
  <c r="CJ331" i="23"/>
  <c r="CN432" i="23"/>
  <c r="CN433" i="23"/>
  <c r="CN292" i="23"/>
  <c r="CN270" i="23"/>
  <c r="CN206" i="23"/>
  <c r="CN81" i="23"/>
  <c r="CN80" i="23"/>
  <c r="CO5" i="23"/>
  <c r="CN6" i="23"/>
  <c r="CM264" i="23"/>
  <c r="CJ150" i="22"/>
  <c r="CJ149" i="22"/>
  <c r="CJ148" i="22"/>
  <c r="CJ147" i="22"/>
  <c r="CJ142" i="22"/>
  <c r="CJ79" i="22" s="1"/>
  <c r="CJ141" i="22"/>
  <c r="CJ146" i="22"/>
  <c r="CJ25" i="22"/>
  <c r="CJ26" i="22"/>
  <c r="CJ20" i="22" s="1"/>
  <c r="CJ35" i="22" s="1"/>
  <c r="CJ159" i="22"/>
  <c r="CJ160" i="22"/>
  <c r="BD216" i="23"/>
  <c r="BD386" i="23"/>
  <c r="BD347" i="23"/>
  <c r="CH22" i="22"/>
  <c r="CI19" i="22"/>
  <c r="CH34" i="22"/>
  <c r="CH37" i="22" s="1"/>
  <c r="CH57" i="22" s="1"/>
  <c r="CI55" i="22"/>
  <c r="BB185" i="23"/>
  <c r="BB186" i="23" s="1"/>
  <c r="BA396" i="23"/>
  <c r="BA302" i="23"/>
  <c r="BA355" i="23"/>
  <c r="CI54" i="22"/>
  <c r="CM252" i="23"/>
  <c r="CM235" i="23"/>
  <c r="CM337" i="23" s="1"/>
  <c r="CM221" i="23"/>
  <c r="CM200" i="23"/>
  <c r="CM90" i="23"/>
  <c r="BA94" i="23"/>
  <c r="BC148" i="23"/>
  <c r="BC133" i="23"/>
  <c r="CK67" i="23"/>
  <c r="CK71" i="23" s="1"/>
  <c r="CI28" i="22"/>
  <c r="CL91" i="23"/>
  <c r="CL333" i="23" s="1"/>
  <c r="CK161" i="22"/>
  <c r="CK6" i="22"/>
  <c r="CL5" i="22"/>
  <c r="BC141" i="23"/>
  <c r="BD137" i="23" s="1"/>
  <c r="CJ13" i="22"/>
  <c r="CK10" i="22"/>
  <c r="BC163" i="23"/>
  <c r="BA342" i="23"/>
  <c r="BA93" i="23"/>
  <c r="CL335" i="23"/>
  <c r="CL378" i="23"/>
  <c r="CL346" i="23" s="1"/>
  <c r="CL380" i="23"/>
  <c r="CL354" i="23" s="1"/>
  <c r="CL379" i="23"/>
  <c r="CL350" i="23" s="1"/>
  <c r="CL381" i="23"/>
  <c r="CL358" i="23" s="1"/>
  <c r="CI35" i="22"/>
  <c r="BD209" i="23"/>
  <c r="BE205" i="23" s="1"/>
  <c r="CK11" i="22"/>
  <c r="CF23" i="23" l="1"/>
  <c r="CD152" i="22"/>
  <c r="CF30" i="23" s="1"/>
  <c r="CE144" i="22"/>
  <c r="CE145" i="22"/>
  <c r="CE72" i="22"/>
  <c r="CG23" i="23" s="1"/>
  <c r="CE143" i="22"/>
  <c r="CF71" i="22"/>
  <c r="CF31" i="22"/>
  <c r="CH46" i="22"/>
  <c r="CG69" i="22"/>
  <c r="CG48" i="22"/>
  <c r="CG62" i="22" s="1"/>
  <c r="CG71" i="22" s="1"/>
  <c r="CG18" i="23"/>
  <c r="CE70" i="22"/>
  <c r="CG417" i="23" s="1"/>
  <c r="CN82" i="23"/>
  <c r="CN377" i="23" s="1"/>
  <c r="CN378" i="23" s="1"/>
  <c r="CN346" i="23" s="1"/>
  <c r="BF280" i="23"/>
  <c r="BF391" i="23"/>
  <c r="BF351" i="23"/>
  <c r="BF273" i="23"/>
  <c r="BG269" i="23" s="1"/>
  <c r="BE392" i="23"/>
  <c r="BE344" i="23" s="1"/>
  <c r="BE394" i="23"/>
  <c r="BE357" i="23" s="1"/>
  <c r="BE393" i="23"/>
  <c r="BE348" i="23" s="1"/>
  <c r="CJ55" i="22"/>
  <c r="BB194" i="23"/>
  <c r="BB179" i="23"/>
  <c r="BB384" i="23"/>
  <c r="BB187" i="23"/>
  <c r="BC183" i="23" s="1"/>
  <c r="CO432" i="23"/>
  <c r="CO433" i="23"/>
  <c r="CO292" i="23"/>
  <c r="CO270" i="23"/>
  <c r="CO206" i="23"/>
  <c r="CO81" i="23"/>
  <c r="CO80" i="23"/>
  <c r="CP5" i="23"/>
  <c r="CO6" i="23"/>
  <c r="CN286" i="23"/>
  <c r="BD389" i="23"/>
  <c r="BD356" i="23" s="1"/>
  <c r="BD388" i="23"/>
  <c r="BD352" i="23" s="1"/>
  <c r="BD387" i="23"/>
  <c r="BD343" i="23" s="1"/>
  <c r="CI22" i="22"/>
  <c r="CJ19" i="22"/>
  <c r="CI34" i="22"/>
  <c r="CI37" i="22" s="1"/>
  <c r="CI57" i="22" s="1"/>
  <c r="CN435" i="23"/>
  <c r="CJ45" i="22"/>
  <c r="CM91" i="23"/>
  <c r="CM333" i="23" s="1"/>
  <c r="CJ54" i="22"/>
  <c r="CK331" i="23"/>
  <c r="CL67" i="23"/>
  <c r="CL71" i="23" s="1"/>
  <c r="CJ28" i="22"/>
  <c r="BB294" i="23"/>
  <c r="BB295" i="23" s="1"/>
  <c r="BC291" i="23" s="1"/>
  <c r="BC171" i="23"/>
  <c r="BC156" i="23"/>
  <c r="CK13" i="22"/>
  <c r="CL10" i="22"/>
  <c r="BA397" i="23"/>
  <c r="BA345" i="23" s="1"/>
  <c r="BA399" i="23"/>
  <c r="BA353" i="23" s="1"/>
  <c r="BA398" i="23"/>
  <c r="BA349" i="23" s="1"/>
  <c r="CN252" i="23"/>
  <c r="CN235" i="23"/>
  <c r="CN337" i="23" s="1"/>
  <c r="CN221" i="23"/>
  <c r="CN200" i="23"/>
  <c r="CN90" i="23"/>
  <c r="CN43" i="23"/>
  <c r="CN46" i="23"/>
  <c r="CN42" i="23"/>
  <c r="CN60" i="23"/>
  <c r="CN48" i="23"/>
  <c r="CN69" i="23"/>
  <c r="CN68" i="23"/>
  <c r="CN40" i="23"/>
  <c r="CN41" i="23"/>
  <c r="CN39" i="23"/>
  <c r="CN51" i="23"/>
  <c r="CN47" i="23"/>
  <c r="CN44" i="23"/>
  <c r="CN45" i="23"/>
  <c r="CN50" i="23"/>
  <c r="CN31" i="23"/>
  <c r="BE258" i="23"/>
  <c r="BE251" i="23"/>
  <c r="BE253" i="23" s="1"/>
  <c r="BE207" i="23"/>
  <c r="BE208" i="23" s="1"/>
  <c r="CM335" i="23"/>
  <c r="CL11" i="22"/>
  <c r="BD139" i="23"/>
  <c r="CK159" i="22"/>
  <c r="CK160" i="22"/>
  <c r="CL161" i="22"/>
  <c r="CM5" i="22"/>
  <c r="CL6" i="22"/>
  <c r="CJ78" i="22"/>
  <c r="CK150" i="22"/>
  <c r="CK149" i="22"/>
  <c r="CK148" i="22"/>
  <c r="CK147" i="22"/>
  <c r="CK142" i="22"/>
  <c r="CK79" i="22" s="1"/>
  <c r="CK141" i="22"/>
  <c r="CK146" i="22"/>
  <c r="CK26" i="22"/>
  <c r="CK20" i="22" s="1"/>
  <c r="CK25" i="22"/>
  <c r="CN264" i="23"/>
  <c r="BC164" i="23"/>
  <c r="BD160" i="23" s="1"/>
  <c r="CD81" i="22" l="1"/>
  <c r="CG418" i="23"/>
  <c r="CE152" i="22"/>
  <c r="CG30" i="23" s="1"/>
  <c r="CG31" i="22"/>
  <c r="CG144" i="22" s="1"/>
  <c r="CF144" i="22"/>
  <c r="CF145" i="22"/>
  <c r="CF72" i="22"/>
  <c r="CH23" i="23" s="1"/>
  <c r="CF143" i="22"/>
  <c r="CN381" i="23"/>
  <c r="CN358" i="23" s="1"/>
  <c r="CN380" i="23"/>
  <c r="CN354" i="23" s="1"/>
  <c r="CO82" i="23"/>
  <c r="CO377" i="23" s="1"/>
  <c r="CO380" i="23" s="1"/>
  <c r="CO354" i="23" s="1"/>
  <c r="CN379" i="23"/>
  <c r="CN350" i="23" s="1"/>
  <c r="CG420" i="23"/>
  <c r="CI46" i="22"/>
  <c r="CH69" i="22"/>
  <c r="CH18" i="23"/>
  <c r="CF70" i="22"/>
  <c r="CH417" i="23" s="1"/>
  <c r="CH48" i="22"/>
  <c r="CH62" i="22" s="1"/>
  <c r="CH31" i="22" s="1"/>
  <c r="CH145" i="22" s="1"/>
  <c r="BG271" i="23"/>
  <c r="BG272" i="23" s="1"/>
  <c r="BF394" i="23"/>
  <c r="BF357" i="23" s="1"/>
  <c r="BF392" i="23"/>
  <c r="BF344" i="23" s="1"/>
  <c r="BF393" i="23"/>
  <c r="BF348" i="23" s="1"/>
  <c r="BE216" i="23"/>
  <c r="BE386" i="23"/>
  <c r="BE347" i="23"/>
  <c r="BE209" i="23"/>
  <c r="BF205" i="23" s="1"/>
  <c r="CK35" i="22"/>
  <c r="BC293" i="23"/>
  <c r="BC294" i="23" s="1"/>
  <c r="CO43" i="23"/>
  <c r="CO46" i="23"/>
  <c r="CO45" i="23"/>
  <c r="CO60" i="23"/>
  <c r="CO48" i="23"/>
  <c r="CO51" i="23"/>
  <c r="CO69" i="23"/>
  <c r="CO68" i="23"/>
  <c r="CO50" i="23"/>
  <c r="CO42" i="23"/>
  <c r="CO40" i="23"/>
  <c r="CO41" i="23"/>
  <c r="CO39" i="23"/>
  <c r="CO47" i="23"/>
  <c r="CO44" i="23"/>
  <c r="CO31" i="23"/>
  <c r="CK78" i="22"/>
  <c r="CN91" i="23"/>
  <c r="CN333" i="23" s="1"/>
  <c r="CP432" i="23"/>
  <c r="CP433" i="23"/>
  <c r="CP292" i="23"/>
  <c r="CP270" i="23"/>
  <c r="CP206" i="23"/>
  <c r="CP81" i="23"/>
  <c r="CP80" i="23"/>
  <c r="CQ5" i="23"/>
  <c r="CP6" i="23"/>
  <c r="CO286" i="23"/>
  <c r="CN335" i="23"/>
  <c r="CK45" i="22"/>
  <c r="BD162" i="23"/>
  <c r="CK55" i="22"/>
  <c r="CO435" i="23"/>
  <c r="CJ22" i="22"/>
  <c r="CK19" i="22"/>
  <c r="CJ34" i="22"/>
  <c r="CJ37" i="22" s="1"/>
  <c r="CJ57" i="22" s="1"/>
  <c r="CO264" i="23"/>
  <c r="BB396" i="23"/>
  <c r="BB302" i="23"/>
  <c r="BB355" i="23"/>
  <c r="BC185" i="23"/>
  <c r="BB94" i="23"/>
  <c r="CM67" i="23"/>
  <c r="CM71" i="23" s="1"/>
  <c r="CK28" i="22"/>
  <c r="BD140" i="23"/>
  <c r="CL331" i="23"/>
  <c r="CO252" i="23"/>
  <c r="CO235" i="23"/>
  <c r="CO337" i="23" s="1"/>
  <c r="CO221" i="23"/>
  <c r="CO200" i="23"/>
  <c r="CO90" i="23"/>
  <c r="BB93" i="23"/>
  <c r="BB342" i="23"/>
  <c r="CL150" i="22"/>
  <c r="CL149" i="22"/>
  <c r="CL148" i="22"/>
  <c r="CL147" i="22"/>
  <c r="CL146" i="22"/>
  <c r="CL142" i="22"/>
  <c r="CL79" i="22" s="1"/>
  <c r="CL141" i="22"/>
  <c r="CL26" i="22"/>
  <c r="CL20" i="22" s="1"/>
  <c r="CL25" i="22"/>
  <c r="CM161" i="22"/>
  <c r="CM6" i="22"/>
  <c r="CN5" i="22"/>
  <c r="CI18" i="23"/>
  <c r="CG70" i="22"/>
  <c r="CI417" i="23" s="1"/>
  <c r="CK54" i="22"/>
  <c r="CM11" i="22"/>
  <c r="CL160" i="22"/>
  <c r="CL159" i="22"/>
  <c r="CL13" i="22"/>
  <c r="CM10" i="22"/>
  <c r="CE81" i="22" l="1"/>
  <c r="CF152" i="22"/>
  <c r="CH30" i="23" s="1"/>
  <c r="CG143" i="22"/>
  <c r="CG72" i="22"/>
  <c r="CG145" i="22"/>
  <c r="CH418" i="23"/>
  <c r="CH420" i="23" s="1"/>
  <c r="CO378" i="23"/>
  <c r="CO346" i="23" s="1"/>
  <c r="CH143" i="22"/>
  <c r="CH144" i="22"/>
  <c r="CO381" i="23"/>
  <c r="CO358" i="23" s="1"/>
  <c r="CF81" i="22"/>
  <c r="CO379" i="23"/>
  <c r="CO350" i="23" s="1"/>
  <c r="CP435" i="23"/>
  <c r="CH71" i="22"/>
  <c r="CH72" i="22" s="1"/>
  <c r="CI69" i="22"/>
  <c r="CJ46" i="22"/>
  <c r="CJ48" i="22" s="1"/>
  <c r="CJ62" i="22" s="1"/>
  <c r="CI48" i="22"/>
  <c r="CI62" i="22" s="1"/>
  <c r="CI31" i="22" s="1"/>
  <c r="BG273" i="23"/>
  <c r="BH269" i="23" s="1"/>
  <c r="BG280" i="23"/>
  <c r="BG391" i="23"/>
  <c r="BG351" i="23"/>
  <c r="BC396" i="23"/>
  <c r="BC302" i="23"/>
  <c r="BC355" i="23"/>
  <c r="BC295" i="23"/>
  <c r="BD291" i="23" s="1"/>
  <c r="CL35" i="22"/>
  <c r="CM159" i="22"/>
  <c r="CM160" i="22"/>
  <c r="CP264" i="23"/>
  <c r="BD148" i="23"/>
  <c r="BD133" i="23"/>
  <c r="BD163" i="23"/>
  <c r="BD164" i="23" s="1"/>
  <c r="BE160" i="23" s="1"/>
  <c r="CP43" i="23"/>
  <c r="CP46" i="23"/>
  <c r="CP60" i="23"/>
  <c r="CP48" i="23"/>
  <c r="CP51" i="23"/>
  <c r="CP68" i="23"/>
  <c r="CP50" i="23"/>
  <c r="CP42" i="23"/>
  <c r="CP40" i="23"/>
  <c r="CP41" i="23"/>
  <c r="CP39" i="23"/>
  <c r="CP47" i="23"/>
  <c r="CP44" i="23"/>
  <c r="CP69" i="23"/>
  <c r="CP45" i="23"/>
  <c r="CP31" i="23"/>
  <c r="CN11" i="22"/>
  <c r="CM331" i="23"/>
  <c r="CP82" i="23"/>
  <c r="CP377" i="23" s="1"/>
  <c r="CL54" i="22"/>
  <c r="BF258" i="23"/>
  <c r="BF251" i="23"/>
  <c r="BF253" i="23" s="1"/>
  <c r="BF207" i="23"/>
  <c r="BF208" i="23" s="1"/>
  <c r="BB399" i="23"/>
  <c r="BB353" i="23" s="1"/>
  <c r="BB398" i="23"/>
  <c r="BB349" i="23" s="1"/>
  <c r="BB397" i="23"/>
  <c r="BB345" i="23" s="1"/>
  <c r="BE389" i="23"/>
  <c r="BE356" i="23" s="1"/>
  <c r="BE387" i="23"/>
  <c r="BE343" i="23" s="1"/>
  <c r="BE388" i="23"/>
  <c r="BE352" i="23" s="1"/>
  <c r="CP252" i="23"/>
  <c r="CP235" i="23"/>
  <c r="CP337" i="23" s="1"/>
  <c r="CP221" i="23"/>
  <c r="CP200" i="23"/>
  <c r="CP90" i="23"/>
  <c r="CQ433" i="23"/>
  <c r="CQ432" i="23"/>
  <c r="CQ292" i="23"/>
  <c r="CQ270" i="23"/>
  <c r="CQ206" i="23"/>
  <c r="CQ81" i="23"/>
  <c r="CQ80" i="23"/>
  <c r="CQ6" i="23"/>
  <c r="CR5" i="23"/>
  <c r="CO91" i="23"/>
  <c r="CO333" i="23" s="1"/>
  <c r="CO335" i="23"/>
  <c r="CL19" i="22"/>
  <c r="CK22" i="22"/>
  <c r="CK34" i="22"/>
  <c r="CK37" i="22" s="1"/>
  <c r="CK57" i="22" s="1"/>
  <c r="CL45" i="22"/>
  <c r="CL78" i="22"/>
  <c r="CN67" i="23"/>
  <c r="CN71" i="23" s="1"/>
  <c r="CL28" i="22"/>
  <c r="CM13" i="22"/>
  <c r="CN10" i="22"/>
  <c r="BC186" i="23"/>
  <c r="CN161" i="22"/>
  <c r="CO5" i="22"/>
  <c r="CN6" i="22"/>
  <c r="CL55" i="22"/>
  <c r="CP286" i="23"/>
  <c r="CM150" i="22"/>
  <c r="CM149" i="22"/>
  <c r="CM148" i="22"/>
  <c r="CM147" i="22"/>
  <c r="CM146" i="22"/>
  <c r="CM142" i="22"/>
  <c r="CM79" i="22" s="1"/>
  <c r="CM141" i="22"/>
  <c r="CM26" i="22"/>
  <c r="CM20" i="22" s="1"/>
  <c r="CM25" i="22"/>
  <c r="BD141" i="23"/>
  <c r="BE137" i="23" s="1"/>
  <c r="CG152" i="22" l="1"/>
  <c r="CI418" i="23"/>
  <c r="CI420" i="23" s="1"/>
  <c r="CI23" i="23"/>
  <c r="CI144" i="22"/>
  <c r="CI145" i="22"/>
  <c r="CJ18" i="23"/>
  <c r="CH152" i="22"/>
  <c r="CI71" i="22"/>
  <c r="CI72" i="22" s="1"/>
  <c r="CI143" i="22"/>
  <c r="CJ418" i="23"/>
  <c r="CJ23" i="23"/>
  <c r="CJ69" i="22"/>
  <c r="CK46" i="22"/>
  <c r="CH70" i="22"/>
  <c r="CJ417" i="23" s="1"/>
  <c r="CM55" i="22"/>
  <c r="CQ435" i="23"/>
  <c r="CM54" i="22"/>
  <c r="BG394" i="23"/>
  <c r="BG357" i="23" s="1"/>
  <c r="BG393" i="23"/>
  <c r="BG348" i="23" s="1"/>
  <c r="BG392" i="23"/>
  <c r="BG344" i="23" s="1"/>
  <c r="BH271" i="23"/>
  <c r="BH272" i="23" s="1"/>
  <c r="CM35" i="22"/>
  <c r="BF216" i="23"/>
  <c r="BF386" i="23"/>
  <c r="BF347" i="23"/>
  <c r="CQ252" i="23"/>
  <c r="CQ235" i="23"/>
  <c r="CQ337" i="23" s="1"/>
  <c r="CQ221" i="23"/>
  <c r="CQ200" i="23"/>
  <c r="CQ90" i="23"/>
  <c r="BF209" i="23"/>
  <c r="BG205" i="23" s="1"/>
  <c r="CM45" i="22"/>
  <c r="CM19" i="22"/>
  <c r="CL22" i="22"/>
  <c r="CL34" i="22"/>
  <c r="CL37" i="22" s="1"/>
  <c r="CL57" i="22" s="1"/>
  <c r="CJ71" i="22"/>
  <c r="CJ31" i="22"/>
  <c r="BE139" i="23"/>
  <c r="CP378" i="23"/>
  <c r="CP346" i="23" s="1"/>
  <c r="CP381" i="23"/>
  <c r="CP358" i="23" s="1"/>
  <c r="CP379" i="23"/>
  <c r="CP350" i="23" s="1"/>
  <c r="CP380" i="23"/>
  <c r="CP354" i="23" s="1"/>
  <c r="CN331" i="23"/>
  <c r="CN150" i="22"/>
  <c r="CN149" i="22"/>
  <c r="CN148" i="22"/>
  <c r="CN147" i="22"/>
  <c r="CN146" i="22"/>
  <c r="CN142" i="22"/>
  <c r="CN79" i="22" s="1"/>
  <c r="CN141" i="22"/>
  <c r="CN25" i="22"/>
  <c r="CN26" i="22"/>
  <c r="CN20" i="22" s="1"/>
  <c r="CN13" i="22"/>
  <c r="CO10" i="22"/>
  <c r="BE162" i="23"/>
  <c r="CR432" i="23"/>
  <c r="CR433" i="23"/>
  <c r="CR292" i="23"/>
  <c r="CR270" i="23"/>
  <c r="CR206" i="23"/>
  <c r="CR80" i="23"/>
  <c r="CR81" i="23"/>
  <c r="CR6" i="23"/>
  <c r="CS5" i="23"/>
  <c r="CQ264" i="23"/>
  <c r="CO67" i="23"/>
  <c r="CO71" i="23" s="1"/>
  <c r="CM28" i="22"/>
  <c r="CN160" i="22"/>
  <c r="CN159" i="22"/>
  <c r="CQ46" i="23"/>
  <c r="CQ45" i="23"/>
  <c r="CQ60" i="23"/>
  <c r="CQ48" i="23"/>
  <c r="CQ51" i="23"/>
  <c r="CQ69" i="23"/>
  <c r="CQ47" i="23"/>
  <c r="CQ68" i="23"/>
  <c r="CQ50" i="23"/>
  <c r="CQ41" i="23"/>
  <c r="CQ39" i="23"/>
  <c r="CQ44" i="23"/>
  <c r="CQ43" i="23"/>
  <c r="CQ42" i="23"/>
  <c r="CQ40" i="23"/>
  <c r="CQ31" i="23"/>
  <c r="CQ82" i="23"/>
  <c r="CQ377" i="23" s="1"/>
  <c r="CQ286" i="23"/>
  <c r="CO11" i="22"/>
  <c r="CP335" i="23"/>
  <c r="BD293" i="23"/>
  <c r="BD171" i="23"/>
  <c r="BD156" i="23"/>
  <c r="BC194" i="23"/>
  <c r="BC179" i="23"/>
  <c r="BC94" i="23"/>
  <c r="BC384" i="23"/>
  <c r="CO161" i="22"/>
  <c r="CO6" i="22"/>
  <c r="CP5" i="22"/>
  <c r="BC399" i="23"/>
  <c r="BC353" i="23" s="1"/>
  <c r="BC397" i="23"/>
  <c r="BC345" i="23" s="1"/>
  <c r="BC398" i="23"/>
  <c r="BC349" i="23" s="1"/>
  <c r="CM78" i="22"/>
  <c r="CP91" i="23"/>
  <c r="CP333" i="23" s="1"/>
  <c r="BC187" i="23"/>
  <c r="BD183" i="23" s="1"/>
  <c r="CJ420" i="23" l="1"/>
  <c r="CI70" i="22"/>
  <c r="CK417" i="23" s="1"/>
  <c r="CK18" i="23"/>
  <c r="CI152" i="22"/>
  <c r="CI30" i="23"/>
  <c r="CG81" i="22"/>
  <c r="CJ144" i="22"/>
  <c r="CJ145" i="22"/>
  <c r="CK418" i="23"/>
  <c r="CK23" i="23"/>
  <c r="CJ30" i="23"/>
  <c r="CH81" i="22"/>
  <c r="CK30" i="23"/>
  <c r="CI81" i="22"/>
  <c r="CJ72" i="22"/>
  <c r="CL418" i="23" s="1"/>
  <c r="CJ143" i="22"/>
  <c r="CL46" i="22"/>
  <c r="CK69" i="22"/>
  <c r="CK48" i="22"/>
  <c r="CK62" i="22" s="1"/>
  <c r="CK71" i="22" s="1"/>
  <c r="CR82" i="23"/>
  <c r="CR377" i="23" s="1"/>
  <c r="CR378" i="23" s="1"/>
  <c r="CR346" i="23" s="1"/>
  <c r="BH273" i="23"/>
  <c r="BI269" i="23" s="1"/>
  <c r="BH280" i="23"/>
  <c r="BH391" i="23"/>
  <c r="BH351" i="23"/>
  <c r="CR435" i="23"/>
  <c r="CN35" i="22"/>
  <c r="BD294" i="23"/>
  <c r="BD295" i="23" s="1"/>
  <c r="BE291" i="23" s="1"/>
  <c r="CN55" i="22"/>
  <c r="CN78" i="22"/>
  <c r="BC342" i="23"/>
  <c r="BC93" i="23"/>
  <c r="CR252" i="23"/>
  <c r="CR235" i="23"/>
  <c r="CR337" i="23" s="1"/>
  <c r="CR221" i="23"/>
  <c r="CR200" i="23"/>
  <c r="CR90" i="23"/>
  <c r="BE163" i="23"/>
  <c r="CN45" i="22"/>
  <c r="BD185" i="23"/>
  <c r="BD186" i="23" s="1"/>
  <c r="CO331" i="23"/>
  <c r="BE140" i="23"/>
  <c r="BE141" i="23" s="1"/>
  <c r="BF137" i="23" s="1"/>
  <c r="BG258" i="23"/>
  <c r="BG251" i="23"/>
  <c r="BG253" i="23" s="1"/>
  <c r="BG207" i="23"/>
  <c r="CM22" i="22"/>
  <c r="CN19" i="22"/>
  <c r="CM34" i="22"/>
  <c r="CM37" i="22" s="1"/>
  <c r="CM57" i="22" s="1"/>
  <c r="CP11" i="22"/>
  <c r="CN54" i="22"/>
  <c r="CQ91" i="23"/>
  <c r="CQ333" i="23" s="1"/>
  <c r="CP161" i="22"/>
  <c r="CP6" i="22"/>
  <c r="CQ5" i="22"/>
  <c r="CR264" i="23"/>
  <c r="CO13" i="22"/>
  <c r="CP10" i="22"/>
  <c r="CQ335" i="23"/>
  <c r="BF389" i="23"/>
  <c r="BF356" i="23" s="1"/>
  <c r="BF388" i="23"/>
  <c r="BF352" i="23" s="1"/>
  <c r="BF387" i="23"/>
  <c r="BF343" i="23" s="1"/>
  <c r="CS433" i="23"/>
  <c r="CS432" i="23"/>
  <c r="CS292" i="23"/>
  <c r="CS270" i="23"/>
  <c r="CS206" i="23"/>
  <c r="CS81" i="23"/>
  <c r="CS80" i="23"/>
  <c r="CS6" i="23"/>
  <c r="CT5" i="23"/>
  <c r="CO160" i="22"/>
  <c r="CO159" i="22"/>
  <c r="CQ381" i="23"/>
  <c r="CQ358" i="23" s="1"/>
  <c r="CQ379" i="23"/>
  <c r="CQ350" i="23" s="1"/>
  <c r="CQ380" i="23"/>
  <c r="CQ354" i="23" s="1"/>
  <c r="CQ378" i="23"/>
  <c r="CQ346" i="23" s="1"/>
  <c r="CR45" i="23"/>
  <c r="CR60" i="23"/>
  <c r="CR48" i="23"/>
  <c r="CR51" i="23"/>
  <c r="CR69" i="23"/>
  <c r="CR68" i="23"/>
  <c r="CR50" i="23"/>
  <c r="CR46" i="23"/>
  <c r="CR39" i="23"/>
  <c r="CR44" i="23"/>
  <c r="CR47" i="23"/>
  <c r="CR43" i="23"/>
  <c r="CR41" i="23"/>
  <c r="CR42" i="23"/>
  <c r="CR40" i="23"/>
  <c r="CR31" i="23"/>
  <c r="CL18" i="23"/>
  <c r="CJ70" i="22"/>
  <c r="CL417" i="23" s="1"/>
  <c r="CO150" i="22"/>
  <c r="CO149" i="22"/>
  <c r="CO148" i="22"/>
  <c r="CO147" i="22"/>
  <c r="CO146" i="22"/>
  <c r="CO142" i="22"/>
  <c r="CO79" i="22" s="1"/>
  <c r="CO141" i="22"/>
  <c r="CO26" i="22"/>
  <c r="CO20" i="22" s="1"/>
  <c r="CO25" i="22"/>
  <c r="CR286" i="23"/>
  <c r="CP67" i="23"/>
  <c r="CP71" i="23" s="1"/>
  <c r="CN28" i="22"/>
  <c r="CK420" i="23" l="1"/>
  <c r="CJ152" i="22"/>
  <c r="CL30" i="23" s="1"/>
  <c r="CL23" i="23"/>
  <c r="CR380" i="23"/>
  <c r="CR354" i="23" s="1"/>
  <c r="CR381" i="23"/>
  <c r="CR358" i="23" s="1"/>
  <c r="CR379" i="23"/>
  <c r="CR350" i="23" s="1"/>
  <c r="CK31" i="22"/>
  <c r="CM46" i="22"/>
  <c r="CL69" i="22"/>
  <c r="CL48" i="22"/>
  <c r="CL62" i="22" s="1"/>
  <c r="BH394" i="23"/>
  <c r="BH357" i="23" s="1"/>
  <c r="BH393" i="23"/>
  <c r="BH348" i="23" s="1"/>
  <c r="BH392" i="23"/>
  <c r="BH344" i="23" s="1"/>
  <c r="CS82" i="23"/>
  <c r="CS377" i="23" s="1"/>
  <c r="CS380" i="23" s="1"/>
  <c r="CS354" i="23" s="1"/>
  <c r="BG208" i="23"/>
  <c r="BG209" i="23" s="1"/>
  <c r="BH205" i="23" s="1"/>
  <c r="BI271" i="23"/>
  <c r="BI272" i="23" s="1"/>
  <c r="BD194" i="23"/>
  <c r="BD179" i="23"/>
  <c r="BD384" i="23"/>
  <c r="BD94" i="23"/>
  <c r="CO35" i="22"/>
  <c r="BF139" i="23"/>
  <c r="CO78" i="22"/>
  <c r="CO54" i="22"/>
  <c r="BD187" i="23"/>
  <c r="BE183" i="23" s="1"/>
  <c r="CM18" i="23"/>
  <c r="CK70" i="22"/>
  <c r="CM417" i="23" s="1"/>
  <c r="BE293" i="23"/>
  <c r="CP160" i="22"/>
  <c r="CP159" i="22"/>
  <c r="CQ11" i="22"/>
  <c r="CO45" i="22"/>
  <c r="CN22" i="22"/>
  <c r="CO19" i="22"/>
  <c r="CN34" i="22"/>
  <c r="CN37" i="22" s="1"/>
  <c r="CN57" i="22" s="1"/>
  <c r="CS252" i="23"/>
  <c r="CS235" i="23"/>
  <c r="CS337" i="23" s="1"/>
  <c r="CS221" i="23"/>
  <c r="CS200" i="23"/>
  <c r="CS90" i="23"/>
  <c r="CQ10" i="22"/>
  <c r="CP13" i="22"/>
  <c r="BE156" i="23"/>
  <c r="BE171" i="23"/>
  <c r="CS264" i="23"/>
  <c r="CP149" i="22"/>
  <c r="CP148" i="22"/>
  <c r="CP147" i="22"/>
  <c r="CP146" i="22"/>
  <c r="CP150" i="22"/>
  <c r="CP142" i="22"/>
  <c r="CP79" i="22" s="1"/>
  <c r="CP141" i="22"/>
  <c r="CP26" i="22"/>
  <c r="CP20" i="22" s="1"/>
  <c r="CP25" i="22"/>
  <c r="CT433" i="23"/>
  <c r="CT432" i="23"/>
  <c r="CT270" i="23"/>
  <c r="CT292" i="23"/>
  <c r="CT206" i="23"/>
  <c r="CT80" i="23"/>
  <c r="CT81" i="23"/>
  <c r="CT6" i="23"/>
  <c r="CU5" i="23"/>
  <c r="CS42" i="23"/>
  <c r="CS45" i="23"/>
  <c r="CS60" i="23"/>
  <c r="CS48" i="23"/>
  <c r="CS51" i="23"/>
  <c r="CS69" i="23"/>
  <c r="CS47" i="23"/>
  <c r="CS46" i="23"/>
  <c r="CS39" i="23"/>
  <c r="CS68" i="23"/>
  <c r="CS44" i="23"/>
  <c r="CS50" i="23"/>
  <c r="CS40" i="23"/>
  <c r="CS41" i="23"/>
  <c r="CS43" i="23"/>
  <c r="CS31" i="23"/>
  <c r="CR91" i="23"/>
  <c r="CR333" i="23" s="1"/>
  <c r="CQ67" i="23"/>
  <c r="CQ71" i="23" s="1"/>
  <c r="CO28" i="22"/>
  <c r="CS286" i="23"/>
  <c r="CR335" i="23"/>
  <c r="CS435" i="23"/>
  <c r="BE148" i="23"/>
  <c r="BE133" i="23"/>
  <c r="CO55" i="22"/>
  <c r="CP331" i="23"/>
  <c r="CL420" i="23"/>
  <c r="CQ161" i="22"/>
  <c r="CQ6" i="22"/>
  <c r="CR5" i="22"/>
  <c r="BD396" i="23"/>
  <c r="BD302" i="23"/>
  <c r="BD355" i="23"/>
  <c r="BE164" i="23"/>
  <c r="BF160" i="23" s="1"/>
  <c r="CJ81" i="22" l="1"/>
  <c r="CK144" i="22"/>
  <c r="CK145" i="22"/>
  <c r="CS381" i="23"/>
  <c r="CS358" i="23" s="1"/>
  <c r="CS379" i="23"/>
  <c r="CS350" i="23" s="1"/>
  <c r="CS378" i="23"/>
  <c r="CS346" i="23" s="1"/>
  <c r="CK143" i="22"/>
  <c r="CK72" i="22"/>
  <c r="BG386" i="23"/>
  <c r="BG389" i="23" s="1"/>
  <c r="BG356" i="23" s="1"/>
  <c r="CL31" i="22"/>
  <c r="CL71" i="22"/>
  <c r="CN46" i="22"/>
  <c r="CM69" i="22"/>
  <c r="CM48" i="22"/>
  <c r="CM62" i="22" s="1"/>
  <c r="CM71" i="22" s="1"/>
  <c r="BI273" i="23"/>
  <c r="BJ269" i="23" s="1"/>
  <c r="BJ271" i="23" s="1"/>
  <c r="BH207" i="23"/>
  <c r="BH208" i="23" s="1"/>
  <c r="BH258" i="23"/>
  <c r="BH251" i="23"/>
  <c r="BH253" i="23" s="1"/>
  <c r="BI391" i="23"/>
  <c r="BI351" i="23"/>
  <c r="BI280" i="23"/>
  <c r="CT82" i="23"/>
  <c r="CT377" i="23" s="1"/>
  <c r="CT380" i="23" s="1"/>
  <c r="CT354" i="23" s="1"/>
  <c r="BG347" i="23"/>
  <c r="BG216" i="23"/>
  <c r="CP35" i="22"/>
  <c r="CP55" i="22"/>
  <c r="CS91" i="23"/>
  <c r="CS333" i="23" s="1"/>
  <c r="BF162" i="23"/>
  <c r="BF163" i="23" s="1"/>
  <c r="CS335" i="23"/>
  <c r="BE185" i="23"/>
  <c r="CQ331" i="23"/>
  <c r="BE294" i="23"/>
  <c r="BE295" i="23" s="1"/>
  <c r="BF291" i="23" s="1"/>
  <c r="CP54" i="22"/>
  <c r="BD398" i="23"/>
  <c r="BD349" i="23" s="1"/>
  <c r="BD397" i="23"/>
  <c r="BD345" i="23" s="1"/>
  <c r="BD399" i="23"/>
  <c r="BD353" i="23" s="1"/>
  <c r="CT252" i="23"/>
  <c r="CT221" i="23"/>
  <c r="CT235" i="23"/>
  <c r="CT337" i="23" s="1"/>
  <c r="CT200" i="23"/>
  <c r="CT90" i="23"/>
  <c r="CR161" i="22"/>
  <c r="CR6" i="22"/>
  <c r="CS5" i="22"/>
  <c r="CP78" i="22"/>
  <c r="CR67" i="23"/>
  <c r="CR71" i="23" s="1"/>
  <c r="CP28" i="22"/>
  <c r="CQ148" i="22"/>
  <c r="CQ147" i="22"/>
  <c r="CQ146" i="22"/>
  <c r="CQ149" i="22"/>
  <c r="CQ150" i="22"/>
  <c r="CQ142" i="22"/>
  <c r="CQ79" i="22" s="1"/>
  <c r="CQ141" i="22"/>
  <c r="CQ26" i="22"/>
  <c r="CQ20" i="22" s="1"/>
  <c r="CQ25" i="22"/>
  <c r="CQ160" i="22"/>
  <c r="CQ159" i="22"/>
  <c r="CT286" i="23"/>
  <c r="CO22" i="22"/>
  <c r="CP19" i="22"/>
  <c r="CO34" i="22"/>
  <c r="CO37" i="22" s="1"/>
  <c r="CO57" i="22" s="1"/>
  <c r="CU433" i="23"/>
  <c r="CU432" i="23"/>
  <c r="CU270" i="23"/>
  <c r="CU292" i="23"/>
  <c r="CU206" i="23"/>
  <c r="CU81" i="23"/>
  <c r="CU80" i="23"/>
  <c r="CU6" i="23"/>
  <c r="CV5" i="23"/>
  <c r="CT264" i="23"/>
  <c r="CT42" i="23"/>
  <c r="CT45" i="23"/>
  <c r="CT60" i="23"/>
  <c r="CT48" i="23"/>
  <c r="CT51" i="23"/>
  <c r="CT69" i="23"/>
  <c r="CT44" i="23"/>
  <c r="CT47" i="23"/>
  <c r="CT68" i="23"/>
  <c r="CT50" i="23"/>
  <c r="CT46" i="23"/>
  <c r="CT39" i="23"/>
  <c r="CT43" i="23"/>
  <c r="CT40" i="23"/>
  <c r="CT41" i="23"/>
  <c r="CT31" i="23"/>
  <c r="CR10" i="22"/>
  <c r="CQ13" i="22"/>
  <c r="CP45" i="22"/>
  <c r="CR11" i="22"/>
  <c r="BF140" i="23"/>
  <c r="BD342" i="23"/>
  <c r="BD93" i="23"/>
  <c r="CT435" i="23"/>
  <c r="BG387" i="23" l="1"/>
  <c r="BG343" i="23" s="1"/>
  <c r="BG388" i="23"/>
  <c r="BG352" i="23" s="1"/>
  <c r="CM31" i="22"/>
  <c r="CM72" i="22" s="1"/>
  <c r="CL144" i="22"/>
  <c r="CL145" i="22"/>
  <c r="CK152" i="22"/>
  <c r="CM418" i="23"/>
  <c r="CM420" i="23" s="1"/>
  <c r="CM23" i="23"/>
  <c r="CL72" i="22"/>
  <c r="CN23" i="23" s="1"/>
  <c r="CL143" i="22"/>
  <c r="CO46" i="22"/>
  <c r="CO48" i="22" s="1"/>
  <c r="CO62" i="22" s="1"/>
  <c r="CN69" i="22"/>
  <c r="CN48" i="22"/>
  <c r="CN62" i="22" s="1"/>
  <c r="CN71" i="22" s="1"/>
  <c r="CN18" i="23"/>
  <c r="CL70" i="22"/>
  <c r="CN417" i="23" s="1"/>
  <c r="CT381" i="23"/>
  <c r="CT358" i="23" s="1"/>
  <c r="CT378" i="23"/>
  <c r="CT346" i="23" s="1"/>
  <c r="CT379" i="23"/>
  <c r="CT350" i="23" s="1"/>
  <c r="BE186" i="23"/>
  <c r="BE187" i="23" s="1"/>
  <c r="BF183" i="23" s="1"/>
  <c r="BF185" i="23" s="1"/>
  <c r="BI393" i="23"/>
  <c r="BI348" i="23" s="1"/>
  <c r="BI392" i="23"/>
  <c r="BI344" i="23" s="1"/>
  <c r="BI394" i="23"/>
  <c r="BI357" i="23" s="1"/>
  <c r="BJ272" i="23"/>
  <c r="CQ35" i="22"/>
  <c r="BF293" i="23"/>
  <c r="CQ78" i="22"/>
  <c r="CR147" i="22"/>
  <c r="CR146" i="22"/>
  <c r="CR150" i="22"/>
  <c r="CR148" i="22"/>
  <c r="CR142" i="22"/>
  <c r="CR79" i="22" s="1"/>
  <c r="CR141" i="22"/>
  <c r="CR149" i="22"/>
  <c r="CR26" i="22"/>
  <c r="CR20" i="22" s="1"/>
  <c r="CR25" i="22"/>
  <c r="BH216" i="23"/>
  <c r="BH386" i="23"/>
  <c r="BH347" i="23"/>
  <c r="CT91" i="23"/>
  <c r="CT333" i="23" s="1"/>
  <c r="BF148" i="23"/>
  <c r="BF133" i="23"/>
  <c r="CT335" i="23"/>
  <c r="CS11" i="22"/>
  <c r="CU252" i="23"/>
  <c r="CU221" i="23"/>
  <c r="CU235" i="23"/>
  <c r="CU337" i="23" s="1"/>
  <c r="CU200" i="23"/>
  <c r="CU90" i="23"/>
  <c r="BF156" i="23"/>
  <c r="BF171" i="23"/>
  <c r="CQ55" i="22"/>
  <c r="CU286" i="23"/>
  <c r="CO18" i="23"/>
  <c r="CM70" i="22"/>
  <c r="CO417" i="23" s="1"/>
  <c r="BF164" i="23"/>
  <c r="BG160" i="23" s="1"/>
  <c r="CQ19" i="22"/>
  <c r="CP22" i="22"/>
  <c r="CP34" i="22"/>
  <c r="CP37" i="22" s="1"/>
  <c r="CP57" i="22" s="1"/>
  <c r="CS67" i="23"/>
  <c r="CS71" i="23" s="1"/>
  <c r="CQ28" i="22"/>
  <c r="CR160" i="22"/>
  <c r="CR159" i="22"/>
  <c r="CQ45" i="22"/>
  <c r="CR331" i="23"/>
  <c r="CV432" i="23"/>
  <c r="CV433" i="23"/>
  <c r="CV270" i="23"/>
  <c r="CV292" i="23"/>
  <c r="CV206" i="23"/>
  <c r="CV80" i="23"/>
  <c r="CV81" i="23"/>
  <c r="CV6" i="23"/>
  <c r="CW5" i="23"/>
  <c r="CU264" i="23"/>
  <c r="CU42" i="23"/>
  <c r="CU45" i="23"/>
  <c r="CU60" i="23"/>
  <c r="CU48" i="23"/>
  <c r="CU51" i="23"/>
  <c r="CU69" i="23"/>
  <c r="CU47" i="23"/>
  <c r="CU68" i="23"/>
  <c r="CU50" i="23"/>
  <c r="CU46" i="23"/>
  <c r="CU39" i="23"/>
  <c r="CU44" i="23"/>
  <c r="CU43" i="23"/>
  <c r="CU40" i="23"/>
  <c r="CU41" i="23"/>
  <c r="CU31" i="23"/>
  <c r="BH209" i="23"/>
  <c r="BI205" i="23" s="1"/>
  <c r="CR13" i="22"/>
  <c r="CS10" i="22"/>
  <c r="CU82" i="23"/>
  <c r="CU377" i="23" s="1"/>
  <c r="CQ54" i="22"/>
  <c r="CU435" i="23"/>
  <c r="CS161" i="22"/>
  <c r="CS6" i="22"/>
  <c r="CT5" i="22"/>
  <c r="BE396" i="23"/>
  <c r="BE302" i="23"/>
  <c r="BE355" i="23"/>
  <c r="BF141" i="23"/>
  <c r="BG137" i="23" s="1"/>
  <c r="CN418" i="23" l="1"/>
  <c r="CN420" i="23" s="1"/>
  <c r="CL152" i="22"/>
  <c r="CN30" i="23" s="1"/>
  <c r="CO418" i="23"/>
  <c r="CO420" i="23" s="1"/>
  <c r="CO23" i="23"/>
  <c r="CM143" i="22"/>
  <c r="CM30" i="23"/>
  <c r="CK81" i="22"/>
  <c r="CM144" i="22"/>
  <c r="CM145" i="22"/>
  <c r="CN31" i="22"/>
  <c r="BE384" i="23"/>
  <c r="BE179" i="23"/>
  <c r="BE342" i="23" s="1"/>
  <c r="BE94" i="23"/>
  <c r="BE194" i="23"/>
  <c r="CP46" i="22"/>
  <c r="CO69" i="22"/>
  <c r="CV82" i="23"/>
  <c r="CV377" i="23" s="1"/>
  <c r="CV380" i="23" s="1"/>
  <c r="CV354" i="23" s="1"/>
  <c r="CR54" i="22"/>
  <c r="BJ280" i="23"/>
  <c r="BJ391" i="23"/>
  <c r="BJ351" i="23"/>
  <c r="BJ273" i="23"/>
  <c r="BK269" i="23" s="1"/>
  <c r="CV435" i="23"/>
  <c r="CR35" i="22"/>
  <c r="CS146" i="22"/>
  <c r="CS150" i="22"/>
  <c r="CS149" i="22"/>
  <c r="CS147" i="22"/>
  <c r="CS142" i="22"/>
  <c r="CS79" i="22" s="1"/>
  <c r="CS141" i="22"/>
  <c r="CS148" i="22"/>
  <c r="CS26" i="22"/>
  <c r="CS20" i="22" s="1"/>
  <c r="CS25" i="22"/>
  <c r="CV286" i="23"/>
  <c r="CS160" i="22"/>
  <c r="CS159" i="22"/>
  <c r="CU380" i="23"/>
  <c r="CU354" i="23" s="1"/>
  <c r="CU378" i="23"/>
  <c r="CU346" i="23" s="1"/>
  <c r="CU381" i="23"/>
  <c r="CU358" i="23" s="1"/>
  <c r="CU379" i="23"/>
  <c r="CU350" i="23" s="1"/>
  <c r="CV45" i="23"/>
  <c r="CV60" i="23"/>
  <c r="CV48" i="23"/>
  <c r="CV51" i="23"/>
  <c r="CV69" i="23"/>
  <c r="CV44" i="23"/>
  <c r="CV47" i="23"/>
  <c r="CV68" i="23"/>
  <c r="CV50" i="23"/>
  <c r="CV46" i="23"/>
  <c r="CV43" i="23"/>
  <c r="CV41" i="23"/>
  <c r="CV42" i="23"/>
  <c r="CV39" i="23"/>
  <c r="CV40" i="23"/>
  <c r="CV31" i="23"/>
  <c r="CS331" i="23"/>
  <c r="CS13" i="22"/>
  <c r="CT10" i="22"/>
  <c r="CT11" i="22"/>
  <c r="BH389" i="23"/>
  <c r="BH356" i="23" s="1"/>
  <c r="BH387" i="23"/>
  <c r="BH343" i="23" s="1"/>
  <c r="BH388" i="23"/>
  <c r="BH352" i="23" s="1"/>
  <c r="CR78" i="22"/>
  <c r="BF294" i="23"/>
  <c r="CW433" i="23"/>
  <c r="CW432" i="23"/>
  <c r="CW270" i="23"/>
  <c r="CW292" i="23"/>
  <c r="CW206" i="23"/>
  <c r="CW81" i="23"/>
  <c r="CW80" i="23"/>
  <c r="CW6" i="23"/>
  <c r="CX5" i="23"/>
  <c r="CV264" i="23"/>
  <c r="CR55" i="22"/>
  <c r="BG139" i="23"/>
  <c r="BG140" i="23" s="1"/>
  <c r="CQ22" i="22"/>
  <c r="CR19" i="22"/>
  <c r="CQ34" i="22"/>
  <c r="CQ37" i="22" s="1"/>
  <c r="CQ57" i="22" s="1"/>
  <c r="BG162" i="23"/>
  <c r="BI251" i="23"/>
  <c r="BI253" i="23" s="1"/>
  <c r="BI258" i="23"/>
  <c r="BI207" i="23"/>
  <c r="BI208" i="23" s="1"/>
  <c r="CO71" i="22"/>
  <c r="CO31" i="22"/>
  <c r="BF186" i="23"/>
  <c r="CR45" i="22"/>
  <c r="CU91" i="23"/>
  <c r="CU333" i="23" s="1"/>
  <c r="CT67" i="23"/>
  <c r="CT71" i="23" s="1"/>
  <c r="CR28" i="22"/>
  <c r="BE398" i="23"/>
  <c r="BE349" i="23" s="1"/>
  <c r="BE399" i="23"/>
  <c r="BE353" i="23" s="1"/>
  <c r="BE397" i="23"/>
  <c r="BE345" i="23" s="1"/>
  <c r="CV252" i="23"/>
  <c r="CV221" i="23"/>
  <c r="CV235" i="23"/>
  <c r="CV337" i="23" s="1"/>
  <c r="CV200" i="23"/>
  <c r="CV90" i="23"/>
  <c r="CT161" i="22"/>
  <c r="CT6" i="22"/>
  <c r="CU5" i="22"/>
  <c r="CU335" i="23"/>
  <c r="CP18" i="23"/>
  <c r="CN70" i="22"/>
  <c r="CP417" i="23" s="1"/>
  <c r="CL81" i="22" l="1"/>
  <c r="CO144" i="22"/>
  <c r="CO145" i="22"/>
  <c r="CN144" i="22"/>
  <c r="CN145" i="22"/>
  <c r="CM152" i="22"/>
  <c r="CO72" i="22"/>
  <c r="CQ418" i="23" s="1"/>
  <c r="CO143" i="22"/>
  <c r="CN72" i="22"/>
  <c r="CP418" i="23" s="1"/>
  <c r="CP420" i="23" s="1"/>
  <c r="CN143" i="22"/>
  <c r="BE93" i="23"/>
  <c r="CV379" i="23"/>
  <c r="CV350" i="23" s="1"/>
  <c r="CV381" i="23"/>
  <c r="CV358" i="23" s="1"/>
  <c r="CV378" i="23"/>
  <c r="CV346" i="23" s="1"/>
  <c r="CS54" i="22"/>
  <c r="CS55" i="22"/>
  <c r="CQ46" i="22"/>
  <c r="CQ48" i="22" s="1"/>
  <c r="CQ62" i="22" s="1"/>
  <c r="CP69" i="22"/>
  <c r="CP48" i="22"/>
  <c r="CP62" i="22" s="1"/>
  <c r="CP71" i="22" s="1"/>
  <c r="BK271" i="23"/>
  <c r="BK272" i="23" s="1"/>
  <c r="BJ393" i="23"/>
  <c r="BJ348" i="23" s="1"/>
  <c r="BJ392" i="23"/>
  <c r="BJ344" i="23" s="1"/>
  <c r="BJ394" i="23"/>
  <c r="BJ357" i="23" s="1"/>
  <c r="BG163" i="23"/>
  <c r="BG164" i="23" s="1"/>
  <c r="BH160" i="23" s="1"/>
  <c r="BH162" i="23" s="1"/>
  <c r="CW82" i="23"/>
  <c r="CW377" i="23" s="1"/>
  <c r="CW380" i="23" s="1"/>
  <c r="CW354" i="23" s="1"/>
  <c r="BI216" i="23"/>
  <c r="BI386" i="23"/>
  <c r="BI347" i="23"/>
  <c r="CS35" i="22"/>
  <c r="BI209" i="23"/>
  <c r="BJ205" i="23" s="1"/>
  <c r="BG148" i="23"/>
  <c r="BG133" i="23"/>
  <c r="CW435" i="23"/>
  <c r="BG141" i="23"/>
  <c r="BH137" i="23" s="1"/>
  <c r="CT150" i="22"/>
  <c r="CT149" i="22"/>
  <c r="CT148" i="22"/>
  <c r="CT146" i="22"/>
  <c r="CT142" i="22"/>
  <c r="CT79" i="22" s="1"/>
  <c r="CT141" i="22"/>
  <c r="CT147" i="22"/>
  <c r="CT26" i="22"/>
  <c r="CT20" i="22" s="1"/>
  <c r="CT25" i="22"/>
  <c r="BF194" i="23"/>
  <c r="BF179" i="23"/>
  <c r="BF384" i="23"/>
  <c r="BF94" i="23"/>
  <c r="BF396" i="23"/>
  <c r="BF302" i="23"/>
  <c r="BF355" i="23"/>
  <c r="CV335" i="23"/>
  <c r="CT160" i="22"/>
  <c r="CT159" i="22"/>
  <c r="CU67" i="23"/>
  <c r="CU71" i="23" s="1"/>
  <c r="CS28" i="22"/>
  <c r="BF295" i="23"/>
  <c r="BG291" i="23" s="1"/>
  <c r="CT331" i="23"/>
  <c r="CU161" i="22"/>
  <c r="CV5" i="22"/>
  <c r="CU6" i="22"/>
  <c r="BF187" i="23"/>
  <c r="BG183" i="23" s="1"/>
  <c r="CW235" i="23"/>
  <c r="CW337" i="23" s="1"/>
  <c r="CW252" i="23"/>
  <c r="CW221" i="23"/>
  <c r="CW200" i="23"/>
  <c r="CW90" i="23"/>
  <c r="CU11" i="22"/>
  <c r="CS45" i="22"/>
  <c r="CQ18" i="23"/>
  <c r="CO70" i="22"/>
  <c r="CQ417" i="23" s="1"/>
  <c r="CW286" i="23"/>
  <c r="CR22" i="22"/>
  <c r="CS19" i="22"/>
  <c r="CR34" i="22"/>
  <c r="CR37" i="22" s="1"/>
  <c r="CR57" i="22" s="1"/>
  <c r="CT13" i="22"/>
  <c r="CU10" i="22"/>
  <c r="CS78" i="22"/>
  <c r="CW60" i="23"/>
  <c r="CW48" i="23"/>
  <c r="CW51" i="23"/>
  <c r="CW69" i="23"/>
  <c r="CW47" i="23"/>
  <c r="CW68" i="23"/>
  <c r="CW50" i="23"/>
  <c r="CW44" i="23"/>
  <c r="CW43" i="23"/>
  <c r="CW40" i="23"/>
  <c r="CW42" i="23"/>
  <c r="CW45" i="23"/>
  <c r="CW46" i="23"/>
  <c r="CW41" i="23"/>
  <c r="CW39" i="23"/>
  <c r="CW31" i="23"/>
  <c r="CV91" i="23"/>
  <c r="CV333" i="23" s="1"/>
  <c r="CW264" i="23"/>
  <c r="CX433" i="23"/>
  <c r="CX432" i="23"/>
  <c r="CX270" i="23"/>
  <c r="CX292" i="23"/>
  <c r="CX206" i="23"/>
  <c r="CX80" i="23"/>
  <c r="CX81" i="23"/>
  <c r="CX6" i="23"/>
  <c r="CY5" i="23"/>
  <c r="CP23" i="23" l="1"/>
  <c r="CQ23" i="23"/>
  <c r="CO152" i="22"/>
  <c r="CQ30" i="23" s="1"/>
  <c r="CN152" i="22"/>
  <c r="CP30" i="23" s="1"/>
  <c r="CO30" i="23"/>
  <c r="CM81" i="22"/>
  <c r="CT55" i="22"/>
  <c r="CP31" i="22"/>
  <c r="CW378" i="23"/>
  <c r="CW346" i="23" s="1"/>
  <c r="CQ69" i="22"/>
  <c r="CR46" i="22"/>
  <c r="BG156" i="23"/>
  <c r="BG171" i="23"/>
  <c r="CW381" i="23"/>
  <c r="CW358" i="23" s="1"/>
  <c r="CW379" i="23"/>
  <c r="CW350" i="23" s="1"/>
  <c r="BK280" i="23"/>
  <c r="BK351" i="23"/>
  <c r="BK391" i="23"/>
  <c r="BK273" i="23"/>
  <c r="BL269" i="23" s="1"/>
  <c r="CT35" i="22"/>
  <c r="CX264" i="23"/>
  <c r="CU13" i="22"/>
  <c r="CV10" i="22"/>
  <c r="CW91" i="23"/>
  <c r="CW333" i="23" s="1"/>
  <c r="CY292" i="23"/>
  <c r="CY270" i="23"/>
  <c r="CY206" i="23"/>
  <c r="CZ5" i="23"/>
  <c r="CY6" i="23"/>
  <c r="CW335" i="23"/>
  <c r="BJ251" i="23"/>
  <c r="BJ253" i="23" s="1"/>
  <c r="BJ258" i="23"/>
  <c r="BJ207" i="23"/>
  <c r="CX82" i="23"/>
  <c r="CX377" i="23" s="1"/>
  <c r="CX435" i="23"/>
  <c r="CS22" i="22"/>
  <c r="CT19" i="22"/>
  <c r="CS34" i="22"/>
  <c r="CS37" i="22" s="1"/>
  <c r="CS57" i="22" s="1"/>
  <c r="CR18" i="23"/>
  <c r="CP70" i="22"/>
  <c r="CR417" i="23" s="1"/>
  <c r="CT45" i="22"/>
  <c r="BG293" i="23"/>
  <c r="BF342" i="23"/>
  <c r="BF93" i="23"/>
  <c r="BH163" i="23"/>
  <c r="CV11" i="22"/>
  <c r="CT78" i="22"/>
  <c r="BG185" i="23"/>
  <c r="BG186" i="23" s="1"/>
  <c r="CU331" i="23"/>
  <c r="CT54" i="22"/>
  <c r="CV67" i="23"/>
  <c r="CV71" i="23" s="1"/>
  <c r="CT28" i="22"/>
  <c r="CX51" i="23"/>
  <c r="CX69" i="23"/>
  <c r="CX44" i="23"/>
  <c r="CX47" i="23"/>
  <c r="CX68" i="23"/>
  <c r="CX50" i="23"/>
  <c r="CX46" i="23"/>
  <c r="CX60" i="23"/>
  <c r="CX43" i="23"/>
  <c r="CX40" i="23"/>
  <c r="CX41" i="23"/>
  <c r="CX42" i="23"/>
  <c r="CX45" i="23"/>
  <c r="CX48" i="23"/>
  <c r="CX39" i="23"/>
  <c r="CX31" i="23"/>
  <c r="BF398" i="23"/>
  <c r="BF349" i="23" s="1"/>
  <c r="BF397" i="23"/>
  <c r="BF345" i="23" s="1"/>
  <c r="BF399" i="23"/>
  <c r="BF353" i="23" s="1"/>
  <c r="CQ71" i="22"/>
  <c r="CQ31" i="22"/>
  <c r="CX235" i="23"/>
  <c r="CX337" i="23" s="1"/>
  <c r="CX252" i="23"/>
  <c r="CX221" i="23"/>
  <c r="CX200" i="23"/>
  <c r="CX90" i="23"/>
  <c r="CU149" i="22"/>
  <c r="CU148" i="22"/>
  <c r="CU147" i="22"/>
  <c r="CU142" i="22"/>
  <c r="CU79" i="22" s="1"/>
  <c r="CU150" i="22"/>
  <c r="CU141" i="22"/>
  <c r="CU146" i="22"/>
  <c r="CU26" i="22"/>
  <c r="CU20" i="22" s="1"/>
  <c r="CU25" i="22"/>
  <c r="BH139" i="23"/>
  <c r="CQ420" i="23"/>
  <c r="CV161" i="22"/>
  <c r="CW5" i="22"/>
  <c r="CV6" i="22"/>
  <c r="BI389" i="23"/>
  <c r="BI356" i="23" s="1"/>
  <c r="BI388" i="23"/>
  <c r="BI352" i="23" s="1"/>
  <c r="BI387" i="23"/>
  <c r="BI343" i="23" s="1"/>
  <c r="CX286" i="23"/>
  <c r="CU160" i="22"/>
  <c r="CU159" i="22"/>
  <c r="CO81" i="22" l="1"/>
  <c r="CU55" i="22"/>
  <c r="CN81" i="22"/>
  <c r="CQ144" i="22"/>
  <c r="CQ145" i="22"/>
  <c r="CP144" i="22"/>
  <c r="CP145" i="22"/>
  <c r="CQ72" i="22"/>
  <c r="CS23" i="23" s="1"/>
  <c r="CQ143" i="22"/>
  <c r="CP72" i="22"/>
  <c r="CR23" i="23" s="1"/>
  <c r="CP143" i="22"/>
  <c r="CR69" i="22"/>
  <c r="CS46" i="22"/>
  <c r="CR48" i="22"/>
  <c r="CR62" i="22" s="1"/>
  <c r="CR31" i="22" s="1"/>
  <c r="CU54" i="22"/>
  <c r="BL271" i="23"/>
  <c r="BL272" i="23" s="1"/>
  <c r="BK393" i="23"/>
  <c r="BK348" i="23" s="1"/>
  <c r="BK392" i="23"/>
  <c r="BK344" i="23" s="1"/>
  <c r="BK394" i="23"/>
  <c r="BK357" i="23" s="1"/>
  <c r="BH140" i="23"/>
  <c r="BH141" i="23" s="1"/>
  <c r="BI137" i="23" s="1"/>
  <c r="BI139" i="23" s="1"/>
  <c r="CU35" i="22"/>
  <c r="BG194" i="23"/>
  <c r="BG179" i="23"/>
  <c r="BG384" i="23"/>
  <c r="BG187" i="23"/>
  <c r="BH183" i="23" s="1"/>
  <c r="CX381" i="23"/>
  <c r="CX358" i="23" s="1"/>
  <c r="CX378" i="23"/>
  <c r="CX346" i="23" s="1"/>
  <c r="CX380" i="23"/>
  <c r="CX354" i="23" s="1"/>
  <c r="CX379" i="23"/>
  <c r="CX350" i="23" s="1"/>
  <c r="CV331" i="23"/>
  <c r="CW67" i="23"/>
  <c r="CW71" i="23" s="1"/>
  <c r="CU28" i="22"/>
  <c r="BH171" i="23"/>
  <c r="BH156" i="23"/>
  <c r="CX91" i="23"/>
  <c r="CX333" i="23" s="1"/>
  <c r="CY252" i="23"/>
  <c r="CY221" i="23"/>
  <c r="CY235" i="23"/>
  <c r="CY337" i="23" s="1"/>
  <c r="CY200" i="23"/>
  <c r="CY90" i="23"/>
  <c r="CV150" i="22"/>
  <c r="CV148" i="22"/>
  <c r="CV147" i="22"/>
  <c r="CV141" i="22"/>
  <c r="CV149" i="22"/>
  <c r="CV146" i="22"/>
  <c r="CV142" i="22"/>
  <c r="CV79" i="22" s="1"/>
  <c r="CV26" i="22"/>
  <c r="CV20" i="22" s="1"/>
  <c r="CV25" i="22"/>
  <c r="CX335" i="23"/>
  <c r="CW161" i="22"/>
  <c r="CX5" i="22"/>
  <c r="CW6" i="22"/>
  <c r="BG294" i="23"/>
  <c r="CY264" i="23"/>
  <c r="CY286" i="23"/>
  <c r="CY69" i="23"/>
  <c r="CY41" i="23"/>
  <c r="CY44" i="23"/>
  <c r="CY47" i="23"/>
  <c r="CY68" i="23"/>
  <c r="CY50" i="23"/>
  <c r="CY43" i="23"/>
  <c r="CY46" i="23"/>
  <c r="CY60" i="23"/>
  <c r="CY40" i="23"/>
  <c r="CY51" i="23"/>
  <c r="CY45" i="23"/>
  <c r="CY48" i="23"/>
  <c r="CY39" i="23"/>
  <c r="CY42" i="23"/>
  <c r="CY31" i="23"/>
  <c r="BH164" i="23"/>
  <c r="BI160" i="23" s="1"/>
  <c r="CV160" i="22"/>
  <c r="CV159" i="22"/>
  <c r="CV55" i="22" s="1"/>
  <c r="BJ208" i="23"/>
  <c r="BJ209" i="23" s="1"/>
  <c r="BK205" i="23" s="1"/>
  <c r="CZ433" i="23"/>
  <c r="CZ432" i="23"/>
  <c r="CZ292" i="23"/>
  <c r="CZ270" i="23"/>
  <c r="CZ206" i="23"/>
  <c r="CZ81" i="23"/>
  <c r="CZ80" i="23"/>
  <c r="DA5" i="23"/>
  <c r="CZ6" i="23"/>
  <c r="CU78" i="22"/>
  <c r="CS18" i="23"/>
  <c r="CQ70" i="22"/>
  <c r="CS417" i="23" s="1"/>
  <c r="CU45" i="22"/>
  <c r="CT22" i="22"/>
  <c r="CU19" i="22"/>
  <c r="CT34" i="22"/>
  <c r="CT37" i="22" s="1"/>
  <c r="CT57" i="22" s="1"/>
  <c r="CV13" i="22"/>
  <c r="CW10" i="22"/>
  <c r="CW11" i="22"/>
  <c r="CS418" i="23" l="1"/>
  <c r="CS420" i="23" s="1"/>
  <c r="CR418" i="23"/>
  <c r="CR420" i="23" s="1"/>
  <c r="CP152" i="22"/>
  <c r="CR30" i="23" s="1"/>
  <c r="CQ152" i="22"/>
  <c r="CS30" i="23" s="1"/>
  <c r="CR144" i="22"/>
  <c r="CR145" i="22"/>
  <c r="CR71" i="22"/>
  <c r="CR72" i="22" s="1"/>
  <c r="CR143" i="22"/>
  <c r="CT46" i="22"/>
  <c r="CT48" i="22" s="1"/>
  <c r="CT62" i="22" s="1"/>
  <c r="CS69" i="22"/>
  <c r="CS48" i="22"/>
  <c r="CS62" i="22" s="1"/>
  <c r="CS71" i="22" s="1"/>
  <c r="CV54" i="22"/>
  <c r="BH133" i="23"/>
  <c r="BL280" i="23"/>
  <c r="BL391" i="23"/>
  <c r="BL351" i="23"/>
  <c r="BH148" i="23"/>
  <c r="BL273" i="23"/>
  <c r="BM269" i="23" s="1"/>
  <c r="CV35" i="22"/>
  <c r="BK258" i="23"/>
  <c r="BK251" i="23"/>
  <c r="BK253" i="23" s="1"/>
  <c r="BK207" i="23"/>
  <c r="BG396" i="23"/>
  <c r="BG302" i="23"/>
  <c r="BG355" i="23"/>
  <c r="CY91" i="23"/>
  <c r="CY333" i="23" s="1"/>
  <c r="CW331" i="23"/>
  <c r="BG295" i="23"/>
  <c r="BH291" i="23" s="1"/>
  <c r="BI140" i="23"/>
  <c r="BI141" i="23" s="1"/>
  <c r="BJ137" i="23" s="1"/>
  <c r="BI162" i="23"/>
  <c r="BI163" i="23" s="1"/>
  <c r="CW150" i="22"/>
  <c r="CW149" i="22"/>
  <c r="CW147" i="22"/>
  <c r="CW146" i="22"/>
  <c r="CW148" i="22"/>
  <c r="CW142" i="22"/>
  <c r="CW79" i="22" s="1"/>
  <c r="CW141" i="22"/>
  <c r="CW26" i="22"/>
  <c r="CW20" i="22" s="1"/>
  <c r="CW25" i="22"/>
  <c r="CX161" i="22"/>
  <c r="CY5" i="22"/>
  <c r="CX6" i="22"/>
  <c r="CY335" i="23"/>
  <c r="CU22" i="22"/>
  <c r="CV19" i="22"/>
  <c r="CU34" i="22"/>
  <c r="CU37" i="22" s="1"/>
  <c r="CU57" i="22" s="1"/>
  <c r="CZ252" i="23"/>
  <c r="CZ235" i="23"/>
  <c r="CZ337" i="23" s="1"/>
  <c r="CZ200" i="23"/>
  <c r="CZ221" i="23"/>
  <c r="CZ90" i="23"/>
  <c r="CW160" i="22"/>
  <c r="CW159" i="22"/>
  <c r="CW55" i="22" s="1"/>
  <c r="BH185" i="23"/>
  <c r="BJ216" i="23"/>
  <c r="BJ386" i="23"/>
  <c r="BJ347" i="23"/>
  <c r="CX11" i="22"/>
  <c r="CX67" i="23"/>
  <c r="CX71" i="23" s="1"/>
  <c r="CV28" i="22"/>
  <c r="CV45" i="22"/>
  <c r="CZ264" i="23"/>
  <c r="BG94" i="23"/>
  <c r="CW13" i="22"/>
  <c r="CX10" i="22"/>
  <c r="CZ286" i="23"/>
  <c r="CV78" i="22"/>
  <c r="BG342" i="23"/>
  <c r="BG93" i="23"/>
  <c r="CZ69" i="23"/>
  <c r="CZ41" i="23"/>
  <c r="CZ44" i="23"/>
  <c r="CZ47" i="23"/>
  <c r="CZ68" i="23"/>
  <c r="CZ50" i="23"/>
  <c r="CZ46" i="23"/>
  <c r="CZ60" i="23"/>
  <c r="CZ51" i="23"/>
  <c r="CZ43" i="23"/>
  <c r="CZ40" i="23"/>
  <c r="CZ42" i="23"/>
  <c r="CZ48" i="23"/>
  <c r="CZ39" i="23"/>
  <c r="CZ45" i="23"/>
  <c r="CZ31" i="23"/>
  <c r="DA433" i="23"/>
  <c r="DA432" i="23"/>
  <c r="DA270" i="23"/>
  <c r="DA292" i="23"/>
  <c r="DA206" i="23"/>
  <c r="DA81" i="23"/>
  <c r="DA80" i="23"/>
  <c r="DB5" i="23"/>
  <c r="DA6" i="23"/>
  <c r="CZ82" i="23"/>
  <c r="CZ377" i="23" s="1"/>
  <c r="CZ435" i="23"/>
  <c r="CR70" i="22" l="1"/>
  <c r="CT417" i="23" s="1"/>
  <c r="CT18" i="23"/>
  <c r="CP81" i="22"/>
  <c r="CQ81" i="22"/>
  <c r="CR152" i="22"/>
  <c r="CT30" i="23" s="1"/>
  <c r="CT23" i="23"/>
  <c r="CT418" i="23"/>
  <c r="CS31" i="22"/>
  <c r="CT69" i="22"/>
  <c r="CU46" i="22"/>
  <c r="DA435" i="23"/>
  <c r="BH186" i="23"/>
  <c r="BH187" i="23" s="1"/>
  <c r="BI183" i="23" s="1"/>
  <c r="BK208" i="23"/>
  <c r="BK209" i="23" s="1"/>
  <c r="BL205" i="23" s="1"/>
  <c r="BM271" i="23"/>
  <c r="BL393" i="23"/>
  <c r="BL348" i="23" s="1"/>
  <c r="BL394" i="23"/>
  <c r="BL357" i="23" s="1"/>
  <c r="BL392" i="23"/>
  <c r="BL344" i="23" s="1"/>
  <c r="BI171" i="23"/>
  <c r="BI156" i="23"/>
  <c r="BI164" i="23"/>
  <c r="BJ160" i="23" s="1"/>
  <c r="CW35" i="22"/>
  <c r="CU18" i="23"/>
  <c r="CS70" i="22"/>
  <c r="CU417" i="23" s="1"/>
  <c r="CW54" i="22"/>
  <c r="CT71" i="22"/>
  <c r="CT31" i="22"/>
  <c r="CW45" i="22"/>
  <c r="BG398" i="23"/>
  <c r="BG349" i="23" s="1"/>
  <c r="BG397" i="23"/>
  <c r="BG345" i="23" s="1"/>
  <c r="BG399" i="23"/>
  <c r="BG353" i="23" s="1"/>
  <c r="CX331" i="23"/>
  <c r="CV22" i="22"/>
  <c r="CW19" i="22"/>
  <c r="CV34" i="22"/>
  <c r="CV37" i="22" s="1"/>
  <c r="CV57" i="22" s="1"/>
  <c r="CY67" i="23"/>
  <c r="CY71" i="23" s="1"/>
  <c r="CW28" i="22"/>
  <c r="BJ139" i="23"/>
  <c r="CX13" i="22"/>
  <c r="CY10" i="22"/>
  <c r="CZ335" i="23"/>
  <c r="BI148" i="23"/>
  <c r="BI133" i="23"/>
  <c r="CZ379" i="23"/>
  <c r="CZ350" i="23" s="1"/>
  <c r="CZ381" i="23"/>
  <c r="CZ358" i="23" s="1"/>
  <c r="CZ378" i="23"/>
  <c r="CZ346" i="23" s="1"/>
  <c r="CZ380" i="23"/>
  <c r="CZ354" i="23" s="1"/>
  <c r="DA252" i="23"/>
  <c r="DA235" i="23"/>
  <c r="DA337" i="23" s="1"/>
  <c r="DA200" i="23"/>
  <c r="DA221" i="23"/>
  <c r="DA90" i="23"/>
  <c r="CZ91" i="23"/>
  <c r="CZ333" i="23" s="1"/>
  <c r="CW78" i="22"/>
  <c r="CY11" i="22"/>
  <c r="BH293" i="23"/>
  <c r="DA286" i="23"/>
  <c r="DA44" i="23"/>
  <c r="DA47" i="23"/>
  <c r="DA68" i="23"/>
  <c r="DA50" i="23"/>
  <c r="DA46" i="23"/>
  <c r="DA45" i="23"/>
  <c r="DA60" i="23"/>
  <c r="DA51" i="23"/>
  <c r="DA69" i="23"/>
  <c r="DA43" i="23"/>
  <c r="DA40" i="23"/>
  <c r="DA42" i="23"/>
  <c r="DA41" i="23"/>
  <c r="DA39" i="23"/>
  <c r="DA48" i="23"/>
  <c r="DA31" i="23"/>
  <c r="BJ389" i="23"/>
  <c r="BJ356" i="23" s="1"/>
  <c r="BJ388" i="23"/>
  <c r="BJ352" i="23" s="1"/>
  <c r="BJ387" i="23"/>
  <c r="BJ343" i="23" s="1"/>
  <c r="CX150" i="22"/>
  <c r="CX149" i="22"/>
  <c r="CX148" i="22"/>
  <c r="CX146" i="22"/>
  <c r="CX147" i="22"/>
  <c r="CX142" i="22"/>
  <c r="CX79" i="22" s="1"/>
  <c r="CX141" i="22"/>
  <c r="CX26" i="22"/>
  <c r="CX20" i="22" s="1"/>
  <c r="CX25" i="22"/>
  <c r="DB433" i="23"/>
  <c r="DB432" i="23"/>
  <c r="DB270" i="23"/>
  <c r="DB292" i="23"/>
  <c r="DB206" i="23"/>
  <c r="DB81" i="23"/>
  <c r="DB80" i="23"/>
  <c r="DC5" i="23"/>
  <c r="DB6" i="23"/>
  <c r="DA264" i="23"/>
  <c r="CY161" i="22"/>
  <c r="CZ5" i="22"/>
  <c r="CY6" i="22"/>
  <c r="DA82" i="23"/>
  <c r="DA377" i="23" s="1"/>
  <c r="CX159" i="22"/>
  <c r="CX55" i="22" s="1"/>
  <c r="CX160" i="22"/>
  <c r="CT420" i="23" l="1"/>
  <c r="CR81" i="22"/>
  <c r="CT144" i="22"/>
  <c r="CT145" i="22"/>
  <c r="CS144" i="22"/>
  <c r="CS145" i="22"/>
  <c r="CT72" i="22"/>
  <c r="CV418" i="23" s="1"/>
  <c r="CT143" i="22"/>
  <c r="CS72" i="22"/>
  <c r="CU23" i="23" s="1"/>
  <c r="CS143" i="22"/>
  <c r="BH384" i="23"/>
  <c r="BH194" i="23"/>
  <c r="BK386" i="23"/>
  <c r="BK388" i="23" s="1"/>
  <c r="BK352" i="23" s="1"/>
  <c r="BH179" i="23"/>
  <c r="BH342" i="23" s="1"/>
  <c r="BK216" i="23"/>
  <c r="CU69" i="22"/>
  <c r="CV46" i="22"/>
  <c r="BK347" i="23"/>
  <c r="CU48" i="22"/>
  <c r="CU62" i="22" s="1"/>
  <c r="CU31" i="22" s="1"/>
  <c r="CU145" i="22" s="1"/>
  <c r="DB82" i="23"/>
  <c r="DB377" i="23" s="1"/>
  <c r="DB379" i="23" s="1"/>
  <c r="DB350" i="23" s="1"/>
  <c r="BI185" i="23"/>
  <c r="BI186" i="23" s="1"/>
  <c r="BL258" i="23"/>
  <c r="BL251" i="23"/>
  <c r="BL253" i="23" s="1"/>
  <c r="BL207" i="23"/>
  <c r="BL208" i="23" s="1"/>
  <c r="BM272" i="23"/>
  <c r="CX35" i="22"/>
  <c r="DC432" i="23"/>
  <c r="DC433" i="23"/>
  <c r="DC270" i="23"/>
  <c r="DC292" i="23"/>
  <c r="DC206" i="23"/>
  <c r="DC81" i="23"/>
  <c r="DC80" i="23"/>
  <c r="DD5" i="23"/>
  <c r="DC6" i="23"/>
  <c r="CV18" i="23"/>
  <c r="CT70" i="22"/>
  <c r="CV417" i="23" s="1"/>
  <c r="DB435" i="23"/>
  <c r="CX54" i="22"/>
  <c r="DB286" i="23"/>
  <c r="DB47" i="23"/>
  <c r="DB68" i="23"/>
  <c r="DB50" i="23"/>
  <c r="DB46" i="23"/>
  <c r="DB60" i="23"/>
  <c r="DB48" i="23"/>
  <c r="DB51" i="23"/>
  <c r="DB69" i="23"/>
  <c r="DB44" i="23"/>
  <c r="DB43" i="23"/>
  <c r="DB40" i="23"/>
  <c r="DB42" i="23"/>
  <c r="DB41" i="23"/>
  <c r="DB45" i="23"/>
  <c r="DB39" i="23"/>
  <c r="DB31" i="23"/>
  <c r="BH294" i="23"/>
  <c r="DA335" i="23"/>
  <c r="BJ140" i="23"/>
  <c r="BJ141" i="23" s="1"/>
  <c r="BK137" i="23" s="1"/>
  <c r="DB264" i="23"/>
  <c r="DA379" i="23"/>
  <c r="DA350" i="23" s="1"/>
  <c r="DA378" i="23"/>
  <c r="DA346" i="23" s="1"/>
  <c r="DA380" i="23"/>
  <c r="DA354" i="23" s="1"/>
  <c r="DA381" i="23"/>
  <c r="DA358" i="23" s="1"/>
  <c r="CZ67" i="23"/>
  <c r="CZ71" i="23" s="1"/>
  <c r="CX28" i="22"/>
  <c r="DA91" i="23"/>
  <c r="DA333" i="23" s="1"/>
  <c r="CY150" i="22"/>
  <c r="CY149" i="22"/>
  <c r="CY148" i="22"/>
  <c r="CY147" i="22"/>
  <c r="CY146" i="22"/>
  <c r="CY142" i="22"/>
  <c r="CY79" i="22" s="1"/>
  <c r="CY141" i="22"/>
  <c r="CY25" i="22"/>
  <c r="CY26" i="22"/>
  <c r="CY20" i="22" s="1"/>
  <c r="CZ161" i="22"/>
  <c r="DA5" i="22"/>
  <c r="CZ6" i="22"/>
  <c r="CY159" i="22"/>
  <c r="CY55" i="22" s="1"/>
  <c r="CY160" i="22"/>
  <c r="CZ11" i="22"/>
  <c r="CY13" i="22"/>
  <c r="CZ10" i="22"/>
  <c r="DB252" i="23"/>
  <c r="DB235" i="23"/>
  <c r="DB337" i="23" s="1"/>
  <c r="DB221" i="23"/>
  <c r="DB200" i="23"/>
  <c r="DB90" i="23"/>
  <c r="CX78" i="22"/>
  <c r="CY331" i="23"/>
  <c r="BJ162" i="23"/>
  <c r="CW22" i="22"/>
  <c r="CX19" i="22"/>
  <c r="CW34" i="22"/>
  <c r="CW37" i="22" s="1"/>
  <c r="CW57" i="22" s="1"/>
  <c r="CX45" i="22"/>
  <c r="CU418" i="23" l="1"/>
  <c r="CU420" i="23" s="1"/>
  <c r="CV23" i="23"/>
  <c r="CS152" i="22"/>
  <c r="CU30" i="23" s="1"/>
  <c r="CT152" i="22"/>
  <c r="CV30" i="23" s="1"/>
  <c r="CU143" i="22"/>
  <c r="CU144" i="22"/>
  <c r="BH93" i="23"/>
  <c r="BK387" i="23"/>
  <c r="BK343" i="23" s="1"/>
  <c r="BK389" i="23"/>
  <c r="BK356" i="23" s="1"/>
  <c r="CU71" i="22"/>
  <c r="CU72" i="22" s="1"/>
  <c r="DB381" i="23"/>
  <c r="DB358" i="23" s="1"/>
  <c r="DB380" i="23"/>
  <c r="DB354" i="23" s="1"/>
  <c r="DB378" i="23"/>
  <c r="DB346" i="23" s="1"/>
  <c r="CW46" i="22"/>
  <c r="CV69" i="22"/>
  <c r="CV48" i="22"/>
  <c r="CV62" i="22" s="1"/>
  <c r="BI384" i="23"/>
  <c r="BI179" i="23"/>
  <c r="BI342" i="23" s="1"/>
  <c r="BI187" i="23"/>
  <c r="BJ183" i="23" s="1"/>
  <c r="BJ185" i="23" s="1"/>
  <c r="BI194" i="23"/>
  <c r="DC82" i="23"/>
  <c r="DC377" i="23" s="1"/>
  <c r="DC379" i="23" s="1"/>
  <c r="DC350" i="23" s="1"/>
  <c r="BL216" i="23"/>
  <c r="BL209" i="23"/>
  <c r="BM205" i="23" s="1"/>
  <c r="BM258" i="23" s="1"/>
  <c r="BL386" i="23"/>
  <c r="BL387" i="23" s="1"/>
  <c r="BL343" i="23" s="1"/>
  <c r="BL347" i="23"/>
  <c r="BM351" i="23"/>
  <c r="BM280" i="23"/>
  <c r="BM391" i="23"/>
  <c r="BM273" i="23"/>
  <c r="BN269" i="23" s="1"/>
  <c r="BK139" i="23"/>
  <c r="BK140" i="23" s="1"/>
  <c r="CY35" i="22"/>
  <c r="BH396" i="23"/>
  <c r="BH302" i="23"/>
  <c r="BH355" i="23"/>
  <c r="BH94" i="23"/>
  <c r="BJ163" i="23"/>
  <c r="CZ331" i="23"/>
  <c r="DA11" i="22"/>
  <c r="CZ150" i="22"/>
  <c r="CZ149" i="22"/>
  <c r="CZ148" i="22"/>
  <c r="CZ147" i="22"/>
  <c r="CZ146" i="22"/>
  <c r="CZ142" i="22"/>
  <c r="CZ79" i="22" s="1"/>
  <c r="CZ141" i="22"/>
  <c r="CZ25" i="22"/>
  <c r="CZ26" i="22"/>
  <c r="CZ20" i="22" s="1"/>
  <c r="CV420" i="23"/>
  <c r="DA161" i="22"/>
  <c r="DB5" i="22"/>
  <c r="DA6" i="22"/>
  <c r="BH295" i="23"/>
  <c r="BI291" i="23" s="1"/>
  <c r="CZ159" i="22"/>
  <c r="CZ55" i="22" s="1"/>
  <c r="CZ160" i="22"/>
  <c r="DB91" i="23"/>
  <c r="DB333" i="23" s="1"/>
  <c r="DC68" i="23"/>
  <c r="DC50" i="23"/>
  <c r="DC46" i="23"/>
  <c r="DC45" i="23"/>
  <c r="DC51" i="23"/>
  <c r="DC69" i="23"/>
  <c r="DC44" i="23"/>
  <c r="DC43" i="23"/>
  <c r="DC40" i="23"/>
  <c r="DC47" i="23"/>
  <c r="DC42" i="23"/>
  <c r="DC41" i="23"/>
  <c r="DC39" i="23"/>
  <c r="DC48" i="23"/>
  <c r="DC60" i="23"/>
  <c r="DC31" i="23"/>
  <c r="DC286" i="23"/>
  <c r="CY78" i="22"/>
  <c r="DB335" i="23"/>
  <c r="DD432" i="23"/>
  <c r="DD433" i="23"/>
  <c r="DD292" i="23"/>
  <c r="DD270" i="23"/>
  <c r="DD206" i="23"/>
  <c r="DD81" i="23"/>
  <c r="DD80" i="23"/>
  <c r="DE5" i="23"/>
  <c r="DD6" i="23"/>
  <c r="BJ148" i="23"/>
  <c r="BJ133" i="23"/>
  <c r="DC264" i="23"/>
  <c r="CZ13" i="22"/>
  <c r="DA10" i="22"/>
  <c r="CY45" i="22"/>
  <c r="CY54" i="22"/>
  <c r="CX22" i="22"/>
  <c r="CY19" i="22"/>
  <c r="CX34" i="22"/>
  <c r="CX37" i="22" s="1"/>
  <c r="CX57" i="22" s="1"/>
  <c r="DC435" i="23"/>
  <c r="DC252" i="23"/>
  <c r="DC221" i="23"/>
  <c r="DC235" i="23"/>
  <c r="DC337" i="23" s="1"/>
  <c r="DC200" i="23"/>
  <c r="DC90" i="23"/>
  <c r="DA67" i="23"/>
  <c r="DA71" i="23" s="1"/>
  <c r="CY28" i="22"/>
  <c r="CT81" i="22" l="1"/>
  <c r="CS81" i="22"/>
  <c r="CU152" i="22"/>
  <c r="CW30" i="23" s="1"/>
  <c r="CU70" i="22"/>
  <c r="CW417" i="23" s="1"/>
  <c r="CW18" i="23"/>
  <c r="DC381" i="23"/>
  <c r="DC358" i="23" s="1"/>
  <c r="DC380" i="23"/>
  <c r="DC354" i="23" s="1"/>
  <c r="DC378" i="23"/>
  <c r="DC346" i="23" s="1"/>
  <c r="BI93" i="23"/>
  <c r="BJ186" i="23"/>
  <c r="BJ187" i="23" s="1"/>
  <c r="BK183" i="23" s="1"/>
  <c r="CW23" i="23"/>
  <c r="CW418" i="23"/>
  <c r="BL388" i="23"/>
  <c r="BL352" i="23" s="1"/>
  <c r="CV31" i="22"/>
  <c r="CV71" i="22"/>
  <c r="CX46" i="22"/>
  <c r="CW69" i="22"/>
  <c r="CW48" i="22"/>
  <c r="CW62" i="22" s="1"/>
  <c r="CW31" i="22" s="1"/>
  <c r="CW145" i="22" s="1"/>
  <c r="BM207" i="23"/>
  <c r="BM208" i="23" s="1"/>
  <c r="BM386" i="23" s="1"/>
  <c r="BM251" i="23"/>
  <c r="BM253" i="23" s="1"/>
  <c r="DD435" i="23"/>
  <c r="BL389" i="23"/>
  <c r="BL356" i="23" s="1"/>
  <c r="BN271" i="23"/>
  <c r="BN272" i="23" s="1"/>
  <c r="BM393" i="23"/>
  <c r="BM348" i="23" s="1"/>
  <c r="BM392" i="23"/>
  <c r="BM344" i="23" s="1"/>
  <c r="BM394" i="23"/>
  <c r="BM357" i="23" s="1"/>
  <c r="CZ35" i="22"/>
  <c r="DB11" i="22"/>
  <c r="BJ171" i="23"/>
  <c r="BJ156" i="23"/>
  <c r="CZ54" i="22"/>
  <c r="BI293" i="23"/>
  <c r="CZ78" i="22"/>
  <c r="DB67" i="23"/>
  <c r="DB71" i="23" s="1"/>
  <c r="CZ28" i="22"/>
  <c r="DD252" i="23"/>
  <c r="DD235" i="23"/>
  <c r="DD337" i="23" s="1"/>
  <c r="DD221" i="23"/>
  <c r="DD200" i="23"/>
  <c r="DD90" i="23"/>
  <c r="DC91" i="23"/>
  <c r="DC333" i="23" s="1"/>
  <c r="DA150" i="22"/>
  <c r="DA149" i="22"/>
  <c r="DA148" i="22"/>
  <c r="DA147" i="22"/>
  <c r="DA146" i="22"/>
  <c r="DA142" i="22"/>
  <c r="DA79" i="22" s="1"/>
  <c r="DA141" i="22"/>
  <c r="DA26" i="22"/>
  <c r="DA20" i="22" s="1"/>
  <c r="DA25" i="22"/>
  <c r="CZ45" i="22"/>
  <c r="DB161" i="22"/>
  <c r="DC5" i="22"/>
  <c r="DB6" i="22"/>
  <c r="DC335" i="23"/>
  <c r="DD264" i="23"/>
  <c r="DA159" i="22"/>
  <c r="DA55" i="22" s="1"/>
  <c r="DA160" i="22"/>
  <c r="DA13" i="22"/>
  <c r="DB10" i="22"/>
  <c r="DD43" i="23"/>
  <c r="DD46" i="23"/>
  <c r="DD42" i="23"/>
  <c r="DD60" i="23"/>
  <c r="DD48" i="23"/>
  <c r="DD69" i="23"/>
  <c r="DD68" i="23"/>
  <c r="DD40" i="23"/>
  <c r="DD47" i="23"/>
  <c r="DD41" i="23"/>
  <c r="DD51" i="23"/>
  <c r="DD39" i="23"/>
  <c r="DD50" i="23"/>
  <c r="DD45" i="23"/>
  <c r="DD44" i="23"/>
  <c r="DD31" i="23"/>
  <c r="DE432" i="23"/>
  <c r="DE433" i="23"/>
  <c r="DE292" i="23"/>
  <c r="DE270" i="23"/>
  <c r="DE206" i="23"/>
  <c r="DE81" i="23"/>
  <c r="DE80" i="23"/>
  <c r="DF5" i="23"/>
  <c r="DE6" i="23"/>
  <c r="DD286" i="23"/>
  <c r="BK148" i="23"/>
  <c r="BK133" i="23"/>
  <c r="DA331" i="23"/>
  <c r="BH398" i="23"/>
  <c r="BH349" i="23" s="1"/>
  <c r="BH399" i="23"/>
  <c r="BH353" i="23" s="1"/>
  <c r="BH397" i="23"/>
  <c r="BH345" i="23" s="1"/>
  <c r="DD82" i="23"/>
  <c r="DD377" i="23" s="1"/>
  <c r="BK141" i="23"/>
  <c r="BL137" i="23" s="1"/>
  <c r="CY22" i="22"/>
  <c r="CZ19" i="22"/>
  <c r="CY34" i="22"/>
  <c r="CY37" i="22" s="1"/>
  <c r="CY57" i="22" s="1"/>
  <c r="BJ164" i="23"/>
  <c r="BK160" i="23" s="1"/>
  <c r="CW420" i="23" l="1"/>
  <c r="BJ384" i="23"/>
  <c r="CU81" i="22"/>
  <c r="CV144" i="22"/>
  <c r="CV145" i="22"/>
  <c r="CW143" i="22"/>
  <c r="CW144" i="22"/>
  <c r="CV72" i="22"/>
  <c r="CX23" i="23" s="1"/>
  <c r="CV143" i="22"/>
  <c r="BJ179" i="23"/>
  <c r="BJ342" i="23" s="1"/>
  <c r="BJ194" i="23"/>
  <c r="CW71" i="22"/>
  <c r="CY18" i="23" s="1"/>
  <c r="BM216" i="23"/>
  <c r="BM209" i="23"/>
  <c r="BN205" i="23" s="1"/>
  <c r="BN251" i="23" s="1"/>
  <c r="BN253" i="23" s="1"/>
  <c r="BM347" i="23"/>
  <c r="CY46" i="22"/>
  <c r="CX69" i="22"/>
  <c r="CX18" i="23"/>
  <c r="CV70" i="22"/>
  <c r="CX417" i="23" s="1"/>
  <c r="CX48" i="22"/>
  <c r="CX62" i="22" s="1"/>
  <c r="BN280" i="23"/>
  <c r="BN391" i="23"/>
  <c r="BN351" i="23"/>
  <c r="BN273" i="23"/>
  <c r="BO269" i="23" s="1"/>
  <c r="DA35" i="22"/>
  <c r="DE435" i="23"/>
  <c r="DA78" i="22"/>
  <c r="DD91" i="23"/>
  <c r="DD333" i="23" s="1"/>
  <c r="BL139" i="23"/>
  <c r="DE252" i="23"/>
  <c r="DE235" i="23"/>
  <c r="DE337" i="23" s="1"/>
  <c r="DE221" i="23"/>
  <c r="DE200" i="23"/>
  <c r="DE90" i="23"/>
  <c r="DD335" i="23"/>
  <c r="BK185" i="23"/>
  <c r="DC11" i="22"/>
  <c r="DB150" i="22"/>
  <c r="DB149" i="22"/>
  <c r="DB148" i="22"/>
  <c r="DB147" i="22"/>
  <c r="DB146" i="22"/>
  <c r="DB142" i="22"/>
  <c r="DB79" i="22" s="1"/>
  <c r="DB141" i="22"/>
  <c r="DB26" i="22"/>
  <c r="DB20" i="22" s="1"/>
  <c r="DB25" i="22"/>
  <c r="DE264" i="23"/>
  <c r="DB160" i="22"/>
  <c r="DB159" i="22"/>
  <c r="DB55" i="22" s="1"/>
  <c r="BI294" i="23"/>
  <c r="BK162" i="23"/>
  <c r="DC161" i="22"/>
  <c r="DC6" i="22"/>
  <c r="DD5" i="22"/>
  <c r="DB13" i="22"/>
  <c r="DC10" i="22"/>
  <c r="BM388" i="23"/>
  <c r="BM352" i="23" s="1"/>
  <c r="BM389" i="23"/>
  <c r="BM356" i="23" s="1"/>
  <c r="BM387" i="23"/>
  <c r="BM343" i="23" s="1"/>
  <c r="DD378" i="23"/>
  <c r="DD346" i="23" s="1"/>
  <c r="DD380" i="23"/>
  <c r="DD354" i="23" s="1"/>
  <c r="DD381" i="23"/>
  <c r="DD358" i="23" s="1"/>
  <c r="DD379" i="23"/>
  <c r="DD350" i="23" s="1"/>
  <c r="DE43" i="23"/>
  <c r="DE46" i="23"/>
  <c r="DE45" i="23"/>
  <c r="DE60" i="23"/>
  <c r="DE48" i="23"/>
  <c r="DE51" i="23"/>
  <c r="DE69" i="23"/>
  <c r="DE68" i="23"/>
  <c r="DE50" i="23"/>
  <c r="DE40" i="23"/>
  <c r="DE47" i="23"/>
  <c r="DE41" i="23"/>
  <c r="DE42" i="23"/>
  <c r="DE39" i="23"/>
  <c r="DE44" i="23"/>
  <c r="DE31" i="23"/>
  <c r="DB331" i="23"/>
  <c r="DF433" i="23"/>
  <c r="DF432" i="23"/>
  <c r="DF292" i="23"/>
  <c r="DF270" i="23"/>
  <c r="DF206" i="23"/>
  <c r="DF81" i="23"/>
  <c r="DF80" i="23"/>
  <c r="DG5" i="23"/>
  <c r="DF6" i="23"/>
  <c r="DE286" i="23"/>
  <c r="DA45" i="22"/>
  <c r="CZ22" i="22"/>
  <c r="DA19" i="22"/>
  <c r="CZ34" i="22"/>
  <c r="CZ37" i="22" s="1"/>
  <c r="CZ57" i="22" s="1"/>
  <c r="DE82" i="23"/>
  <c r="DE377" i="23" s="1"/>
  <c r="DC67" i="23"/>
  <c r="DC71" i="23" s="1"/>
  <c r="DA28" i="22"/>
  <c r="DA54" i="22"/>
  <c r="CV152" i="22" l="1"/>
  <c r="CV81" i="22" s="1"/>
  <c r="BJ93" i="23"/>
  <c r="CW72" i="22"/>
  <c r="CY23" i="23" s="1"/>
  <c r="CX418" i="23"/>
  <c r="CX420" i="23" s="1"/>
  <c r="CW152" i="22"/>
  <c r="CW70" i="22"/>
  <c r="CY417" i="23" s="1"/>
  <c r="BN207" i="23"/>
  <c r="BN208" i="23" s="1"/>
  <c r="BN258" i="23"/>
  <c r="CX71" i="22"/>
  <c r="CX31" i="22"/>
  <c r="CY69" i="22"/>
  <c r="CZ46" i="22"/>
  <c r="CY48" i="22"/>
  <c r="CY62" i="22" s="1"/>
  <c r="CY71" i="22" s="1"/>
  <c r="DB54" i="22"/>
  <c r="BO271" i="23"/>
  <c r="BO272" i="23" s="1"/>
  <c r="BN393" i="23"/>
  <c r="BN348" i="23" s="1"/>
  <c r="BN394" i="23"/>
  <c r="BN357" i="23" s="1"/>
  <c r="BN392" i="23"/>
  <c r="BN344" i="23" s="1"/>
  <c r="BK163" i="23"/>
  <c r="BK164" i="23" s="1"/>
  <c r="BL160" i="23" s="1"/>
  <c r="BL162" i="23" s="1"/>
  <c r="DB35" i="22"/>
  <c r="DG433" i="23"/>
  <c r="DG432" i="23"/>
  <c r="DG292" i="23"/>
  <c r="DG270" i="23"/>
  <c r="DG206" i="23"/>
  <c r="DG81" i="23"/>
  <c r="DG80" i="23"/>
  <c r="DG6" i="23"/>
  <c r="DH5" i="23"/>
  <c r="DF286" i="23"/>
  <c r="DD67" i="23"/>
  <c r="DD71" i="23" s="1"/>
  <c r="DB28" i="22"/>
  <c r="BK186" i="23"/>
  <c r="BI396" i="23"/>
  <c r="BI302" i="23"/>
  <c r="BI355" i="23"/>
  <c r="BI94" i="23"/>
  <c r="DF82" i="23"/>
  <c r="DF377" i="23" s="1"/>
  <c r="DF435" i="23"/>
  <c r="DD161" i="22"/>
  <c r="DE5" i="22"/>
  <c r="DD6" i="22"/>
  <c r="DC160" i="22"/>
  <c r="DC159" i="22"/>
  <c r="DC55" i="22" s="1"/>
  <c r="DE378" i="23"/>
  <c r="DE346" i="23" s="1"/>
  <c r="DE381" i="23"/>
  <c r="DE358" i="23" s="1"/>
  <c r="DE380" i="23"/>
  <c r="DE354" i="23" s="1"/>
  <c r="DE379" i="23"/>
  <c r="DE350" i="23" s="1"/>
  <c r="DB78" i="22"/>
  <c r="BL140" i="23"/>
  <c r="DF252" i="23"/>
  <c r="DF221" i="23"/>
  <c r="DF235" i="23"/>
  <c r="DF337" i="23" s="1"/>
  <c r="DF200" i="23"/>
  <c r="DF90" i="23"/>
  <c r="DC331" i="23"/>
  <c r="DB19" i="22"/>
  <c r="DA22" i="22"/>
  <c r="DA34" i="22"/>
  <c r="DA37" i="22" s="1"/>
  <c r="DA57" i="22" s="1"/>
  <c r="BI295" i="23"/>
  <c r="BJ291" i="23" s="1"/>
  <c r="DC150" i="22"/>
  <c r="DC149" i="22"/>
  <c r="DC148" i="22"/>
  <c r="DC147" i="22"/>
  <c r="DC146" i="22"/>
  <c r="DC142" i="22"/>
  <c r="DC79" i="22" s="1"/>
  <c r="DC141" i="22"/>
  <c r="DC26" i="22"/>
  <c r="DC20" i="22" s="1"/>
  <c r="DC25" i="22"/>
  <c r="DB45" i="22"/>
  <c r="DF264" i="23"/>
  <c r="DD11" i="22"/>
  <c r="DE91" i="23"/>
  <c r="DE333" i="23" s="1"/>
  <c r="DF43" i="23"/>
  <c r="DF46" i="23"/>
  <c r="DF45" i="23"/>
  <c r="DF60" i="23"/>
  <c r="DF48" i="23"/>
  <c r="DF51" i="23"/>
  <c r="DF44" i="23"/>
  <c r="DF68" i="23"/>
  <c r="DF50" i="23"/>
  <c r="DF40" i="23"/>
  <c r="DF47" i="23"/>
  <c r="DF41" i="23"/>
  <c r="DF42" i="23"/>
  <c r="DF39" i="23"/>
  <c r="DF69" i="23"/>
  <c r="DF31" i="23"/>
  <c r="DC13" i="22"/>
  <c r="DD10" i="22"/>
  <c r="DE335" i="23"/>
  <c r="CY418" i="23" l="1"/>
  <c r="CY420" i="23" s="1"/>
  <c r="CX30" i="23"/>
  <c r="CX144" i="22"/>
  <c r="CX145" i="22"/>
  <c r="CY30" i="23"/>
  <c r="CW81" i="22"/>
  <c r="CX72" i="22"/>
  <c r="CZ23" i="23" s="1"/>
  <c r="CX143" i="22"/>
  <c r="CY31" i="22"/>
  <c r="BK156" i="23"/>
  <c r="DA46" i="22"/>
  <c r="CZ69" i="22"/>
  <c r="CZ48" i="22"/>
  <c r="CZ62" i="22" s="1"/>
  <c r="CZ18" i="23"/>
  <c r="CX70" i="22"/>
  <c r="CZ417" i="23" s="1"/>
  <c r="BK384" i="23"/>
  <c r="BO391" i="23"/>
  <c r="BO351" i="23"/>
  <c r="BO280" i="23"/>
  <c r="BO273" i="23"/>
  <c r="BP269" i="23" s="1"/>
  <c r="BK171" i="23"/>
  <c r="DC54" i="22"/>
  <c r="DC35" i="22"/>
  <c r="BJ293" i="23"/>
  <c r="BJ294" i="23" s="1"/>
  <c r="DG46" i="23"/>
  <c r="DG45" i="23"/>
  <c r="DG60" i="23"/>
  <c r="DG48" i="23"/>
  <c r="DG51" i="23"/>
  <c r="DG69" i="23"/>
  <c r="DG47" i="23"/>
  <c r="DG68" i="23"/>
  <c r="DG50" i="23"/>
  <c r="DG43" i="23"/>
  <c r="DG41" i="23"/>
  <c r="DG42" i="23"/>
  <c r="DG39" i="23"/>
  <c r="DG44" i="23"/>
  <c r="DG40" i="23"/>
  <c r="DG31" i="23"/>
  <c r="BK194" i="23"/>
  <c r="BK179" i="23"/>
  <c r="DG82" i="23"/>
  <c r="DG377" i="23" s="1"/>
  <c r="DG286" i="23"/>
  <c r="DC78" i="22"/>
  <c r="DD150" i="22"/>
  <c r="DD149" i="22"/>
  <c r="DD148" i="22"/>
  <c r="DD147" i="22"/>
  <c r="DD146" i="22"/>
  <c r="DD142" i="22"/>
  <c r="DD79" i="22" s="1"/>
  <c r="DD141" i="22"/>
  <c r="DD25" i="22"/>
  <c r="DD26" i="22"/>
  <c r="DD20" i="22" s="1"/>
  <c r="DG435" i="23"/>
  <c r="DC19" i="22"/>
  <c r="DB22" i="22"/>
  <c r="DB34" i="22"/>
  <c r="DB37" i="22" s="1"/>
  <c r="DB57" i="22" s="1"/>
  <c r="DD160" i="22"/>
  <c r="DD159" i="22"/>
  <c r="DD55" i="22" s="1"/>
  <c r="BL148" i="23"/>
  <c r="BL133" i="23"/>
  <c r="DD331" i="23"/>
  <c r="DD13" i="22"/>
  <c r="DE10" i="22"/>
  <c r="DF378" i="23"/>
  <c r="DF346" i="23" s="1"/>
  <c r="DF381" i="23"/>
  <c r="DF358" i="23" s="1"/>
  <c r="DF380" i="23"/>
  <c r="DF354" i="23" s="1"/>
  <c r="DF379" i="23"/>
  <c r="DF350" i="23" s="1"/>
  <c r="DE161" i="22"/>
  <c r="DE6" i="22"/>
  <c r="DF5" i="22"/>
  <c r="DA18" i="23"/>
  <c r="CY70" i="22"/>
  <c r="DA417" i="23" s="1"/>
  <c r="DG252" i="23"/>
  <c r="DG221" i="23"/>
  <c r="DG235" i="23"/>
  <c r="DG337" i="23" s="1"/>
  <c r="DG200" i="23"/>
  <c r="DG90" i="23"/>
  <c r="BL163" i="23"/>
  <c r="DE11" i="22"/>
  <c r="DE67" i="23"/>
  <c r="DE71" i="23" s="1"/>
  <c r="DC28" i="22"/>
  <c r="BN216" i="23"/>
  <c r="BN386" i="23"/>
  <c r="BN347" i="23"/>
  <c r="DF91" i="23"/>
  <c r="DF333" i="23" s="1"/>
  <c r="BI397" i="23"/>
  <c r="BI345" i="23" s="1"/>
  <c r="BI399" i="23"/>
  <c r="BI353" i="23" s="1"/>
  <c r="BI398" i="23"/>
  <c r="BI349" i="23" s="1"/>
  <c r="DG264" i="23"/>
  <c r="BK187" i="23"/>
  <c r="BL183" i="23" s="1"/>
  <c r="DC45" i="22"/>
  <c r="BL141" i="23"/>
  <c r="BM137" i="23" s="1"/>
  <c r="DF335" i="23"/>
  <c r="DH432" i="23"/>
  <c r="DH433" i="23"/>
  <c r="DH292" i="23"/>
  <c r="DH270" i="23"/>
  <c r="DH206" i="23"/>
  <c r="DH80" i="23"/>
  <c r="DH81" i="23"/>
  <c r="DH6" i="23"/>
  <c r="DI5" i="23"/>
  <c r="BN209" i="23"/>
  <c r="BO205" i="23" s="1"/>
  <c r="CZ418" i="23" l="1"/>
  <c r="CZ420" i="23" s="1"/>
  <c r="BK342" i="23"/>
  <c r="CX152" i="22"/>
  <c r="CZ30" i="23" s="1"/>
  <c r="CY144" i="22"/>
  <c r="CY145" i="22"/>
  <c r="CY72" i="22"/>
  <c r="DA418" i="23" s="1"/>
  <c r="DA420" i="23" s="1"/>
  <c r="CY143" i="22"/>
  <c r="CZ71" i="22"/>
  <c r="CZ31" i="22"/>
  <c r="DB46" i="22"/>
  <c r="DA69" i="22"/>
  <c r="DA48" i="22"/>
  <c r="DA62" i="22" s="1"/>
  <c r="DA71" i="22" s="1"/>
  <c r="DC18" i="23" s="1"/>
  <c r="BK93" i="23"/>
  <c r="DD54" i="22"/>
  <c r="BP271" i="23"/>
  <c r="BP272" i="23" s="1"/>
  <c r="BP273" i="23" s="1"/>
  <c r="BQ269" i="23" s="1"/>
  <c r="DH82" i="23"/>
  <c r="DH377" i="23" s="1"/>
  <c r="DH379" i="23" s="1"/>
  <c r="DH350" i="23" s="1"/>
  <c r="BO392" i="23"/>
  <c r="BO344" i="23" s="1"/>
  <c r="BO393" i="23"/>
  <c r="BO348" i="23" s="1"/>
  <c r="BO394" i="23"/>
  <c r="BO357" i="23" s="1"/>
  <c r="DD35" i="22"/>
  <c r="DF11" i="22"/>
  <c r="DH235" i="23"/>
  <c r="DH337" i="23" s="1"/>
  <c r="DH252" i="23"/>
  <c r="DH221" i="23"/>
  <c r="DH200" i="23"/>
  <c r="DH90" i="23"/>
  <c r="BM139" i="23"/>
  <c r="BM140" i="23" s="1"/>
  <c r="DG335" i="23"/>
  <c r="BN388" i="23"/>
  <c r="BN352" i="23" s="1"/>
  <c r="BN387" i="23"/>
  <c r="BN343" i="23" s="1"/>
  <c r="BN389" i="23"/>
  <c r="BN356" i="23" s="1"/>
  <c r="DD45" i="22"/>
  <c r="BL171" i="23"/>
  <c r="BL156" i="23"/>
  <c r="DH264" i="23"/>
  <c r="BL185" i="23"/>
  <c r="DF161" i="22"/>
  <c r="DF6" i="22"/>
  <c r="DG5" i="22"/>
  <c r="DF67" i="23"/>
  <c r="DF71" i="23" s="1"/>
  <c r="DD28" i="22"/>
  <c r="DE160" i="22"/>
  <c r="DE159" i="22"/>
  <c r="DE55" i="22" s="1"/>
  <c r="DD78" i="22"/>
  <c r="DI433" i="23"/>
  <c r="DI432" i="23"/>
  <c r="DI292" i="23"/>
  <c r="DI270" i="23"/>
  <c r="DI206" i="23"/>
  <c r="DI81" i="23"/>
  <c r="DI80" i="23"/>
  <c r="DI6" i="23"/>
  <c r="DJ5" i="23"/>
  <c r="DH45" i="23"/>
  <c r="DH60" i="23"/>
  <c r="DH48" i="23"/>
  <c r="DH51" i="23"/>
  <c r="DH69" i="23"/>
  <c r="DH68" i="23"/>
  <c r="DH50" i="23"/>
  <c r="DH47" i="23"/>
  <c r="DH41" i="23"/>
  <c r="DH42" i="23"/>
  <c r="DH39" i="23"/>
  <c r="DH44" i="23"/>
  <c r="DH43" i="23"/>
  <c r="DH40" i="23"/>
  <c r="DH46" i="23"/>
  <c r="DH31" i="23"/>
  <c r="DH286" i="23"/>
  <c r="BJ396" i="23"/>
  <c r="BJ302" i="23"/>
  <c r="BJ355" i="23"/>
  <c r="BJ94" i="23"/>
  <c r="BO258" i="23"/>
  <c r="BO251" i="23"/>
  <c r="BO253" i="23" s="1"/>
  <c r="BO207" i="23"/>
  <c r="BO208" i="23" s="1"/>
  <c r="DE150" i="22"/>
  <c r="DE149" i="22"/>
  <c r="DE148" i="22"/>
  <c r="DE147" i="22"/>
  <c r="DE146" i="22"/>
  <c r="DE142" i="22"/>
  <c r="DE79" i="22" s="1"/>
  <c r="DE141" i="22"/>
  <c r="DE26" i="22"/>
  <c r="DE20" i="22" s="1"/>
  <c r="DE25" i="22"/>
  <c r="DG381" i="23"/>
  <c r="DG358" i="23" s="1"/>
  <c r="DG379" i="23"/>
  <c r="DG350" i="23" s="1"/>
  <c r="DG378" i="23"/>
  <c r="DG346" i="23" s="1"/>
  <c r="DG380" i="23"/>
  <c r="DG354" i="23" s="1"/>
  <c r="DH435" i="23"/>
  <c r="DC22" i="22"/>
  <c r="DD19" i="22"/>
  <c r="DC34" i="22"/>
  <c r="DC37" i="22" s="1"/>
  <c r="DC57" i="22" s="1"/>
  <c r="BJ295" i="23"/>
  <c r="BK291" i="23" s="1"/>
  <c r="BL164" i="23"/>
  <c r="BM160" i="23" s="1"/>
  <c r="DG91" i="23"/>
  <c r="DG333" i="23" s="1"/>
  <c r="DE13" i="22"/>
  <c r="DF10" i="22"/>
  <c r="DE331" i="23"/>
  <c r="CX81" i="22" l="1"/>
  <c r="DA23" i="23"/>
  <c r="DA70" i="22"/>
  <c r="DC417" i="23" s="1"/>
  <c r="CY152" i="22"/>
  <c r="DA30" i="23" s="1"/>
  <c r="CZ144" i="22"/>
  <c r="CZ145" i="22"/>
  <c r="CZ72" i="22"/>
  <c r="DB23" i="23" s="1"/>
  <c r="CZ143" i="22"/>
  <c r="DA31" i="22"/>
  <c r="DH380" i="23"/>
  <c r="DH354" i="23" s="1"/>
  <c r="DI435" i="23"/>
  <c r="DH378" i="23"/>
  <c r="DH346" i="23" s="1"/>
  <c r="DC46" i="22"/>
  <c r="DB69" i="22"/>
  <c r="DB418" i="23"/>
  <c r="DB18" i="23"/>
  <c r="CZ70" i="22"/>
  <c r="DB417" i="23" s="1"/>
  <c r="DB48" i="22"/>
  <c r="DB62" i="22" s="1"/>
  <c r="DB71" i="22" s="1"/>
  <c r="DH381" i="23"/>
  <c r="DH358" i="23" s="1"/>
  <c r="BQ271" i="23"/>
  <c r="BQ272" i="23" s="1"/>
  <c r="BO209" i="23"/>
  <c r="BP205" i="23" s="1"/>
  <c r="BP258" i="23" s="1"/>
  <c r="BP280" i="23"/>
  <c r="BP391" i="23"/>
  <c r="BP351" i="23"/>
  <c r="BM148" i="23"/>
  <c r="BM133" i="23"/>
  <c r="BM141" i="23"/>
  <c r="BN137" i="23" s="1"/>
  <c r="DE35" i="22"/>
  <c r="BK293" i="23"/>
  <c r="BO216" i="23"/>
  <c r="BO386" i="23"/>
  <c r="BO347" i="23"/>
  <c r="DI235" i="23"/>
  <c r="DI337" i="23" s="1"/>
  <c r="DI252" i="23"/>
  <c r="DI221" i="23"/>
  <c r="DI200" i="23"/>
  <c r="DI90" i="23"/>
  <c r="DG10" i="22"/>
  <c r="DF13" i="22"/>
  <c r="DG161" i="22"/>
  <c r="DG6" i="22"/>
  <c r="DH5" i="22"/>
  <c r="DE45" i="22"/>
  <c r="DH91" i="23"/>
  <c r="DH333" i="23" s="1"/>
  <c r="DE78" i="22"/>
  <c r="DI264" i="23"/>
  <c r="DF149" i="22"/>
  <c r="DF148" i="22"/>
  <c r="DF147" i="22"/>
  <c r="DF146" i="22"/>
  <c r="DF150" i="22"/>
  <c r="DF142" i="22"/>
  <c r="DF79" i="22" s="1"/>
  <c r="DF141" i="22"/>
  <c r="DF26" i="22"/>
  <c r="DF20" i="22" s="1"/>
  <c r="DF25" i="22"/>
  <c r="DH335" i="23"/>
  <c r="DD22" i="22"/>
  <c r="DE19" i="22"/>
  <c r="DD34" i="22"/>
  <c r="DD37" i="22" s="1"/>
  <c r="DD57" i="22" s="1"/>
  <c r="DF160" i="22"/>
  <c r="DF159" i="22"/>
  <c r="DF55" i="22" s="1"/>
  <c r="DJ433" i="23"/>
  <c r="DJ432" i="23"/>
  <c r="DJ292" i="23"/>
  <c r="DJ270" i="23"/>
  <c r="DJ206" i="23"/>
  <c r="DJ80" i="23"/>
  <c r="DJ81" i="23"/>
  <c r="DJ6" i="23"/>
  <c r="DK5" i="23"/>
  <c r="DF331" i="23"/>
  <c r="BJ397" i="23"/>
  <c r="BJ345" i="23" s="1"/>
  <c r="BJ399" i="23"/>
  <c r="BJ353" i="23" s="1"/>
  <c r="BJ398" i="23"/>
  <c r="BJ349" i="23" s="1"/>
  <c r="DI42" i="23"/>
  <c r="DI45" i="23"/>
  <c r="DI60" i="23"/>
  <c r="DI48" i="23"/>
  <c r="DI51" i="23"/>
  <c r="DI69" i="23"/>
  <c r="DI47" i="23"/>
  <c r="DI41" i="23"/>
  <c r="DI68" i="23"/>
  <c r="DI39" i="23"/>
  <c r="DI50" i="23"/>
  <c r="DI44" i="23"/>
  <c r="DI46" i="23"/>
  <c r="DI40" i="23"/>
  <c r="DI43" i="23"/>
  <c r="DI31" i="23"/>
  <c r="DI82" i="23"/>
  <c r="DI377" i="23" s="1"/>
  <c r="DI286" i="23"/>
  <c r="BL186" i="23"/>
  <c r="BL187" i="23" s="1"/>
  <c r="BM183" i="23" s="1"/>
  <c r="DE54" i="22"/>
  <c r="DG11" i="22"/>
  <c r="BM162" i="23"/>
  <c r="BM163" i="23" s="1"/>
  <c r="DG67" i="23"/>
  <c r="DG71" i="23" s="1"/>
  <c r="DE28" i="22"/>
  <c r="CY81" i="22" l="1"/>
  <c r="DA144" i="22"/>
  <c r="DA145" i="22"/>
  <c r="CZ152" i="22"/>
  <c r="DB30" i="23" s="1"/>
  <c r="DB420" i="23"/>
  <c r="DA72" i="22"/>
  <c r="DA143" i="22"/>
  <c r="DB31" i="22"/>
  <c r="BP207" i="23"/>
  <c r="BP208" i="23" s="1"/>
  <c r="BP209" i="23" s="1"/>
  <c r="BQ205" i="23" s="1"/>
  <c r="BP251" i="23"/>
  <c r="BP253" i="23" s="1"/>
  <c r="DD46" i="22"/>
  <c r="DC69" i="22"/>
  <c r="DC48" i="22"/>
  <c r="DC62" i="22" s="1"/>
  <c r="BQ351" i="23"/>
  <c r="BQ391" i="23"/>
  <c r="BQ280" i="23"/>
  <c r="BP392" i="23"/>
  <c r="BP344" i="23" s="1"/>
  <c r="BP393" i="23"/>
  <c r="BP348" i="23" s="1"/>
  <c r="BP394" i="23"/>
  <c r="BP357" i="23" s="1"/>
  <c r="BQ273" i="23"/>
  <c r="BR269" i="23" s="1"/>
  <c r="BM185" i="23"/>
  <c r="BM186" i="23" s="1"/>
  <c r="BM384" i="23" s="1"/>
  <c r="DF35" i="22"/>
  <c r="DI378" i="23"/>
  <c r="DI346" i="23" s="1"/>
  <c r="DI380" i="23"/>
  <c r="DI354" i="23" s="1"/>
  <c r="DI379" i="23"/>
  <c r="DI350" i="23" s="1"/>
  <c r="DI381" i="23"/>
  <c r="DI358" i="23" s="1"/>
  <c r="DJ42" i="23"/>
  <c r="DJ45" i="23"/>
  <c r="DJ60" i="23"/>
  <c r="DJ48" i="23"/>
  <c r="DJ51" i="23"/>
  <c r="DJ69" i="23"/>
  <c r="DJ44" i="23"/>
  <c r="DJ47" i="23"/>
  <c r="DJ68" i="23"/>
  <c r="DJ50" i="23"/>
  <c r="DJ39" i="23"/>
  <c r="DJ46" i="23"/>
  <c r="DJ40" i="23"/>
  <c r="DJ43" i="23"/>
  <c r="DJ41" i="23"/>
  <c r="DJ31" i="23"/>
  <c r="BN139" i="23"/>
  <c r="BN140" i="23" s="1"/>
  <c r="DJ82" i="23"/>
  <c r="DJ377" i="23" s="1"/>
  <c r="DJ435" i="23"/>
  <c r="DD18" i="23"/>
  <c r="DB70" i="22"/>
  <c r="DD417" i="23" s="1"/>
  <c r="BK294" i="23"/>
  <c r="DK292" i="23"/>
  <c r="DK270" i="23"/>
  <c r="DK206" i="23"/>
  <c r="DK6" i="23"/>
  <c r="DL5" i="23"/>
  <c r="DH11" i="22"/>
  <c r="DH10" i="22"/>
  <c r="DG13" i="22"/>
  <c r="DF54" i="22"/>
  <c r="DI91" i="23"/>
  <c r="DI333" i="23" s="1"/>
  <c r="DF78" i="22"/>
  <c r="DI335" i="23"/>
  <c r="BM171" i="23"/>
  <c r="BM156" i="23"/>
  <c r="DJ252" i="23"/>
  <c r="DJ221" i="23"/>
  <c r="DJ235" i="23"/>
  <c r="DJ337" i="23" s="1"/>
  <c r="DJ200" i="23"/>
  <c r="DJ90" i="23"/>
  <c r="DF45" i="22"/>
  <c r="DH161" i="22"/>
  <c r="DH6" i="22"/>
  <c r="DI5" i="22"/>
  <c r="DG331" i="23"/>
  <c r="DG148" i="22"/>
  <c r="DG147" i="22"/>
  <c r="DG146" i="22"/>
  <c r="DG149" i="22"/>
  <c r="DG150" i="22"/>
  <c r="DG142" i="22"/>
  <c r="DG79" i="22" s="1"/>
  <c r="DG141" i="22"/>
  <c r="DG26" i="22"/>
  <c r="DG20" i="22" s="1"/>
  <c r="DG25" i="22"/>
  <c r="DE22" i="22"/>
  <c r="DF19" i="22"/>
  <c r="DE34" i="22"/>
  <c r="DE37" i="22" s="1"/>
  <c r="DE57" i="22" s="1"/>
  <c r="DG160" i="22"/>
  <c r="DG159" i="22"/>
  <c r="DG55" i="22" s="1"/>
  <c r="BM164" i="23"/>
  <c r="BN160" i="23" s="1"/>
  <c r="DH67" i="23"/>
  <c r="DH71" i="23" s="1"/>
  <c r="DF28" i="22"/>
  <c r="BL194" i="23"/>
  <c r="BL179" i="23"/>
  <c r="BL384" i="23"/>
  <c r="DJ264" i="23"/>
  <c r="DJ286" i="23"/>
  <c r="BO389" i="23"/>
  <c r="BO356" i="23" s="1"/>
  <c r="BO388" i="23"/>
  <c r="BO352" i="23" s="1"/>
  <c r="BO387" i="23"/>
  <c r="BO343" i="23" s="1"/>
  <c r="CZ81" i="22" l="1"/>
  <c r="DA152" i="22"/>
  <c r="DA81" i="22" s="1"/>
  <c r="DB144" i="22"/>
  <c r="DB145" i="22"/>
  <c r="DB72" i="22"/>
  <c r="DD418" i="23" s="1"/>
  <c r="DD420" i="23" s="1"/>
  <c r="DB143" i="22"/>
  <c r="DC418" i="23"/>
  <c r="DC420" i="23" s="1"/>
  <c r="DC23" i="23"/>
  <c r="DC71" i="22"/>
  <c r="DC31" i="22"/>
  <c r="DE46" i="22"/>
  <c r="DE48" i="22" s="1"/>
  <c r="DE62" i="22" s="1"/>
  <c r="DD69" i="22"/>
  <c r="DD48" i="22"/>
  <c r="DD62" i="22" s="1"/>
  <c r="BM187" i="23"/>
  <c r="BN183" i="23" s="1"/>
  <c r="BN185" i="23" s="1"/>
  <c r="BN186" i="23" s="1"/>
  <c r="BR271" i="23"/>
  <c r="BR272" i="23" s="1"/>
  <c r="BN141" i="23"/>
  <c r="BO137" i="23" s="1"/>
  <c r="BO139" i="23" s="1"/>
  <c r="BQ392" i="23"/>
  <c r="BQ344" i="23" s="1"/>
  <c r="BQ394" i="23"/>
  <c r="BQ357" i="23" s="1"/>
  <c r="BQ393" i="23"/>
  <c r="BQ348" i="23" s="1"/>
  <c r="BQ258" i="23"/>
  <c r="BQ251" i="23"/>
  <c r="BQ253" i="23" s="1"/>
  <c r="BQ207" i="23"/>
  <c r="DG35" i="22"/>
  <c r="DK42" i="23"/>
  <c r="DK45" i="23"/>
  <c r="DK60" i="23"/>
  <c r="DK48" i="23"/>
  <c r="DK51" i="23"/>
  <c r="DK69" i="23"/>
  <c r="DK47" i="23"/>
  <c r="DK68" i="23"/>
  <c r="DK50" i="23"/>
  <c r="DK39" i="23"/>
  <c r="DK46" i="23"/>
  <c r="DK40" i="23"/>
  <c r="DK43" i="23"/>
  <c r="DK41" i="23"/>
  <c r="DK44" i="23"/>
  <c r="DK31" i="23"/>
  <c r="DJ380" i="23"/>
  <c r="DJ354" i="23" s="1"/>
  <c r="DJ379" i="23"/>
  <c r="DJ350" i="23" s="1"/>
  <c r="DJ381" i="23"/>
  <c r="DJ358" i="23" s="1"/>
  <c r="DJ378" i="23"/>
  <c r="DJ346" i="23" s="1"/>
  <c r="DJ91" i="23"/>
  <c r="DJ333" i="23" s="1"/>
  <c r="DI67" i="23"/>
  <c r="DI71" i="23" s="1"/>
  <c r="DG28" i="22"/>
  <c r="BL342" i="23"/>
  <c r="BL93" i="23"/>
  <c r="BN148" i="23"/>
  <c r="BN133" i="23"/>
  <c r="BK396" i="23"/>
  <c r="BK302" i="23"/>
  <c r="BK355" i="23"/>
  <c r="BK94" i="23"/>
  <c r="BK295" i="23"/>
  <c r="BL291" i="23" s="1"/>
  <c r="DH331" i="23"/>
  <c r="DG78" i="22"/>
  <c r="DI161" i="22"/>
  <c r="DI6" i="22"/>
  <c r="DJ5" i="22"/>
  <c r="DG54" i="22"/>
  <c r="DH147" i="22"/>
  <c r="DH146" i="22"/>
  <c r="DH150" i="22"/>
  <c r="DH148" i="22"/>
  <c r="DH149" i="22"/>
  <c r="DH142" i="22"/>
  <c r="DH79" i="22" s="1"/>
  <c r="DH141" i="22"/>
  <c r="DH26" i="22"/>
  <c r="DH20" i="22" s="1"/>
  <c r="DH25" i="22"/>
  <c r="BP216" i="23"/>
  <c r="BP386" i="23"/>
  <c r="BP347" i="23"/>
  <c r="DH160" i="22"/>
  <c r="DH159" i="22"/>
  <c r="DK252" i="23"/>
  <c r="DK221" i="23"/>
  <c r="DK235" i="23"/>
  <c r="DK337" i="23" s="1"/>
  <c r="DK200" i="23"/>
  <c r="DK90" i="23"/>
  <c r="DJ335" i="23"/>
  <c r="DH13" i="22"/>
  <c r="DI10" i="22"/>
  <c r="BN162" i="23"/>
  <c r="BN163" i="23" s="1"/>
  <c r="DI11" i="22"/>
  <c r="DK264" i="23"/>
  <c r="BM194" i="23"/>
  <c r="BM179" i="23"/>
  <c r="DG19" i="22"/>
  <c r="DF22" i="22"/>
  <c r="DF34" i="22"/>
  <c r="DF37" i="22" s="1"/>
  <c r="DF57" i="22" s="1"/>
  <c r="DG45" i="22"/>
  <c r="DK286" i="23"/>
  <c r="DL432" i="23"/>
  <c r="DL433" i="23"/>
  <c r="DL292" i="23"/>
  <c r="DL270" i="23"/>
  <c r="DL206" i="23"/>
  <c r="DL80" i="23"/>
  <c r="DL6" i="23"/>
  <c r="DL81" i="23"/>
  <c r="DM5" i="23"/>
  <c r="DD23" i="23" l="1"/>
  <c r="DC30" i="23"/>
  <c r="DB152" i="22"/>
  <c r="DB81" i="22" s="1"/>
  <c r="DC144" i="22"/>
  <c r="DC145" i="22"/>
  <c r="DC72" i="22"/>
  <c r="DE418" i="23" s="1"/>
  <c r="DC143" i="22"/>
  <c r="DD71" i="22"/>
  <c r="DD31" i="22"/>
  <c r="DF46" i="22"/>
  <c r="DE69" i="22"/>
  <c r="DE18" i="23"/>
  <c r="DC70" i="22"/>
  <c r="DE417" i="23" s="1"/>
  <c r="DL435" i="23"/>
  <c r="BR280" i="23"/>
  <c r="BR391" i="23"/>
  <c r="BR351" i="23"/>
  <c r="BR273" i="23"/>
  <c r="BS269" i="23" s="1"/>
  <c r="DH35" i="22"/>
  <c r="BN171" i="23"/>
  <c r="BN156" i="23"/>
  <c r="BN384" i="23"/>
  <c r="DJ67" i="23"/>
  <c r="DJ71" i="23" s="1"/>
  <c r="DH28" i="22"/>
  <c r="BK399" i="23"/>
  <c r="BK353" i="23" s="1"/>
  <c r="BK397" i="23"/>
  <c r="BK345" i="23" s="1"/>
  <c r="BK398" i="23"/>
  <c r="BK349" i="23" s="1"/>
  <c r="BN194" i="23"/>
  <c r="BN179" i="23"/>
  <c r="DL45" i="23"/>
  <c r="DL60" i="23"/>
  <c r="DL48" i="23"/>
  <c r="DL51" i="23"/>
  <c r="DL69" i="23"/>
  <c r="DL44" i="23"/>
  <c r="DL47" i="23"/>
  <c r="DL68" i="23"/>
  <c r="DL50" i="23"/>
  <c r="DL46" i="23"/>
  <c r="DL42" i="23"/>
  <c r="DL43" i="23"/>
  <c r="DL41" i="23"/>
  <c r="DL39" i="23"/>
  <c r="DL40" i="23"/>
  <c r="DL31" i="23"/>
  <c r="BN164" i="23"/>
  <c r="BO160" i="23" s="1"/>
  <c r="DK335" i="23"/>
  <c r="DH54" i="22"/>
  <c r="BN187" i="23"/>
  <c r="BO183" i="23" s="1"/>
  <c r="DL82" i="23"/>
  <c r="DL377" i="23" s="1"/>
  <c r="DJ10" i="22"/>
  <c r="DI13" i="22"/>
  <c r="DJ161" i="22"/>
  <c r="DJ6" i="22"/>
  <c r="DK5" i="22"/>
  <c r="DI160" i="22"/>
  <c r="DI159" i="22"/>
  <c r="BO140" i="23"/>
  <c r="BO141" i="23" s="1"/>
  <c r="BP137" i="23" s="1"/>
  <c r="DH78" i="22"/>
  <c r="DH45" i="22"/>
  <c r="BP387" i="23"/>
  <c r="BP343" i="23" s="1"/>
  <c r="BP388" i="23"/>
  <c r="BP352" i="23" s="1"/>
  <c r="BP389" i="23"/>
  <c r="BP356" i="23" s="1"/>
  <c r="DI146" i="22"/>
  <c r="DI150" i="22"/>
  <c r="DI149" i="22"/>
  <c r="DI147" i="22"/>
  <c r="DI142" i="22"/>
  <c r="DI79" i="22" s="1"/>
  <c r="DI141" i="22"/>
  <c r="DI148" i="22"/>
  <c r="DI26" i="22"/>
  <c r="DI20" i="22" s="1"/>
  <c r="DI25" i="22"/>
  <c r="DH55" i="22"/>
  <c r="DL252" i="23"/>
  <c r="DL221" i="23"/>
  <c r="DL235" i="23"/>
  <c r="DL337" i="23" s="1"/>
  <c r="DL200" i="23"/>
  <c r="DL90" i="23"/>
  <c r="BL293" i="23"/>
  <c r="DG22" i="22"/>
  <c r="DH19" i="22"/>
  <c r="DG34" i="22"/>
  <c r="DG37" i="22" s="1"/>
  <c r="DG57" i="22" s="1"/>
  <c r="DJ11" i="22"/>
  <c r="BQ208" i="23"/>
  <c r="BQ209" i="23" s="1"/>
  <c r="BR205" i="23" s="1"/>
  <c r="DE71" i="22"/>
  <c r="DE31" i="22"/>
  <c r="BM342" i="23"/>
  <c r="BM93" i="23"/>
  <c r="DK91" i="23"/>
  <c r="DK333" i="23" s="1"/>
  <c r="DL286" i="23"/>
  <c r="DM433" i="23"/>
  <c r="DM432" i="23"/>
  <c r="DM292" i="23"/>
  <c r="DM270" i="23"/>
  <c r="DM206" i="23"/>
  <c r="DM81" i="23"/>
  <c r="DM80" i="23"/>
  <c r="DM6" i="23"/>
  <c r="DN5" i="23"/>
  <c r="DL264" i="23"/>
  <c r="DI331" i="23"/>
  <c r="DE23" i="23" l="1"/>
  <c r="DD30" i="23"/>
  <c r="DC152" i="22"/>
  <c r="DE30" i="23" s="1"/>
  <c r="DE144" i="22"/>
  <c r="DE145" i="22"/>
  <c r="DD144" i="22"/>
  <c r="DD145" i="22"/>
  <c r="DD72" i="22"/>
  <c r="DF23" i="23" s="1"/>
  <c r="DD143" i="22"/>
  <c r="DE72" i="22"/>
  <c r="DG418" i="23" s="1"/>
  <c r="DE143" i="22"/>
  <c r="DE420" i="23"/>
  <c r="DM82" i="23"/>
  <c r="DM377" i="23" s="1"/>
  <c r="DM379" i="23" s="1"/>
  <c r="DM350" i="23" s="1"/>
  <c r="DG46" i="22"/>
  <c r="DF69" i="22"/>
  <c r="DD70" i="22"/>
  <c r="DF417" i="23" s="1"/>
  <c r="DF18" i="23"/>
  <c r="DF48" i="22"/>
  <c r="DF62" i="22" s="1"/>
  <c r="BN342" i="23"/>
  <c r="DI55" i="22"/>
  <c r="DI54" i="22"/>
  <c r="BS271" i="23"/>
  <c r="BS272" i="23" s="1"/>
  <c r="BR392" i="23"/>
  <c r="BR344" i="23" s="1"/>
  <c r="BR394" i="23"/>
  <c r="BR357" i="23" s="1"/>
  <c r="BR393" i="23"/>
  <c r="BR348" i="23" s="1"/>
  <c r="DM435" i="23"/>
  <c r="BP139" i="23"/>
  <c r="BR258" i="23"/>
  <c r="BR251" i="23"/>
  <c r="BR253" i="23" s="1"/>
  <c r="BR207" i="23"/>
  <c r="BR208" i="23" s="1"/>
  <c r="DI35" i="22"/>
  <c r="DL335" i="23"/>
  <c r="DK10" i="22"/>
  <c r="DJ13" i="22"/>
  <c r="DH22" i="22"/>
  <c r="DI19" i="22"/>
  <c r="DH34" i="22"/>
  <c r="DH37" i="22" s="1"/>
  <c r="DH57" i="22" s="1"/>
  <c r="DJ331" i="23"/>
  <c r="BO185" i="23"/>
  <c r="BO186" i="23" s="1"/>
  <c r="BL294" i="23"/>
  <c r="DG18" i="23"/>
  <c r="DE70" i="22"/>
  <c r="DG417" i="23" s="1"/>
  <c r="DM252" i="23"/>
  <c r="DM235" i="23"/>
  <c r="DM337" i="23" s="1"/>
  <c r="DM221" i="23"/>
  <c r="DM200" i="23"/>
  <c r="DM90" i="23"/>
  <c r="BO162" i="23"/>
  <c r="BN93" i="23"/>
  <c r="BQ216" i="23"/>
  <c r="BQ386" i="23"/>
  <c r="BQ347" i="23"/>
  <c r="DI45" i="22"/>
  <c r="BO148" i="23"/>
  <c r="BO133" i="23"/>
  <c r="DI78" i="22"/>
  <c r="DK161" i="22"/>
  <c r="DL5" i="22"/>
  <c r="DK6" i="22"/>
  <c r="DL380" i="23"/>
  <c r="DL354" i="23" s="1"/>
  <c r="DL381" i="23"/>
  <c r="DL358" i="23" s="1"/>
  <c r="DL379" i="23"/>
  <c r="DL350" i="23" s="1"/>
  <c r="DL378" i="23"/>
  <c r="DL346" i="23" s="1"/>
  <c r="DK67" i="23"/>
  <c r="DK71" i="23" s="1"/>
  <c r="DI28" i="22"/>
  <c r="DM264" i="23"/>
  <c r="DN433" i="23"/>
  <c r="DN432" i="23"/>
  <c r="DN292" i="23"/>
  <c r="DN270" i="23"/>
  <c r="DN206" i="23"/>
  <c r="DN81" i="23"/>
  <c r="DN80" i="23"/>
  <c r="DN6" i="23"/>
  <c r="DO5" i="23"/>
  <c r="DM286" i="23"/>
  <c r="DL91" i="23"/>
  <c r="DL333" i="23" s="1"/>
  <c r="DJ150" i="22"/>
  <c r="DJ149" i="22"/>
  <c r="DJ148" i="22"/>
  <c r="DJ146" i="22"/>
  <c r="DJ142" i="22"/>
  <c r="DJ79" i="22" s="1"/>
  <c r="DJ141" i="22"/>
  <c r="DJ147" i="22"/>
  <c r="DJ26" i="22"/>
  <c r="DJ20" i="22" s="1"/>
  <c r="DJ25" i="22"/>
  <c r="DM60" i="23"/>
  <c r="DM48" i="23"/>
  <c r="DM51" i="23"/>
  <c r="DM69" i="23"/>
  <c r="DM47" i="23"/>
  <c r="DM68" i="23"/>
  <c r="DM50" i="23"/>
  <c r="DM42" i="23"/>
  <c r="DM45" i="23"/>
  <c r="DM44" i="23"/>
  <c r="DM40" i="23"/>
  <c r="DM41" i="23"/>
  <c r="DM39" i="23"/>
  <c r="DM43" i="23"/>
  <c r="DM46" i="23"/>
  <c r="DM31" i="23"/>
  <c r="DK11" i="22"/>
  <c r="DJ160" i="22"/>
  <c r="DJ159" i="22"/>
  <c r="DC81" i="22" l="1"/>
  <c r="DE152" i="22"/>
  <c r="DE81" i="22" s="1"/>
  <c r="DF418" i="23"/>
  <c r="DF420" i="23" s="1"/>
  <c r="DG23" i="23"/>
  <c r="DD152" i="22"/>
  <c r="DF30" i="23" s="1"/>
  <c r="DM380" i="23"/>
  <c r="DM354" i="23" s="1"/>
  <c r="DM378" i="23"/>
  <c r="DM346" i="23" s="1"/>
  <c r="DM381" i="23"/>
  <c r="DM358" i="23" s="1"/>
  <c r="DF71" i="22"/>
  <c r="DF31" i="22"/>
  <c r="DH46" i="22"/>
  <c r="DG69" i="22"/>
  <c r="DG48" i="22"/>
  <c r="DG62" i="22" s="1"/>
  <c r="DJ54" i="22"/>
  <c r="BS280" i="23"/>
  <c r="BS391" i="23"/>
  <c r="BS351" i="23"/>
  <c r="BS273" i="23"/>
  <c r="BT269" i="23" s="1"/>
  <c r="BO187" i="23"/>
  <c r="BP183" i="23" s="1"/>
  <c r="BP185" i="23" s="1"/>
  <c r="DN435" i="23"/>
  <c r="BR216" i="23"/>
  <c r="BR386" i="23"/>
  <c r="BR347" i="23"/>
  <c r="BR209" i="23"/>
  <c r="BS205" i="23" s="1"/>
  <c r="DJ35" i="22"/>
  <c r="BL396" i="23"/>
  <c r="BL302" i="23"/>
  <c r="BL355" i="23"/>
  <c r="BL94" i="23"/>
  <c r="DL11" i="22"/>
  <c r="DM91" i="23"/>
  <c r="DM333" i="23" s="1"/>
  <c r="DL67" i="23"/>
  <c r="DL71" i="23" s="1"/>
  <c r="DJ28" i="22"/>
  <c r="DN235" i="23"/>
  <c r="DN337" i="23" s="1"/>
  <c r="DN252" i="23"/>
  <c r="DN221" i="23"/>
  <c r="DN200" i="23"/>
  <c r="DN90" i="23"/>
  <c r="DJ45" i="22"/>
  <c r="BO194" i="23"/>
  <c r="BO179" i="23"/>
  <c r="DL10" i="22"/>
  <c r="DK13" i="22"/>
  <c r="DN264" i="23"/>
  <c r="DK149" i="22"/>
  <c r="DK148" i="22"/>
  <c r="DK147" i="22"/>
  <c r="DK142" i="22"/>
  <c r="DK79" i="22" s="1"/>
  <c r="DK141" i="22"/>
  <c r="DK146" i="22"/>
  <c r="DK150" i="22"/>
  <c r="DK26" i="22"/>
  <c r="DK20" i="22" s="1"/>
  <c r="DK25" i="22"/>
  <c r="BQ387" i="23"/>
  <c r="BQ343" i="23" s="1"/>
  <c r="BQ388" i="23"/>
  <c r="BQ352" i="23" s="1"/>
  <c r="BQ389" i="23"/>
  <c r="BQ356" i="23" s="1"/>
  <c r="DN286" i="23"/>
  <c r="DL161" i="22"/>
  <c r="DM5" i="22"/>
  <c r="DL6" i="22"/>
  <c r="DJ55" i="22"/>
  <c r="BP140" i="23"/>
  <c r="BP141" i="23" s="1"/>
  <c r="BQ137" i="23" s="1"/>
  <c r="DO433" i="23"/>
  <c r="DO432" i="23"/>
  <c r="DO270" i="23"/>
  <c r="DO292" i="23"/>
  <c r="DO206" i="23"/>
  <c r="DO81" i="23"/>
  <c r="DO80" i="23"/>
  <c r="DP5" i="23"/>
  <c r="DO6" i="23"/>
  <c r="DK160" i="22"/>
  <c r="DK159" i="22"/>
  <c r="DM335" i="23"/>
  <c r="DN51" i="23"/>
  <c r="DN69" i="23"/>
  <c r="DN44" i="23"/>
  <c r="DN47" i="23"/>
  <c r="DN68" i="23"/>
  <c r="DN50" i="23"/>
  <c r="DN46" i="23"/>
  <c r="DN60" i="23"/>
  <c r="DN45" i="23"/>
  <c r="DN48" i="23"/>
  <c r="DN40" i="23"/>
  <c r="DN43" i="23"/>
  <c r="DN41" i="23"/>
  <c r="DN39" i="23"/>
  <c r="DN42" i="23"/>
  <c r="DN31" i="23"/>
  <c r="DG420" i="23"/>
  <c r="DJ78" i="22"/>
  <c r="DN82" i="23"/>
  <c r="DN377" i="23" s="1"/>
  <c r="BO163" i="23"/>
  <c r="DK331" i="23"/>
  <c r="BL295" i="23"/>
  <c r="BM291" i="23" s="1"/>
  <c r="DI22" i="22"/>
  <c r="DJ19" i="22"/>
  <c r="DI34" i="22"/>
  <c r="DI37" i="22" s="1"/>
  <c r="DI57" i="22" s="1"/>
  <c r="DG30" i="23" l="1"/>
  <c r="DD81" i="22"/>
  <c r="DF144" i="22"/>
  <c r="DF145" i="22"/>
  <c r="DF72" i="22"/>
  <c r="DH418" i="23" s="1"/>
  <c r="DF143" i="22"/>
  <c r="DG31" i="22"/>
  <c r="DG71" i="22"/>
  <c r="DI46" i="22"/>
  <c r="DH69" i="22"/>
  <c r="DH18" i="23"/>
  <c r="DF70" i="22"/>
  <c r="DH417" i="23" s="1"/>
  <c r="DH48" i="22"/>
  <c r="DH62" i="22" s="1"/>
  <c r="DH71" i="22" s="1"/>
  <c r="DJ18" i="23" s="1"/>
  <c r="DO435" i="23"/>
  <c r="DK54" i="22"/>
  <c r="BP186" i="23"/>
  <c r="BP187" i="23" s="1"/>
  <c r="BQ183" i="23" s="1"/>
  <c r="BQ185" i="23" s="1"/>
  <c r="BT271" i="23"/>
  <c r="BT272" i="23" s="1"/>
  <c r="BS394" i="23"/>
  <c r="BS357" i="23" s="1"/>
  <c r="BS392" i="23"/>
  <c r="BS344" i="23" s="1"/>
  <c r="BS393" i="23"/>
  <c r="BS348" i="23" s="1"/>
  <c r="DK35" i="22"/>
  <c r="DJ22" i="22"/>
  <c r="DK19" i="22"/>
  <c r="DJ34" i="22"/>
  <c r="DJ37" i="22" s="1"/>
  <c r="DJ57" i="22" s="1"/>
  <c r="BQ139" i="23"/>
  <c r="BQ140" i="23" s="1"/>
  <c r="DO252" i="23"/>
  <c r="DO221" i="23"/>
  <c r="DO235" i="23"/>
  <c r="DO337" i="23" s="1"/>
  <c r="DO200" i="23"/>
  <c r="DO90" i="23"/>
  <c r="DO264" i="23"/>
  <c r="DM67" i="23"/>
  <c r="DM71" i="23" s="1"/>
  <c r="DK28" i="22"/>
  <c r="BS258" i="23"/>
  <c r="BS251" i="23"/>
  <c r="BS253" i="23" s="1"/>
  <c r="BS207" i="23"/>
  <c r="BM293" i="23"/>
  <c r="BM294" i="23" s="1"/>
  <c r="DO69" i="23"/>
  <c r="DO41" i="23"/>
  <c r="DO44" i="23"/>
  <c r="DO47" i="23"/>
  <c r="DO68" i="23"/>
  <c r="DO50" i="23"/>
  <c r="DO43" i="23"/>
  <c r="DO46" i="23"/>
  <c r="DO60" i="23"/>
  <c r="DO45" i="23"/>
  <c r="DO51" i="23"/>
  <c r="DO48" i="23"/>
  <c r="DO40" i="23"/>
  <c r="DO39" i="23"/>
  <c r="DO42" i="23"/>
  <c r="DO31" i="23"/>
  <c r="DN91" i="23"/>
  <c r="DN333" i="23" s="1"/>
  <c r="BO171" i="23"/>
  <c r="BO156" i="23"/>
  <c r="BO384" i="23"/>
  <c r="DP433" i="23"/>
  <c r="DP432" i="23"/>
  <c r="DP292" i="23"/>
  <c r="DP270" i="23"/>
  <c r="DP206" i="23"/>
  <c r="DP81" i="23"/>
  <c r="DP80" i="23"/>
  <c r="DQ5" i="23"/>
  <c r="DP6" i="23"/>
  <c r="BR389" i="23"/>
  <c r="BR356" i="23" s="1"/>
  <c r="BR388" i="23"/>
  <c r="BR352" i="23" s="1"/>
  <c r="BR387" i="23"/>
  <c r="BR343" i="23" s="1"/>
  <c r="DO82" i="23"/>
  <c r="DO377" i="23" s="1"/>
  <c r="DN335" i="23"/>
  <c r="DM11" i="22"/>
  <c r="DK45" i="22"/>
  <c r="DN381" i="23"/>
  <c r="DN358" i="23" s="1"/>
  <c r="DN380" i="23"/>
  <c r="DN354" i="23" s="1"/>
  <c r="DN379" i="23"/>
  <c r="DN350" i="23" s="1"/>
  <c r="DN378" i="23"/>
  <c r="DN346" i="23" s="1"/>
  <c r="BP148" i="23"/>
  <c r="BP133" i="23"/>
  <c r="DM10" i="22"/>
  <c r="DL13" i="22"/>
  <c r="DL160" i="22"/>
  <c r="DL159" i="22"/>
  <c r="DO286" i="23"/>
  <c r="DK55" i="22"/>
  <c r="DL150" i="22"/>
  <c r="DL148" i="22"/>
  <c r="DL147" i="22"/>
  <c r="DL141" i="22"/>
  <c r="DL149" i="22"/>
  <c r="DL146" i="22"/>
  <c r="DL142" i="22"/>
  <c r="DL79" i="22" s="1"/>
  <c r="DL26" i="22"/>
  <c r="DL20" i="22" s="1"/>
  <c r="DL25" i="22"/>
  <c r="BL397" i="23"/>
  <c r="BL345" i="23" s="1"/>
  <c r="BL398" i="23"/>
  <c r="BL349" i="23" s="1"/>
  <c r="BL399" i="23"/>
  <c r="BL353" i="23" s="1"/>
  <c r="DM161" i="22"/>
  <c r="DN5" i="22"/>
  <c r="DM6" i="22"/>
  <c r="DK78" i="22"/>
  <c r="DL331" i="23"/>
  <c r="BO164" i="23"/>
  <c r="BP160" i="23" s="1"/>
  <c r="DH23" i="23" l="1"/>
  <c r="DG144" i="22"/>
  <c r="DG145" i="22"/>
  <c r="DF152" i="22"/>
  <c r="DF81" i="22" s="1"/>
  <c r="DG72" i="22"/>
  <c r="DI418" i="23" s="1"/>
  <c r="DG143" i="22"/>
  <c r="DH31" i="22"/>
  <c r="DH70" i="22"/>
  <c r="DJ417" i="23" s="1"/>
  <c r="DH420" i="23"/>
  <c r="BP194" i="23"/>
  <c r="BP179" i="23"/>
  <c r="DJ46" i="22"/>
  <c r="DI69" i="22"/>
  <c r="DG70" i="22"/>
  <c r="DI417" i="23" s="1"/>
  <c r="DI18" i="23"/>
  <c r="DI23" i="23"/>
  <c r="DI48" i="22"/>
  <c r="DI62" i="22" s="1"/>
  <c r="DI71" i="22" s="1"/>
  <c r="DL55" i="22"/>
  <c r="DP435" i="23"/>
  <c r="BT280" i="23"/>
  <c r="BT391" i="23"/>
  <c r="BT351" i="23"/>
  <c r="BT273" i="23"/>
  <c r="BU269" i="23" s="1"/>
  <c r="DP82" i="23"/>
  <c r="DP377" i="23" s="1"/>
  <c r="DP381" i="23" s="1"/>
  <c r="DP358" i="23" s="1"/>
  <c r="BS208" i="23"/>
  <c r="BS209" i="23" s="1"/>
  <c r="BT205" i="23" s="1"/>
  <c r="DL35" i="22"/>
  <c r="BQ148" i="23"/>
  <c r="BQ133" i="23"/>
  <c r="BM396" i="23"/>
  <c r="BM302" i="23"/>
  <c r="BM355" i="23"/>
  <c r="BM94" i="23"/>
  <c r="DN67" i="23"/>
  <c r="DN71" i="23" s="1"/>
  <c r="DL28" i="22"/>
  <c r="DO379" i="23"/>
  <c r="DO350" i="23" s="1"/>
  <c r="DO378" i="23"/>
  <c r="DO346" i="23" s="1"/>
  <c r="DO381" i="23"/>
  <c r="DO358" i="23" s="1"/>
  <c r="DO380" i="23"/>
  <c r="DO354" i="23" s="1"/>
  <c r="DP252" i="23"/>
  <c r="DP235" i="23"/>
  <c r="DP337" i="23" s="1"/>
  <c r="DP200" i="23"/>
  <c r="DP221" i="23"/>
  <c r="DP90" i="23"/>
  <c r="DM331" i="23"/>
  <c r="DP286" i="23"/>
  <c r="DP69" i="23"/>
  <c r="DP41" i="23"/>
  <c r="DP44" i="23"/>
  <c r="DP47" i="23"/>
  <c r="DP68" i="23"/>
  <c r="DP50" i="23"/>
  <c r="DP46" i="23"/>
  <c r="DP60" i="23"/>
  <c r="DP51" i="23"/>
  <c r="DP45" i="23"/>
  <c r="DP48" i="23"/>
  <c r="DP40" i="23"/>
  <c r="DP43" i="23"/>
  <c r="DP39" i="23"/>
  <c r="DP42" i="23"/>
  <c r="DP31" i="23"/>
  <c r="BQ141" i="23"/>
  <c r="BR137" i="23" s="1"/>
  <c r="DQ433" i="23"/>
  <c r="DQ432" i="23"/>
  <c r="DQ270" i="23"/>
  <c r="DQ292" i="23"/>
  <c r="DQ206" i="23"/>
  <c r="DQ81" i="23"/>
  <c r="DQ80" i="23"/>
  <c r="DR5" i="23"/>
  <c r="DQ6" i="23"/>
  <c r="BP162" i="23"/>
  <c r="BP163" i="23" s="1"/>
  <c r="DL54" i="22"/>
  <c r="BM295" i="23"/>
  <c r="BN291" i="23" s="1"/>
  <c r="DL78" i="22"/>
  <c r="DM13" i="22"/>
  <c r="DN10" i="22"/>
  <c r="DM150" i="22"/>
  <c r="DM149" i="22"/>
  <c r="DM147" i="22"/>
  <c r="DM146" i="22"/>
  <c r="DM148" i="22"/>
  <c r="DM142" i="22"/>
  <c r="DM79" i="22" s="1"/>
  <c r="DM141" i="22"/>
  <c r="DM26" i="22"/>
  <c r="DM20" i="22" s="1"/>
  <c r="DM25" i="22"/>
  <c r="DO91" i="23"/>
  <c r="DO333" i="23" s="1"/>
  <c r="BQ186" i="23"/>
  <c r="DN161" i="22"/>
  <c r="DO5" i="22"/>
  <c r="DN6" i="22"/>
  <c r="DL45" i="22"/>
  <c r="DP264" i="23"/>
  <c r="DM160" i="22"/>
  <c r="DM159" i="22"/>
  <c r="BO342" i="23"/>
  <c r="BO93" i="23"/>
  <c r="DK22" i="22"/>
  <c r="DL19" i="22"/>
  <c r="DK34" i="22"/>
  <c r="DK37" i="22" s="1"/>
  <c r="DK57" i="22" s="1"/>
  <c r="DN11" i="22"/>
  <c r="DO335" i="23"/>
  <c r="DG152" i="22" l="1"/>
  <c r="DI30" i="23" s="1"/>
  <c r="DH30" i="23"/>
  <c r="DH144" i="22"/>
  <c r="DH145" i="22"/>
  <c r="DH72" i="22"/>
  <c r="DH143" i="22"/>
  <c r="DP378" i="23"/>
  <c r="DP346" i="23" s="1"/>
  <c r="DP380" i="23"/>
  <c r="DP354" i="23" s="1"/>
  <c r="DP379" i="23"/>
  <c r="DP350" i="23" s="1"/>
  <c r="DI31" i="22"/>
  <c r="DM55" i="22"/>
  <c r="DI420" i="23"/>
  <c r="DJ69" i="22"/>
  <c r="DK46" i="22"/>
  <c r="DJ48" i="22"/>
  <c r="DJ62" i="22" s="1"/>
  <c r="DJ71" i="22" s="1"/>
  <c r="DQ82" i="23"/>
  <c r="DQ377" i="23" s="1"/>
  <c r="DQ381" i="23" s="1"/>
  <c r="DQ358" i="23" s="1"/>
  <c r="BS347" i="23"/>
  <c r="BS386" i="23"/>
  <c r="BS387" i="23" s="1"/>
  <c r="BS343" i="23" s="1"/>
  <c r="BS216" i="23"/>
  <c r="DQ435" i="23"/>
  <c r="BT258" i="23"/>
  <c r="BT251" i="23"/>
  <c r="BT253" i="23" s="1"/>
  <c r="BT207" i="23"/>
  <c r="BT208" i="23" s="1"/>
  <c r="BU271" i="23"/>
  <c r="BU272" i="23" s="1"/>
  <c r="BT394" i="23"/>
  <c r="BT357" i="23" s="1"/>
  <c r="BT392" i="23"/>
  <c r="BT344" i="23" s="1"/>
  <c r="BT393" i="23"/>
  <c r="BT348" i="23" s="1"/>
  <c r="BP171" i="23"/>
  <c r="BP156" i="23"/>
  <c r="BP384" i="23"/>
  <c r="BP164" i="23"/>
  <c r="BQ160" i="23" s="1"/>
  <c r="DM35" i="22"/>
  <c r="DN159" i="22"/>
  <c r="DN160" i="22"/>
  <c r="DR433" i="23"/>
  <c r="DR432" i="23"/>
  <c r="DR270" i="23"/>
  <c r="DR292" i="23"/>
  <c r="DR206" i="23"/>
  <c r="DR81" i="23"/>
  <c r="DR80" i="23"/>
  <c r="DS5" i="23"/>
  <c r="DR6" i="23"/>
  <c r="DO161" i="22"/>
  <c r="DO6" i="22"/>
  <c r="DP5" i="22"/>
  <c r="DQ44" i="23"/>
  <c r="DQ47" i="23"/>
  <c r="DQ68" i="23"/>
  <c r="DQ50" i="23"/>
  <c r="DQ46" i="23"/>
  <c r="DQ45" i="23"/>
  <c r="DQ60" i="23"/>
  <c r="DQ51" i="23"/>
  <c r="DQ69" i="23"/>
  <c r="DQ48" i="23"/>
  <c r="DQ40" i="23"/>
  <c r="DQ43" i="23"/>
  <c r="DQ42" i="23"/>
  <c r="DQ41" i="23"/>
  <c r="DQ39" i="23"/>
  <c r="DQ31" i="23"/>
  <c r="BM397" i="23"/>
  <c r="BM345" i="23" s="1"/>
  <c r="BM399" i="23"/>
  <c r="BM353" i="23" s="1"/>
  <c r="BM398" i="23"/>
  <c r="BM349" i="23" s="1"/>
  <c r="BQ194" i="23"/>
  <c r="BQ179" i="23"/>
  <c r="DK18" i="23"/>
  <c r="DI70" i="22"/>
  <c r="DK417" i="23" s="1"/>
  <c r="BN293" i="23"/>
  <c r="BR139" i="23"/>
  <c r="DM54" i="22"/>
  <c r="DO67" i="23"/>
  <c r="DO71" i="23" s="1"/>
  <c r="DM28" i="22"/>
  <c r="DL22" i="22"/>
  <c r="DM19" i="22"/>
  <c r="DL34" i="22"/>
  <c r="DL37" i="22" s="1"/>
  <c r="DL57" i="22" s="1"/>
  <c r="DO11" i="22"/>
  <c r="DP335" i="23"/>
  <c r="DN331" i="23"/>
  <c r="DQ264" i="23"/>
  <c r="DM45" i="22"/>
  <c r="DM78" i="22"/>
  <c r="DQ252" i="23"/>
  <c r="DQ235" i="23"/>
  <c r="DQ337" i="23" s="1"/>
  <c r="DQ200" i="23"/>
  <c r="DQ221" i="23"/>
  <c r="DQ90" i="23"/>
  <c r="DP91" i="23"/>
  <c r="DP333" i="23" s="1"/>
  <c r="BQ187" i="23"/>
  <c r="BR183" i="23" s="1"/>
  <c r="DN13" i="22"/>
  <c r="DO10" i="22"/>
  <c r="DN150" i="22"/>
  <c r="DN149" i="22"/>
  <c r="DN148" i="22"/>
  <c r="DN146" i="22"/>
  <c r="DN147" i="22"/>
  <c r="DN142" i="22"/>
  <c r="DN79" i="22" s="1"/>
  <c r="DN141" i="22"/>
  <c r="DN26" i="22"/>
  <c r="DN20" i="22" s="1"/>
  <c r="DN25" i="22"/>
  <c r="DQ286" i="23"/>
  <c r="DG81" i="22" l="1"/>
  <c r="DH152" i="22"/>
  <c r="DJ30" i="23" s="1"/>
  <c r="DI144" i="22"/>
  <c r="DI145" i="22"/>
  <c r="DI72" i="22"/>
  <c r="DI143" i="22"/>
  <c r="DN55" i="22"/>
  <c r="DJ418" i="23"/>
  <c r="DJ420" i="23" s="1"/>
  <c r="DJ23" i="23"/>
  <c r="DQ380" i="23"/>
  <c r="DQ354" i="23" s="1"/>
  <c r="DQ379" i="23"/>
  <c r="DQ350" i="23" s="1"/>
  <c r="DK418" i="23"/>
  <c r="DK420" i="23" s="1"/>
  <c r="DK23" i="23"/>
  <c r="BS388" i="23"/>
  <c r="BS352" i="23" s="1"/>
  <c r="DR435" i="23"/>
  <c r="BS389" i="23"/>
  <c r="BS356" i="23" s="1"/>
  <c r="DJ31" i="22"/>
  <c r="DL46" i="22"/>
  <c r="DK69" i="22"/>
  <c r="DQ378" i="23"/>
  <c r="DQ346" i="23" s="1"/>
  <c r="DK48" i="22"/>
  <c r="DK62" i="22" s="1"/>
  <c r="DK71" i="22" s="1"/>
  <c r="BU280" i="23"/>
  <c r="BU391" i="23"/>
  <c r="BU351" i="23"/>
  <c r="BU273" i="23"/>
  <c r="BV269" i="23" s="1"/>
  <c r="DR82" i="23"/>
  <c r="DR377" i="23" s="1"/>
  <c r="DR381" i="23" s="1"/>
  <c r="DR358" i="23" s="1"/>
  <c r="DN54" i="22"/>
  <c r="BR140" i="23"/>
  <c r="BR133" i="23" s="1"/>
  <c r="DN35" i="22"/>
  <c r="DO13" i="22"/>
  <c r="DP10" i="22"/>
  <c r="DQ335" i="23"/>
  <c r="DO331" i="23"/>
  <c r="DR264" i="23"/>
  <c r="DP67" i="23"/>
  <c r="DP71" i="23" s="1"/>
  <c r="DN28" i="22"/>
  <c r="DN78" i="22"/>
  <c r="DP161" i="22"/>
  <c r="DQ5" i="22"/>
  <c r="DP6" i="22"/>
  <c r="BQ162" i="23"/>
  <c r="BQ163" i="23" s="1"/>
  <c r="DO150" i="22"/>
  <c r="DO149" i="22"/>
  <c r="DO148" i="22"/>
  <c r="DO147" i="22"/>
  <c r="DO146" i="22"/>
  <c r="DO142" i="22"/>
  <c r="DO79" i="22" s="1"/>
  <c r="DO141" i="22"/>
  <c r="DO25" i="22"/>
  <c r="DO26" i="22"/>
  <c r="DO20" i="22" s="1"/>
  <c r="DO35" i="22" s="1"/>
  <c r="DR252" i="23"/>
  <c r="DR235" i="23"/>
  <c r="DR337" i="23" s="1"/>
  <c r="DR221" i="23"/>
  <c r="DR200" i="23"/>
  <c r="DR90" i="23"/>
  <c r="DP11" i="22"/>
  <c r="DO159" i="22"/>
  <c r="DO160" i="22"/>
  <c r="BP342" i="23"/>
  <c r="BP93" i="23"/>
  <c r="DQ91" i="23"/>
  <c r="DQ333" i="23" s="1"/>
  <c r="BT216" i="23"/>
  <c r="BT347" i="23"/>
  <c r="BT386" i="23"/>
  <c r="BR185" i="23"/>
  <c r="BN294" i="23"/>
  <c r="BN295" i="23" s="1"/>
  <c r="BO291" i="23" s="1"/>
  <c r="DL18" i="23"/>
  <c r="DJ70" i="22"/>
  <c r="DL417" i="23" s="1"/>
  <c r="DR47" i="23"/>
  <c r="DR68" i="23"/>
  <c r="DR50" i="23"/>
  <c r="DR46" i="23"/>
  <c r="DR60" i="23"/>
  <c r="DR48" i="23"/>
  <c r="DR51" i="23"/>
  <c r="DR69" i="23"/>
  <c r="DR45" i="23"/>
  <c r="DR40" i="23"/>
  <c r="DR43" i="23"/>
  <c r="DR44" i="23"/>
  <c r="DR41" i="23"/>
  <c r="DR39" i="23"/>
  <c r="DR42" i="23"/>
  <c r="DR31" i="23"/>
  <c r="DR286" i="23"/>
  <c r="BT209" i="23"/>
  <c r="BU205" i="23" s="1"/>
  <c r="DN45" i="22"/>
  <c r="DM22" i="22"/>
  <c r="DN19" i="22"/>
  <c r="DM34" i="22"/>
  <c r="DM37" i="22" s="1"/>
  <c r="DM57" i="22" s="1"/>
  <c r="DS432" i="23"/>
  <c r="DS433" i="23"/>
  <c r="DS270" i="23"/>
  <c r="DS292" i="23"/>
  <c r="DS206" i="23"/>
  <c r="DS81" i="23"/>
  <c r="DS80" i="23"/>
  <c r="DT5" i="23"/>
  <c r="DS6" i="23"/>
  <c r="DO55" i="22" l="1"/>
  <c r="DH81" i="22"/>
  <c r="DI152" i="22"/>
  <c r="DK30" i="23" s="1"/>
  <c r="DJ144" i="22"/>
  <c r="DJ145" i="22"/>
  <c r="DJ72" i="22"/>
  <c r="DL418" i="23" s="1"/>
  <c r="DL420" i="23" s="1"/>
  <c r="DJ143" i="22"/>
  <c r="DK31" i="22"/>
  <c r="DR380" i="23"/>
  <c r="DR354" i="23" s="1"/>
  <c r="DR378" i="23"/>
  <c r="DR346" i="23" s="1"/>
  <c r="DL69" i="22"/>
  <c r="DM46" i="22"/>
  <c r="DL48" i="22"/>
  <c r="DL62" i="22" s="1"/>
  <c r="DL71" i="22" s="1"/>
  <c r="DN18" i="23" s="1"/>
  <c r="DS82" i="23"/>
  <c r="DS377" i="23" s="1"/>
  <c r="DS381" i="23" s="1"/>
  <c r="DS358" i="23" s="1"/>
  <c r="BR148" i="23"/>
  <c r="BR141" i="23"/>
  <c r="BS137" i="23" s="1"/>
  <c r="DS435" i="23"/>
  <c r="BV271" i="23"/>
  <c r="DR379" i="23"/>
  <c r="DR350" i="23" s="1"/>
  <c r="BU394" i="23"/>
  <c r="BU357" i="23" s="1"/>
  <c r="BU392" i="23"/>
  <c r="BU344" i="23" s="1"/>
  <c r="BU393" i="23"/>
  <c r="BU348" i="23" s="1"/>
  <c r="BQ171" i="23"/>
  <c r="BQ156" i="23"/>
  <c r="BQ384" i="23"/>
  <c r="BO293" i="23"/>
  <c r="DO45" i="22"/>
  <c r="BU258" i="23"/>
  <c r="BU251" i="23"/>
  <c r="BU253" i="23" s="1"/>
  <c r="BU207" i="23"/>
  <c r="BU208" i="23" s="1"/>
  <c r="BQ164" i="23"/>
  <c r="BR160" i="23" s="1"/>
  <c r="DP331" i="23"/>
  <c r="DP13" i="22"/>
  <c r="DQ10" i="22"/>
  <c r="DP150" i="22"/>
  <c r="DP149" i="22"/>
  <c r="DP148" i="22"/>
  <c r="DP147" i="22"/>
  <c r="DP146" i="22"/>
  <c r="DP142" i="22"/>
  <c r="DP79" i="22" s="1"/>
  <c r="DP141" i="22"/>
  <c r="DP25" i="22"/>
  <c r="DP26" i="22"/>
  <c r="DP20" i="22" s="1"/>
  <c r="DP35" i="22" s="1"/>
  <c r="DO54" i="22"/>
  <c r="BR186" i="23"/>
  <c r="DQ11" i="22"/>
  <c r="DO78" i="22"/>
  <c r="DQ161" i="22"/>
  <c r="DR5" i="22"/>
  <c r="DQ6" i="22"/>
  <c r="DP159" i="22"/>
  <c r="DP160" i="22"/>
  <c r="DS68" i="23"/>
  <c r="DS50" i="23"/>
  <c r="DS46" i="23"/>
  <c r="DS45" i="23"/>
  <c r="DS51" i="23"/>
  <c r="DS69" i="23"/>
  <c r="DS47" i="23"/>
  <c r="DS40" i="23"/>
  <c r="DS48" i="23"/>
  <c r="DS43" i="23"/>
  <c r="DS44" i="23"/>
  <c r="DS41" i="23"/>
  <c r="DS39" i="23"/>
  <c r="DS60" i="23"/>
  <c r="DS42" i="23"/>
  <c r="DS31" i="23"/>
  <c r="DS286" i="23"/>
  <c r="BT389" i="23"/>
  <c r="BT356" i="23" s="1"/>
  <c r="BT388" i="23"/>
  <c r="BT352" i="23" s="1"/>
  <c r="BT387" i="23"/>
  <c r="BT343" i="23" s="1"/>
  <c r="DR91" i="23"/>
  <c r="DR333" i="23" s="1"/>
  <c r="DT432" i="23"/>
  <c r="DT433" i="23"/>
  <c r="DT292" i="23"/>
  <c r="DT270" i="23"/>
  <c r="DT206" i="23"/>
  <c r="DT81" i="23"/>
  <c r="DT80" i="23"/>
  <c r="DU5" i="23"/>
  <c r="DT6" i="23"/>
  <c r="DR335" i="23"/>
  <c r="DQ67" i="23"/>
  <c r="DQ71" i="23" s="1"/>
  <c r="DO28" i="22"/>
  <c r="DS264" i="23"/>
  <c r="BN396" i="23"/>
  <c r="BN302" i="23"/>
  <c r="BN355" i="23"/>
  <c r="BN94" i="23"/>
  <c r="DN22" i="22"/>
  <c r="DO19" i="22"/>
  <c r="DN34" i="22"/>
  <c r="DN37" i="22" s="1"/>
  <c r="DN57" i="22" s="1"/>
  <c r="DM18" i="23"/>
  <c r="DK70" i="22"/>
  <c r="DM417" i="23" s="1"/>
  <c r="DS252" i="23"/>
  <c r="DS235" i="23"/>
  <c r="DS337" i="23" s="1"/>
  <c r="DS221" i="23"/>
  <c r="DS200" i="23"/>
  <c r="DS90" i="23"/>
  <c r="DP55" i="22" l="1"/>
  <c r="DI81" i="22"/>
  <c r="DL23" i="23"/>
  <c r="DJ152" i="22"/>
  <c r="DL30" i="23" s="1"/>
  <c r="DK144" i="22"/>
  <c r="DK145" i="22"/>
  <c r="DS380" i="23"/>
  <c r="DS354" i="23" s="1"/>
  <c r="DS378" i="23"/>
  <c r="DS346" i="23" s="1"/>
  <c r="DK72" i="22"/>
  <c r="DM418" i="23" s="1"/>
  <c r="DM420" i="23" s="1"/>
  <c r="DK143" i="22"/>
  <c r="DL70" i="22"/>
  <c r="DN417" i="23" s="1"/>
  <c r="DS379" i="23"/>
  <c r="DS350" i="23" s="1"/>
  <c r="DL31" i="22"/>
  <c r="DM69" i="22"/>
  <c r="DN46" i="22"/>
  <c r="DM48" i="22"/>
  <c r="DM62" i="22" s="1"/>
  <c r="DM71" i="22" s="1"/>
  <c r="DT82" i="23"/>
  <c r="DT377" i="23" s="1"/>
  <c r="DT378" i="23" s="1"/>
  <c r="DT346" i="23" s="1"/>
  <c r="DT435" i="23"/>
  <c r="DP54" i="22"/>
  <c r="BU209" i="23"/>
  <c r="BV205" i="23" s="1"/>
  <c r="BV258" i="23" s="1"/>
  <c r="BV272" i="23"/>
  <c r="BS139" i="23"/>
  <c r="BS140" i="23" s="1"/>
  <c r="DT43" i="23"/>
  <c r="DT46" i="23"/>
  <c r="DT42" i="23"/>
  <c r="DT45" i="23"/>
  <c r="DT60" i="23"/>
  <c r="DT48" i="23"/>
  <c r="DT69" i="23"/>
  <c r="DT68" i="23"/>
  <c r="DT40" i="23"/>
  <c r="DT51" i="23"/>
  <c r="DT50" i="23"/>
  <c r="DT44" i="23"/>
  <c r="DT41" i="23"/>
  <c r="DT39" i="23"/>
  <c r="DT47" i="23"/>
  <c r="DT31" i="23"/>
  <c r="DT264" i="23"/>
  <c r="DQ150" i="22"/>
  <c r="DQ149" i="22"/>
  <c r="DQ148" i="22"/>
  <c r="DQ147" i="22"/>
  <c r="DQ146" i="22"/>
  <c r="DQ142" i="22"/>
  <c r="DQ79" i="22" s="1"/>
  <c r="DQ141" i="22"/>
  <c r="DQ26" i="22"/>
  <c r="DQ20" i="22" s="1"/>
  <c r="DQ25" i="22"/>
  <c r="DQ13" i="22"/>
  <c r="DR10" i="22"/>
  <c r="DT286" i="23"/>
  <c r="BN397" i="23"/>
  <c r="BN345" i="23" s="1"/>
  <c r="BN398" i="23"/>
  <c r="BN349" i="23" s="1"/>
  <c r="BN399" i="23"/>
  <c r="BN353" i="23" s="1"/>
  <c r="DQ159" i="22"/>
  <c r="DQ160" i="22"/>
  <c r="DP78" i="22"/>
  <c r="BR162" i="23"/>
  <c r="BR163" i="23" s="1"/>
  <c r="DR11" i="22"/>
  <c r="DQ331" i="23"/>
  <c r="BR194" i="23"/>
  <c r="BR179" i="23"/>
  <c r="BO294" i="23"/>
  <c r="BO295" i="23" s="1"/>
  <c r="BP291" i="23" s="1"/>
  <c r="DR161" i="22"/>
  <c r="DS5" i="22"/>
  <c r="DR6" i="22"/>
  <c r="DS335" i="23"/>
  <c r="BU216" i="23"/>
  <c r="BU386" i="23"/>
  <c r="BU347" i="23"/>
  <c r="DT252" i="23"/>
  <c r="DT235" i="23"/>
  <c r="DT337" i="23" s="1"/>
  <c r="DT221" i="23"/>
  <c r="DT200" i="23"/>
  <c r="DT90" i="23"/>
  <c r="BR187" i="23"/>
  <c r="BS183" i="23" s="1"/>
  <c r="DU432" i="23"/>
  <c r="DU433" i="23"/>
  <c r="DU292" i="23"/>
  <c r="DU270" i="23"/>
  <c r="DU206" i="23"/>
  <c r="DU81" i="23"/>
  <c r="DU80" i="23"/>
  <c r="DV5" i="23"/>
  <c r="DU6" i="23"/>
  <c r="DS91" i="23"/>
  <c r="DS333" i="23" s="1"/>
  <c r="DO22" i="22"/>
  <c r="DP19" i="22"/>
  <c r="DO34" i="22"/>
  <c r="DO37" i="22" s="1"/>
  <c r="DO57" i="22" s="1"/>
  <c r="DR67" i="23"/>
  <c r="DR71" i="23" s="1"/>
  <c r="DP28" i="22"/>
  <c r="BQ342" i="23"/>
  <c r="BQ93" i="23"/>
  <c r="DP45" i="22"/>
  <c r="DJ81" i="22" l="1"/>
  <c r="DQ55" i="22"/>
  <c r="DM23" i="23"/>
  <c r="DK152" i="22"/>
  <c r="DM30" i="23" s="1"/>
  <c r="DL144" i="22"/>
  <c r="DL145" i="22"/>
  <c r="DM31" i="22"/>
  <c r="DM145" i="22" s="1"/>
  <c r="DL72" i="22"/>
  <c r="DN418" i="23" s="1"/>
  <c r="DN420" i="23" s="1"/>
  <c r="DL143" i="22"/>
  <c r="BV207" i="23"/>
  <c r="BV208" i="23" s="1"/>
  <c r="BV209" i="23" s="1"/>
  <c r="BW205" i="23" s="1"/>
  <c r="BV251" i="23"/>
  <c r="BV253" i="23" s="1"/>
  <c r="DT381" i="23"/>
  <c r="DT358" i="23" s="1"/>
  <c r="DT380" i="23"/>
  <c r="DT354" i="23" s="1"/>
  <c r="DT379" i="23"/>
  <c r="DT350" i="23" s="1"/>
  <c r="DN69" i="22"/>
  <c r="DO46" i="22"/>
  <c r="DO48" i="22" s="1"/>
  <c r="DO62" i="22" s="1"/>
  <c r="DN48" i="22"/>
  <c r="DN62" i="22" s="1"/>
  <c r="BR164" i="23"/>
  <c r="BS160" i="23" s="1"/>
  <c r="BS162" i="23" s="1"/>
  <c r="BS163" i="23" s="1"/>
  <c r="DU435" i="23"/>
  <c r="BS148" i="23"/>
  <c r="BS133" i="23"/>
  <c r="BS141" i="23"/>
  <c r="BT137" i="23" s="1"/>
  <c r="BV280" i="23"/>
  <c r="BV391" i="23"/>
  <c r="BV351" i="23"/>
  <c r="BV273" i="23"/>
  <c r="BW269" i="23" s="1"/>
  <c r="BP293" i="23"/>
  <c r="DU43" i="23"/>
  <c r="DU46" i="23"/>
  <c r="DU45" i="23"/>
  <c r="DU60" i="23"/>
  <c r="DU48" i="23"/>
  <c r="DU51" i="23"/>
  <c r="DU69" i="23"/>
  <c r="DU68" i="23"/>
  <c r="DU50" i="23"/>
  <c r="DU40" i="23"/>
  <c r="DU44" i="23"/>
  <c r="DU41" i="23"/>
  <c r="DU39" i="23"/>
  <c r="DU42" i="23"/>
  <c r="DU47" i="23"/>
  <c r="DU31" i="23"/>
  <c r="DV432" i="23"/>
  <c r="DV433" i="23"/>
  <c r="DV292" i="23"/>
  <c r="DV270" i="23"/>
  <c r="DV206" i="23"/>
  <c r="DV81" i="23"/>
  <c r="DV80" i="23"/>
  <c r="DW5" i="23"/>
  <c r="DV6" i="23"/>
  <c r="DU286" i="23"/>
  <c r="DS67" i="23"/>
  <c r="DS71" i="23" s="1"/>
  <c r="DQ28" i="22"/>
  <c r="DU82" i="23"/>
  <c r="DU377" i="23" s="1"/>
  <c r="DR150" i="22"/>
  <c r="DR149" i="22"/>
  <c r="DR148" i="22"/>
  <c r="DR147" i="22"/>
  <c r="DR146" i="22"/>
  <c r="DR142" i="22"/>
  <c r="DR79" i="22" s="1"/>
  <c r="DR141" i="22"/>
  <c r="DR26" i="22"/>
  <c r="DR20" i="22" s="1"/>
  <c r="DR35" i="22" s="1"/>
  <c r="DR25" i="22"/>
  <c r="DT335" i="23"/>
  <c r="DQ45" i="22"/>
  <c r="DT91" i="23"/>
  <c r="DT333" i="23" s="1"/>
  <c r="DS161" i="22"/>
  <c r="DS6" i="22"/>
  <c r="DT5" i="22"/>
  <c r="BR171" i="23"/>
  <c r="BR156" i="23"/>
  <c r="BR384" i="23"/>
  <c r="BO396" i="23"/>
  <c r="BO302" i="23"/>
  <c r="BO355" i="23"/>
  <c r="BO94" i="23"/>
  <c r="DU252" i="23"/>
  <c r="DU235" i="23"/>
  <c r="DU337" i="23" s="1"/>
  <c r="DU221" i="23"/>
  <c r="DU200" i="23"/>
  <c r="DU90" i="23"/>
  <c r="DQ78" i="22"/>
  <c r="DR331" i="23"/>
  <c r="DO18" i="23"/>
  <c r="DM70" i="22"/>
  <c r="DO417" i="23" s="1"/>
  <c r="DP22" i="22"/>
  <c r="DQ19" i="22"/>
  <c r="DP34" i="22"/>
  <c r="DP37" i="22" s="1"/>
  <c r="DP57" i="22" s="1"/>
  <c r="BU389" i="23"/>
  <c r="BU356" i="23" s="1"/>
  <c r="BU388" i="23"/>
  <c r="BU352" i="23" s="1"/>
  <c r="BU387" i="23"/>
  <c r="BU343" i="23" s="1"/>
  <c r="DQ35" i="22"/>
  <c r="DR160" i="22"/>
  <c r="DR159" i="22"/>
  <c r="DR55" i="22" s="1"/>
  <c r="BS185" i="23"/>
  <c r="DU264" i="23"/>
  <c r="DS11" i="22"/>
  <c r="DQ54" i="22"/>
  <c r="DR13" i="22"/>
  <c r="DS10" i="22"/>
  <c r="DK81" i="22" l="1"/>
  <c r="DN23" i="23"/>
  <c r="DL152" i="22"/>
  <c r="DN30" i="23" s="1"/>
  <c r="DM143" i="22"/>
  <c r="DM144" i="22"/>
  <c r="DM72" i="22"/>
  <c r="DN71" i="22"/>
  <c r="DN31" i="22"/>
  <c r="DP46" i="22"/>
  <c r="DO69" i="22"/>
  <c r="BS186" i="23"/>
  <c r="BS187" i="23" s="1"/>
  <c r="BT183" i="23" s="1"/>
  <c r="BT185" i="23" s="1"/>
  <c r="BW271" i="23"/>
  <c r="BW272" i="23" s="1"/>
  <c r="BW273" i="23" s="1"/>
  <c r="BX269" i="23" s="1"/>
  <c r="BV392" i="23"/>
  <c r="BV344" i="23" s="1"/>
  <c r="BV393" i="23"/>
  <c r="BV348" i="23" s="1"/>
  <c r="BV394" i="23"/>
  <c r="BV357" i="23" s="1"/>
  <c r="BT139" i="23"/>
  <c r="BT140" i="23" s="1"/>
  <c r="DR54" i="22"/>
  <c r="DV435" i="23"/>
  <c r="BS171" i="23"/>
  <c r="BS156" i="23"/>
  <c r="DS331" i="23"/>
  <c r="DV264" i="23"/>
  <c r="BS164" i="23"/>
  <c r="BT160" i="23" s="1"/>
  <c r="DS13" i="22"/>
  <c r="DT10" i="22"/>
  <c r="DU335" i="23"/>
  <c r="DV43" i="23"/>
  <c r="DV46" i="23"/>
  <c r="DV45" i="23"/>
  <c r="DV60" i="23"/>
  <c r="DV48" i="23"/>
  <c r="DV51" i="23"/>
  <c r="DV44" i="23"/>
  <c r="DV68" i="23"/>
  <c r="DV50" i="23"/>
  <c r="DV40" i="23"/>
  <c r="DV41" i="23"/>
  <c r="DV39" i="23"/>
  <c r="DV42" i="23"/>
  <c r="DV69" i="23"/>
  <c r="DV47" i="23"/>
  <c r="DV31" i="23"/>
  <c r="BW258" i="23"/>
  <c r="BW251" i="23"/>
  <c r="BW253" i="23" s="1"/>
  <c r="BW207" i="23"/>
  <c r="BR342" i="23"/>
  <c r="BR93" i="23"/>
  <c r="DT161" i="22"/>
  <c r="DU5" i="22"/>
  <c r="DT6" i="22"/>
  <c r="DR78" i="22"/>
  <c r="DW292" i="23"/>
  <c r="DW270" i="23"/>
  <c r="DW206" i="23"/>
  <c r="DW6" i="23"/>
  <c r="DX5" i="23"/>
  <c r="DV286" i="23"/>
  <c r="DS150" i="22"/>
  <c r="DS149" i="22"/>
  <c r="DS148" i="22"/>
  <c r="DS147" i="22"/>
  <c r="DS146" i="22"/>
  <c r="DS142" i="22"/>
  <c r="DS79" i="22" s="1"/>
  <c r="DS141" i="22"/>
  <c r="DS26" i="22"/>
  <c r="DS20" i="22" s="1"/>
  <c r="DS25" i="22"/>
  <c r="DU91" i="23"/>
  <c r="DU333" i="23" s="1"/>
  <c r="DT11" i="22"/>
  <c r="DS160" i="22"/>
  <c r="DS159" i="22"/>
  <c r="DS55" i="22" s="1"/>
  <c r="DV82" i="23"/>
  <c r="DV377" i="23" s="1"/>
  <c r="BP294" i="23"/>
  <c r="BV216" i="23"/>
  <c r="BV386" i="23"/>
  <c r="BV347" i="23"/>
  <c r="DR45" i="22"/>
  <c r="DO71" i="22"/>
  <c r="DO31" i="22"/>
  <c r="DU378" i="23"/>
  <c r="DU346" i="23" s="1"/>
  <c r="DU381" i="23"/>
  <c r="DU358" i="23" s="1"/>
  <c r="DU380" i="23"/>
  <c r="DU354" i="23" s="1"/>
  <c r="DU379" i="23"/>
  <c r="DU350" i="23" s="1"/>
  <c r="BO399" i="23"/>
  <c r="BO353" i="23" s="1"/>
  <c r="BO397" i="23"/>
  <c r="BO345" i="23" s="1"/>
  <c r="BO398" i="23"/>
  <c r="BO349" i="23" s="1"/>
  <c r="DV252" i="23"/>
  <c r="DV235" i="23"/>
  <c r="DV337" i="23" s="1"/>
  <c r="DV221" i="23"/>
  <c r="DV200" i="23"/>
  <c r="DV90" i="23"/>
  <c r="DT67" i="23"/>
  <c r="DT71" i="23" s="1"/>
  <c r="DR28" i="22"/>
  <c r="DR19" i="22"/>
  <c r="DQ22" i="22"/>
  <c r="DQ34" i="22"/>
  <c r="DQ37" i="22" s="1"/>
  <c r="DQ57" i="22" s="1"/>
  <c r="DL81" i="22" l="1"/>
  <c r="DN144" i="22"/>
  <c r="DN145" i="22"/>
  <c r="DO144" i="22"/>
  <c r="DO145" i="22"/>
  <c r="DM152" i="22"/>
  <c r="DO418" i="23"/>
  <c r="DO420" i="23" s="1"/>
  <c r="DO23" i="23"/>
  <c r="DO72" i="22"/>
  <c r="DQ23" i="23" s="1"/>
  <c r="DO143" i="22"/>
  <c r="DN72" i="22"/>
  <c r="DP418" i="23" s="1"/>
  <c r="DN143" i="22"/>
  <c r="BS179" i="23"/>
  <c r="BS93" i="23" s="1"/>
  <c r="DP69" i="22"/>
  <c r="DQ46" i="22"/>
  <c r="DQ48" i="22" s="1"/>
  <c r="DQ62" i="22" s="1"/>
  <c r="DP18" i="23"/>
  <c r="DN70" i="22"/>
  <c r="DP417" i="23" s="1"/>
  <c r="DP48" i="22"/>
  <c r="DP62" i="22" s="1"/>
  <c r="BS384" i="23"/>
  <c r="BT148" i="23"/>
  <c r="BT133" i="23"/>
  <c r="BX271" i="23"/>
  <c r="BX272" i="23" s="1"/>
  <c r="BT141" i="23"/>
  <c r="BU137" i="23" s="1"/>
  <c r="BW280" i="23"/>
  <c r="BW391" i="23"/>
  <c r="BW351" i="23"/>
  <c r="BS194" i="23"/>
  <c r="DS35" i="22"/>
  <c r="DV378" i="23"/>
  <c r="DV346" i="23" s="1"/>
  <c r="DV381" i="23"/>
  <c r="DV358" i="23" s="1"/>
  <c r="DV380" i="23"/>
  <c r="DV354" i="23" s="1"/>
  <c r="DV379" i="23"/>
  <c r="DV350" i="23" s="1"/>
  <c r="DU67" i="23"/>
  <c r="DU71" i="23" s="1"/>
  <c r="DS28" i="22"/>
  <c r="BT162" i="23"/>
  <c r="DV335" i="23"/>
  <c r="BW208" i="23"/>
  <c r="DW264" i="23"/>
  <c r="DW252" i="23"/>
  <c r="DW221" i="23"/>
  <c r="DW235" i="23"/>
  <c r="DW337" i="23" s="1"/>
  <c r="DW200" i="23"/>
  <c r="DW90" i="23"/>
  <c r="DQ18" i="23"/>
  <c r="DO70" i="22"/>
  <c r="DQ417" i="23" s="1"/>
  <c r="DX432" i="23"/>
  <c r="DX433" i="23"/>
  <c r="DX292" i="23"/>
  <c r="DX270" i="23"/>
  <c r="DX206" i="23"/>
  <c r="DX80" i="23"/>
  <c r="DX81" i="23"/>
  <c r="DX6" i="23"/>
  <c r="DY5" i="23"/>
  <c r="DS78" i="22"/>
  <c r="DW46" i="23"/>
  <c r="DW45" i="23"/>
  <c r="DW60" i="23"/>
  <c r="DW48" i="23"/>
  <c r="DW51" i="23"/>
  <c r="DW69" i="23"/>
  <c r="DW47" i="23"/>
  <c r="DW68" i="23"/>
  <c r="DW50" i="23"/>
  <c r="DW44" i="23"/>
  <c r="DW43" i="23"/>
  <c r="DW41" i="23"/>
  <c r="DW39" i="23"/>
  <c r="DW42" i="23"/>
  <c r="DW40" i="23"/>
  <c r="DW31" i="23"/>
  <c r="DW286" i="23"/>
  <c r="DT160" i="22"/>
  <c r="DT159" i="22"/>
  <c r="DT55" i="22" s="1"/>
  <c r="DV91" i="23"/>
  <c r="DV333" i="23" s="1"/>
  <c r="DT331" i="23"/>
  <c r="DS19" i="22"/>
  <c r="DR22" i="22"/>
  <c r="DR34" i="22"/>
  <c r="DR37" i="22" s="1"/>
  <c r="DR57" i="22" s="1"/>
  <c r="DT13" i="22"/>
  <c r="DU10" i="22"/>
  <c r="BT186" i="23"/>
  <c r="DS45" i="22"/>
  <c r="BP396" i="23"/>
  <c r="BP302" i="23"/>
  <c r="BP355" i="23"/>
  <c r="BP94" i="23"/>
  <c r="DT150" i="22"/>
  <c r="DT149" i="22"/>
  <c r="DT148" i="22"/>
  <c r="DT147" i="22"/>
  <c r="DT146" i="22"/>
  <c r="DT142" i="22"/>
  <c r="DT79" i="22" s="1"/>
  <c r="DT141" i="22"/>
  <c r="DT25" i="22"/>
  <c r="DT26" i="22"/>
  <c r="DT20" i="22" s="1"/>
  <c r="BP295" i="23"/>
  <c r="BQ291" i="23" s="1"/>
  <c r="BV389" i="23"/>
  <c r="BV356" i="23" s="1"/>
  <c r="BV388" i="23"/>
  <c r="BV352" i="23" s="1"/>
  <c r="BV387" i="23"/>
  <c r="BV343" i="23" s="1"/>
  <c r="DS54" i="22"/>
  <c r="DU11" i="22"/>
  <c r="DU161" i="22"/>
  <c r="DU6" i="22"/>
  <c r="DV5" i="22"/>
  <c r="DO152" i="22" l="1"/>
  <c r="DQ30" i="23" s="1"/>
  <c r="DQ418" i="23"/>
  <c r="DQ420" i="23" s="1"/>
  <c r="DN152" i="22"/>
  <c r="DP30" i="23" s="1"/>
  <c r="DP23" i="23"/>
  <c r="BS342" i="23"/>
  <c r="DO30" i="23"/>
  <c r="DM81" i="22"/>
  <c r="DP420" i="23"/>
  <c r="DP71" i="22"/>
  <c r="DP31" i="22"/>
  <c r="DR46" i="22"/>
  <c r="DQ69" i="22"/>
  <c r="BX273" i="23"/>
  <c r="BY269" i="23" s="1"/>
  <c r="BX280" i="23"/>
  <c r="BX391" i="23"/>
  <c r="BX351" i="23"/>
  <c r="BW394" i="23"/>
  <c r="BW357" i="23" s="1"/>
  <c r="BW392" i="23"/>
  <c r="BW344" i="23" s="1"/>
  <c r="BW393" i="23"/>
  <c r="BW348" i="23" s="1"/>
  <c r="BU139" i="23"/>
  <c r="BU140" i="23" s="1"/>
  <c r="DT54" i="22"/>
  <c r="DT35" i="22"/>
  <c r="DX45" i="23"/>
  <c r="DX60" i="23"/>
  <c r="DX48" i="23"/>
  <c r="DX51" i="23"/>
  <c r="DX69" i="23"/>
  <c r="DX68" i="23"/>
  <c r="DX50" i="23"/>
  <c r="DX44" i="23"/>
  <c r="DX43" i="23"/>
  <c r="DX41" i="23"/>
  <c r="DX39" i="23"/>
  <c r="DX42" i="23"/>
  <c r="DX46" i="23"/>
  <c r="DX47" i="23"/>
  <c r="DX40" i="23"/>
  <c r="DX31" i="23"/>
  <c r="DT45" i="22"/>
  <c r="DT78" i="22"/>
  <c r="DU160" i="22"/>
  <c r="DU159" i="22"/>
  <c r="DU55" i="22" s="1"/>
  <c r="BT194" i="23"/>
  <c r="BT179" i="23"/>
  <c r="DV11" i="22"/>
  <c r="DX286" i="23"/>
  <c r="DU331" i="23"/>
  <c r="DV161" i="22"/>
  <c r="DV6" i="22"/>
  <c r="DW5" i="22"/>
  <c r="DU13" i="22"/>
  <c r="DV10" i="22"/>
  <c r="DQ71" i="22"/>
  <c r="DQ31" i="22"/>
  <c r="DX235" i="23"/>
  <c r="DX337" i="23" s="1"/>
  <c r="DX252" i="23"/>
  <c r="DX221" i="23"/>
  <c r="DX200" i="23"/>
  <c r="DX90" i="23"/>
  <c r="DU150" i="22"/>
  <c r="DU149" i="22"/>
  <c r="DU148" i="22"/>
  <c r="DU147" i="22"/>
  <c r="DU146" i="22"/>
  <c r="DU142" i="22"/>
  <c r="DU79" i="22" s="1"/>
  <c r="DU141" i="22"/>
  <c r="DU26" i="22"/>
  <c r="DU20" i="22" s="1"/>
  <c r="DU25" i="22"/>
  <c r="BW216" i="23"/>
  <c r="BW386" i="23"/>
  <c r="BW347" i="23"/>
  <c r="DS22" i="22"/>
  <c r="DT19" i="22"/>
  <c r="DS34" i="22"/>
  <c r="DS37" i="22" s="1"/>
  <c r="DS57" i="22" s="1"/>
  <c r="DX264" i="23"/>
  <c r="BT163" i="23"/>
  <c r="BT187" i="23"/>
  <c r="BU183" i="23" s="1"/>
  <c r="BQ293" i="23"/>
  <c r="BQ294" i="23" s="1"/>
  <c r="DV67" i="23"/>
  <c r="DV71" i="23" s="1"/>
  <c r="DT28" i="22"/>
  <c r="DW91" i="23"/>
  <c r="DW333" i="23" s="1"/>
  <c r="BW209" i="23"/>
  <c r="BX205" i="23" s="1"/>
  <c r="DX82" i="23"/>
  <c r="DX377" i="23" s="1"/>
  <c r="DX435" i="23"/>
  <c r="BP399" i="23"/>
  <c r="BP353" i="23" s="1"/>
  <c r="BP397" i="23"/>
  <c r="BP345" i="23" s="1"/>
  <c r="BP398" i="23"/>
  <c r="BP349" i="23" s="1"/>
  <c r="DY433" i="23"/>
  <c r="DY432" i="23"/>
  <c r="DY292" i="23"/>
  <c r="DY270" i="23"/>
  <c r="DY206" i="23"/>
  <c r="DY81" i="23"/>
  <c r="DY80" i="23"/>
  <c r="DY6" i="23"/>
  <c r="DZ5" i="23"/>
  <c r="DW335" i="23"/>
  <c r="DO81" i="22" l="1"/>
  <c r="DN81" i="22"/>
  <c r="DQ144" i="22"/>
  <c r="DQ145" i="22"/>
  <c r="DP144" i="22"/>
  <c r="DP145" i="22"/>
  <c r="DQ72" i="22"/>
  <c r="DS23" i="23" s="1"/>
  <c r="DQ143" i="22"/>
  <c r="DP72" i="22"/>
  <c r="DR418" i="23" s="1"/>
  <c r="DP143" i="22"/>
  <c r="DU54" i="22"/>
  <c r="DS46" i="22"/>
  <c r="DS48" i="22" s="1"/>
  <c r="DS62" i="22" s="1"/>
  <c r="DR69" i="22"/>
  <c r="DR48" i="22"/>
  <c r="DR62" i="22" s="1"/>
  <c r="DR71" i="22" s="1"/>
  <c r="DT18" i="23" s="1"/>
  <c r="DR18" i="23"/>
  <c r="DP70" i="22"/>
  <c r="DR417" i="23" s="1"/>
  <c r="BU141" i="23"/>
  <c r="BV137" i="23" s="1"/>
  <c r="BU148" i="23"/>
  <c r="BU133" i="23"/>
  <c r="DY435" i="23"/>
  <c r="BX394" i="23"/>
  <c r="BX357" i="23" s="1"/>
  <c r="BX393" i="23"/>
  <c r="BX348" i="23" s="1"/>
  <c r="BX392" i="23"/>
  <c r="BX344" i="23" s="1"/>
  <c r="BY271" i="23"/>
  <c r="BY272" i="23" s="1"/>
  <c r="DU35" i="22"/>
  <c r="BQ396" i="23"/>
  <c r="BQ302" i="23"/>
  <c r="BQ355" i="23"/>
  <c r="BQ94" i="23"/>
  <c r="DW161" i="22"/>
  <c r="DW6" i="22"/>
  <c r="DX5" i="22"/>
  <c r="DV149" i="22"/>
  <c r="DV148" i="22"/>
  <c r="DV147" i="22"/>
  <c r="DV146" i="22"/>
  <c r="DV150" i="22"/>
  <c r="DV142" i="22"/>
  <c r="DV79" i="22" s="1"/>
  <c r="DV141" i="22"/>
  <c r="DV26" i="22"/>
  <c r="DV20" i="22" s="1"/>
  <c r="DV25" i="22"/>
  <c r="BT171" i="23"/>
  <c r="BT156" i="23"/>
  <c r="BT384" i="23"/>
  <c r="DY264" i="23"/>
  <c r="DY235" i="23"/>
  <c r="DY337" i="23" s="1"/>
  <c r="DY252" i="23"/>
  <c r="DY221" i="23"/>
  <c r="DY200" i="23"/>
  <c r="DY90" i="23"/>
  <c r="DU78" i="22"/>
  <c r="DU45" i="22"/>
  <c r="BU185" i="23"/>
  <c r="BU186" i="23" s="1"/>
  <c r="BX258" i="23"/>
  <c r="BX251" i="23"/>
  <c r="BX253" i="23" s="1"/>
  <c r="BX207" i="23"/>
  <c r="DZ433" i="23"/>
  <c r="DZ432" i="23"/>
  <c r="DZ292" i="23"/>
  <c r="DZ270" i="23"/>
  <c r="DZ206" i="23"/>
  <c r="DZ80" i="23"/>
  <c r="DZ81" i="23"/>
  <c r="DZ6" i="23"/>
  <c r="EA5" i="23"/>
  <c r="DV331" i="23"/>
  <c r="DY42" i="23"/>
  <c r="DY45" i="23"/>
  <c r="DY60" i="23"/>
  <c r="DY48" i="23"/>
  <c r="DY51" i="23"/>
  <c r="DY69" i="23"/>
  <c r="DY47" i="23"/>
  <c r="DY68" i="23"/>
  <c r="DY44" i="23"/>
  <c r="DY43" i="23"/>
  <c r="DY41" i="23"/>
  <c r="DY39" i="23"/>
  <c r="DY50" i="23"/>
  <c r="DY46" i="23"/>
  <c r="DY40" i="23"/>
  <c r="DY31" i="23"/>
  <c r="DY82" i="23"/>
  <c r="DY377" i="23" s="1"/>
  <c r="DY286" i="23"/>
  <c r="DT22" i="22"/>
  <c r="DU19" i="22"/>
  <c r="DT34" i="22"/>
  <c r="DT37" i="22" s="1"/>
  <c r="DT57" i="22" s="1"/>
  <c r="BT164" i="23"/>
  <c r="BU160" i="23" s="1"/>
  <c r="DS18" i="23"/>
  <c r="DQ70" i="22"/>
  <c r="DS417" i="23" s="1"/>
  <c r="BQ295" i="23"/>
  <c r="BR291" i="23" s="1"/>
  <c r="DX381" i="23"/>
  <c r="DX358" i="23" s="1"/>
  <c r="DX380" i="23"/>
  <c r="DX354" i="23" s="1"/>
  <c r="DX378" i="23"/>
  <c r="DX346" i="23" s="1"/>
  <c r="DX379" i="23"/>
  <c r="DX350" i="23" s="1"/>
  <c r="DX91" i="23"/>
  <c r="DX333" i="23" s="1"/>
  <c r="DX335" i="23"/>
  <c r="DW10" i="22"/>
  <c r="DV13" i="22"/>
  <c r="BW389" i="23"/>
  <c r="BW356" i="23" s="1"/>
  <c r="BW388" i="23"/>
  <c r="BW352" i="23" s="1"/>
  <c r="BW387" i="23"/>
  <c r="BW343" i="23" s="1"/>
  <c r="DV160" i="22"/>
  <c r="DV159" i="22"/>
  <c r="DV55" i="22" s="1"/>
  <c r="DW67" i="23"/>
  <c r="DW71" i="23" s="1"/>
  <c r="DU28" i="22"/>
  <c r="DW11" i="22"/>
  <c r="DS418" i="23" l="1"/>
  <c r="DS420" i="23" s="1"/>
  <c r="DR23" i="23"/>
  <c r="DQ152" i="22"/>
  <c r="DS30" i="23" s="1"/>
  <c r="DP152" i="22"/>
  <c r="DP81" i="22" s="1"/>
  <c r="DR420" i="23"/>
  <c r="DR31" i="22"/>
  <c r="DR70" i="22"/>
  <c r="DT417" i="23" s="1"/>
  <c r="DS31" i="22"/>
  <c r="DS71" i="22"/>
  <c r="DU18" i="23" s="1"/>
  <c r="DS69" i="22"/>
  <c r="DT46" i="22"/>
  <c r="BY391" i="23"/>
  <c r="BY280" i="23"/>
  <c r="BY351" i="23"/>
  <c r="BY273" i="23"/>
  <c r="BZ269" i="23" s="1"/>
  <c r="DZ82" i="23"/>
  <c r="DZ377" i="23" s="1"/>
  <c r="DZ380" i="23" s="1"/>
  <c r="DZ354" i="23" s="1"/>
  <c r="DV54" i="22"/>
  <c r="BV139" i="23"/>
  <c r="BV140" i="23" s="1"/>
  <c r="DV35" i="22"/>
  <c r="DX161" i="22"/>
  <c r="DX6" i="22"/>
  <c r="DY5" i="22"/>
  <c r="DW160" i="22"/>
  <c r="DW159" i="22"/>
  <c r="DZ264" i="23"/>
  <c r="BU194" i="23"/>
  <c r="BU179" i="23"/>
  <c r="DZ286" i="23"/>
  <c r="EA433" i="23"/>
  <c r="EA432" i="23"/>
  <c r="EA270" i="23"/>
  <c r="EA292" i="23"/>
  <c r="EA206" i="23"/>
  <c r="EA81" i="23"/>
  <c r="EA80" i="23"/>
  <c r="EA6" i="23"/>
  <c r="EB5" i="23"/>
  <c r="BU187" i="23"/>
  <c r="BV183" i="23" s="1"/>
  <c r="DV78" i="22"/>
  <c r="DW148" i="22"/>
  <c r="DW147" i="22"/>
  <c r="DW146" i="22"/>
  <c r="DW149" i="22"/>
  <c r="DW142" i="22"/>
  <c r="DW79" i="22" s="1"/>
  <c r="DW141" i="22"/>
  <c r="DW150" i="22"/>
  <c r="DW26" i="22"/>
  <c r="DW20" i="22" s="1"/>
  <c r="DW25" i="22"/>
  <c r="DX11" i="22"/>
  <c r="DZ42" i="23"/>
  <c r="DZ45" i="23"/>
  <c r="DZ60" i="23"/>
  <c r="DZ48" i="23"/>
  <c r="DZ51" i="23"/>
  <c r="DZ69" i="23"/>
  <c r="DZ44" i="23"/>
  <c r="DZ47" i="23"/>
  <c r="DZ68" i="23"/>
  <c r="DZ50" i="23"/>
  <c r="DZ43" i="23"/>
  <c r="DZ41" i="23"/>
  <c r="DZ39" i="23"/>
  <c r="DZ46" i="23"/>
  <c r="DZ40" i="23"/>
  <c r="DZ31" i="23"/>
  <c r="DX10" i="22"/>
  <c r="DW13" i="22"/>
  <c r="BU162" i="23"/>
  <c r="BU163" i="23" s="1"/>
  <c r="DV45" i="22"/>
  <c r="DZ435" i="23"/>
  <c r="DW331" i="23"/>
  <c r="BX208" i="23"/>
  <c r="BQ397" i="23"/>
  <c r="BQ345" i="23" s="1"/>
  <c r="BQ398" i="23"/>
  <c r="BQ349" i="23" s="1"/>
  <c r="BQ399" i="23"/>
  <c r="BQ353" i="23" s="1"/>
  <c r="BR293" i="23"/>
  <c r="BR294" i="23" s="1"/>
  <c r="DU22" i="22"/>
  <c r="DV19" i="22"/>
  <c r="DU34" i="22"/>
  <c r="DU37" i="22" s="1"/>
  <c r="DU57" i="22" s="1"/>
  <c r="BT342" i="23"/>
  <c r="BT93" i="23"/>
  <c r="DY381" i="23"/>
  <c r="DY358" i="23" s="1"/>
  <c r="DY378" i="23"/>
  <c r="DY346" i="23" s="1"/>
  <c r="DY380" i="23"/>
  <c r="DY354" i="23" s="1"/>
  <c r="DY379" i="23"/>
  <c r="DY350" i="23" s="1"/>
  <c r="DZ252" i="23"/>
  <c r="DZ221" i="23"/>
  <c r="DZ235" i="23"/>
  <c r="DZ337" i="23" s="1"/>
  <c r="DZ200" i="23"/>
  <c r="DZ90" i="23"/>
  <c r="DY91" i="23"/>
  <c r="DY333" i="23" s="1"/>
  <c r="DY335" i="23"/>
  <c r="DX67" i="23"/>
  <c r="DX71" i="23" s="1"/>
  <c r="DV28" i="22"/>
  <c r="DQ81" i="22" l="1"/>
  <c r="DR30" i="23"/>
  <c r="DS144" i="22"/>
  <c r="DS145" i="22"/>
  <c r="DR144" i="22"/>
  <c r="DR145" i="22"/>
  <c r="DS72" i="22"/>
  <c r="DU418" i="23" s="1"/>
  <c r="DS143" i="22"/>
  <c r="DR72" i="22"/>
  <c r="DT418" i="23" s="1"/>
  <c r="DT420" i="23" s="1"/>
  <c r="DR143" i="22"/>
  <c r="DW54" i="22"/>
  <c r="DS70" i="22"/>
  <c r="DU417" i="23" s="1"/>
  <c r="DZ381" i="23"/>
  <c r="DZ358" i="23" s="1"/>
  <c r="DT69" i="22"/>
  <c r="DU46" i="22"/>
  <c r="DZ378" i="23"/>
  <c r="DZ346" i="23" s="1"/>
  <c r="DZ379" i="23"/>
  <c r="DZ350" i="23" s="1"/>
  <c r="DT48" i="22"/>
  <c r="DT62" i="22" s="1"/>
  <c r="DT71" i="22" s="1"/>
  <c r="BV148" i="23"/>
  <c r="BV133" i="23"/>
  <c r="BV141" i="23"/>
  <c r="BW137" i="23" s="1"/>
  <c r="BZ271" i="23"/>
  <c r="BZ272" i="23" s="1"/>
  <c r="EA82" i="23"/>
  <c r="EA377" i="23" s="1"/>
  <c r="EA378" i="23" s="1"/>
  <c r="EA346" i="23" s="1"/>
  <c r="BY393" i="23"/>
  <c r="BY348" i="23" s="1"/>
  <c r="BY392" i="23"/>
  <c r="BY344" i="23" s="1"/>
  <c r="BY394" i="23"/>
  <c r="BY357" i="23" s="1"/>
  <c r="DW35" i="22"/>
  <c r="BR396" i="23"/>
  <c r="BR302" i="23"/>
  <c r="BR355" i="23"/>
  <c r="BR94" i="23"/>
  <c r="BR295" i="23"/>
  <c r="BS291" i="23" s="1"/>
  <c r="BU156" i="23"/>
  <c r="BU171" i="23"/>
  <c r="BU384" i="23"/>
  <c r="BU164" i="23"/>
  <c r="BV160" i="23" s="1"/>
  <c r="DX331" i="23"/>
  <c r="EA252" i="23"/>
  <c r="EA235" i="23"/>
  <c r="EA337" i="23" s="1"/>
  <c r="EA221" i="23"/>
  <c r="EA200" i="23"/>
  <c r="EA90" i="23"/>
  <c r="DW55" i="22"/>
  <c r="BX216" i="23"/>
  <c r="BX386" i="23"/>
  <c r="BX347" i="23"/>
  <c r="DW45" i="22"/>
  <c r="EA286" i="23"/>
  <c r="BV185" i="23"/>
  <c r="BV186" i="23" s="1"/>
  <c r="EB432" i="23"/>
  <c r="EB433" i="23"/>
  <c r="EB270" i="23"/>
  <c r="EB292" i="23"/>
  <c r="EB206" i="23"/>
  <c r="EB80" i="23"/>
  <c r="EB81" i="23"/>
  <c r="EB6" i="23"/>
  <c r="EC5" i="23"/>
  <c r="EA264" i="23"/>
  <c r="DW78" i="22"/>
  <c r="EA42" i="23"/>
  <c r="EA45" i="23"/>
  <c r="EA60" i="23"/>
  <c r="EA48" i="23"/>
  <c r="EA51" i="23"/>
  <c r="EA69" i="23"/>
  <c r="EA47" i="23"/>
  <c r="EA68" i="23"/>
  <c r="EA50" i="23"/>
  <c r="EA43" i="23"/>
  <c r="EA41" i="23"/>
  <c r="EA39" i="23"/>
  <c r="EA44" i="23"/>
  <c r="EA46" i="23"/>
  <c r="EA40" i="23"/>
  <c r="EA31" i="23"/>
  <c r="DY67" i="23"/>
  <c r="DY71" i="23" s="1"/>
  <c r="DW28" i="22"/>
  <c r="DZ91" i="23"/>
  <c r="DZ333" i="23" s="1"/>
  <c r="DW19" i="22"/>
  <c r="DV22" i="22"/>
  <c r="DV34" i="22"/>
  <c r="DV37" i="22" s="1"/>
  <c r="DV57" i="22" s="1"/>
  <c r="EA435" i="23"/>
  <c r="DY161" i="22"/>
  <c r="DY6" i="22"/>
  <c r="DZ5" i="22"/>
  <c r="DX147" i="22"/>
  <c r="DX146" i="22"/>
  <c r="DX150" i="22"/>
  <c r="DX148" i="22"/>
  <c r="DX149" i="22"/>
  <c r="DX142" i="22"/>
  <c r="DX79" i="22" s="1"/>
  <c r="DX141" i="22"/>
  <c r="DX26" i="22"/>
  <c r="DX20" i="22" s="1"/>
  <c r="DX25" i="22"/>
  <c r="DZ335" i="23"/>
  <c r="DX160" i="22"/>
  <c r="DX159" i="22"/>
  <c r="DX13" i="22"/>
  <c r="DY10" i="22"/>
  <c r="DY11" i="22"/>
  <c r="BX209" i="23"/>
  <c r="BY205" i="23" s="1"/>
  <c r="DU23" i="23" l="1"/>
  <c r="DU420" i="23"/>
  <c r="DT23" i="23"/>
  <c r="DS152" i="22"/>
  <c r="DU30" i="23" s="1"/>
  <c r="DX54" i="22"/>
  <c r="DR152" i="22"/>
  <c r="DT30" i="23" s="1"/>
  <c r="EA380" i="23"/>
  <c r="EA354" i="23" s="1"/>
  <c r="DV46" i="22"/>
  <c r="DV48" i="22" s="1"/>
  <c r="DV62" i="22" s="1"/>
  <c r="DU69" i="22"/>
  <c r="DT31" i="22"/>
  <c r="DU48" i="22"/>
  <c r="DU62" i="22" s="1"/>
  <c r="DU71" i="22" s="1"/>
  <c r="DW18" i="23" s="1"/>
  <c r="BV187" i="23"/>
  <c r="BW183" i="23" s="1"/>
  <c r="BW185" i="23" s="1"/>
  <c r="BW186" i="23" s="1"/>
  <c r="BZ273" i="23"/>
  <c r="CA269" i="23" s="1"/>
  <c r="BZ280" i="23"/>
  <c r="BZ391" i="23"/>
  <c r="BZ351" i="23"/>
  <c r="EA381" i="23"/>
  <c r="EA358" i="23" s="1"/>
  <c r="BW139" i="23"/>
  <c r="BW140" i="23" s="1"/>
  <c r="EA379" i="23"/>
  <c r="EA350" i="23" s="1"/>
  <c r="DX35" i="22"/>
  <c r="EA91" i="23"/>
  <c r="EA333" i="23" s="1"/>
  <c r="DX78" i="22"/>
  <c r="EB252" i="23"/>
  <c r="EB221" i="23"/>
  <c r="EB235" i="23"/>
  <c r="EB337" i="23" s="1"/>
  <c r="EB200" i="23"/>
  <c r="EB90" i="23"/>
  <c r="DY146" i="22"/>
  <c r="DY150" i="22"/>
  <c r="DY149" i="22"/>
  <c r="DY147" i="22"/>
  <c r="DY142" i="22"/>
  <c r="DY79" i="22" s="1"/>
  <c r="DY141" i="22"/>
  <c r="DY148" i="22"/>
  <c r="DY26" i="22"/>
  <c r="DY20" i="22" s="1"/>
  <c r="DY25" i="22"/>
  <c r="EA335" i="23"/>
  <c r="DW22" i="22"/>
  <c r="DX19" i="22"/>
  <c r="DW34" i="22"/>
  <c r="DW37" i="22" s="1"/>
  <c r="DW57" i="22" s="1"/>
  <c r="EB286" i="23"/>
  <c r="BS293" i="23"/>
  <c r="DV18" i="23"/>
  <c r="DT70" i="22"/>
  <c r="DV417" i="23" s="1"/>
  <c r="EC433" i="23"/>
  <c r="EC432" i="23"/>
  <c r="EC270" i="23"/>
  <c r="EC292" i="23"/>
  <c r="EC206" i="23"/>
  <c r="EC81" i="23"/>
  <c r="EC80" i="23"/>
  <c r="EC6" i="23"/>
  <c r="ED5" i="23"/>
  <c r="DY160" i="22"/>
  <c r="DY159" i="22"/>
  <c r="EB45" i="23"/>
  <c r="EB60" i="23"/>
  <c r="EB48" i="23"/>
  <c r="EB51" i="23"/>
  <c r="EB69" i="23"/>
  <c r="EB44" i="23"/>
  <c r="EB47" i="23"/>
  <c r="EB68" i="23"/>
  <c r="EB50" i="23"/>
  <c r="EB46" i="23"/>
  <c r="EB42" i="23"/>
  <c r="EB43" i="23"/>
  <c r="EB41" i="23"/>
  <c r="EB39" i="23"/>
  <c r="EB40" i="23"/>
  <c r="EB31" i="23"/>
  <c r="EB264" i="23"/>
  <c r="BU342" i="23"/>
  <c r="BU93" i="23"/>
  <c r="DY331" i="23"/>
  <c r="DZ11" i="22"/>
  <c r="EB82" i="23"/>
  <c r="EB377" i="23" s="1"/>
  <c r="BR399" i="23"/>
  <c r="BR353" i="23" s="1"/>
  <c r="BR398" i="23"/>
  <c r="BR349" i="23" s="1"/>
  <c r="BR397" i="23"/>
  <c r="BR345" i="23" s="1"/>
  <c r="BY251" i="23"/>
  <c r="BY253" i="23" s="1"/>
  <c r="BY258" i="23"/>
  <c r="BY207" i="23"/>
  <c r="BY208" i="23" s="1"/>
  <c r="EB435" i="23"/>
  <c r="BV162" i="23"/>
  <c r="BV163" i="23" s="1"/>
  <c r="DX45" i="22"/>
  <c r="BV194" i="23"/>
  <c r="BV179" i="23"/>
  <c r="DY13" i="22"/>
  <c r="DZ10" i="22"/>
  <c r="DZ67" i="23"/>
  <c r="DZ71" i="23" s="1"/>
  <c r="DX28" i="22"/>
  <c r="DZ161" i="22"/>
  <c r="DZ6" i="22"/>
  <c r="EA5" i="22"/>
  <c r="BX389" i="23"/>
  <c r="BX356" i="23" s="1"/>
  <c r="BX387" i="23"/>
  <c r="BX343" i="23" s="1"/>
  <c r="BX388" i="23"/>
  <c r="BX352" i="23" s="1"/>
  <c r="DX55" i="22"/>
  <c r="DY54" i="22" l="1"/>
  <c r="DS81" i="22"/>
  <c r="DR81" i="22"/>
  <c r="DT144" i="22"/>
  <c r="DT145" i="22"/>
  <c r="DT72" i="22"/>
  <c r="DV418" i="23" s="1"/>
  <c r="DV420" i="23" s="1"/>
  <c r="DT143" i="22"/>
  <c r="DU70" i="22"/>
  <c r="DW417" i="23" s="1"/>
  <c r="DV71" i="22"/>
  <c r="DX18" i="23" s="1"/>
  <c r="DV31" i="22"/>
  <c r="DU31" i="22"/>
  <c r="DV23" i="23"/>
  <c r="DV69" i="22"/>
  <c r="DW46" i="22"/>
  <c r="EC435" i="23"/>
  <c r="BW141" i="23"/>
  <c r="BX137" i="23" s="1"/>
  <c r="BW133" i="23"/>
  <c r="BW148" i="23"/>
  <c r="DY55" i="22"/>
  <c r="BZ394" i="23"/>
  <c r="BZ357" i="23" s="1"/>
  <c r="BZ393" i="23"/>
  <c r="BZ348" i="23" s="1"/>
  <c r="BZ392" i="23"/>
  <c r="BZ344" i="23" s="1"/>
  <c r="CA271" i="23"/>
  <c r="CA272" i="23" s="1"/>
  <c r="BY216" i="23"/>
  <c r="BY347" i="23"/>
  <c r="BY386" i="23"/>
  <c r="DY35" i="22"/>
  <c r="BW194" i="23"/>
  <c r="BW179" i="23"/>
  <c r="BW187" i="23"/>
  <c r="BX183" i="23" s="1"/>
  <c r="DX22" i="22"/>
  <c r="DY19" i="22"/>
  <c r="DX34" i="22"/>
  <c r="DX37" i="22" s="1"/>
  <c r="DX57" i="22" s="1"/>
  <c r="EB91" i="23"/>
  <c r="EB333" i="23" s="1"/>
  <c r="DY78" i="22"/>
  <c r="EC252" i="23"/>
  <c r="EC235" i="23"/>
  <c r="EC337" i="23" s="1"/>
  <c r="EC221" i="23"/>
  <c r="EC200" i="23"/>
  <c r="EC90" i="23"/>
  <c r="DZ13" i="22"/>
  <c r="EA10" i="22"/>
  <c r="EB335" i="23"/>
  <c r="BV156" i="23"/>
  <c r="BV171" i="23"/>
  <c r="BV384" i="23"/>
  <c r="EB380" i="23"/>
  <c r="EB354" i="23" s="1"/>
  <c r="EB378" i="23"/>
  <c r="EB346" i="23" s="1"/>
  <c r="EB379" i="23"/>
  <c r="EB350" i="23" s="1"/>
  <c r="EB381" i="23"/>
  <c r="EB358" i="23" s="1"/>
  <c r="BY209" i="23"/>
  <c r="BZ205" i="23" s="1"/>
  <c r="BV164" i="23"/>
  <c r="BW160" i="23" s="1"/>
  <c r="EC286" i="23"/>
  <c r="DZ150" i="22"/>
  <c r="DZ149" i="22"/>
  <c r="DZ148" i="22"/>
  <c r="DZ146" i="22"/>
  <c r="DZ142" i="22"/>
  <c r="DZ79" i="22" s="1"/>
  <c r="DZ141" i="22"/>
  <c r="DZ147" i="22"/>
  <c r="DZ26" i="22"/>
  <c r="DZ20" i="22" s="1"/>
  <c r="DZ25" i="22"/>
  <c r="ED433" i="23"/>
  <c r="ED432" i="23"/>
  <c r="ED270" i="23"/>
  <c r="ED292" i="23"/>
  <c r="ED206" i="23"/>
  <c r="ED81" i="23"/>
  <c r="ED80" i="23"/>
  <c r="ED6" i="23"/>
  <c r="EE5" i="23"/>
  <c r="EC264" i="23"/>
  <c r="BS294" i="23"/>
  <c r="BS295" i="23" s="1"/>
  <c r="BT291" i="23" s="1"/>
  <c r="DZ160" i="22"/>
  <c r="DZ159" i="22"/>
  <c r="EC60" i="23"/>
  <c r="EC48" i="23"/>
  <c r="EC51" i="23"/>
  <c r="EC69" i="23"/>
  <c r="EC47" i="23"/>
  <c r="EC68" i="23"/>
  <c r="EC50" i="23"/>
  <c r="EC44" i="23"/>
  <c r="EC45" i="23"/>
  <c r="EC42" i="23"/>
  <c r="EC46" i="23"/>
  <c r="EC40" i="23"/>
  <c r="EC41" i="23"/>
  <c r="EC39" i="23"/>
  <c r="EC43" i="23"/>
  <c r="EC31" i="23"/>
  <c r="EA11" i="22"/>
  <c r="EC82" i="23"/>
  <c r="EC377" i="23" s="1"/>
  <c r="DZ331" i="23"/>
  <c r="EA67" i="23"/>
  <c r="EA71" i="23" s="1"/>
  <c r="DY28" i="22"/>
  <c r="EA161" i="22"/>
  <c r="EB5" i="22"/>
  <c r="EA6" i="22"/>
  <c r="DY45" i="22"/>
  <c r="DZ54" i="22" l="1"/>
  <c r="DT152" i="22"/>
  <c r="DT81" i="22" s="1"/>
  <c r="DU144" i="22"/>
  <c r="DU145" i="22"/>
  <c r="DV144" i="22"/>
  <c r="DV145" i="22"/>
  <c r="DU72" i="22"/>
  <c r="DW418" i="23" s="1"/>
  <c r="DW420" i="23" s="1"/>
  <c r="DU143" i="22"/>
  <c r="DV72" i="22"/>
  <c r="DX418" i="23" s="1"/>
  <c r="DV143" i="22"/>
  <c r="DV70" i="22"/>
  <c r="DX417" i="23" s="1"/>
  <c r="DW69" i="22"/>
  <c r="DX46" i="22"/>
  <c r="DW48" i="22"/>
  <c r="DW62" i="22" s="1"/>
  <c r="DW71" i="22" s="1"/>
  <c r="ED82" i="23"/>
  <c r="ED377" i="23" s="1"/>
  <c r="ED381" i="23" s="1"/>
  <c r="ED358" i="23" s="1"/>
  <c r="DZ55" i="22"/>
  <c r="CA273" i="23"/>
  <c r="CB269" i="23" s="1"/>
  <c r="CA280" i="23"/>
  <c r="CA391" i="23"/>
  <c r="CA351" i="23"/>
  <c r="BX139" i="23"/>
  <c r="BT293" i="23"/>
  <c r="DZ35" i="22"/>
  <c r="EA331" i="23"/>
  <c r="ED435" i="23"/>
  <c r="EC335" i="23"/>
  <c r="EB67" i="23"/>
  <c r="EB71" i="23" s="1"/>
  <c r="DZ28" i="22"/>
  <c r="BX185" i="23"/>
  <c r="BX186" i="23" s="1"/>
  <c r="DY22" i="22"/>
  <c r="DZ19" i="22"/>
  <c r="DY34" i="22"/>
  <c r="DY37" i="22" s="1"/>
  <c r="DY57" i="22" s="1"/>
  <c r="EB11" i="22"/>
  <c r="ED235" i="23"/>
  <c r="ED337" i="23" s="1"/>
  <c r="ED252" i="23"/>
  <c r="ED221" i="23"/>
  <c r="ED200" i="23"/>
  <c r="ED90" i="23"/>
  <c r="EA13" i="22"/>
  <c r="EB10" i="22"/>
  <c r="DZ45" i="22"/>
  <c r="BS396" i="23"/>
  <c r="BS302" i="23"/>
  <c r="BS355" i="23"/>
  <c r="BS94" i="23"/>
  <c r="DZ78" i="22"/>
  <c r="BW162" i="23"/>
  <c r="EC380" i="23"/>
  <c r="EC354" i="23" s="1"/>
  <c r="EC379" i="23"/>
  <c r="EC350" i="23" s="1"/>
  <c r="EC381" i="23"/>
  <c r="EC358" i="23" s="1"/>
  <c r="EC378" i="23"/>
  <c r="EC346" i="23" s="1"/>
  <c r="ED286" i="23"/>
  <c r="BV342" i="23"/>
  <c r="BV93" i="23"/>
  <c r="EC91" i="23"/>
  <c r="EC333" i="23" s="1"/>
  <c r="EB161" i="22"/>
  <c r="EC5" i="22"/>
  <c r="EB6" i="22"/>
  <c r="BY389" i="23"/>
  <c r="BY356" i="23" s="1"/>
  <c r="BY388" i="23"/>
  <c r="BY352" i="23" s="1"/>
  <c r="BY387" i="23"/>
  <c r="BY343" i="23" s="1"/>
  <c r="ED51" i="23"/>
  <c r="ED69" i="23"/>
  <c r="ED44" i="23"/>
  <c r="ED47" i="23"/>
  <c r="ED68" i="23"/>
  <c r="ED50" i="23"/>
  <c r="ED46" i="23"/>
  <c r="ED60" i="23"/>
  <c r="ED45" i="23"/>
  <c r="ED48" i="23"/>
  <c r="ED42" i="23"/>
  <c r="ED40" i="23"/>
  <c r="ED43" i="23"/>
  <c r="ED41" i="23"/>
  <c r="ED39" i="23"/>
  <c r="ED31" i="23"/>
  <c r="EA149" i="22"/>
  <c r="EA148" i="22"/>
  <c r="EA147" i="22"/>
  <c r="EA142" i="22"/>
  <c r="EA79" i="22" s="1"/>
  <c r="EA146" i="22"/>
  <c r="EA141" i="22"/>
  <c r="EA150" i="22"/>
  <c r="EA26" i="22"/>
  <c r="EA20" i="22" s="1"/>
  <c r="EA25" i="22"/>
  <c r="EA160" i="22"/>
  <c r="EA159" i="22"/>
  <c r="ED264" i="23"/>
  <c r="BZ251" i="23"/>
  <c r="BZ253" i="23" s="1"/>
  <c r="BZ258" i="23"/>
  <c r="BZ207" i="23"/>
  <c r="EE433" i="23"/>
  <c r="EE432" i="23"/>
  <c r="EE270" i="23"/>
  <c r="EE292" i="23"/>
  <c r="EE206" i="23"/>
  <c r="EE81" i="23"/>
  <c r="EE80" i="23"/>
  <c r="EF5" i="23"/>
  <c r="EE6" i="23"/>
  <c r="DW23" i="23" l="1"/>
  <c r="DV30" i="23"/>
  <c r="DX23" i="23"/>
  <c r="DX420" i="23"/>
  <c r="DU152" i="22"/>
  <c r="DW30" i="23" s="1"/>
  <c r="DV152" i="22"/>
  <c r="DV81" i="22" s="1"/>
  <c r="EA55" i="22"/>
  <c r="DW31" i="22"/>
  <c r="ED378" i="23"/>
  <c r="ED346" i="23" s="1"/>
  <c r="ED380" i="23"/>
  <c r="ED354" i="23" s="1"/>
  <c r="DX69" i="22"/>
  <c r="DY46" i="22"/>
  <c r="ED379" i="23"/>
  <c r="ED350" i="23" s="1"/>
  <c r="EE435" i="23"/>
  <c r="DX48" i="22"/>
  <c r="DX62" i="22" s="1"/>
  <c r="DX71" i="22" s="1"/>
  <c r="BZ208" i="23"/>
  <c r="BZ209" i="23" s="1"/>
  <c r="CA205" i="23" s="1"/>
  <c r="EE82" i="23"/>
  <c r="EE377" i="23" s="1"/>
  <c r="EE380" i="23" s="1"/>
  <c r="EE354" i="23" s="1"/>
  <c r="BX140" i="23"/>
  <c r="CA393" i="23"/>
  <c r="CA348" i="23" s="1"/>
  <c r="CA392" i="23"/>
  <c r="CA344" i="23" s="1"/>
  <c r="CA394" i="23"/>
  <c r="CA357" i="23" s="1"/>
  <c r="CB271" i="23"/>
  <c r="CB272" i="23" s="1"/>
  <c r="EA35" i="22"/>
  <c r="EC11" i="22"/>
  <c r="EE286" i="23"/>
  <c r="EA78" i="22"/>
  <c r="ED91" i="23"/>
  <c r="ED333" i="23" s="1"/>
  <c r="EE69" i="23"/>
  <c r="EE41" i="23"/>
  <c r="EE44" i="23"/>
  <c r="EE47" i="23"/>
  <c r="EE68" i="23"/>
  <c r="EE50" i="23"/>
  <c r="EE43" i="23"/>
  <c r="EE46" i="23"/>
  <c r="EE60" i="23"/>
  <c r="EE45" i="23"/>
  <c r="EE48" i="23"/>
  <c r="EE42" i="23"/>
  <c r="EE51" i="23"/>
  <c r="EE40" i="23"/>
  <c r="EE39" i="23"/>
  <c r="EE31" i="23"/>
  <c r="EF433" i="23"/>
  <c r="EF432" i="23"/>
  <c r="EF292" i="23"/>
  <c r="EF270" i="23"/>
  <c r="EF206" i="23"/>
  <c r="EF81" i="23"/>
  <c r="EF80" i="23"/>
  <c r="EG5" i="23"/>
  <c r="EF6" i="23"/>
  <c r="BS399" i="23"/>
  <c r="BS353" i="23" s="1"/>
  <c r="BS398" i="23"/>
  <c r="BS349" i="23" s="1"/>
  <c r="BS397" i="23"/>
  <c r="BS345" i="23" s="1"/>
  <c r="EA45" i="22"/>
  <c r="EC67" i="23"/>
  <c r="EC71" i="23" s="1"/>
  <c r="EA28" i="22"/>
  <c r="BX194" i="23"/>
  <c r="BX179" i="23"/>
  <c r="EB13" i="22"/>
  <c r="EC10" i="22"/>
  <c r="EA54" i="22"/>
  <c r="DY18" i="23"/>
  <c r="DW70" i="22"/>
  <c r="DY417" i="23" s="1"/>
  <c r="BX187" i="23"/>
  <c r="BY183" i="23" s="1"/>
  <c r="EE264" i="23"/>
  <c r="EB150" i="22"/>
  <c r="EB148" i="22"/>
  <c r="EB147" i="22"/>
  <c r="EB149" i="22"/>
  <c r="EB146" i="22"/>
  <c r="EB141" i="22"/>
  <c r="EB142" i="22"/>
  <c r="EB79" i="22" s="1"/>
  <c r="EB26" i="22"/>
  <c r="EB20" i="22" s="1"/>
  <c r="EB25" i="22"/>
  <c r="EC161" i="22"/>
  <c r="ED5" i="22"/>
  <c r="EC6" i="22"/>
  <c r="DZ22" i="22"/>
  <c r="EA19" i="22"/>
  <c r="DZ34" i="22"/>
  <c r="DZ37" i="22" s="1"/>
  <c r="DZ57" i="22" s="1"/>
  <c r="BT294" i="23"/>
  <c r="BT295" i="23" s="1"/>
  <c r="BU291" i="23" s="1"/>
  <c r="EB331" i="23"/>
  <c r="ED335" i="23"/>
  <c r="EB160" i="22"/>
  <c r="EB159" i="22"/>
  <c r="BW163" i="23"/>
  <c r="BW164" i="23" s="1"/>
  <c r="BX160" i="23" s="1"/>
  <c r="EE252" i="23"/>
  <c r="EE221" i="23"/>
  <c r="EE200" i="23"/>
  <c r="EE235" i="23"/>
  <c r="EE337" i="23" s="1"/>
  <c r="EE90" i="23"/>
  <c r="EB55" i="22" l="1"/>
  <c r="DU81" i="22"/>
  <c r="DX30" i="23"/>
  <c r="DW144" i="22"/>
  <c r="DW145" i="22"/>
  <c r="DW72" i="22"/>
  <c r="DY418" i="23" s="1"/>
  <c r="DY420" i="23" s="1"/>
  <c r="DW143" i="22"/>
  <c r="DX31" i="22"/>
  <c r="BZ386" i="23"/>
  <c r="BZ387" i="23" s="1"/>
  <c r="BZ343" i="23" s="1"/>
  <c r="EE381" i="23"/>
  <c r="EE358" i="23" s="1"/>
  <c r="EE378" i="23"/>
  <c r="EE346" i="23" s="1"/>
  <c r="EE379" i="23"/>
  <c r="EE350" i="23" s="1"/>
  <c r="BZ347" i="23"/>
  <c r="DY69" i="22"/>
  <c r="DZ46" i="22"/>
  <c r="DZ48" i="22" s="1"/>
  <c r="DZ62" i="22" s="1"/>
  <c r="BZ216" i="23"/>
  <c r="DY48" i="22"/>
  <c r="DY62" i="22" s="1"/>
  <c r="EF82" i="23"/>
  <c r="EF377" i="23" s="1"/>
  <c r="EF379" i="23" s="1"/>
  <c r="EF350" i="23" s="1"/>
  <c r="CA258" i="23"/>
  <c r="CA251" i="23"/>
  <c r="CA253" i="23" s="1"/>
  <c r="EB54" i="22"/>
  <c r="CB351" i="23"/>
  <c r="CB391" i="23"/>
  <c r="CB280" i="23"/>
  <c r="CB273" i="23"/>
  <c r="CC269" i="23" s="1"/>
  <c r="BX148" i="23"/>
  <c r="BX133" i="23"/>
  <c r="BX141" i="23"/>
  <c r="BY137" i="23" s="1"/>
  <c r="EF435" i="23"/>
  <c r="CA207" i="23"/>
  <c r="CA208" i="23" s="1"/>
  <c r="CA209" i="23" s="1"/>
  <c r="CB205" i="23" s="1"/>
  <c r="EB35" i="22"/>
  <c r="BX162" i="23"/>
  <c r="EC331" i="23"/>
  <c r="EG433" i="23"/>
  <c r="EG432" i="23"/>
  <c r="EG270" i="23"/>
  <c r="EG292" i="23"/>
  <c r="EG206" i="23"/>
  <c r="EG81" i="23"/>
  <c r="EG80" i="23"/>
  <c r="EH5" i="23"/>
  <c r="EG6" i="23"/>
  <c r="EE91" i="23"/>
  <c r="EE333" i="23" s="1"/>
  <c r="BY185" i="23"/>
  <c r="ED67" i="23"/>
  <c r="ED71" i="23" s="1"/>
  <c r="EB28" i="22"/>
  <c r="EE335" i="23"/>
  <c r="BT396" i="23"/>
  <c r="BT302" i="23"/>
  <c r="BT355" i="23"/>
  <c r="BT94" i="23"/>
  <c r="EC13" i="22"/>
  <c r="ED10" i="22"/>
  <c r="EB45" i="22"/>
  <c r="ED11" i="22"/>
  <c r="EA22" i="22"/>
  <c r="EB19" i="22"/>
  <c r="EA34" i="22"/>
  <c r="EA37" i="22" s="1"/>
  <c r="EA57" i="22" s="1"/>
  <c r="EB78" i="22"/>
  <c r="EC150" i="22"/>
  <c r="EC149" i="22"/>
  <c r="EC147" i="22"/>
  <c r="EC146" i="22"/>
  <c r="EC148" i="22"/>
  <c r="EC142" i="22"/>
  <c r="EC79" i="22" s="1"/>
  <c r="EC141" i="22"/>
  <c r="EC26" i="22"/>
  <c r="EC20" i="22" s="1"/>
  <c r="EC25" i="22"/>
  <c r="BU293" i="23"/>
  <c r="ED161" i="22"/>
  <c r="EE5" i="22"/>
  <c r="ED6" i="22"/>
  <c r="EF252" i="23"/>
  <c r="EF235" i="23"/>
  <c r="EF337" i="23" s="1"/>
  <c r="EF200" i="23"/>
  <c r="EF221" i="23"/>
  <c r="EF90" i="23"/>
  <c r="BW171" i="23"/>
  <c r="BW156" i="23"/>
  <c r="BW384" i="23"/>
  <c r="EC160" i="22"/>
  <c r="EC159" i="22"/>
  <c r="EF264" i="23"/>
  <c r="DZ18" i="23"/>
  <c r="DX70" i="22"/>
  <c r="DZ417" i="23" s="1"/>
  <c r="EF286" i="23"/>
  <c r="EF69" i="23"/>
  <c r="EF41" i="23"/>
  <c r="EF44" i="23"/>
  <c r="EF47" i="23"/>
  <c r="EF68" i="23"/>
  <c r="EF50" i="23"/>
  <c r="EF46" i="23"/>
  <c r="EF60" i="23"/>
  <c r="EF51" i="23"/>
  <c r="EF48" i="23"/>
  <c r="EF42" i="23"/>
  <c r="EF40" i="23"/>
  <c r="EF39" i="23"/>
  <c r="EF43" i="23"/>
  <c r="EF45" i="23"/>
  <c r="EF31" i="23"/>
  <c r="DY23" i="23" l="1"/>
  <c r="BZ389" i="23"/>
  <c r="BZ356" i="23" s="1"/>
  <c r="BZ388" i="23"/>
  <c r="BZ352" i="23" s="1"/>
  <c r="DW152" i="22"/>
  <c r="DY30" i="23" s="1"/>
  <c r="DX144" i="22"/>
  <c r="DX145" i="22"/>
  <c r="DX72" i="22"/>
  <c r="DZ23" i="23" s="1"/>
  <c r="DX143" i="22"/>
  <c r="EC54" i="22"/>
  <c r="DY71" i="22"/>
  <c r="DY31" i="22"/>
  <c r="EF378" i="23"/>
  <c r="EF346" i="23" s="1"/>
  <c r="EF380" i="23"/>
  <c r="EF354" i="23" s="1"/>
  <c r="EA46" i="22"/>
  <c r="DZ69" i="22"/>
  <c r="EF381" i="23"/>
  <c r="EF358" i="23" s="1"/>
  <c r="EG82" i="23"/>
  <c r="EG377" i="23" s="1"/>
  <c r="EG380" i="23" s="1"/>
  <c r="EG354" i="23" s="1"/>
  <c r="EG435" i="23"/>
  <c r="EC55" i="22"/>
  <c r="BX163" i="23"/>
  <c r="BX164" i="23" s="1"/>
  <c r="BY160" i="23" s="1"/>
  <c r="BY162" i="23" s="1"/>
  <c r="BY139" i="23"/>
  <c r="BY140" i="23" s="1"/>
  <c r="CC271" i="23"/>
  <c r="CC272" i="23" s="1"/>
  <c r="CB394" i="23"/>
  <c r="CB357" i="23" s="1"/>
  <c r="CB393" i="23"/>
  <c r="CB348" i="23" s="1"/>
  <c r="CB392" i="23"/>
  <c r="CB344" i="23" s="1"/>
  <c r="BY186" i="23"/>
  <c r="BY187" i="23" s="1"/>
  <c r="BZ183" i="23" s="1"/>
  <c r="EC35" i="22"/>
  <c r="EF91" i="23"/>
  <c r="EF333" i="23" s="1"/>
  <c r="EE11" i="22"/>
  <c r="EG44" i="23"/>
  <c r="EG47" i="23"/>
  <c r="EG68" i="23"/>
  <c r="EG50" i="23"/>
  <c r="EG46" i="23"/>
  <c r="EG45" i="23"/>
  <c r="EG60" i="23"/>
  <c r="EG51" i="23"/>
  <c r="EG69" i="23"/>
  <c r="EG48" i="23"/>
  <c r="EG42" i="23"/>
  <c r="EG40" i="23"/>
  <c r="EG43" i="23"/>
  <c r="EG41" i="23"/>
  <c r="EG39" i="23"/>
  <c r="EG31" i="23"/>
  <c r="EF335" i="23"/>
  <c r="EE67" i="23"/>
  <c r="EE71" i="23" s="1"/>
  <c r="EC28" i="22"/>
  <c r="BT398" i="23"/>
  <c r="BT349" i="23" s="1"/>
  <c r="BT399" i="23"/>
  <c r="BT353" i="23" s="1"/>
  <c r="BT397" i="23"/>
  <c r="BT345" i="23" s="1"/>
  <c r="EH433" i="23"/>
  <c r="EH432" i="23"/>
  <c r="EH270" i="23"/>
  <c r="EH292" i="23"/>
  <c r="EH206" i="23"/>
  <c r="EH81" i="23"/>
  <c r="EH80" i="23"/>
  <c r="EI5" i="23"/>
  <c r="EH6" i="23"/>
  <c r="EG264" i="23"/>
  <c r="EC45" i="22"/>
  <c r="DZ71" i="22"/>
  <c r="DZ31" i="22"/>
  <c r="EG252" i="23"/>
  <c r="EG235" i="23"/>
  <c r="EG337" i="23" s="1"/>
  <c r="EG200" i="23"/>
  <c r="EG221" i="23"/>
  <c r="EG90" i="23"/>
  <c r="BU294" i="23"/>
  <c r="BU295" i="23" s="1"/>
  <c r="BV291" i="23" s="1"/>
  <c r="CB251" i="23"/>
  <c r="CB253" i="23" s="1"/>
  <c r="CB258" i="23"/>
  <c r="CB207" i="23"/>
  <c r="EC78" i="22"/>
  <c r="ED150" i="22"/>
  <c r="ED149" i="22"/>
  <c r="ED148" i="22"/>
  <c r="ED146" i="22"/>
  <c r="ED147" i="22"/>
  <c r="ED142" i="22"/>
  <c r="ED79" i="22" s="1"/>
  <c r="ED141" i="22"/>
  <c r="ED26" i="22"/>
  <c r="ED20" i="22" s="1"/>
  <c r="ED25" i="22"/>
  <c r="EG286" i="23"/>
  <c r="EE161" i="22"/>
  <c r="EF5" i="22"/>
  <c r="EE6" i="22"/>
  <c r="CA216" i="23"/>
  <c r="CA386" i="23"/>
  <c r="CA347" i="23"/>
  <c r="ED159" i="22"/>
  <c r="ED160" i="22"/>
  <c r="ED331" i="23"/>
  <c r="EB22" i="22"/>
  <c r="EC19" i="22"/>
  <c r="EB34" i="22"/>
  <c r="EB37" i="22" s="1"/>
  <c r="EB57" i="22" s="1"/>
  <c r="ED13" i="22"/>
  <c r="EE10" i="22"/>
  <c r="BW342" i="23"/>
  <c r="BW93" i="23"/>
  <c r="DW81" i="22" l="1"/>
  <c r="DZ418" i="23"/>
  <c r="DZ420" i="23" s="1"/>
  <c r="DX152" i="22"/>
  <c r="DY144" i="22"/>
  <c r="DY145" i="22"/>
  <c r="DZ144" i="22"/>
  <c r="DZ145" i="22"/>
  <c r="EG381" i="23"/>
  <c r="EG358" i="23" s="1"/>
  <c r="DY72" i="22"/>
  <c r="EA418" i="23" s="1"/>
  <c r="DY143" i="22"/>
  <c r="DZ72" i="22"/>
  <c r="EB23" i="23" s="1"/>
  <c r="DZ143" i="22"/>
  <c r="DZ30" i="23"/>
  <c r="DX81" i="22"/>
  <c r="EG379" i="23"/>
  <c r="EG350" i="23" s="1"/>
  <c r="EG378" i="23"/>
  <c r="EG346" i="23" s="1"/>
  <c r="ED55" i="22"/>
  <c r="BX171" i="23"/>
  <c r="BX384" i="23"/>
  <c r="BX156" i="23"/>
  <c r="BX342" i="23" s="1"/>
  <c r="EA69" i="22"/>
  <c r="EB46" i="22"/>
  <c r="EB48" i="22" s="1"/>
  <c r="EB62" i="22" s="1"/>
  <c r="EB71" i="22" s="1"/>
  <c r="EA18" i="23"/>
  <c r="DY70" i="22"/>
  <c r="EA417" i="23" s="1"/>
  <c r="EA48" i="22"/>
  <c r="EA62" i="22" s="1"/>
  <c r="EA31" i="22" s="1"/>
  <c r="EA145" i="22" s="1"/>
  <c r="BY141" i="23"/>
  <c r="BZ137" i="23" s="1"/>
  <c r="BZ139" i="23" s="1"/>
  <c r="BZ140" i="23" s="1"/>
  <c r="CC280" i="23"/>
  <c r="CC391" i="23"/>
  <c r="CC351" i="23"/>
  <c r="BZ185" i="23"/>
  <c r="BZ186" i="23" s="1"/>
  <c r="CC273" i="23"/>
  <c r="CD269" i="23" s="1"/>
  <c r="EH82" i="23"/>
  <c r="EH377" i="23" s="1"/>
  <c r="EH378" i="23" s="1"/>
  <c r="EH346" i="23" s="1"/>
  <c r="BY148" i="23"/>
  <c r="BY133" i="23"/>
  <c r="BY179" i="23"/>
  <c r="BY194" i="23"/>
  <c r="ED54" i="22"/>
  <c r="ED35" i="22"/>
  <c r="BV293" i="23"/>
  <c r="BV294" i="23" s="1"/>
  <c r="EF67" i="23"/>
  <c r="EF71" i="23" s="1"/>
  <c r="ED28" i="22"/>
  <c r="EG335" i="23"/>
  <c r="EE331" i="23"/>
  <c r="EG91" i="23"/>
  <c r="EG333" i="23" s="1"/>
  <c r="EE13" i="22"/>
  <c r="EF10" i="22"/>
  <c r="EH252" i="23"/>
  <c r="EH235" i="23"/>
  <c r="EH337" i="23" s="1"/>
  <c r="EH221" i="23"/>
  <c r="EH200" i="23"/>
  <c r="EH90" i="23"/>
  <c r="EF11" i="22"/>
  <c r="CA388" i="23"/>
  <c r="CA352" i="23" s="1"/>
  <c r="CA387" i="23"/>
  <c r="CA343" i="23" s="1"/>
  <c r="CA389" i="23"/>
  <c r="CA356" i="23" s="1"/>
  <c r="ED78" i="22"/>
  <c r="ED45" i="22"/>
  <c r="EH47" i="23"/>
  <c r="EH68" i="23"/>
  <c r="EH50" i="23"/>
  <c r="EH46" i="23"/>
  <c r="EH60" i="23"/>
  <c r="EH48" i="23"/>
  <c r="EH51" i="23"/>
  <c r="EH69" i="23"/>
  <c r="EH40" i="23"/>
  <c r="EH39" i="23"/>
  <c r="EH41" i="23"/>
  <c r="EH44" i="23"/>
  <c r="EH42" i="23"/>
  <c r="EH43" i="23"/>
  <c r="EH45" i="23"/>
  <c r="EH31" i="23"/>
  <c r="EH286" i="23"/>
  <c r="BY163" i="23"/>
  <c r="BY164" i="23" s="1"/>
  <c r="BZ160" i="23" s="1"/>
  <c r="EI270" i="23"/>
  <c r="EI292" i="23"/>
  <c r="EI206" i="23"/>
  <c r="EI6" i="23"/>
  <c r="CB208" i="23"/>
  <c r="CB209" i="23" s="1"/>
  <c r="CC205" i="23" s="1"/>
  <c r="EB18" i="23"/>
  <c r="DZ70" i="22"/>
  <c r="EB417" i="23" s="1"/>
  <c r="EH264" i="23"/>
  <c r="EH435" i="23"/>
  <c r="EE150" i="22"/>
  <c r="EE149" i="22"/>
  <c r="EE148" i="22"/>
  <c r="EE147" i="22"/>
  <c r="EE142" i="22"/>
  <c r="EE79" i="22" s="1"/>
  <c r="EE141" i="22"/>
  <c r="EE146" i="22"/>
  <c r="EE25" i="22"/>
  <c r="EE26" i="22"/>
  <c r="EE20" i="22" s="1"/>
  <c r="EC22" i="22"/>
  <c r="ED19" i="22"/>
  <c r="EC34" i="22"/>
  <c r="EC37" i="22" s="1"/>
  <c r="EC57" i="22" s="1"/>
  <c r="EF161" i="22"/>
  <c r="EG5" i="22"/>
  <c r="EF6" i="22"/>
  <c r="EE159" i="22"/>
  <c r="EE160" i="22"/>
  <c r="BU396" i="23"/>
  <c r="BU302" i="23"/>
  <c r="BU355" i="23"/>
  <c r="BU94" i="23"/>
  <c r="EB418" i="23" l="1"/>
  <c r="DY152" i="22"/>
  <c r="EA30" i="23" s="1"/>
  <c r="DZ152" i="22"/>
  <c r="EB30" i="23" s="1"/>
  <c r="EA23" i="23"/>
  <c r="EA143" i="22"/>
  <c r="EA144" i="22"/>
  <c r="BX93" i="23"/>
  <c r="EA420" i="23"/>
  <c r="EA71" i="22"/>
  <c r="EA72" i="22" s="1"/>
  <c r="EB69" i="22"/>
  <c r="EB70" i="22" s="1"/>
  <c r="ED417" i="23" s="1"/>
  <c r="EC46" i="22"/>
  <c r="EH379" i="23"/>
  <c r="EH350" i="23" s="1"/>
  <c r="EB31" i="22"/>
  <c r="BZ148" i="23"/>
  <c r="BZ133" i="23"/>
  <c r="BZ187" i="23"/>
  <c r="CA183" i="23" s="1"/>
  <c r="BZ194" i="23"/>
  <c r="BZ179" i="23"/>
  <c r="BZ141" i="23"/>
  <c r="CA137" i="23" s="1"/>
  <c r="EE54" i="22"/>
  <c r="EH381" i="23"/>
  <c r="EH358" i="23" s="1"/>
  <c r="CD271" i="23"/>
  <c r="CD272" i="23" s="1"/>
  <c r="EH380" i="23"/>
  <c r="EH354" i="23" s="1"/>
  <c r="BV295" i="23"/>
  <c r="BW291" i="23" s="1"/>
  <c r="BW293" i="23" s="1"/>
  <c r="CC393" i="23"/>
  <c r="CC348" i="23" s="1"/>
  <c r="CC392" i="23"/>
  <c r="CC344" i="23" s="1"/>
  <c r="CC394" i="23"/>
  <c r="CC357" i="23" s="1"/>
  <c r="EE35" i="22"/>
  <c r="BZ162" i="23"/>
  <c r="BZ163" i="23" s="1"/>
  <c r="EB420" i="23"/>
  <c r="BY171" i="23"/>
  <c r="BY156" i="23"/>
  <c r="BY384" i="23"/>
  <c r="EF150" i="22"/>
  <c r="EF149" i="22"/>
  <c r="EF148" i="22"/>
  <c r="EF147" i="22"/>
  <c r="EF142" i="22"/>
  <c r="EF79" i="22" s="1"/>
  <c r="EF141" i="22"/>
  <c r="EF146" i="22"/>
  <c r="EF25" i="22"/>
  <c r="EF26" i="22"/>
  <c r="EF20" i="22" s="1"/>
  <c r="EE78" i="22"/>
  <c r="EH91" i="23"/>
  <c r="EH333" i="23" s="1"/>
  <c r="CB216" i="23"/>
  <c r="CB386" i="23"/>
  <c r="CB347" i="23"/>
  <c r="EH335" i="23"/>
  <c r="BV396" i="23"/>
  <c r="BV302" i="23"/>
  <c r="BV355" i="23"/>
  <c r="BV94" i="23"/>
  <c r="ED18" i="23"/>
  <c r="EF159" i="22"/>
  <c r="EF160" i="22"/>
  <c r="EE45" i="22"/>
  <c r="EG11" i="22"/>
  <c r="CC258" i="23"/>
  <c r="CC251" i="23"/>
  <c r="CC253" i="23" s="1"/>
  <c r="CC207" i="23"/>
  <c r="EG161" i="22"/>
  <c r="EH5" i="22"/>
  <c r="EG6" i="22"/>
  <c r="ED22" i="22"/>
  <c r="EE19" i="22"/>
  <c r="ED34" i="22"/>
  <c r="ED37" i="22" s="1"/>
  <c r="ED57" i="22" s="1"/>
  <c r="EE55" i="22"/>
  <c r="EI252" i="23"/>
  <c r="E252" i="23" s="1"/>
  <c r="EI235" i="23"/>
  <c r="N235" i="23" s="1"/>
  <c r="EI221" i="23"/>
  <c r="N221" i="23" s="1"/>
  <c r="EI200" i="23"/>
  <c r="N200" i="23" s="1"/>
  <c r="EI90" i="23"/>
  <c r="N90" i="23" s="1"/>
  <c r="EI286" i="23"/>
  <c r="N286" i="23" s="1"/>
  <c r="BU398" i="23"/>
  <c r="BU349" i="23" s="1"/>
  <c r="BU399" i="23"/>
  <c r="BU353" i="23" s="1"/>
  <c r="BU397" i="23"/>
  <c r="BU345" i="23" s="1"/>
  <c r="EI68" i="23"/>
  <c r="EI50" i="23"/>
  <c r="EI46" i="23"/>
  <c r="EI45" i="23"/>
  <c r="EI51" i="23"/>
  <c r="EI69" i="23"/>
  <c r="E69" i="23" s="1"/>
  <c r="EI40" i="23"/>
  <c r="EI39" i="23"/>
  <c r="EI60" i="23"/>
  <c r="EI43" i="23"/>
  <c r="EI47" i="23"/>
  <c r="EI48" i="23"/>
  <c r="EI41" i="23"/>
  <c r="EI42" i="23"/>
  <c r="EI44" i="23"/>
  <c r="EI31" i="23"/>
  <c r="E31" i="23" s="1"/>
  <c r="E264" i="23"/>
  <c r="F292" i="23"/>
  <c r="F271" i="23"/>
  <c r="D294" i="23"/>
  <c r="F186" i="23"/>
  <c r="D156" i="23"/>
  <c r="F18" i="23"/>
  <c r="F253" i="23"/>
  <c r="F286" i="23"/>
  <c r="F417" i="23"/>
  <c r="F326" i="23"/>
  <c r="D408" i="23"/>
  <c r="D133" i="23"/>
  <c r="F185" i="23"/>
  <c r="E206" i="23"/>
  <c r="F139" i="23"/>
  <c r="D292" i="23"/>
  <c r="F327" i="23"/>
  <c r="F90" i="23"/>
  <c r="F93" i="23"/>
  <c r="F43" i="12" s="1"/>
  <c r="F179" i="23"/>
  <c r="D208" i="23"/>
  <c r="D179" i="23"/>
  <c r="D252" i="23"/>
  <c r="D138" i="23"/>
  <c r="E292" i="23"/>
  <c r="D200" i="23"/>
  <c r="F207" i="23"/>
  <c r="F133" i="23"/>
  <c r="E325" i="23"/>
  <c r="D230" i="23"/>
  <c r="D331" i="23"/>
  <c r="D184" i="23"/>
  <c r="D377" i="23"/>
  <c r="D380" i="23" s="1"/>
  <c r="D354" i="23" s="1"/>
  <c r="D286" i="23"/>
  <c r="D101" i="23"/>
  <c r="D161" i="23"/>
  <c r="F140" i="23"/>
  <c r="E270" i="23"/>
  <c r="D223" i="23"/>
  <c r="F200" i="23"/>
  <c r="F69" i="23"/>
  <c r="F71" i="23" s="1"/>
  <c r="F23" i="12" s="1"/>
  <c r="F252" i="23"/>
  <c r="F235" i="23"/>
  <c r="F337" i="23" s="1"/>
  <c r="D270" i="23"/>
  <c r="D373" i="23"/>
  <c r="D237" i="23"/>
  <c r="F23" i="23"/>
  <c r="G418" i="23"/>
  <c r="D131" i="23"/>
  <c r="D407" i="23"/>
  <c r="F163" i="23"/>
  <c r="D272" i="23"/>
  <c r="D94" i="23"/>
  <c r="F162" i="23"/>
  <c r="D339" i="23"/>
  <c r="D228" i="23"/>
  <c r="D336" i="23" s="1"/>
  <c r="F31" i="23"/>
  <c r="H186" i="23"/>
  <c r="G271" i="23"/>
  <c r="D177" i="23"/>
  <c r="G133" i="23"/>
  <c r="F94" i="23"/>
  <c r="F44" i="12" s="1"/>
  <c r="F206" i="23"/>
  <c r="E326" i="23"/>
  <c r="F272" i="23"/>
  <c r="D329" i="23"/>
  <c r="D221" i="23"/>
  <c r="D335" i="23" s="1"/>
  <c r="F418" i="23"/>
  <c r="F293" i="23"/>
  <c r="F325" i="23"/>
  <c r="D186" i="23"/>
  <c r="F91" i="23"/>
  <c r="F41" i="12" s="1"/>
  <c r="D12" i="23"/>
  <c r="D327" i="23" s="1"/>
  <c r="D91" i="23"/>
  <c r="D333" i="23" s="1"/>
  <c r="G325" i="23"/>
  <c r="D206" i="23"/>
  <c r="G23" i="23"/>
  <c r="G140" i="23"/>
  <c r="D264" i="23"/>
  <c r="G162" i="23"/>
  <c r="G186" i="23"/>
  <c r="H294" i="23"/>
  <c r="G90" i="23"/>
  <c r="G253" i="23"/>
  <c r="D406" i="23"/>
  <c r="D140" i="23"/>
  <c r="D90" i="23"/>
  <c r="G327" i="23"/>
  <c r="F208" i="23"/>
  <c r="F294" i="23"/>
  <c r="G264" i="23"/>
  <c r="G286" i="23"/>
  <c r="F264" i="23"/>
  <c r="G326" i="23"/>
  <c r="G93" i="23"/>
  <c r="G43" i="12" s="1"/>
  <c r="G235" i="23"/>
  <c r="G337" i="23" s="1"/>
  <c r="G139" i="23"/>
  <c r="D163" i="23"/>
  <c r="G270" i="23"/>
  <c r="F156" i="23"/>
  <c r="D154" i="23"/>
  <c r="G179" i="23"/>
  <c r="G163" i="23"/>
  <c r="I271" i="23"/>
  <c r="G31" i="23"/>
  <c r="G156" i="23"/>
  <c r="F270" i="23"/>
  <c r="G221" i="23"/>
  <c r="G335" i="23" s="1"/>
  <c r="D93" i="23"/>
  <c r="G69" i="23"/>
  <c r="G71" i="23" s="1"/>
  <c r="G23" i="12" s="1"/>
  <c r="G252" i="23"/>
  <c r="E327" i="23"/>
  <c r="D235" i="23"/>
  <c r="D337" i="23" s="1"/>
  <c r="G206" i="23"/>
  <c r="G293" i="23"/>
  <c r="G292" i="23"/>
  <c r="G294" i="23"/>
  <c r="G94" i="23"/>
  <c r="G44" i="12" s="1"/>
  <c r="G417" i="23"/>
  <c r="H140" i="23"/>
  <c r="H30" i="23"/>
  <c r="H253" i="23"/>
  <c r="I326" i="23"/>
  <c r="H252" i="23"/>
  <c r="I23" i="23"/>
  <c r="H139" i="23"/>
  <c r="H93" i="23"/>
  <c r="H43" i="12" s="1"/>
  <c r="H94" i="23"/>
  <c r="H44" i="12" s="1"/>
  <c r="H292" i="23"/>
  <c r="H90" i="23"/>
  <c r="G18" i="23"/>
  <c r="H264" i="23"/>
  <c r="H326" i="23"/>
  <c r="G272" i="23"/>
  <c r="H271" i="23"/>
  <c r="I264" i="23"/>
  <c r="H133" i="23"/>
  <c r="I270" i="23"/>
  <c r="F221" i="23"/>
  <c r="F335" i="23" s="1"/>
  <c r="G185" i="23"/>
  <c r="G200" i="23"/>
  <c r="G208" i="23"/>
  <c r="H208" i="23"/>
  <c r="H286" i="23"/>
  <c r="H31" i="23"/>
  <c r="H200" i="23"/>
  <c r="H185" i="23"/>
  <c r="H206" i="23"/>
  <c r="I221" i="23"/>
  <c r="I335" i="23" s="1"/>
  <c r="G91" i="23"/>
  <c r="G41" i="12" s="1"/>
  <c r="G207" i="23"/>
  <c r="H69" i="23"/>
  <c r="H71" i="23" s="1"/>
  <c r="H23" i="12" s="1"/>
  <c r="H23" i="23"/>
  <c r="I286" i="23"/>
  <c r="H418" i="23"/>
  <c r="H272" i="23"/>
  <c r="H327" i="23"/>
  <c r="J30" i="23"/>
  <c r="I417" i="23"/>
  <c r="I418" i="23"/>
  <c r="I325" i="23"/>
  <c r="I206" i="23"/>
  <c r="H270" i="23"/>
  <c r="I90" i="23"/>
  <c r="H163" i="23"/>
  <c r="H221" i="23"/>
  <c r="H335" i="23" s="1"/>
  <c r="J264" i="23"/>
  <c r="H235" i="23"/>
  <c r="H337" i="23" s="1"/>
  <c r="I252" i="23"/>
  <c r="H293" i="23"/>
  <c r="H179" i="23"/>
  <c r="I207" i="23"/>
  <c r="I30" i="23"/>
  <c r="I208" i="23"/>
  <c r="I292" i="23"/>
  <c r="H18" i="23"/>
  <c r="I327" i="23"/>
  <c r="I91" i="23"/>
  <c r="I41" i="12" s="1"/>
  <c r="I200" i="23"/>
  <c r="H207" i="23"/>
  <c r="H156" i="23"/>
  <c r="H162" i="23"/>
  <c r="I272" i="23"/>
  <c r="H91" i="23"/>
  <c r="H41" i="12" s="1"/>
  <c r="I235" i="23"/>
  <c r="I337" i="23" s="1"/>
  <c r="I31" i="23"/>
  <c r="J327" i="23"/>
  <c r="H417" i="23"/>
  <c r="H325" i="23"/>
  <c r="I69" i="23"/>
  <c r="I71" i="23" s="1"/>
  <c r="I23" i="12" s="1"/>
  <c r="J325" i="23"/>
  <c r="J270" i="23"/>
  <c r="J91" i="23"/>
  <c r="J41" i="12" s="1"/>
  <c r="J235" i="23"/>
  <c r="J337" i="23" s="1"/>
  <c r="K18" i="23"/>
  <c r="J90" i="23"/>
  <c r="I18" i="23"/>
  <c r="I253" i="23"/>
  <c r="J252" i="23"/>
  <c r="J221" i="23"/>
  <c r="J335" i="23" s="1"/>
  <c r="J206" i="23"/>
  <c r="J326" i="23"/>
  <c r="K23" i="23"/>
  <c r="K30" i="23"/>
  <c r="K91" i="23"/>
  <c r="K41" i="12" s="1"/>
  <c r="K325" i="23"/>
  <c r="J200" i="23"/>
  <c r="J69" i="23"/>
  <c r="J71" i="23" s="1"/>
  <c r="J23" i="12" s="1"/>
  <c r="J286" i="23"/>
  <c r="K206" i="23"/>
  <c r="J23" i="23"/>
  <c r="J292" i="23"/>
  <c r="J418" i="23"/>
  <c r="J417" i="23"/>
  <c r="K252" i="23"/>
  <c r="J18" i="23"/>
  <c r="K200" i="23"/>
  <c r="K417" i="23"/>
  <c r="L270" i="23"/>
  <c r="K69" i="23"/>
  <c r="K71" i="23" s="1"/>
  <c r="K23" i="12" s="1"/>
  <c r="L91" i="23"/>
  <c r="L41" i="12" s="1"/>
  <c r="L264" i="23"/>
  <c r="L252" i="23"/>
  <c r="L417" i="23"/>
  <c r="K286" i="23"/>
  <c r="K326" i="23"/>
  <c r="K270" i="23"/>
  <c r="K90" i="23"/>
  <c r="K235" i="23"/>
  <c r="K337" i="23" s="1"/>
  <c r="L69" i="23"/>
  <c r="L71" i="23" s="1"/>
  <c r="L23" i="12" s="1"/>
  <c r="L30" i="23"/>
  <c r="L206" i="23"/>
  <c r="K292" i="23"/>
  <c r="K221" i="23"/>
  <c r="K335" i="23" s="1"/>
  <c r="K418" i="23"/>
  <c r="J31" i="23"/>
  <c r="K31" i="23"/>
  <c r="L235" i="23"/>
  <c r="L337" i="23" s="1"/>
  <c r="L292" i="23"/>
  <c r="L23" i="23"/>
  <c r="K327" i="23"/>
  <c r="L418" i="23"/>
  <c r="L327" i="23"/>
  <c r="K264" i="23"/>
  <c r="M292" i="23"/>
  <c r="L200" i="23"/>
  <c r="L325" i="23"/>
  <c r="L326" i="23"/>
  <c r="L221" i="23"/>
  <c r="L335" i="23" s="1"/>
  <c r="N325" i="23"/>
  <c r="M30" i="23"/>
  <c r="M325" i="23"/>
  <c r="M91" i="23"/>
  <c r="M41" i="12" s="1"/>
  <c r="M252" i="23"/>
  <c r="M221" i="23"/>
  <c r="M335" i="23" s="1"/>
  <c r="M23" i="23"/>
  <c r="N206" i="23"/>
  <c r="M270" i="23"/>
  <c r="N326" i="23"/>
  <c r="M327" i="23"/>
  <c r="M206" i="23"/>
  <c r="L18" i="23"/>
  <c r="M264" i="23"/>
  <c r="L31" i="23"/>
  <c r="N292" i="23"/>
  <c r="M69" i="23"/>
  <c r="M71" i="23" s="1"/>
  <c r="M23" i="12" s="1"/>
  <c r="M90" i="23"/>
  <c r="M286" i="23"/>
  <c r="M200" i="23"/>
  <c r="L286" i="23"/>
  <c r="M418" i="23"/>
  <c r="M18" i="23"/>
  <c r="N270" i="23"/>
  <c r="N327" i="23"/>
  <c r="M417" i="23"/>
  <c r="L90" i="23"/>
  <c r="M235" i="23"/>
  <c r="M337" i="23" s="1"/>
  <c r="M31" i="23"/>
  <c r="M326" i="23"/>
  <c r="EI264" i="23"/>
  <c r="N264" i="23" s="1"/>
  <c r="EF13" i="22"/>
  <c r="EG10" i="22"/>
  <c r="EF331" i="23"/>
  <c r="EG67" i="23"/>
  <c r="EG71" i="23" s="1"/>
  <c r="EE28" i="22"/>
  <c r="EA70" i="22" l="1"/>
  <c r="EC417" i="23" s="1"/>
  <c r="EC18" i="23"/>
  <c r="DY81" i="22"/>
  <c r="N31" i="23"/>
  <c r="O31" i="23" s="1"/>
  <c r="F396" i="23"/>
  <c r="F397" i="23" s="1"/>
  <c r="F345" i="23" s="1"/>
  <c r="H355" i="23"/>
  <c r="H386" i="23"/>
  <c r="H387" i="23" s="1"/>
  <c r="H343" i="23" s="1"/>
  <c r="F386" i="23"/>
  <c r="F389" i="23" s="1"/>
  <c r="F356" i="23" s="1"/>
  <c r="D379" i="23"/>
  <c r="D350" i="23" s="1"/>
  <c r="G391" i="23"/>
  <c r="G393" i="23" s="1"/>
  <c r="G348" i="23" s="1"/>
  <c r="I347" i="23"/>
  <c r="D396" i="23"/>
  <c r="D397" i="23" s="1"/>
  <c r="D345" i="23" s="1"/>
  <c r="D374" i="23"/>
  <c r="D330" i="23" s="1"/>
  <c r="D391" i="23"/>
  <c r="D393" i="23" s="1"/>
  <c r="D348" i="23" s="1"/>
  <c r="D355" i="23"/>
  <c r="F347" i="23"/>
  <c r="G396" i="23"/>
  <c r="G399" i="23" s="1"/>
  <c r="G353" i="23" s="1"/>
  <c r="J331" i="23"/>
  <c r="D342" i="23"/>
  <c r="I351" i="23"/>
  <c r="M333" i="23"/>
  <c r="G342" i="23"/>
  <c r="H384" i="23"/>
  <c r="DZ81" i="22"/>
  <c r="H333" i="23"/>
  <c r="D347" i="23"/>
  <c r="L331" i="23"/>
  <c r="D386" i="23"/>
  <c r="C13" i="14" s="1"/>
  <c r="F384" i="23"/>
  <c r="G384" i="23"/>
  <c r="G355" i="23"/>
  <c r="M331" i="23"/>
  <c r="G386" i="23"/>
  <c r="G388" i="23" s="1"/>
  <c r="G352" i="23" s="1"/>
  <c r="F342" i="23"/>
  <c r="H342" i="23"/>
  <c r="I391" i="23"/>
  <c r="I392" i="23" s="1"/>
  <c r="I344" i="23" s="1"/>
  <c r="H391" i="23"/>
  <c r="H394" i="23" s="1"/>
  <c r="H357" i="23" s="1"/>
  <c r="D351" i="23"/>
  <c r="I386" i="23"/>
  <c r="I388" i="23" s="1"/>
  <c r="I352" i="23" s="1"/>
  <c r="H347" i="23"/>
  <c r="F351" i="23"/>
  <c r="H396" i="23"/>
  <c r="H398" i="23" s="1"/>
  <c r="H349" i="23" s="1"/>
  <c r="F333" i="23"/>
  <c r="F331" i="23"/>
  <c r="K333" i="23"/>
  <c r="F355" i="23"/>
  <c r="D384" i="23"/>
  <c r="C12" i="14" s="1"/>
  <c r="I331" i="23"/>
  <c r="H331" i="23"/>
  <c r="D378" i="23"/>
  <c r="D346" i="23" s="1"/>
  <c r="G331" i="23"/>
  <c r="K331" i="23"/>
  <c r="L333" i="23"/>
  <c r="G347" i="23"/>
  <c r="D381" i="23"/>
  <c r="D358" i="23" s="1"/>
  <c r="F391" i="23"/>
  <c r="H351" i="23"/>
  <c r="I333" i="23"/>
  <c r="G333" i="23"/>
  <c r="J333" i="23"/>
  <c r="G351" i="23"/>
  <c r="EB144" i="22"/>
  <c r="EB145" i="22"/>
  <c r="EA152" i="22"/>
  <c r="EC30" i="23" s="1"/>
  <c r="EB72" i="22"/>
  <c r="ED418" i="23" s="1"/>
  <c r="ED420" i="23" s="1"/>
  <c r="EB143" i="22"/>
  <c r="N252" i="23"/>
  <c r="O252" i="23" s="1"/>
  <c r="EC418" i="23"/>
  <c r="EC23" i="23"/>
  <c r="EF55" i="22"/>
  <c r="EC69" i="22"/>
  <c r="ED46" i="22"/>
  <c r="EC48" i="22"/>
  <c r="EC62" i="22" s="1"/>
  <c r="EC31" i="22" s="1"/>
  <c r="EF54" i="22"/>
  <c r="CD273" i="23"/>
  <c r="CE269" i="23" s="1"/>
  <c r="CD280" i="23"/>
  <c r="CD391" i="23"/>
  <c r="CD351" i="23"/>
  <c r="CA139" i="23"/>
  <c r="CA140" i="23" s="1"/>
  <c r="N69" i="23"/>
  <c r="N71" i="23" s="1"/>
  <c r="N23" i="12" s="1"/>
  <c r="CA185" i="23"/>
  <c r="CA186" i="23" s="1"/>
  <c r="EF35" i="22"/>
  <c r="BZ171" i="23"/>
  <c r="BZ156" i="23"/>
  <c r="BZ384" i="23"/>
  <c r="D238" i="23"/>
  <c r="E234" i="23" s="1"/>
  <c r="O154" i="23"/>
  <c r="D157" i="23"/>
  <c r="O292" i="23"/>
  <c r="D295" i="23"/>
  <c r="E291" i="23" s="1"/>
  <c r="J30" i="18"/>
  <c r="K30" i="18" s="1"/>
  <c r="L30" i="18" s="1"/>
  <c r="CC208" i="23"/>
  <c r="BY93" i="23"/>
  <c r="BY342" i="23"/>
  <c r="BZ164" i="23"/>
  <c r="CA160" i="23" s="1"/>
  <c r="O264" i="23"/>
  <c r="D266" i="23"/>
  <c r="EG331" i="23"/>
  <c r="K40" i="12"/>
  <c r="H16" i="14"/>
  <c r="D187" i="23"/>
  <c r="E183" i="23" s="1"/>
  <c r="O184" i="23"/>
  <c r="I40" i="12"/>
  <c r="EH67" i="23"/>
  <c r="EH71" i="23" s="1"/>
  <c r="EF28" i="22"/>
  <c r="D41" i="12"/>
  <c r="M40" i="12"/>
  <c r="N40" i="12"/>
  <c r="E286" i="23"/>
  <c r="O286" i="23" s="1"/>
  <c r="G420" i="23"/>
  <c r="G40" i="12"/>
  <c r="D425" i="23"/>
  <c r="O12" i="23"/>
  <c r="D12" i="12"/>
  <c r="O12" i="12" s="1"/>
  <c r="M420" i="23"/>
  <c r="J40" i="12"/>
  <c r="EF78" i="22"/>
  <c r="J420" i="23"/>
  <c r="D95" i="23"/>
  <c r="D40" i="12"/>
  <c r="H40" i="12"/>
  <c r="D164" i="23"/>
  <c r="E160" i="23" s="1"/>
  <c r="O161" i="23"/>
  <c r="EE22" i="22"/>
  <c r="EF19" i="22"/>
  <c r="EE34" i="22"/>
  <c r="EE37" i="22" s="1"/>
  <c r="EE57" i="22" s="1"/>
  <c r="EH11" i="22"/>
  <c r="EG13" i="22"/>
  <c r="EH10" i="22"/>
  <c r="D43" i="12"/>
  <c r="D209" i="23"/>
  <c r="E205" i="23" s="1"/>
  <c r="O206" i="23"/>
  <c r="D180" i="23"/>
  <c r="O177" i="23"/>
  <c r="D202" i="23"/>
  <c r="E90" i="23"/>
  <c r="O90" i="23" s="1"/>
  <c r="BV398" i="23"/>
  <c r="BV397" i="23"/>
  <c r="BV399" i="23"/>
  <c r="BW294" i="23"/>
  <c r="H420" i="23"/>
  <c r="D405" i="23"/>
  <c r="D224" i="23"/>
  <c r="E220" i="23" s="1"/>
  <c r="D231" i="23"/>
  <c r="E227" i="23" s="1"/>
  <c r="D134" i="23"/>
  <c r="O131" i="23"/>
  <c r="EI91" i="23"/>
  <c r="E200" i="23"/>
  <c r="O200" i="23" s="1"/>
  <c r="EG150" i="22"/>
  <c r="EG149" i="22"/>
  <c r="EG148" i="22"/>
  <c r="EG147" i="22"/>
  <c r="EG142" i="22"/>
  <c r="EG79" i="22" s="1"/>
  <c r="EG141" i="22"/>
  <c r="EG146" i="22"/>
  <c r="EG26" i="22"/>
  <c r="EG20" i="22" s="1"/>
  <c r="EG25" i="22"/>
  <c r="D273" i="23"/>
  <c r="E269" i="23" s="1"/>
  <c r="O270" i="23"/>
  <c r="E71" i="23"/>
  <c r="E23" i="12" s="1"/>
  <c r="EI335" i="23"/>
  <c r="E221" i="23"/>
  <c r="O221" i="23" s="1"/>
  <c r="EH161" i="22"/>
  <c r="EI5" i="22"/>
  <c r="EH6" i="22"/>
  <c r="L420" i="23"/>
  <c r="K420" i="23"/>
  <c r="D288" i="23"/>
  <c r="F40" i="12"/>
  <c r="EI337" i="23"/>
  <c r="E235" i="23"/>
  <c r="O235" i="23" s="1"/>
  <c r="EG159" i="22"/>
  <c r="EG160" i="22"/>
  <c r="EF45" i="22"/>
  <c r="L40" i="12"/>
  <c r="I420" i="23"/>
  <c r="D141" i="23"/>
  <c r="E137" i="23" s="1"/>
  <c r="O138" i="23"/>
  <c r="F420" i="23"/>
  <c r="CB388" i="23"/>
  <c r="CB387" i="23"/>
  <c r="CB389" i="23"/>
  <c r="D44" i="12"/>
  <c r="O327" i="23"/>
  <c r="H12" i="14"/>
  <c r="I12" i="14" s="1"/>
  <c r="EC420" i="23" l="1"/>
  <c r="H388" i="23"/>
  <c r="H352" i="23" s="1"/>
  <c r="F398" i="23"/>
  <c r="F349" i="23" s="1"/>
  <c r="F399" i="23"/>
  <c r="F353" i="23" s="1"/>
  <c r="G394" i="23"/>
  <c r="G357" i="23" s="1"/>
  <c r="C14" i="14"/>
  <c r="G392" i="23"/>
  <c r="G344" i="23" s="1"/>
  <c r="D399" i="23"/>
  <c r="D353" i="23" s="1"/>
  <c r="C15" i="14"/>
  <c r="F388" i="23"/>
  <c r="F352" i="23" s="1"/>
  <c r="D398" i="23"/>
  <c r="D349" i="23" s="1"/>
  <c r="F387" i="23"/>
  <c r="F343" i="23" s="1"/>
  <c r="H389" i="23"/>
  <c r="H356" i="23" s="1"/>
  <c r="G398" i="23"/>
  <c r="G349" i="23" s="1"/>
  <c r="D394" i="23"/>
  <c r="D357" i="23" s="1"/>
  <c r="D375" i="23"/>
  <c r="D340" i="23" s="1"/>
  <c r="D392" i="23"/>
  <c r="D344" i="23" s="1"/>
  <c r="G387" i="23"/>
  <c r="G343" i="23" s="1"/>
  <c r="G397" i="23"/>
  <c r="G345" i="23" s="1"/>
  <c r="G389" i="23"/>
  <c r="G356" i="23" s="1"/>
  <c r="H397" i="23"/>
  <c r="H345" i="23" s="1"/>
  <c r="H399" i="23"/>
  <c r="H353" i="23" s="1"/>
  <c r="I389" i="23"/>
  <c r="I356" i="23" s="1"/>
  <c r="I393" i="23"/>
  <c r="I348" i="23" s="1"/>
  <c r="H393" i="23"/>
  <c r="H348" i="23" s="1"/>
  <c r="I394" i="23"/>
  <c r="I357" i="23" s="1"/>
  <c r="D387" i="23"/>
  <c r="D388" i="23"/>
  <c r="D352" i="23" s="1"/>
  <c r="D389" i="23"/>
  <c r="D356" i="23" s="1"/>
  <c r="I387" i="23"/>
  <c r="I343" i="23" s="1"/>
  <c r="H392" i="23"/>
  <c r="H344" i="23" s="1"/>
  <c r="F393" i="23"/>
  <c r="F348" i="23" s="1"/>
  <c r="F394" i="23"/>
  <c r="F357" i="23" s="1"/>
  <c r="F392" i="23"/>
  <c r="F344" i="23" s="1"/>
  <c r="ED23" i="23"/>
  <c r="EB152" i="22"/>
  <c r="ED30" i="23" s="1"/>
  <c r="EC71" i="22"/>
  <c r="EC72" i="22" s="1"/>
  <c r="EA81" i="22"/>
  <c r="EC144" i="22"/>
  <c r="EC145" i="22"/>
  <c r="EC143" i="22"/>
  <c r="EG54" i="22"/>
  <c r="ED69" i="22"/>
  <c r="EE46" i="22"/>
  <c r="ED48" i="22"/>
  <c r="ED62" i="22" s="1"/>
  <c r="ED31" i="22" s="1"/>
  <c r="ED145" i="22" s="1"/>
  <c r="I186" i="23"/>
  <c r="CA194" i="23"/>
  <c r="CA179" i="23"/>
  <c r="I179" i="23" s="1"/>
  <c r="O23" i="12"/>
  <c r="O69" i="23"/>
  <c r="H42" i="14" s="1"/>
  <c r="CA187" i="23"/>
  <c r="CB183" i="23" s="1"/>
  <c r="I185" i="23"/>
  <c r="CA133" i="23"/>
  <c r="I133" i="23" s="1"/>
  <c r="CA148" i="23"/>
  <c r="I140" i="23"/>
  <c r="CA141" i="23"/>
  <c r="CB137" i="23" s="1"/>
  <c r="I139" i="23"/>
  <c r="CD392" i="23"/>
  <c r="CD344" i="23" s="1"/>
  <c r="CD393" i="23"/>
  <c r="CD348" i="23" s="1"/>
  <c r="CD394" i="23"/>
  <c r="CD357" i="23" s="1"/>
  <c r="CE271" i="23"/>
  <c r="CE272" i="23" s="1"/>
  <c r="EG35" i="22"/>
  <c r="AP40" i="25"/>
  <c r="E167" i="23"/>
  <c r="EI161" i="22"/>
  <c r="EI6" i="22"/>
  <c r="EJ5" i="22"/>
  <c r="EG78" i="22"/>
  <c r="EH13" i="22"/>
  <c r="EI10" i="22"/>
  <c r="E298" i="23"/>
  <c r="E300" i="23" s="1"/>
  <c r="BZ342" i="23"/>
  <c r="BZ93" i="23"/>
  <c r="E144" i="23"/>
  <c r="EH160" i="22"/>
  <c r="EH159" i="22"/>
  <c r="I16" i="14"/>
  <c r="CC216" i="23"/>
  <c r="CC347" i="23"/>
  <c r="CC386" i="23"/>
  <c r="EH150" i="22"/>
  <c r="EH149" i="22"/>
  <c r="EH148" i="22"/>
  <c r="EH147" i="22"/>
  <c r="EH146" i="22"/>
  <c r="EH142" i="22"/>
  <c r="EH79" i="22" s="1"/>
  <c r="EH141" i="22"/>
  <c r="EH26" i="22"/>
  <c r="EH20" i="22" s="1"/>
  <c r="EH25" i="22"/>
  <c r="D45" i="12"/>
  <c r="E190" i="23"/>
  <c r="E192" i="23" s="1"/>
  <c r="E335" i="23"/>
  <c r="N335" i="23"/>
  <c r="EH72" i="23"/>
  <c r="EH406" i="23" s="1"/>
  <c r="DR72" i="23"/>
  <c r="EA72" i="23"/>
  <c r="DJ72" i="23"/>
  <c r="CT72" i="23"/>
  <c r="CD72" i="23"/>
  <c r="BN72" i="23"/>
  <c r="AX72" i="23"/>
  <c r="AH72" i="23"/>
  <c r="DZ72" i="23"/>
  <c r="DI72" i="23"/>
  <c r="CS72" i="23"/>
  <c r="CC72" i="23"/>
  <c r="BM72" i="23"/>
  <c r="AW72" i="23"/>
  <c r="AG72" i="23"/>
  <c r="DY72" i="23"/>
  <c r="DH72" i="23"/>
  <c r="CR72" i="23"/>
  <c r="CB72" i="23"/>
  <c r="BL72" i="23"/>
  <c r="AV72" i="23"/>
  <c r="AF72" i="23"/>
  <c r="DX72" i="23"/>
  <c r="DG72" i="23"/>
  <c r="CQ72" i="23"/>
  <c r="CA72" i="23"/>
  <c r="BK72" i="23"/>
  <c r="AU72" i="23"/>
  <c r="AE72" i="23"/>
  <c r="DW72" i="23"/>
  <c r="DF72" i="23"/>
  <c r="CP72" i="23"/>
  <c r="BZ72" i="23"/>
  <c r="BJ72" i="23"/>
  <c r="AT72" i="23"/>
  <c r="AD72" i="23"/>
  <c r="DV72" i="23"/>
  <c r="DE72" i="23"/>
  <c r="CO72" i="23"/>
  <c r="BY72" i="23"/>
  <c r="BI72" i="23"/>
  <c r="AS72" i="23"/>
  <c r="AC72" i="23"/>
  <c r="DU72" i="23"/>
  <c r="DD72" i="23"/>
  <c r="CN72" i="23"/>
  <c r="BX72" i="23"/>
  <c r="BH72" i="23"/>
  <c r="AR72" i="23"/>
  <c r="AB72" i="23"/>
  <c r="DT72" i="23"/>
  <c r="DC72" i="23"/>
  <c r="CM72" i="23"/>
  <c r="BW72" i="23"/>
  <c r="BG72" i="23"/>
  <c r="AQ72" i="23"/>
  <c r="AA72" i="23"/>
  <c r="DS72" i="23"/>
  <c r="DB72" i="23"/>
  <c r="CL72" i="23"/>
  <c r="BV72" i="23"/>
  <c r="BF72" i="23"/>
  <c r="AP72" i="23"/>
  <c r="Z72" i="23"/>
  <c r="EI72" i="23"/>
  <c r="EI406" i="23" s="1"/>
  <c r="DQ72" i="23"/>
  <c r="DA72" i="23"/>
  <c r="CK72" i="23"/>
  <c r="BU72" i="23"/>
  <c r="BE72" i="23"/>
  <c r="AO72" i="23"/>
  <c r="Y72" i="23"/>
  <c r="EF72" i="23"/>
  <c r="DO72" i="23"/>
  <c r="CY72" i="23"/>
  <c r="CI72" i="23"/>
  <c r="BS72" i="23"/>
  <c r="BC72" i="23"/>
  <c r="AM72" i="23"/>
  <c r="W72" i="23"/>
  <c r="EE72" i="23"/>
  <c r="DN72" i="23"/>
  <c r="CX72" i="23"/>
  <c r="CH72" i="23"/>
  <c r="BR72" i="23"/>
  <c r="BB72" i="23"/>
  <c r="AL72" i="23"/>
  <c r="V72" i="23"/>
  <c r="ED72" i="23"/>
  <c r="DM72" i="23"/>
  <c r="CW72" i="23"/>
  <c r="CG72" i="23"/>
  <c r="BQ72" i="23"/>
  <c r="BA72" i="23"/>
  <c r="AK72" i="23"/>
  <c r="U72" i="23"/>
  <c r="EC72" i="23"/>
  <c r="DL72" i="23"/>
  <c r="CV72" i="23"/>
  <c r="CF72" i="23"/>
  <c r="BP72" i="23"/>
  <c r="AZ72" i="23"/>
  <c r="AJ72" i="23"/>
  <c r="T72" i="23"/>
  <c r="EB72" i="23"/>
  <c r="DK72" i="23"/>
  <c r="CU72" i="23"/>
  <c r="CE72" i="23"/>
  <c r="BO72" i="23"/>
  <c r="AY72" i="23"/>
  <c r="AI72" i="23"/>
  <c r="EG72" i="23"/>
  <c r="DP72" i="23"/>
  <c r="CJ72" i="23"/>
  <c r="BT72" i="23"/>
  <c r="BD72" i="23"/>
  <c r="AN72" i="23"/>
  <c r="X72" i="23"/>
  <c r="CZ72" i="23"/>
  <c r="EG45" i="22"/>
  <c r="S425" i="23"/>
  <c r="N425" i="23"/>
  <c r="M425" i="23"/>
  <c r="M427" i="23" s="1"/>
  <c r="K425" i="23"/>
  <c r="K427" i="23" s="1"/>
  <c r="J425" i="23"/>
  <c r="J427" i="23" s="1"/>
  <c r="D427" i="23"/>
  <c r="D438" i="23" s="1"/>
  <c r="I425" i="23"/>
  <c r="I427" i="23" s="1"/>
  <c r="L425" i="23"/>
  <c r="L427" i="23" s="1"/>
  <c r="H425" i="23"/>
  <c r="H427" i="23" s="1"/>
  <c r="G425" i="23"/>
  <c r="G427" i="23" s="1"/>
  <c r="F425" i="23"/>
  <c r="F427" i="23" s="1"/>
  <c r="E425" i="23"/>
  <c r="CB356" i="23"/>
  <c r="EI67" i="23"/>
  <c r="EI71" i="23" s="1"/>
  <c r="EG28" i="22"/>
  <c r="EH331" i="23"/>
  <c r="EI333" i="23"/>
  <c r="E91" i="23"/>
  <c r="N91" i="23"/>
  <c r="BV353" i="23"/>
  <c r="EI11" i="22"/>
  <c r="EG55" i="22"/>
  <c r="BW396" i="23"/>
  <c r="BW302" i="23"/>
  <c r="BW355" i="23"/>
  <c r="BW94" i="23"/>
  <c r="E276" i="23"/>
  <c r="E278" i="23" s="1"/>
  <c r="BV345" i="23"/>
  <c r="CC209" i="23"/>
  <c r="CD205" i="23" s="1"/>
  <c r="CA162" i="23"/>
  <c r="I162" i="23" s="1"/>
  <c r="E40" i="12"/>
  <c r="O40" i="12" s="1"/>
  <c r="CB343" i="23"/>
  <c r="CB352" i="23"/>
  <c r="E337" i="23"/>
  <c r="N337" i="23"/>
  <c r="BV349" i="23"/>
  <c r="E251" i="23"/>
  <c r="E212" i="23"/>
  <c r="E214" i="23" s="1"/>
  <c r="EF22" i="22"/>
  <c r="EG19" i="22"/>
  <c r="EF34" i="22"/>
  <c r="EF37" i="22" s="1"/>
  <c r="EF57" i="22" s="1"/>
  <c r="BW295" i="23"/>
  <c r="BX291" i="23" s="1"/>
  <c r="EE18" i="23" l="1"/>
  <c r="EC70" i="22"/>
  <c r="EE417" i="23" s="1"/>
  <c r="EB81" i="22"/>
  <c r="D376" i="23"/>
  <c r="D361" i="23" s="1"/>
  <c r="D343" i="23"/>
  <c r="C16" i="14"/>
  <c r="EH55" i="22"/>
  <c r="EE418" i="23"/>
  <c r="EE23" i="23"/>
  <c r="EC152" i="22"/>
  <c r="EE30" i="23" s="1"/>
  <c r="O71" i="23"/>
  <c r="AP38" i="25" s="1"/>
  <c r="ED143" i="22"/>
  <c r="ED144" i="22"/>
  <c r="EH54" i="22"/>
  <c r="ED71" i="22"/>
  <c r="EF46" i="22"/>
  <c r="EE69" i="22"/>
  <c r="EE48" i="22"/>
  <c r="EE62" i="22" s="1"/>
  <c r="O337" i="23"/>
  <c r="CE280" i="23"/>
  <c r="CE391" i="23"/>
  <c r="CE351" i="23"/>
  <c r="CB139" i="23"/>
  <c r="CB140" i="23" s="1"/>
  <c r="O425" i="23"/>
  <c r="BB7" i="25" s="1"/>
  <c r="C3" i="27" s="1"/>
  <c r="CB185" i="23"/>
  <c r="CB186" i="23" s="1"/>
  <c r="CA163" i="23"/>
  <c r="CA164" i="23" s="1"/>
  <c r="CB160" i="23" s="1"/>
  <c r="CE273" i="23"/>
  <c r="CF269" i="23" s="1"/>
  <c r="EH28" i="22"/>
  <c r="EH35" i="22"/>
  <c r="E213" i="23"/>
  <c r="U214" i="23"/>
  <c r="T214" i="23"/>
  <c r="V214" i="23"/>
  <c r="W214" i="23"/>
  <c r="X214" i="23"/>
  <c r="Y214" i="23"/>
  <c r="Z214" i="23"/>
  <c r="AA214" i="23"/>
  <c r="AB214" i="23"/>
  <c r="AC214" i="23"/>
  <c r="AD214" i="23"/>
  <c r="AE214" i="23"/>
  <c r="E191" i="23"/>
  <c r="T192" i="23"/>
  <c r="U192" i="23"/>
  <c r="V192" i="23"/>
  <c r="W192" i="23"/>
  <c r="X192" i="23"/>
  <c r="Y192" i="23"/>
  <c r="Z192" i="23"/>
  <c r="AA192" i="23"/>
  <c r="AB192" i="23"/>
  <c r="AC192" i="23"/>
  <c r="AD192" i="23"/>
  <c r="AE192" i="23"/>
  <c r="DL406" i="23"/>
  <c r="M72" i="23"/>
  <c r="DN406" i="23"/>
  <c r="DQ406" i="23"/>
  <c r="AB406" i="23"/>
  <c r="BJ406" i="23"/>
  <c r="DP406" i="23"/>
  <c r="EC406" i="23"/>
  <c r="EE406" i="23"/>
  <c r="AR406" i="23"/>
  <c r="G72" i="23"/>
  <c r="BZ406" i="23"/>
  <c r="DH406" i="23"/>
  <c r="DR406" i="23"/>
  <c r="EC425" i="23"/>
  <c r="DM425" i="23"/>
  <c r="CW425" i="23"/>
  <c r="CG425" i="23"/>
  <c r="BQ425" i="23"/>
  <c r="BA425" i="23"/>
  <c r="AK425" i="23"/>
  <c r="U425" i="23"/>
  <c r="EB425" i="23"/>
  <c r="DL425" i="23"/>
  <c r="CV425" i="23"/>
  <c r="CF425" i="23"/>
  <c r="BP425" i="23"/>
  <c r="AZ425" i="23"/>
  <c r="AJ425" i="23"/>
  <c r="T425" i="23"/>
  <c r="EA425" i="23"/>
  <c r="DK425" i="23"/>
  <c r="CU425" i="23"/>
  <c r="CE425" i="23"/>
  <c r="BO425" i="23"/>
  <c r="AY425" i="23"/>
  <c r="AI425" i="23"/>
  <c r="DZ425" i="23"/>
  <c r="DJ425" i="23"/>
  <c r="CT425" i="23"/>
  <c r="CD425" i="23"/>
  <c r="BN425" i="23"/>
  <c r="AX425" i="23"/>
  <c r="AH425" i="23"/>
  <c r="DY425" i="23"/>
  <c r="DI425" i="23"/>
  <c r="CS425" i="23"/>
  <c r="CC425" i="23"/>
  <c r="BM425" i="23"/>
  <c r="AW425" i="23"/>
  <c r="AG425" i="23"/>
  <c r="DX425" i="23"/>
  <c r="DH425" i="23"/>
  <c r="CR425" i="23"/>
  <c r="CB425" i="23"/>
  <c r="BL425" i="23"/>
  <c r="AV425" i="23"/>
  <c r="AF425" i="23"/>
  <c r="DV425" i="23"/>
  <c r="DF425" i="23"/>
  <c r="CP425" i="23"/>
  <c r="BZ425" i="23"/>
  <c r="BJ425" i="23"/>
  <c r="AT425" i="23"/>
  <c r="AD425" i="23"/>
  <c r="S443" i="23"/>
  <c r="DU425" i="23"/>
  <c r="DE425" i="23"/>
  <c r="CO425" i="23"/>
  <c r="BY425" i="23"/>
  <c r="BI425" i="23"/>
  <c r="AS425" i="23"/>
  <c r="AC425" i="23"/>
  <c r="DT425" i="23"/>
  <c r="DD425" i="23"/>
  <c r="CN425" i="23"/>
  <c r="BX425" i="23"/>
  <c r="BH425" i="23"/>
  <c r="AR425" i="23"/>
  <c r="AB425" i="23"/>
  <c r="DB425" i="23"/>
  <c r="BT425" i="23"/>
  <c r="AL425" i="23"/>
  <c r="EG425" i="23"/>
  <c r="CY425" i="23"/>
  <c r="BK425" i="23"/>
  <c r="Z425" i="23"/>
  <c r="EF425" i="23"/>
  <c r="CX425" i="23"/>
  <c r="BG425" i="23"/>
  <c r="Y425" i="23"/>
  <c r="EE425" i="23"/>
  <c r="CQ425" i="23"/>
  <c r="BF425" i="23"/>
  <c r="X425" i="23"/>
  <c r="ED425" i="23"/>
  <c r="CM425" i="23"/>
  <c r="BE425" i="23"/>
  <c r="W425" i="23"/>
  <c r="DS425" i="23"/>
  <c r="CK425" i="23"/>
  <c r="BC425" i="23"/>
  <c r="DR425" i="23"/>
  <c r="CJ425" i="23"/>
  <c r="BB425" i="23"/>
  <c r="DQ425" i="23"/>
  <c r="CI425" i="23"/>
  <c r="AU425" i="23"/>
  <c r="DP425" i="23"/>
  <c r="CH425" i="23"/>
  <c r="AQ425" i="23"/>
  <c r="DO425" i="23"/>
  <c r="CA425" i="23"/>
  <c r="AP425" i="23"/>
  <c r="DC425" i="23"/>
  <c r="BU425" i="23"/>
  <c r="AM425" i="23"/>
  <c r="CL425" i="23"/>
  <c r="BW425" i="23"/>
  <c r="BV425" i="23"/>
  <c r="BS425" i="23"/>
  <c r="BR425" i="23"/>
  <c r="BD425" i="23"/>
  <c r="AO425" i="23"/>
  <c r="S427" i="23"/>
  <c r="S438" i="23" s="1"/>
  <c r="AN425" i="23"/>
  <c r="EI425" i="23"/>
  <c r="AA425" i="23"/>
  <c r="EH425" i="23"/>
  <c r="V425" i="23"/>
  <c r="DW425" i="23"/>
  <c r="CZ425" i="23"/>
  <c r="AE425" i="23"/>
  <c r="DN425" i="23"/>
  <c r="DA425" i="23"/>
  <c r="DG425" i="23"/>
  <c r="EG406" i="23"/>
  <c r="U406" i="23"/>
  <c r="W406" i="23"/>
  <c r="Z406" i="23"/>
  <c r="BH406" i="23"/>
  <c r="CP406" i="23"/>
  <c r="DY406" i="23"/>
  <c r="AI406" i="23"/>
  <c r="AK406" i="23"/>
  <c r="AP406" i="23"/>
  <c r="BX406" i="23"/>
  <c r="DF406" i="23"/>
  <c r="AG406" i="23"/>
  <c r="AY406" i="23"/>
  <c r="BA406" i="23"/>
  <c r="BC406" i="23"/>
  <c r="BF406" i="23"/>
  <c r="CN406" i="23"/>
  <c r="K72" i="23"/>
  <c r="DW406" i="23"/>
  <c r="AW406" i="23"/>
  <c r="EJ161" i="22"/>
  <c r="EJ6" i="22"/>
  <c r="EK5" i="22"/>
  <c r="AM406" i="23"/>
  <c r="BO406" i="23"/>
  <c r="BQ406" i="23"/>
  <c r="BS406" i="23"/>
  <c r="BV406" i="23"/>
  <c r="DD406" i="23"/>
  <c r="AE406" i="23"/>
  <c r="BM406" i="23"/>
  <c r="EI150" i="22"/>
  <c r="EI149" i="22"/>
  <c r="EI148" i="22"/>
  <c r="EI147" i="22"/>
  <c r="EI146" i="22"/>
  <c r="EI142" i="22"/>
  <c r="EI79" i="22" s="1"/>
  <c r="EI141" i="22"/>
  <c r="EI26" i="22"/>
  <c r="EI20" i="22" s="1"/>
  <c r="EI25" i="22"/>
  <c r="CR406" i="23"/>
  <c r="CE406" i="23"/>
  <c r="CG406" i="23"/>
  <c r="CI406" i="23"/>
  <c r="CL406" i="23"/>
  <c r="DU406" i="23"/>
  <c r="AU406" i="23"/>
  <c r="CC406" i="23"/>
  <c r="CC388" i="23"/>
  <c r="CC389" i="23"/>
  <c r="CC387" i="23"/>
  <c r="EI160" i="22"/>
  <c r="EI159" i="22"/>
  <c r="T190" i="23"/>
  <c r="U190" i="23"/>
  <c r="V190" i="23"/>
  <c r="W190" i="23"/>
  <c r="X190" i="23"/>
  <c r="Y190" i="23"/>
  <c r="Z190" i="23"/>
  <c r="AA190" i="23"/>
  <c r="AB190" i="23"/>
  <c r="AC190" i="23"/>
  <c r="AD190" i="23"/>
  <c r="AE190" i="23"/>
  <c r="T276" i="23"/>
  <c r="U276" i="23"/>
  <c r="V276" i="23"/>
  <c r="W276" i="23"/>
  <c r="X276" i="23"/>
  <c r="Y276" i="23"/>
  <c r="Z276" i="23"/>
  <c r="AA276" i="23"/>
  <c r="AB276" i="23"/>
  <c r="AC276" i="23"/>
  <c r="AD276" i="23"/>
  <c r="AE276" i="23"/>
  <c r="CU406" i="23"/>
  <c r="CW406" i="23"/>
  <c r="CY406" i="23"/>
  <c r="DB406" i="23"/>
  <c r="AC406" i="23"/>
  <c r="BK406" i="23"/>
  <c r="CS406" i="23"/>
  <c r="DK406" i="23"/>
  <c r="DM406" i="23"/>
  <c r="DO406" i="23"/>
  <c r="DS406" i="23"/>
  <c r="AS406" i="23"/>
  <c r="CA406" i="23"/>
  <c r="DI406" i="23"/>
  <c r="O335" i="23"/>
  <c r="T144" i="23"/>
  <c r="U144" i="23"/>
  <c r="V144" i="23"/>
  <c r="W144" i="23"/>
  <c r="X144" i="23"/>
  <c r="Y144" i="23"/>
  <c r="Z144" i="23"/>
  <c r="AA144" i="23"/>
  <c r="AB144" i="23"/>
  <c r="AC144" i="23"/>
  <c r="AD144" i="23"/>
  <c r="AE144" i="23"/>
  <c r="T167" i="23"/>
  <c r="U167" i="23"/>
  <c r="V167" i="23"/>
  <c r="W167" i="23"/>
  <c r="X167" i="23"/>
  <c r="Y167" i="23"/>
  <c r="Z167" i="23"/>
  <c r="AA167" i="23"/>
  <c r="AB167" i="23"/>
  <c r="AC167" i="23"/>
  <c r="AD167" i="23"/>
  <c r="AE167" i="23"/>
  <c r="EB406" i="23"/>
  <c r="ED406" i="23"/>
  <c r="EF406" i="23"/>
  <c r="AA406" i="23"/>
  <c r="BI406" i="23"/>
  <c r="CQ406" i="23"/>
  <c r="DZ406" i="23"/>
  <c r="E146" i="23"/>
  <c r="E299" i="23"/>
  <c r="T300" i="23"/>
  <c r="U300" i="23"/>
  <c r="V300" i="23"/>
  <c r="W300" i="23"/>
  <c r="X300" i="23"/>
  <c r="Y300" i="23"/>
  <c r="Z300" i="23"/>
  <c r="AA300" i="23"/>
  <c r="AB300" i="23"/>
  <c r="AC300" i="23"/>
  <c r="AD300" i="23"/>
  <c r="AE300" i="23"/>
  <c r="E169" i="23"/>
  <c r="E277" i="23"/>
  <c r="T278" i="23"/>
  <c r="U278" i="23"/>
  <c r="V278" i="23"/>
  <c r="W278" i="23"/>
  <c r="X278" i="23"/>
  <c r="Y278" i="23"/>
  <c r="Z278" i="23"/>
  <c r="AA278" i="23"/>
  <c r="AB278" i="23"/>
  <c r="AC278" i="23"/>
  <c r="AD278" i="23"/>
  <c r="AE278" i="23"/>
  <c r="EJ11" i="22"/>
  <c r="T406" i="23"/>
  <c r="U228" i="23"/>
  <c r="E72" i="23"/>
  <c r="T228" i="23"/>
  <c r="T229" i="23" s="1"/>
  <c r="V228" i="23"/>
  <c r="W228" i="23"/>
  <c r="X228" i="23"/>
  <c r="Y228" i="23"/>
  <c r="Z228" i="23"/>
  <c r="AA228" i="23"/>
  <c r="AB228" i="23"/>
  <c r="AC228" i="23"/>
  <c r="AD228" i="23"/>
  <c r="AE228" i="23"/>
  <c r="AF228" i="23"/>
  <c r="AG228" i="23"/>
  <c r="AH228" i="23"/>
  <c r="AI228" i="23"/>
  <c r="AJ228" i="23"/>
  <c r="AK228" i="23"/>
  <c r="AL228" i="23"/>
  <c r="AM228" i="23"/>
  <c r="AN228" i="23"/>
  <c r="AO228" i="23"/>
  <c r="AP228" i="23"/>
  <c r="AQ228" i="23"/>
  <c r="AR228" i="23"/>
  <c r="AS228" i="23"/>
  <c r="AT228" i="23"/>
  <c r="AU228" i="23"/>
  <c r="AV228" i="23"/>
  <c r="AW228" i="23"/>
  <c r="AX228" i="23"/>
  <c r="AY228" i="23"/>
  <c r="AZ228" i="23"/>
  <c r="BA228" i="23"/>
  <c r="BB228" i="23"/>
  <c r="BC228" i="23"/>
  <c r="BD228" i="23"/>
  <c r="BE228" i="23"/>
  <c r="BF228" i="23"/>
  <c r="BG228" i="23"/>
  <c r="BH228" i="23"/>
  <c r="BI228" i="23"/>
  <c r="BJ228" i="23"/>
  <c r="BK228" i="23"/>
  <c r="BL228" i="23"/>
  <c r="BM228" i="23"/>
  <c r="BN228" i="23"/>
  <c r="BO228" i="23"/>
  <c r="BP228" i="23"/>
  <c r="BQ228" i="23"/>
  <c r="BR228" i="23"/>
  <c r="BS228" i="23"/>
  <c r="BT228" i="23"/>
  <c r="BU228" i="23"/>
  <c r="BV228" i="23"/>
  <c r="BW228" i="23"/>
  <c r="BX228" i="23"/>
  <c r="BY228" i="23"/>
  <c r="BZ228" i="23"/>
  <c r="CA228" i="23"/>
  <c r="CB228" i="23"/>
  <c r="CC228" i="23"/>
  <c r="CD228" i="23"/>
  <c r="CE228" i="23"/>
  <c r="CF228" i="23"/>
  <c r="CG228" i="23"/>
  <c r="CH228" i="23"/>
  <c r="CI228" i="23"/>
  <c r="CJ228" i="23"/>
  <c r="CK228" i="23"/>
  <c r="CL228" i="23"/>
  <c r="CM228" i="23"/>
  <c r="CN228" i="23"/>
  <c r="CO228" i="23"/>
  <c r="CP228" i="23"/>
  <c r="CQ228" i="23"/>
  <c r="CR228" i="23"/>
  <c r="CS228" i="23"/>
  <c r="CT228" i="23"/>
  <c r="CU228" i="23"/>
  <c r="CV228" i="23"/>
  <c r="CW228" i="23"/>
  <c r="CX228" i="23"/>
  <c r="CY228" i="23"/>
  <c r="CZ228" i="23"/>
  <c r="DA228" i="23"/>
  <c r="DB228" i="23"/>
  <c r="DC228" i="23"/>
  <c r="DD228" i="23"/>
  <c r="DE228" i="23"/>
  <c r="DF228" i="23"/>
  <c r="DG228" i="23"/>
  <c r="DH228" i="23"/>
  <c r="DI228" i="23"/>
  <c r="DJ228" i="23"/>
  <c r="DK228" i="23"/>
  <c r="DL228" i="23"/>
  <c r="DM228" i="23"/>
  <c r="DN228" i="23"/>
  <c r="DO228" i="23"/>
  <c r="DP228" i="23"/>
  <c r="DQ228" i="23"/>
  <c r="DR228" i="23"/>
  <c r="DS228" i="23"/>
  <c r="DT228" i="23"/>
  <c r="DU228" i="23"/>
  <c r="DV228" i="23"/>
  <c r="DW228" i="23"/>
  <c r="DX228" i="23"/>
  <c r="DY228" i="23"/>
  <c r="DZ228" i="23"/>
  <c r="EA228" i="23"/>
  <c r="EB228" i="23"/>
  <c r="EC228" i="23"/>
  <c r="ED228" i="23"/>
  <c r="EE228" i="23"/>
  <c r="EF228" i="23"/>
  <c r="EG228" i="23"/>
  <c r="EH228" i="23"/>
  <c r="EI228" i="23"/>
  <c r="V406" i="23"/>
  <c r="Y406" i="23"/>
  <c r="AQ406" i="23"/>
  <c r="BY406" i="23"/>
  <c r="DG406" i="23"/>
  <c r="AH406" i="23"/>
  <c r="EH78" i="22"/>
  <c r="T298" i="23"/>
  <c r="U298" i="23"/>
  <c r="V298" i="23"/>
  <c r="W298" i="23"/>
  <c r="X298" i="23"/>
  <c r="Y298" i="23"/>
  <c r="Z298" i="23"/>
  <c r="AA298" i="23"/>
  <c r="AB298" i="23"/>
  <c r="AC298" i="23"/>
  <c r="AD298" i="23"/>
  <c r="AE298" i="23"/>
  <c r="EA406" i="23"/>
  <c r="I42" i="14"/>
  <c r="H43" i="14"/>
  <c r="I43" i="14" s="1"/>
  <c r="CZ406" i="23"/>
  <c r="L72" i="23"/>
  <c r="AJ406" i="23"/>
  <c r="AL406" i="23"/>
  <c r="AO406" i="23"/>
  <c r="BG406" i="23"/>
  <c r="CO406" i="23"/>
  <c r="DX406" i="23"/>
  <c r="N72" i="23"/>
  <c r="AX406" i="23"/>
  <c r="EI331" i="23"/>
  <c r="X406" i="23"/>
  <c r="AZ406" i="23"/>
  <c r="BB406" i="23"/>
  <c r="BE406" i="23"/>
  <c r="BW406" i="23"/>
  <c r="DE406" i="23"/>
  <c r="AF406" i="23"/>
  <c r="F72" i="23"/>
  <c r="BN406" i="23"/>
  <c r="CD258" i="23"/>
  <c r="CD251" i="23"/>
  <c r="CD253" i="23" s="1"/>
  <c r="CD207" i="23"/>
  <c r="CD208" i="23" s="1"/>
  <c r="CJ406" i="23"/>
  <c r="U212" i="23"/>
  <c r="T212" i="23"/>
  <c r="V212" i="23"/>
  <c r="W212" i="23"/>
  <c r="X212" i="23"/>
  <c r="Y212" i="23"/>
  <c r="Z212" i="23"/>
  <c r="AA212" i="23"/>
  <c r="AB212" i="23"/>
  <c r="AC212" i="23"/>
  <c r="AD212" i="23"/>
  <c r="AE212" i="23"/>
  <c r="BX293" i="23"/>
  <c r="BX294" i="23" s="1"/>
  <c r="N41" i="12"/>
  <c r="AN406" i="23"/>
  <c r="BP406" i="23"/>
  <c r="I72" i="23"/>
  <c r="BR406" i="23"/>
  <c r="BU406" i="23"/>
  <c r="CM406" i="23"/>
  <c r="DV406" i="23"/>
  <c r="AV406" i="23"/>
  <c r="CD406" i="23"/>
  <c r="E41" i="12"/>
  <c r="O91" i="23"/>
  <c r="EH45" i="22"/>
  <c r="BD406" i="23"/>
  <c r="H72" i="23"/>
  <c r="CF406" i="23"/>
  <c r="CH406" i="23"/>
  <c r="CK406" i="23"/>
  <c r="DC406" i="23"/>
  <c r="AD406" i="23"/>
  <c r="BL406" i="23"/>
  <c r="CT406" i="23"/>
  <c r="EH19" i="22"/>
  <c r="EG22" i="22"/>
  <c r="EG34" i="22"/>
  <c r="EG37" i="22" s="1"/>
  <c r="EG57" i="22" s="1"/>
  <c r="BW398" i="23"/>
  <c r="BW397" i="23"/>
  <c r="BW399" i="23"/>
  <c r="E333" i="23"/>
  <c r="N333" i="23"/>
  <c r="BT406" i="23"/>
  <c r="CV406" i="23"/>
  <c r="CX406" i="23"/>
  <c r="DA406" i="23"/>
  <c r="DT406" i="23"/>
  <c r="AT406" i="23"/>
  <c r="CB406" i="23"/>
  <c r="J72" i="23"/>
  <c r="DJ406" i="23"/>
  <c r="EI13" i="22"/>
  <c r="EJ10" i="22"/>
  <c r="EI55" i="22" l="1"/>
  <c r="EE420" i="23"/>
  <c r="EE427" i="23" s="1"/>
  <c r="EE438" i="23" s="1"/>
  <c r="F42" i="16"/>
  <c r="EC81" i="22"/>
  <c r="ED152" i="22"/>
  <c r="EE71" i="22"/>
  <c r="EE31" i="22"/>
  <c r="B40" i="8"/>
  <c r="EG46" i="22"/>
  <c r="EF69" i="22"/>
  <c r="ED70" i="22"/>
  <c r="EF417" i="23" s="1"/>
  <c r="EF18" i="23"/>
  <c r="EF48" i="22"/>
  <c r="EF62" i="22" s="1"/>
  <c r="EF31" i="22" s="1"/>
  <c r="ED72" i="22"/>
  <c r="I163" i="23"/>
  <c r="CA384" i="23"/>
  <c r="CA156" i="23"/>
  <c r="CA342" i="23" s="1"/>
  <c r="CB194" i="23"/>
  <c r="CB179" i="23"/>
  <c r="CB187" i="23"/>
  <c r="CC183" i="23" s="1"/>
  <c r="CB148" i="23"/>
  <c r="CB133" i="23"/>
  <c r="CA171" i="23"/>
  <c r="CF271" i="23"/>
  <c r="CF272" i="23" s="1"/>
  <c r="CB141" i="23"/>
  <c r="CC137" i="23" s="1"/>
  <c r="CE393" i="23"/>
  <c r="CE348" i="23" s="1"/>
  <c r="CE394" i="23"/>
  <c r="CE357" i="23" s="1"/>
  <c r="CE392" i="23"/>
  <c r="CE344" i="23" s="1"/>
  <c r="O41" i="12"/>
  <c r="CD216" i="23"/>
  <c r="CD386" i="23"/>
  <c r="CD347" i="23"/>
  <c r="CD209" i="23"/>
  <c r="CE205" i="23" s="1"/>
  <c r="BX396" i="23"/>
  <c r="BX302" i="23"/>
  <c r="BX355" i="23"/>
  <c r="BX94" i="23"/>
  <c r="EI35" i="22"/>
  <c r="L406" i="23"/>
  <c r="CB162" i="23"/>
  <c r="DY336" i="23"/>
  <c r="DI336" i="23"/>
  <c r="CS336" i="23"/>
  <c r="CC336" i="23"/>
  <c r="BM336" i="23"/>
  <c r="AW336" i="23"/>
  <c r="AG336" i="23"/>
  <c r="U336" i="23"/>
  <c r="AD265" i="23"/>
  <c r="AD266" i="23" s="1"/>
  <c r="AD277" i="23"/>
  <c r="AE299" i="23"/>
  <c r="AE287" i="23"/>
  <c r="AE288" i="23" s="1"/>
  <c r="AO427" i="23"/>
  <c r="AO438" i="23" s="1"/>
  <c r="AU427" i="23"/>
  <c r="AU438" i="23" s="1"/>
  <c r="BX427" i="23"/>
  <c r="BX438" i="23" s="1"/>
  <c r="CP427" i="23"/>
  <c r="CP438" i="23" s="1"/>
  <c r="DY427" i="23"/>
  <c r="DY438" i="23" s="1"/>
  <c r="AJ427" i="23"/>
  <c r="AJ438" i="23" s="1"/>
  <c r="AE254" i="23"/>
  <c r="AE201" i="23"/>
  <c r="AE213" i="23"/>
  <c r="DH336" i="23"/>
  <c r="BD427" i="23"/>
  <c r="BD438" i="23" s="1"/>
  <c r="CI427" i="23"/>
  <c r="CI438" i="23" s="1"/>
  <c r="Y427" i="23"/>
  <c r="Y438" i="23" s="1"/>
  <c r="CN427" i="23"/>
  <c r="CN438" i="23" s="1"/>
  <c r="DF427" i="23"/>
  <c r="DF438" i="23" s="1"/>
  <c r="AH427" i="23"/>
  <c r="AH438" i="23" s="1"/>
  <c r="AZ427" i="23"/>
  <c r="AZ438" i="23" s="1"/>
  <c r="G406" i="23"/>
  <c r="AD254" i="23"/>
  <c r="AD201" i="23"/>
  <c r="AD213" i="23"/>
  <c r="I65" i="11"/>
  <c r="J24" i="12"/>
  <c r="N24" i="12"/>
  <c r="M65" i="11"/>
  <c r="DW336" i="23"/>
  <c r="DG336" i="23"/>
  <c r="CQ336" i="23"/>
  <c r="CA336" i="23"/>
  <c r="BK336" i="23"/>
  <c r="AU336" i="23"/>
  <c r="AE336" i="23"/>
  <c r="AB265" i="23"/>
  <c r="AB266" i="23" s="1"/>
  <c r="AB277" i="23"/>
  <c r="AC299" i="23"/>
  <c r="AC287" i="23"/>
  <c r="AC288" i="23" s="1"/>
  <c r="BR427" i="23"/>
  <c r="BR438" i="23" s="1"/>
  <c r="DQ427" i="23"/>
  <c r="DQ438" i="23" s="1"/>
  <c r="BG427" i="23"/>
  <c r="BG438" i="23" s="1"/>
  <c r="DD427" i="23"/>
  <c r="DD438" i="23" s="1"/>
  <c r="DV427" i="23"/>
  <c r="DV438" i="23" s="1"/>
  <c r="AX427" i="23"/>
  <c r="AX438" i="23" s="1"/>
  <c r="BP427" i="23"/>
  <c r="BP438" i="23" s="1"/>
  <c r="AC254" i="23"/>
  <c r="AC213" i="23"/>
  <c r="AC201" i="23"/>
  <c r="AV336" i="23"/>
  <c r="F406" i="23"/>
  <c r="DV336" i="23"/>
  <c r="AA277" i="23"/>
  <c r="AA265" i="23"/>
  <c r="AA266" i="23" s="1"/>
  <c r="BS427" i="23"/>
  <c r="BS438" i="23" s="1"/>
  <c r="BB427" i="23"/>
  <c r="BB438" i="23" s="1"/>
  <c r="CX427" i="23"/>
  <c r="CX438" i="23" s="1"/>
  <c r="DT427" i="23"/>
  <c r="DT438" i="23" s="1"/>
  <c r="AF427" i="23"/>
  <c r="AF438" i="23" s="1"/>
  <c r="AE191" i="23"/>
  <c r="AE178" i="23"/>
  <c r="AE180" i="23" s="1"/>
  <c r="AB254" i="23"/>
  <c r="AB213" i="23"/>
  <c r="AB201" i="23"/>
  <c r="J406" i="23"/>
  <c r="N406" i="23"/>
  <c r="DU336" i="23"/>
  <c r="DE336" i="23"/>
  <c r="CO336" i="23"/>
  <c r="BY336" i="23"/>
  <c r="BI336" i="23"/>
  <c r="AS336" i="23"/>
  <c r="Z277" i="23"/>
  <c r="Z265" i="23"/>
  <c r="Z266" i="23" s="1"/>
  <c r="AA299" i="23"/>
  <c r="AA287" i="23"/>
  <c r="AA288" i="23" s="1"/>
  <c r="DG427" i="23"/>
  <c r="DG438" i="23" s="1"/>
  <c r="BV427" i="23"/>
  <c r="BV438" i="23" s="1"/>
  <c r="CJ427" i="23"/>
  <c r="CJ438" i="23" s="1"/>
  <c r="AC427" i="23"/>
  <c r="AC438" i="23" s="1"/>
  <c r="AV427" i="23"/>
  <c r="AV438" i="23" s="1"/>
  <c r="CD427" i="23"/>
  <c r="CD438" i="23" s="1"/>
  <c r="CV427" i="23"/>
  <c r="CV438" i="23" s="1"/>
  <c r="AD191" i="23"/>
  <c r="AD178" i="23"/>
  <c r="AD180" i="23" s="1"/>
  <c r="AA254" i="23"/>
  <c r="AA201" i="23"/>
  <c r="AA213" i="23"/>
  <c r="CP336" i="23"/>
  <c r="DT336" i="23"/>
  <c r="DD336" i="23"/>
  <c r="CN336" i="23"/>
  <c r="K228" i="23"/>
  <c r="BX336" i="23"/>
  <c r="BH336" i="23"/>
  <c r="AR336" i="23"/>
  <c r="G228" i="23"/>
  <c r="AC336" i="23"/>
  <c r="Y277" i="23"/>
  <c r="Y265" i="23"/>
  <c r="Y266" i="23" s="1"/>
  <c r="Z299" i="23"/>
  <c r="Z287" i="23"/>
  <c r="Z288" i="23" s="1"/>
  <c r="EI78" i="22"/>
  <c r="DA427" i="23"/>
  <c r="DA438" i="23" s="1"/>
  <c r="BW427" i="23"/>
  <c r="BW438" i="23" s="1"/>
  <c r="DR427" i="23"/>
  <c r="DR438" i="23" s="1"/>
  <c r="Z427" i="23"/>
  <c r="Z438" i="23" s="1"/>
  <c r="AS427" i="23"/>
  <c r="AS438" i="23" s="1"/>
  <c r="BL427" i="23"/>
  <c r="BL438" i="23" s="1"/>
  <c r="CT427" i="23"/>
  <c r="CT438" i="23" s="1"/>
  <c r="DL427" i="23"/>
  <c r="DL438" i="23" s="1"/>
  <c r="AC191" i="23"/>
  <c r="AC178" i="23"/>
  <c r="AC180" i="23" s="1"/>
  <c r="Z254" i="23"/>
  <c r="Z213" i="23"/>
  <c r="Z201" i="23"/>
  <c r="BL336" i="23"/>
  <c r="AT336" i="23"/>
  <c r="CF427" i="23"/>
  <c r="CF438" i="23" s="1"/>
  <c r="EJ13" i="22"/>
  <c r="EK10" i="22"/>
  <c r="BX295" i="23"/>
  <c r="BY291" i="23" s="1"/>
  <c r="EI336" i="23"/>
  <c r="DS336" i="23"/>
  <c r="DC336" i="23"/>
  <c r="CM336" i="23"/>
  <c r="BW336" i="23"/>
  <c r="BG336" i="23"/>
  <c r="AQ336" i="23"/>
  <c r="AB336" i="23"/>
  <c r="X277" i="23"/>
  <c r="X265" i="23"/>
  <c r="X266" i="23" s="1"/>
  <c r="Y299" i="23"/>
  <c r="Y287" i="23"/>
  <c r="Y288" i="23" s="1"/>
  <c r="CC343" i="23"/>
  <c r="DN427" i="23"/>
  <c r="DN438" i="23" s="1"/>
  <c r="CL427" i="23"/>
  <c r="CL438" i="23" s="1"/>
  <c r="BC427" i="23"/>
  <c r="BK427" i="23"/>
  <c r="BK438" i="23" s="1"/>
  <c r="BI427" i="23"/>
  <c r="BI438" i="23" s="1"/>
  <c r="CB427" i="23"/>
  <c r="CB438" i="23" s="1"/>
  <c r="DJ427" i="23"/>
  <c r="DJ438" i="23" s="1"/>
  <c r="EB427" i="23"/>
  <c r="EB438" i="23" s="1"/>
  <c r="AB191" i="23"/>
  <c r="AB178" i="23"/>
  <c r="AB180" i="23" s="1"/>
  <c r="Y254" i="23"/>
  <c r="Y213" i="23"/>
  <c r="Y201" i="23"/>
  <c r="AB299" i="23"/>
  <c r="AB287" i="23"/>
  <c r="AB288" i="23" s="1"/>
  <c r="EI19" i="22"/>
  <c r="EH22" i="22"/>
  <c r="EH34" i="22"/>
  <c r="EH37" i="22" s="1"/>
  <c r="EH57" i="22" s="1"/>
  <c r="G65" i="11"/>
  <c r="H24" i="12"/>
  <c r="EH336" i="23"/>
  <c r="DR336" i="23"/>
  <c r="DB336" i="23"/>
  <c r="CL336" i="23"/>
  <c r="BV336" i="23"/>
  <c r="BF336" i="23"/>
  <c r="AP336" i="23"/>
  <c r="AA336" i="23"/>
  <c r="W277" i="23"/>
  <c r="W265" i="23"/>
  <c r="W266" i="23" s="1"/>
  <c r="X299" i="23"/>
  <c r="X287" i="23"/>
  <c r="X288" i="23" s="1"/>
  <c r="CC356" i="23"/>
  <c r="AE427" i="23"/>
  <c r="AM427" i="23"/>
  <c r="AM438" i="23" s="1"/>
  <c r="CK427" i="23"/>
  <c r="CK438" i="23" s="1"/>
  <c r="CY427" i="23"/>
  <c r="BY427" i="23"/>
  <c r="BY438" i="23" s="1"/>
  <c r="CR427" i="23"/>
  <c r="CR438" i="23" s="1"/>
  <c r="DZ427" i="23"/>
  <c r="DZ438" i="23" s="1"/>
  <c r="U427" i="23"/>
  <c r="U438" i="23" s="1"/>
  <c r="AA191" i="23"/>
  <c r="AA178" i="23"/>
  <c r="AA180" i="23" s="1"/>
  <c r="X254" i="23"/>
  <c r="X213" i="23"/>
  <c r="X201" i="23"/>
  <c r="CR336" i="23"/>
  <c r="AD299" i="23"/>
  <c r="AD287" i="23"/>
  <c r="AD288" i="23" s="1"/>
  <c r="BZ336" i="23"/>
  <c r="EG336" i="23"/>
  <c r="DQ336" i="23"/>
  <c r="DA336" i="23"/>
  <c r="CK336" i="23"/>
  <c r="BU336" i="23"/>
  <c r="BE336" i="23"/>
  <c r="AO336" i="23"/>
  <c r="Z336" i="23"/>
  <c r="V277" i="23"/>
  <c r="V265" i="23"/>
  <c r="V266" i="23" s="1"/>
  <c r="W287" i="23"/>
  <c r="W288" i="23" s="1"/>
  <c r="W299" i="23"/>
  <c r="CC352" i="23"/>
  <c r="CZ427" i="23"/>
  <c r="CZ438" i="23" s="1"/>
  <c r="BU427" i="23"/>
  <c r="BU438" i="23" s="1"/>
  <c r="DS427" i="23"/>
  <c r="DS438" i="23" s="1"/>
  <c r="CO427" i="23"/>
  <c r="CO438" i="23" s="1"/>
  <c r="DH427" i="23"/>
  <c r="DH438" i="23" s="1"/>
  <c r="AI427" i="23"/>
  <c r="AI438" i="23" s="1"/>
  <c r="AK427" i="23"/>
  <c r="AK438" i="23" s="1"/>
  <c r="Z191" i="23"/>
  <c r="Z178" i="23"/>
  <c r="Z180" i="23" s="1"/>
  <c r="W254" i="23"/>
  <c r="W213" i="23"/>
  <c r="W201" i="23"/>
  <c r="CB336" i="23"/>
  <c r="J228" i="23"/>
  <c r="AC265" i="23"/>
  <c r="AC266" i="23" s="1"/>
  <c r="AC277" i="23"/>
  <c r="BJ336" i="23"/>
  <c r="BN427" i="23"/>
  <c r="BN438" i="23" s="1"/>
  <c r="H406" i="23"/>
  <c r="EF336" i="23"/>
  <c r="DP336" i="23"/>
  <c r="CZ336" i="23"/>
  <c r="L228" i="23"/>
  <c r="CJ336" i="23"/>
  <c r="BT336" i="23"/>
  <c r="BD336" i="23"/>
  <c r="H228" i="23"/>
  <c r="AN336" i="23"/>
  <c r="Y336" i="23"/>
  <c r="U277" i="23"/>
  <c r="U265" i="23"/>
  <c r="U266" i="23" s="1"/>
  <c r="V287" i="23"/>
  <c r="V288" i="23" s="1"/>
  <c r="V299" i="23"/>
  <c r="DW427" i="23"/>
  <c r="DC427" i="23"/>
  <c r="DC438" i="23" s="1"/>
  <c r="W427" i="23"/>
  <c r="W438" i="23" s="1"/>
  <c r="AL427" i="23"/>
  <c r="AL438" i="23" s="1"/>
  <c r="DE427" i="23"/>
  <c r="DE438" i="23" s="1"/>
  <c r="DX427" i="23"/>
  <c r="DX438" i="23" s="1"/>
  <c r="AY427" i="23"/>
  <c r="AY438" i="23" s="1"/>
  <c r="BA427" i="23"/>
  <c r="BA438" i="23" s="1"/>
  <c r="M24" i="12"/>
  <c r="L65" i="11"/>
  <c r="Y191" i="23"/>
  <c r="Y178" i="23"/>
  <c r="Y180" i="23" s="1"/>
  <c r="V254" i="23"/>
  <c r="V201" i="23"/>
  <c r="V213" i="23"/>
  <c r="DF336" i="23"/>
  <c r="EE336" i="23"/>
  <c r="DO336" i="23"/>
  <c r="CY336" i="23"/>
  <c r="CI336" i="23"/>
  <c r="BS336" i="23"/>
  <c r="BC336" i="23"/>
  <c r="AM336" i="23"/>
  <c r="X336" i="23"/>
  <c r="T277" i="23"/>
  <c r="T265" i="23"/>
  <c r="U287" i="23"/>
  <c r="U288" i="23" s="1"/>
  <c r="U299" i="23"/>
  <c r="EK161" i="22"/>
  <c r="EK6" i="22"/>
  <c r="EL5" i="22"/>
  <c r="V427" i="23"/>
  <c r="V438" i="23" s="1"/>
  <c r="AP427" i="23"/>
  <c r="AP438" i="23" s="1"/>
  <c r="BE427" i="23"/>
  <c r="BE438" i="23" s="1"/>
  <c r="BT427" i="23"/>
  <c r="BT438" i="23" s="1"/>
  <c r="DU427" i="23"/>
  <c r="DU438" i="23" s="1"/>
  <c r="AG427" i="23"/>
  <c r="AG438" i="23" s="1"/>
  <c r="BO427" i="23"/>
  <c r="BQ427" i="23"/>
  <c r="BQ438" i="23" s="1"/>
  <c r="X191" i="23"/>
  <c r="X178" i="23"/>
  <c r="X180" i="23" s="1"/>
  <c r="T254" i="23"/>
  <c r="T201" i="23"/>
  <c r="T213" i="23"/>
  <c r="O333" i="23"/>
  <c r="H34" i="14" s="1"/>
  <c r="EI45" i="22"/>
  <c r="ED336" i="23"/>
  <c r="DN336" i="23"/>
  <c r="CX336" i="23"/>
  <c r="CH336" i="23"/>
  <c r="BR336" i="23"/>
  <c r="BB336" i="23"/>
  <c r="AL336" i="23"/>
  <c r="W336" i="23"/>
  <c r="EK11" i="22"/>
  <c r="T287" i="23"/>
  <c r="T299" i="23"/>
  <c r="EJ150" i="22"/>
  <c r="EJ149" i="22"/>
  <c r="EJ148" i="22"/>
  <c r="EJ147" i="22"/>
  <c r="EJ146" i="22"/>
  <c r="EJ142" i="22"/>
  <c r="EJ79" i="22" s="1"/>
  <c r="EJ141" i="22"/>
  <c r="EJ25" i="22"/>
  <c r="EJ26" i="22"/>
  <c r="EJ20" i="22" s="1"/>
  <c r="CA427" i="23"/>
  <c r="CM427" i="23"/>
  <c r="DB427" i="23"/>
  <c r="DB438" i="23" s="1"/>
  <c r="D443" i="23"/>
  <c r="T443" i="23"/>
  <c r="U443" i="23" s="1"/>
  <c r="V443" i="23" s="1"/>
  <c r="W443" i="23" s="1"/>
  <c r="X443" i="23" s="1"/>
  <c r="Y443" i="23" s="1"/>
  <c r="Z443" i="23" s="1"/>
  <c r="AA443" i="23" s="1"/>
  <c r="AB443" i="23" s="1"/>
  <c r="AC443" i="23" s="1"/>
  <c r="AD443" i="23" s="1"/>
  <c r="AE443" i="23" s="1"/>
  <c r="AW427" i="23"/>
  <c r="AW438" i="23" s="1"/>
  <c r="CE427" i="23"/>
  <c r="CE438" i="23" s="1"/>
  <c r="CG427" i="23"/>
  <c r="CG438" i="23" s="1"/>
  <c r="M406" i="23"/>
  <c r="W191" i="23"/>
  <c r="W178" i="23"/>
  <c r="W180" i="23" s="1"/>
  <c r="U254" i="23"/>
  <c r="U201" i="23"/>
  <c r="U213" i="23"/>
  <c r="EC336" i="23"/>
  <c r="DM336" i="23"/>
  <c r="CW336" i="23"/>
  <c r="CG336" i="23"/>
  <c r="BQ336" i="23"/>
  <c r="BA336" i="23"/>
  <c r="AK336" i="23"/>
  <c r="EJ160" i="22"/>
  <c r="EJ159" i="22"/>
  <c r="EJ55" i="22" s="1"/>
  <c r="AA427" i="23"/>
  <c r="AA438" i="23" s="1"/>
  <c r="DO427" i="23"/>
  <c r="DO438" i="23" s="1"/>
  <c r="ED427" i="23"/>
  <c r="ED438" i="23" s="1"/>
  <c r="AD427" i="23"/>
  <c r="AD438" i="23" s="1"/>
  <c r="BM427" i="23"/>
  <c r="BM438" i="23" s="1"/>
  <c r="CU427" i="23"/>
  <c r="CU438" i="23" s="1"/>
  <c r="CW427" i="23"/>
  <c r="CW438" i="23" s="1"/>
  <c r="V191" i="23"/>
  <c r="V178" i="23"/>
  <c r="V180" i="23" s="1"/>
  <c r="E65" i="11"/>
  <c r="F24" i="12"/>
  <c r="BW353" i="23"/>
  <c r="H65" i="11"/>
  <c r="I24" i="12"/>
  <c r="EB336" i="23"/>
  <c r="DL336" i="23"/>
  <c r="M228" i="23"/>
  <c r="CV336" i="23"/>
  <c r="CF336" i="23"/>
  <c r="BP336" i="23"/>
  <c r="I228" i="23"/>
  <c r="AZ336" i="23"/>
  <c r="AJ336" i="23"/>
  <c r="V336" i="23"/>
  <c r="E145" i="23"/>
  <c r="T146" i="23"/>
  <c r="U146" i="23"/>
  <c r="V146" i="23"/>
  <c r="W146" i="23"/>
  <c r="X146" i="23"/>
  <c r="Y146" i="23"/>
  <c r="Z146" i="23"/>
  <c r="AA146" i="23"/>
  <c r="AB146" i="23"/>
  <c r="AC146" i="23"/>
  <c r="AD146" i="23"/>
  <c r="AE146" i="23"/>
  <c r="J65" i="11"/>
  <c r="K24" i="12"/>
  <c r="AQ427" i="23"/>
  <c r="X427" i="23"/>
  <c r="X438" i="23" s="1"/>
  <c r="AB427" i="23"/>
  <c r="AB438" i="23" s="1"/>
  <c r="AT427" i="23"/>
  <c r="AT438" i="23" s="1"/>
  <c r="CC427" i="23"/>
  <c r="CC438" i="23" s="1"/>
  <c r="DK427" i="23"/>
  <c r="DM427" i="23"/>
  <c r="DM438" i="23" s="1"/>
  <c r="U191" i="23"/>
  <c r="U178" i="23"/>
  <c r="U180" i="23" s="1"/>
  <c r="EI54" i="22"/>
  <c r="DX336" i="23"/>
  <c r="N228" i="23"/>
  <c r="AF336" i="23"/>
  <c r="F228" i="23"/>
  <c r="AD336" i="23"/>
  <c r="BW345" i="23"/>
  <c r="E331" i="23"/>
  <c r="N331" i="23"/>
  <c r="EA336" i="23"/>
  <c r="DK336" i="23"/>
  <c r="CU336" i="23"/>
  <c r="CE336" i="23"/>
  <c r="BO336" i="23"/>
  <c r="AY336" i="23"/>
  <c r="AI336" i="23"/>
  <c r="T336" i="23"/>
  <c r="E228" i="23"/>
  <c r="T230" i="23"/>
  <c r="T231" i="23" s="1"/>
  <c r="U227" i="23" s="1"/>
  <c r="EI28" i="22"/>
  <c r="AN427" i="23"/>
  <c r="AN438" i="23" s="1"/>
  <c r="CH427" i="23"/>
  <c r="CH438" i="23" s="1"/>
  <c r="BF427" i="23"/>
  <c r="BF438" i="23" s="1"/>
  <c r="AR427" i="23"/>
  <c r="AR438" i="23" s="1"/>
  <c r="BJ427" i="23"/>
  <c r="BJ438" i="23" s="1"/>
  <c r="CS427" i="23"/>
  <c r="CS438" i="23" s="1"/>
  <c r="EA427" i="23"/>
  <c r="EA438" i="23" s="1"/>
  <c r="EC427" i="23"/>
  <c r="EC438" i="23" s="1"/>
  <c r="T191" i="23"/>
  <c r="T178" i="23"/>
  <c r="E406" i="23"/>
  <c r="BW349" i="23"/>
  <c r="I406" i="23"/>
  <c r="K65" i="11"/>
  <c r="L24" i="12"/>
  <c r="DZ336" i="23"/>
  <c r="DJ336" i="23"/>
  <c r="CT336" i="23"/>
  <c r="CD336" i="23"/>
  <c r="BN336" i="23"/>
  <c r="AX336" i="23"/>
  <c r="AH336" i="23"/>
  <c r="O72" i="23"/>
  <c r="D65" i="11"/>
  <c r="E24" i="12"/>
  <c r="AE265" i="23"/>
  <c r="AE266" i="23" s="1"/>
  <c r="AE277" i="23"/>
  <c r="E168" i="23"/>
  <c r="T169" i="23"/>
  <c r="U169" i="23"/>
  <c r="V169" i="23"/>
  <c r="W169" i="23"/>
  <c r="X169" i="23"/>
  <c r="Y169" i="23"/>
  <c r="Z169" i="23"/>
  <c r="AA169" i="23"/>
  <c r="AB169" i="23"/>
  <c r="AC169" i="23"/>
  <c r="AD169" i="23"/>
  <c r="AE169" i="23"/>
  <c r="K406" i="23"/>
  <c r="DP427" i="23"/>
  <c r="DP438" i="23" s="1"/>
  <c r="CQ427" i="23"/>
  <c r="CQ438" i="23" s="1"/>
  <c r="BH427" i="23"/>
  <c r="BH438" i="23" s="1"/>
  <c r="BZ427" i="23"/>
  <c r="BZ438" i="23" s="1"/>
  <c r="DI427" i="23"/>
  <c r="DI438" i="23" s="1"/>
  <c r="T427" i="23"/>
  <c r="T438" i="23" s="1"/>
  <c r="F65" i="11"/>
  <c r="G24" i="12"/>
  <c r="EF71" i="22" l="1"/>
  <c r="EF72" i="22" s="1"/>
  <c r="EH418" i="23" s="1"/>
  <c r="I384" i="23"/>
  <c r="EE144" i="22"/>
  <c r="EE145" i="22"/>
  <c r="EF144" i="22"/>
  <c r="EF145" i="22"/>
  <c r="ED81" i="22"/>
  <c r="EF30" i="23"/>
  <c r="EF143" i="22"/>
  <c r="EE72" i="22"/>
  <c r="EG418" i="23" s="1"/>
  <c r="EE143" i="22"/>
  <c r="EF418" i="23"/>
  <c r="EF420" i="23" s="1"/>
  <c r="EF23" i="23"/>
  <c r="I156" i="23"/>
  <c r="I342" i="23" s="1"/>
  <c r="CA93" i="23"/>
  <c r="I93" i="23" s="1"/>
  <c r="I43" i="12" s="1"/>
  <c r="EG69" i="22"/>
  <c r="EH46" i="22"/>
  <c r="EH48" i="22" s="1"/>
  <c r="EH62" i="22" s="1"/>
  <c r="EG18" i="23"/>
  <c r="EE70" i="22"/>
  <c r="EG417" i="23" s="1"/>
  <c r="EG48" i="22"/>
  <c r="EG62" i="22" s="1"/>
  <c r="EG71" i="22" s="1"/>
  <c r="EI18" i="23" s="1"/>
  <c r="U256" i="23"/>
  <c r="V256" i="23"/>
  <c r="CF273" i="23"/>
  <c r="CG269" i="23" s="1"/>
  <c r="Z256" i="23"/>
  <c r="AA256" i="23"/>
  <c r="EJ28" i="22"/>
  <c r="CC139" i="23"/>
  <c r="CC140" i="23" s="1"/>
  <c r="CF351" i="23"/>
  <c r="CF391" i="23"/>
  <c r="CF280" i="23"/>
  <c r="CC185" i="23"/>
  <c r="CC186" i="23" s="1"/>
  <c r="U229" i="23"/>
  <c r="EJ35" i="22"/>
  <c r="E265" i="23"/>
  <c r="T266" i="23"/>
  <c r="U168" i="23"/>
  <c r="U155" i="23"/>
  <c r="U157" i="23" s="1"/>
  <c r="T168" i="23"/>
  <c r="T155" i="23"/>
  <c r="Z145" i="23"/>
  <c r="Z132" i="23"/>
  <c r="I336" i="23"/>
  <c r="V202" i="23"/>
  <c r="EJ78" i="22"/>
  <c r="Y145" i="23"/>
  <c r="Y132" i="23"/>
  <c r="AF443" i="23"/>
  <c r="AG443" i="23" s="1"/>
  <c r="AH443" i="23" s="1"/>
  <c r="AI443" i="23" s="1"/>
  <c r="AJ443" i="23" s="1"/>
  <c r="AK443" i="23" s="1"/>
  <c r="AL443" i="23" s="1"/>
  <c r="AM443" i="23" s="1"/>
  <c r="AN443" i="23" s="1"/>
  <c r="AO443" i="23" s="1"/>
  <c r="AP443" i="23" s="1"/>
  <c r="AQ443" i="23" s="1"/>
  <c r="E443" i="23"/>
  <c r="AA145" i="23"/>
  <c r="AA132" i="23"/>
  <c r="F336" i="23"/>
  <c r="X145" i="23"/>
  <c r="X132" i="23"/>
  <c r="EJ45" i="22"/>
  <c r="J336" i="23"/>
  <c r="Y202" i="23"/>
  <c r="AC202" i="23"/>
  <c r="I34" i="14"/>
  <c r="O24" i="12"/>
  <c r="V145" i="23"/>
  <c r="V132" i="23"/>
  <c r="EL161" i="22"/>
  <c r="EL6" i="22"/>
  <c r="EM5" i="22"/>
  <c r="Y256" i="23"/>
  <c r="G336" i="23"/>
  <c r="AC256" i="23"/>
  <c r="AD256" i="23"/>
  <c r="X202" i="23"/>
  <c r="AE168" i="23"/>
  <c r="AE155" i="23"/>
  <c r="AE157" i="23" s="1"/>
  <c r="O406" i="23"/>
  <c r="O228" i="23"/>
  <c r="N336" i="23"/>
  <c r="U145" i="23"/>
  <c r="U132" i="23"/>
  <c r="U202" i="23"/>
  <c r="EK150" i="22"/>
  <c r="EK149" i="22"/>
  <c r="EK148" i="22"/>
  <c r="EK147" i="22"/>
  <c r="EK146" i="22"/>
  <c r="EK142" i="22"/>
  <c r="EK79" i="22" s="1"/>
  <c r="EK141" i="22"/>
  <c r="EK26" i="22"/>
  <c r="EK20" i="22" s="1"/>
  <c r="EK25" i="22"/>
  <c r="H336" i="23"/>
  <c r="W256" i="23"/>
  <c r="X256" i="23"/>
  <c r="EK13" i="22"/>
  <c r="EL10" i="22"/>
  <c r="BX398" i="23"/>
  <c r="BX399" i="23"/>
  <c r="BX397" i="23"/>
  <c r="AB145" i="23"/>
  <c r="AB132" i="23"/>
  <c r="AD168" i="23"/>
  <c r="AD155" i="23"/>
  <c r="AD157" i="23" s="1"/>
  <c r="E336" i="23"/>
  <c r="T145" i="23"/>
  <c r="T132" i="23"/>
  <c r="T236" i="23"/>
  <c r="E201" i="23"/>
  <c r="T202" i="23"/>
  <c r="EK160" i="22"/>
  <c r="EK159" i="22"/>
  <c r="EK55" i="22" s="1"/>
  <c r="CB163" i="23"/>
  <c r="CB164" i="23" s="1"/>
  <c r="CC160" i="23" s="1"/>
  <c r="V168" i="23"/>
  <c r="V155" i="23"/>
  <c r="V157" i="23" s="1"/>
  <c r="W202" i="23"/>
  <c r="AC168" i="23"/>
  <c r="AC155" i="23"/>
  <c r="AC157" i="23" s="1"/>
  <c r="T180" i="23"/>
  <c r="E178" i="23"/>
  <c r="O331" i="23"/>
  <c r="EJ54" i="22"/>
  <c r="M336" i="23"/>
  <c r="T256" i="23"/>
  <c r="E254" i="23"/>
  <c r="AB168" i="23"/>
  <c r="AB155" i="23"/>
  <c r="AB157" i="23" s="1"/>
  <c r="AA202" i="23"/>
  <c r="AA168" i="23"/>
  <c r="AA155" i="23"/>
  <c r="AA157" i="23" s="1"/>
  <c r="BY293" i="23"/>
  <c r="BY294" i="23" s="1"/>
  <c r="CE258" i="23"/>
  <c r="CE251" i="23"/>
  <c r="CE253" i="23" s="1"/>
  <c r="CE207" i="23"/>
  <c r="AD202" i="23"/>
  <c r="Z168" i="23"/>
  <c r="Z155" i="23"/>
  <c r="Z157" i="23" s="1"/>
  <c r="AB202" i="23"/>
  <c r="K336" i="23"/>
  <c r="AE202" i="23"/>
  <c r="W145" i="23"/>
  <c r="W132" i="23"/>
  <c r="Y168" i="23"/>
  <c r="Y155" i="23"/>
  <c r="Y157" i="23" s="1"/>
  <c r="X168" i="23"/>
  <c r="X155" i="23"/>
  <c r="X157" i="23" s="1"/>
  <c r="AD145" i="23"/>
  <c r="AD132" i="23"/>
  <c r="EH18" i="23"/>
  <c r="EF70" i="22"/>
  <c r="EH417" i="23" s="1"/>
  <c r="L336" i="23"/>
  <c r="EI22" i="22"/>
  <c r="EJ19" i="22"/>
  <c r="EI34" i="22"/>
  <c r="EI37" i="22" s="1"/>
  <c r="EI57" i="22" s="1"/>
  <c r="AB256" i="23"/>
  <c r="AE256" i="23"/>
  <c r="CD388" i="23"/>
  <c r="CD387" i="23"/>
  <c r="CD389" i="23"/>
  <c r="AE145" i="23"/>
  <c r="AE132" i="23"/>
  <c r="E287" i="23"/>
  <c r="T288" i="23"/>
  <c r="W168" i="23"/>
  <c r="W155" i="23"/>
  <c r="W157" i="23" s="1"/>
  <c r="AC145" i="23"/>
  <c r="AC132" i="23"/>
  <c r="EL11" i="22"/>
  <c r="Z202" i="23"/>
  <c r="EE152" i="22" l="1"/>
  <c r="EG30" i="23" s="1"/>
  <c r="EH23" i="23"/>
  <c r="EF152" i="22"/>
  <c r="EH30" i="23" s="1"/>
  <c r="EG23" i="23"/>
  <c r="EG420" i="23"/>
  <c r="EG427" i="23" s="1"/>
  <c r="EG438" i="23" s="1"/>
  <c r="EF427" i="23"/>
  <c r="EF438" i="23" s="1"/>
  <c r="EG31" i="22"/>
  <c r="EI46" i="22"/>
  <c r="EH69" i="22"/>
  <c r="EG70" i="22"/>
  <c r="EI417" i="23" s="1"/>
  <c r="N417" i="23" s="1"/>
  <c r="EK54" i="22"/>
  <c r="CC141" i="23"/>
  <c r="CD137" i="23" s="1"/>
  <c r="CD139" i="23" s="1"/>
  <c r="CD140" i="23" s="1"/>
  <c r="CG271" i="23"/>
  <c r="CC179" i="23"/>
  <c r="CC194" i="23"/>
  <c r="CC187" i="23"/>
  <c r="CD183" i="23" s="1"/>
  <c r="CF392" i="23"/>
  <c r="CF344" i="23" s="1"/>
  <c r="CF393" i="23"/>
  <c r="CF348" i="23" s="1"/>
  <c r="CF394" i="23"/>
  <c r="CF357" i="23" s="1"/>
  <c r="CE208" i="23"/>
  <c r="CE216" i="23" s="1"/>
  <c r="CC148" i="23"/>
  <c r="CC133" i="23"/>
  <c r="EK28" i="22"/>
  <c r="EK35" i="22"/>
  <c r="BY396" i="23"/>
  <c r="BY302" i="23"/>
  <c r="BY355" i="23"/>
  <c r="BY94" i="23"/>
  <c r="BY295" i="23"/>
  <c r="BZ291" i="23" s="1"/>
  <c r="BX349" i="23"/>
  <c r="EH420" i="23"/>
  <c r="EH427" i="23" s="1"/>
  <c r="T237" i="23"/>
  <c r="BX353" i="23"/>
  <c r="T157" i="23"/>
  <c r="E155" i="23"/>
  <c r="E266" i="23"/>
  <c r="V134" i="23"/>
  <c r="V92" i="23"/>
  <c r="AC134" i="23"/>
  <c r="AC92" i="23"/>
  <c r="N18" i="23"/>
  <c r="T134" i="23"/>
  <c r="T92" i="23"/>
  <c r="E132" i="23"/>
  <c r="W134" i="23"/>
  <c r="W92" i="23"/>
  <c r="EK45" i="22"/>
  <c r="E23" i="23"/>
  <c r="CB171" i="23"/>
  <c r="CB156" i="23"/>
  <c r="CB384" i="23"/>
  <c r="U134" i="23"/>
  <c r="U92" i="23"/>
  <c r="E418" i="23"/>
  <c r="O336" i="23"/>
  <c r="E417" i="23"/>
  <c r="EM10" i="22"/>
  <c r="EL13" i="22"/>
  <c r="X134" i="23"/>
  <c r="X92" i="23"/>
  <c r="E288" i="23"/>
  <c r="EJ22" i="22"/>
  <c r="EK19" i="22"/>
  <c r="EJ34" i="22"/>
  <c r="EJ37" i="22" s="1"/>
  <c r="EJ57" i="22" s="1"/>
  <c r="EK78" i="22"/>
  <c r="AR443" i="23"/>
  <c r="AS443" i="23" s="1"/>
  <c r="AT443" i="23" s="1"/>
  <c r="AU443" i="23" s="1"/>
  <c r="AV443" i="23" s="1"/>
  <c r="AW443" i="23" s="1"/>
  <c r="AX443" i="23" s="1"/>
  <c r="AY443" i="23" s="1"/>
  <c r="AZ443" i="23" s="1"/>
  <c r="BA443" i="23" s="1"/>
  <c r="BB443" i="23" s="1"/>
  <c r="BC443" i="23" s="1"/>
  <c r="F443" i="23"/>
  <c r="F444" i="23" s="1"/>
  <c r="AE134" i="23"/>
  <c r="AE92" i="23"/>
  <c r="CC162" i="23"/>
  <c r="Y134" i="23"/>
  <c r="Y92" i="23"/>
  <c r="EM11" i="22"/>
  <c r="AD134" i="23"/>
  <c r="AD92" i="23"/>
  <c r="E18" i="23"/>
  <c r="AB134" i="23"/>
  <c r="AB92" i="23"/>
  <c r="Z134" i="23"/>
  <c r="Z92" i="23"/>
  <c r="CD356" i="23"/>
  <c r="EH71" i="22"/>
  <c r="EH31" i="22"/>
  <c r="EM161" i="22"/>
  <c r="EM6" i="22"/>
  <c r="EN5" i="22"/>
  <c r="CD343" i="23"/>
  <c r="EL149" i="22"/>
  <c r="EL148" i="22"/>
  <c r="EL147" i="22"/>
  <c r="EL146" i="22"/>
  <c r="EL150" i="22"/>
  <c r="EL142" i="22"/>
  <c r="EL79" i="22" s="1"/>
  <c r="EL141" i="22"/>
  <c r="EL26" i="22"/>
  <c r="EL20" i="22" s="1"/>
  <c r="EL25" i="22"/>
  <c r="AA92" i="23"/>
  <c r="AA134" i="23"/>
  <c r="U230" i="23"/>
  <c r="CD352" i="23"/>
  <c r="E202" i="23"/>
  <c r="BX345" i="23"/>
  <c r="EL160" i="22"/>
  <c r="EL159" i="22"/>
  <c r="EL55" i="22" s="1"/>
  <c r="EE81" i="22" l="1"/>
  <c r="EF81" i="22"/>
  <c r="EG144" i="22"/>
  <c r="EG145" i="22"/>
  <c r="EH144" i="22"/>
  <c r="EH145" i="22"/>
  <c r="EH72" i="22"/>
  <c r="EH143" i="22"/>
  <c r="EG72" i="22"/>
  <c r="EI418" i="23" s="1"/>
  <c r="N418" i="23" s="1"/>
  <c r="O418" i="23" s="1"/>
  <c r="EG143" i="22"/>
  <c r="EJ46" i="22"/>
  <c r="EI69" i="22"/>
  <c r="EI48" i="22"/>
  <c r="EI62" i="22" s="1"/>
  <c r="EI71" i="22" s="1"/>
  <c r="CE209" i="23"/>
  <c r="CF205" i="23" s="1"/>
  <c r="CF258" i="23" s="1"/>
  <c r="EL28" i="22"/>
  <c r="CE347" i="23"/>
  <c r="CG272" i="23"/>
  <c r="CE386" i="23"/>
  <c r="CE389" i="23" s="1"/>
  <c r="CD133" i="23"/>
  <c r="CD148" i="23"/>
  <c r="CD141" i="23"/>
  <c r="CE137" i="23" s="1"/>
  <c r="CC163" i="23"/>
  <c r="CC164" i="23" s="1"/>
  <c r="CD160" i="23" s="1"/>
  <c r="CD162" i="23" s="1"/>
  <c r="EH438" i="23"/>
  <c r="CD185" i="23"/>
  <c r="CD186" i="23" s="1"/>
  <c r="EL35" i="22"/>
  <c r="EM160" i="22"/>
  <c r="EM159" i="22"/>
  <c r="EM55" i="22" s="1"/>
  <c r="EM148" i="22"/>
  <c r="EM147" i="22"/>
  <c r="EM146" i="22"/>
  <c r="EM149" i="22"/>
  <c r="EM142" i="22"/>
  <c r="EM79" i="22" s="1"/>
  <c r="EM141" i="22"/>
  <c r="EM150" i="22"/>
  <c r="EM26" i="22"/>
  <c r="EM20" i="22" s="1"/>
  <c r="EM25" i="22"/>
  <c r="E420" i="23"/>
  <c r="E444" i="23" s="1"/>
  <c r="O417" i="23"/>
  <c r="BZ293" i="23"/>
  <c r="BZ294" i="23" s="1"/>
  <c r="BY397" i="23"/>
  <c r="BY398" i="23"/>
  <c r="BY399" i="23"/>
  <c r="EK22" i="22"/>
  <c r="EL19" i="22"/>
  <c r="EK34" i="22"/>
  <c r="EK37" i="22" s="1"/>
  <c r="EK57" i="22" s="1"/>
  <c r="EN11" i="22"/>
  <c r="O18" i="23"/>
  <c r="T238" i="23"/>
  <c r="U234" i="23" s="1"/>
  <c r="AE339" i="23"/>
  <c r="AE95" i="23"/>
  <c r="Z339" i="23"/>
  <c r="Z95" i="23"/>
  <c r="BD443" i="23"/>
  <c r="BE443" i="23" s="1"/>
  <c r="BF443" i="23" s="1"/>
  <c r="BG443" i="23" s="1"/>
  <c r="BH443" i="23" s="1"/>
  <c r="BI443" i="23" s="1"/>
  <c r="BJ443" i="23" s="1"/>
  <c r="BK443" i="23" s="1"/>
  <c r="BL443" i="23" s="1"/>
  <c r="BM443" i="23" s="1"/>
  <c r="BN443" i="23" s="1"/>
  <c r="BO443" i="23" s="1"/>
  <c r="G443" i="23"/>
  <c r="G444" i="23" s="1"/>
  <c r="X339" i="23"/>
  <c r="X95" i="23"/>
  <c r="EH70" i="22"/>
  <c r="Y339" i="23"/>
  <c r="Y95" i="23"/>
  <c r="EL45" i="22"/>
  <c r="AB339" i="23"/>
  <c r="AB95" i="23"/>
  <c r="W339" i="23"/>
  <c r="W95" i="23"/>
  <c r="AC339" i="23"/>
  <c r="AC95" i="23"/>
  <c r="AD339" i="23"/>
  <c r="AD95" i="23"/>
  <c r="EL78" i="22"/>
  <c r="AA339" i="23"/>
  <c r="AA95" i="23"/>
  <c r="V339" i="23"/>
  <c r="V95" i="23"/>
  <c r="CB342" i="23"/>
  <c r="CB93" i="23"/>
  <c r="U231" i="23"/>
  <c r="V227" i="23" s="1"/>
  <c r="EL54" i="22"/>
  <c r="EN10" i="22"/>
  <c r="EM13" i="22"/>
  <c r="T339" i="23"/>
  <c r="E92" i="23"/>
  <c r="T95" i="23"/>
  <c r="EN161" i="22"/>
  <c r="EN6" i="22"/>
  <c r="EO5" i="22"/>
  <c r="U339" i="23"/>
  <c r="U95" i="23"/>
  <c r="EI420" i="23" l="1"/>
  <c r="EI427" i="23" s="1"/>
  <c r="EI23" i="23"/>
  <c r="N23" i="23" s="1"/>
  <c r="O23" i="23" s="1"/>
  <c r="N420" i="23"/>
  <c r="N427" i="23" s="1"/>
  <c r="EG152" i="22"/>
  <c r="EI30" i="23" s="1"/>
  <c r="EH152" i="22"/>
  <c r="EH81" i="22" s="1"/>
  <c r="EI31" i="22"/>
  <c r="CE387" i="23"/>
  <c r="CE343" i="23" s="1"/>
  <c r="CE388" i="23"/>
  <c r="CE352" i="23" s="1"/>
  <c r="CC384" i="23"/>
  <c r="CC156" i="23"/>
  <c r="CC342" i="23" s="1"/>
  <c r="CF251" i="23"/>
  <c r="CF253" i="23" s="1"/>
  <c r="EK46" i="22"/>
  <c r="EK48" i="22" s="1"/>
  <c r="EK62" i="22" s="1"/>
  <c r="EJ69" i="22"/>
  <c r="CF207" i="23"/>
  <c r="CF208" i="23" s="1"/>
  <c r="CF209" i="23" s="1"/>
  <c r="CG205" i="23" s="1"/>
  <c r="CG258" i="23" s="1"/>
  <c r="EJ48" i="22"/>
  <c r="EJ62" i="22" s="1"/>
  <c r="EJ71" i="22" s="1"/>
  <c r="CD187" i="23"/>
  <c r="CE183" i="23" s="1"/>
  <c r="CE185" i="23" s="1"/>
  <c r="CE186" i="23" s="1"/>
  <c r="CG280" i="23"/>
  <c r="CG391" i="23"/>
  <c r="CG351" i="23"/>
  <c r="CG273" i="23"/>
  <c r="CH269" i="23" s="1"/>
  <c r="CC171" i="23"/>
  <c r="E427" i="23"/>
  <c r="EM28" i="22"/>
  <c r="EM54" i="22"/>
  <c r="CD194" i="23"/>
  <c r="CD179" i="23"/>
  <c r="CE139" i="23"/>
  <c r="CE140" i="23" s="1"/>
  <c r="EM35" i="22"/>
  <c r="E339" i="23"/>
  <c r="BP443" i="23"/>
  <c r="BQ443" i="23" s="1"/>
  <c r="BR443" i="23" s="1"/>
  <c r="BS443" i="23" s="1"/>
  <c r="BT443" i="23" s="1"/>
  <c r="BU443" i="23" s="1"/>
  <c r="BV443" i="23" s="1"/>
  <c r="BW443" i="23" s="1"/>
  <c r="BX443" i="23" s="1"/>
  <c r="BY443" i="23" s="1"/>
  <c r="BZ443" i="23" s="1"/>
  <c r="CA443" i="23" s="1"/>
  <c r="H443" i="23"/>
  <c r="H444" i="23" s="1"/>
  <c r="EM19" i="22"/>
  <c r="EL22" i="22"/>
  <c r="EL34" i="22"/>
  <c r="EL37" i="22" s="1"/>
  <c r="EL57" i="22" s="1"/>
  <c r="CD163" i="23"/>
  <c r="CD164" i="23" s="1"/>
  <c r="CE160" i="23" s="1"/>
  <c r="D65" i="10"/>
  <c r="B65" i="10"/>
  <c r="E42" i="12"/>
  <c r="P65" i="9"/>
  <c r="M65" i="9"/>
  <c r="D65" i="9"/>
  <c r="J65" i="9"/>
  <c r="G65" i="9"/>
  <c r="B65" i="9"/>
  <c r="EN13" i="22"/>
  <c r="EO10" i="22"/>
  <c r="EM45" i="22"/>
  <c r="CE356" i="23"/>
  <c r="BZ396" i="23"/>
  <c r="BZ302" i="23"/>
  <c r="BZ355" i="23"/>
  <c r="BZ94" i="23"/>
  <c r="V229" i="23"/>
  <c r="EI70" i="22"/>
  <c r="BY353" i="23"/>
  <c r="EO161" i="22"/>
  <c r="EO6" i="22"/>
  <c r="EP5" i="22"/>
  <c r="BY349" i="23"/>
  <c r="BZ295" i="23"/>
  <c r="CA291" i="23" s="1"/>
  <c r="EN147" i="22"/>
  <c r="EN146" i="22"/>
  <c r="EN150" i="22"/>
  <c r="EN148" i="22"/>
  <c r="EN142" i="22"/>
  <c r="EN79" i="22" s="1"/>
  <c r="EN141" i="22"/>
  <c r="EN149" i="22"/>
  <c r="EN26" i="22"/>
  <c r="EN20" i="22" s="1"/>
  <c r="EN25" i="22"/>
  <c r="BY345" i="23"/>
  <c r="O420" i="23"/>
  <c r="O427" i="23" s="1"/>
  <c r="EM78" i="22"/>
  <c r="EN160" i="22"/>
  <c r="EN159" i="22"/>
  <c r="EN55" i="22" s="1"/>
  <c r="U236" i="23"/>
  <c r="U237" i="23" s="1"/>
  <c r="EO11" i="22"/>
  <c r="EG81" i="22" l="1"/>
  <c r="EI144" i="22"/>
  <c r="EI145" i="22"/>
  <c r="N30" i="23"/>
  <c r="EI72" i="22"/>
  <c r="EI143" i="22"/>
  <c r="CF216" i="23"/>
  <c r="CF386" i="23"/>
  <c r="CF387" i="23" s="1"/>
  <c r="CF343" i="23" s="1"/>
  <c r="CF347" i="23"/>
  <c r="CC93" i="23"/>
  <c r="EJ31" i="22"/>
  <c r="CG207" i="23"/>
  <c r="CG208" i="23" s="1"/>
  <c r="CG251" i="23"/>
  <c r="CG253" i="23" s="1"/>
  <c r="EL46" i="22"/>
  <c r="EK69" i="22"/>
  <c r="CH271" i="23"/>
  <c r="CH272" i="23" s="1"/>
  <c r="CG392" i="23"/>
  <c r="CG344" i="23" s="1"/>
  <c r="CG393" i="23"/>
  <c r="CG348" i="23" s="1"/>
  <c r="CG394" i="23"/>
  <c r="CG357" i="23" s="1"/>
  <c r="CE148" i="23"/>
  <c r="CE133" i="23"/>
  <c r="CE194" i="23"/>
  <c r="CE179" i="23"/>
  <c r="CE187" i="23"/>
  <c r="CF183" i="23" s="1"/>
  <c r="CF185" i="23" s="1"/>
  <c r="CF186" i="23" s="1"/>
  <c r="CE141" i="23"/>
  <c r="CF137" i="23" s="1"/>
  <c r="EN35" i="22"/>
  <c r="EN28" i="22"/>
  <c r="U238" i="23"/>
  <c r="V234" i="23" s="1"/>
  <c r="EN45" i="22"/>
  <c r="CD171" i="23"/>
  <c r="CD156" i="23"/>
  <c r="CD384" i="23"/>
  <c r="EP161" i="22"/>
  <c r="EP6" i="22"/>
  <c r="EQ5" i="22"/>
  <c r="EN54" i="22"/>
  <c r="EO146" i="22"/>
  <c r="EO150" i="22"/>
  <c r="EO149" i="22"/>
  <c r="EO147" i="22"/>
  <c r="EO148" i="22"/>
  <c r="EO142" i="22"/>
  <c r="EO79" i="22" s="1"/>
  <c r="EO141" i="22"/>
  <c r="EO26" i="22"/>
  <c r="EO20" i="22" s="1"/>
  <c r="EO25" i="22"/>
  <c r="EP10" i="22"/>
  <c r="EO13" i="22"/>
  <c r="EO160" i="22"/>
  <c r="EO159" i="22"/>
  <c r="EO55" i="22" s="1"/>
  <c r="EM22" i="22"/>
  <c r="EN19" i="22"/>
  <c r="EM34" i="22"/>
  <c r="EM37" i="22" s="1"/>
  <c r="EM57" i="22" s="1"/>
  <c r="EN78" i="22"/>
  <c r="V230" i="23"/>
  <c r="V231" i="23" s="1"/>
  <c r="W227" i="23" s="1"/>
  <c r="CB443" i="23"/>
  <c r="CC443" i="23" s="1"/>
  <c r="CD443" i="23" s="1"/>
  <c r="CE443" i="23" s="1"/>
  <c r="CF443" i="23" s="1"/>
  <c r="CG443" i="23" s="1"/>
  <c r="CH443" i="23" s="1"/>
  <c r="CI443" i="23" s="1"/>
  <c r="CJ443" i="23" s="1"/>
  <c r="CK443" i="23" s="1"/>
  <c r="CL443" i="23" s="1"/>
  <c r="CM443" i="23" s="1"/>
  <c r="I443" i="23"/>
  <c r="I444" i="23" s="1"/>
  <c r="CE162" i="23"/>
  <c r="CE163" i="23" s="1"/>
  <c r="CA293" i="23"/>
  <c r="CA294" i="23" s="1"/>
  <c r="EJ70" i="22"/>
  <c r="EK71" i="22"/>
  <c r="EK31" i="22"/>
  <c r="EP11" i="22"/>
  <c r="BZ397" i="23"/>
  <c r="BZ345" i="23" s="1"/>
  <c r="BZ399" i="23"/>
  <c r="BZ353" i="23" s="1"/>
  <c r="BZ398" i="23"/>
  <c r="BZ349" i="23" s="1"/>
  <c r="EI152" i="22" l="1"/>
  <c r="EI81" i="22" s="1"/>
  <c r="EJ144" i="22"/>
  <c r="EJ145" i="22"/>
  <c r="EK144" i="22"/>
  <c r="EK145" i="22"/>
  <c r="EJ72" i="22"/>
  <c r="EJ143" i="22"/>
  <c r="EK72" i="22"/>
  <c r="EK143" i="22"/>
  <c r="CF388" i="23"/>
  <c r="CF352" i="23" s="1"/>
  <c r="CF389" i="23"/>
  <c r="CF356" i="23" s="1"/>
  <c r="EL69" i="22"/>
  <c r="EM46" i="22"/>
  <c r="EL48" i="22"/>
  <c r="EL62" i="22" s="1"/>
  <c r="EL31" i="22" s="1"/>
  <c r="CH351" i="23"/>
  <c r="CH280" i="23"/>
  <c r="CH391" i="23"/>
  <c r="CH273" i="23"/>
  <c r="CI269" i="23" s="1"/>
  <c r="CI271" i="23" s="1"/>
  <c r="CI272" i="23" s="1"/>
  <c r="CI273" i="23" s="1"/>
  <c r="CJ269" i="23" s="1"/>
  <c r="CJ271" i="23" s="1"/>
  <c r="CE164" i="23"/>
  <c r="CF160" i="23" s="1"/>
  <c r="CF162" i="23" s="1"/>
  <c r="EO28" i="22"/>
  <c r="CF139" i="23"/>
  <c r="CF140" i="23" s="1"/>
  <c r="CF187" i="23"/>
  <c r="CG183" i="23" s="1"/>
  <c r="CG185" i="23" s="1"/>
  <c r="W229" i="23"/>
  <c r="EO35" i="22"/>
  <c r="CA396" i="23"/>
  <c r="CA302" i="23"/>
  <c r="CA355" i="23"/>
  <c r="CA94" i="23"/>
  <c r="EO54" i="22"/>
  <c r="EP150" i="22"/>
  <c r="EP149" i="22"/>
  <c r="EP148" i="22"/>
  <c r="EP146" i="22"/>
  <c r="EP142" i="22"/>
  <c r="EP79" i="22" s="1"/>
  <c r="EP141" i="22"/>
  <c r="EP147" i="22"/>
  <c r="EP26" i="22"/>
  <c r="EP20" i="22" s="1"/>
  <c r="EP25" i="22"/>
  <c r="EO78" i="22"/>
  <c r="CG216" i="23"/>
  <c r="CG386" i="23"/>
  <c r="CG347" i="23"/>
  <c r="CA295" i="23"/>
  <c r="CB291" i="23" s="1"/>
  <c r="EK70" i="22"/>
  <c r="CD93" i="23"/>
  <c r="CD342" i="23"/>
  <c r="EP160" i="22"/>
  <c r="EP159" i="22"/>
  <c r="EP55" i="22" s="1"/>
  <c r="EQ10" i="22"/>
  <c r="EP13" i="22"/>
  <c r="EO45" i="22"/>
  <c r="CF179" i="23"/>
  <c r="CF194" i="23"/>
  <c r="V236" i="23"/>
  <c r="V237" i="23" s="1"/>
  <c r="EN22" i="22"/>
  <c r="EO19" i="22"/>
  <c r="EN34" i="22"/>
  <c r="EN37" i="22" s="1"/>
  <c r="EN57" i="22" s="1"/>
  <c r="CG209" i="23"/>
  <c r="CH205" i="23" s="1"/>
  <c r="EQ11" i="22"/>
  <c r="EQ161" i="22"/>
  <c r="ER5" i="22"/>
  <c r="EQ6" i="22"/>
  <c r="CE171" i="23"/>
  <c r="CE156" i="23"/>
  <c r="CE384" i="23"/>
  <c r="CN443" i="23"/>
  <c r="CO443" i="23" s="1"/>
  <c r="CP443" i="23" s="1"/>
  <c r="CQ443" i="23" s="1"/>
  <c r="CR443" i="23" s="1"/>
  <c r="CS443" i="23" s="1"/>
  <c r="CT443" i="23" s="1"/>
  <c r="CU443" i="23" s="1"/>
  <c r="CV443" i="23" s="1"/>
  <c r="CW443" i="23" s="1"/>
  <c r="CX443" i="23" s="1"/>
  <c r="CY443" i="23" s="1"/>
  <c r="J443" i="23"/>
  <c r="J444" i="23" s="1"/>
  <c r="EJ152" i="22" l="1"/>
  <c r="EJ81" i="22" s="1"/>
  <c r="EK152" i="22"/>
  <c r="EK81" i="22" s="1"/>
  <c r="EL71" i="22"/>
  <c r="EL72" i="22" s="1"/>
  <c r="EL144" i="22"/>
  <c r="EL145" i="22"/>
  <c r="EL143" i="22"/>
  <c r="EM69" i="22"/>
  <c r="EN46" i="22"/>
  <c r="EM48" i="22"/>
  <c r="EM62" i="22" s="1"/>
  <c r="EM71" i="22" s="1"/>
  <c r="CI351" i="23"/>
  <c r="CI391" i="23"/>
  <c r="CI393" i="23" s="1"/>
  <c r="CI348" i="23" s="1"/>
  <c r="CI280" i="23"/>
  <c r="CH392" i="23"/>
  <c r="CH344" i="23" s="1"/>
  <c r="CH393" i="23"/>
  <c r="CH348" i="23" s="1"/>
  <c r="CH394" i="23"/>
  <c r="CH357" i="23" s="1"/>
  <c r="CF148" i="23"/>
  <c r="CF133" i="23"/>
  <c r="CF163" i="23"/>
  <c r="CF156" i="23" s="1"/>
  <c r="CF141" i="23"/>
  <c r="CG137" i="23" s="1"/>
  <c r="EP54" i="22"/>
  <c r="ER10" i="22"/>
  <c r="EQ13" i="22"/>
  <c r="EP28" i="22"/>
  <c r="CE93" i="23"/>
  <c r="CE342" i="23"/>
  <c r="EQ149" i="22"/>
  <c r="EQ148" i="22"/>
  <c r="EQ147" i="22"/>
  <c r="EQ142" i="22"/>
  <c r="EQ79" i="22" s="1"/>
  <c r="EQ141" i="22"/>
  <c r="EQ150" i="22"/>
  <c r="EQ146" i="22"/>
  <c r="EQ26" i="22"/>
  <c r="EQ20" i="22" s="1"/>
  <c r="EQ25" i="22"/>
  <c r="CZ443" i="23"/>
  <c r="DA443" i="23" s="1"/>
  <c r="DB443" i="23" s="1"/>
  <c r="DC443" i="23" s="1"/>
  <c r="DD443" i="23" s="1"/>
  <c r="DE443" i="23" s="1"/>
  <c r="DF443" i="23" s="1"/>
  <c r="DG443" i="23" s="1"/>
  <c r="DH443" i="23" s="1"/>
  <c r="DI443" i="23" s="1"/>
  <c r="DJ443" i="23" s="1"/>
  <c r="DK443" i="23" s="1"/>
  <c r="K443" i="23"/>
  <c r="ER161" i="22"/>
  <c r="ES5" i="22"/>
  <c r="ER6" i="22"/>
  <c r="V238" i="23"/>
  <c r="W234" i="23" s="1"/>
  <c r="CJ272" i="23"/>
  <c r="EQ160" i="22"/>
  <c r="EQ159" i="22"/>
  <c r="ER11" i="22"/>
  <c r="EP78" i="22"/>
  <c r="EP35" i="22"/>
  <c r="CG186" i="23"/>
  <c r="CG187" i="23" s="1"/>
  <c r="CH183" i="23" s="1"/>
  <c r="CH258" i="23"/>
  <c r="CH251" i="23"/>
  <c r="CH253" i="23" s="1"/>
  <c r="CH207" i="23"/>
  <c r="CH208" i="23" s="1"/>
  <c r="EO22" i="22"/>
  <c r="EP19" i="22"/>
  <c r="EO34" i="22"/>
  <c r="EO37" i="22" s="1"/>
  <c r="EO57" i="22" s="1"/>
  <c r="CB293" i="23"/>
  <c r="CB294" i="23" s="1"/>
  <c r="CB295" i="23" s="1"/>
  <c r="CC291" i="23" s="1"/>
  <c r="EP45" i="22"/>
  <c r="CG387" i="23"/>
  <c r="CG343" i="23" s="1"/>
  <c r="CG389" i="23"/>
  <c r="CG356" i="23" s="1"/>
  <c r="CG388" i="23"/>
  <c r="CG352" i="23" s="1"/>
  <c r="CA399" i="23"/>
  <c r="CA353" i="23" s="1"/>
  <c r="CA397" i="23"/>
  <c r="CA345" i="23" s="1"/>
  <c r="CA398" i="23"/>
  <c r="CA349" i="23" s="1"/>
  <c r="W230" i="23"/>
  <c r="W231" i="23" s="1"/>
  <c r="X227" i="23" s="1"/>
  <c r="EL70" i="22" l="1"/>
  <c r="EL152" i="22"/>
  <c r="EL81" i="22" s="1"/>
  <c r="CI392" i="23"/>
  <c r="CI344" i="23" s="1"/>
  <c r="CI394" i="23"/>
  <c r="CI357" i="23" s="1"/>
  <c r="EM31" i="22"/>
  <c r="K444" i="23"/>
  <c r="O443" i="23"/>
  <c r="EN69" i="22"/>
  <c r="EO46" i="22"/>
  <c r="EO48" i="22" s="1"/>
  <c r="EO62" i="22" s="1"/>
  <c r="EN48" i="22"/>
  <c r="EN62" i="22" s="1"/>
  <c r="EN71" i="22" s="1"/>
  <c r="EQ54" i="22"/>
  <c r="EQ28" i="22"/>
  <c r="CF171" i="23"/>
  <c r="CH209" i="23"/>
  <c r="CI205" i="23" s="1"/>
  <c r="CI258" i="23" s="1"/>
  <c r="EQ55" i="22"/>
  <c r="CG139" i="23"/>
  <c r="CG140" i="23" s="1"/>
  <c r="CG141" i="23" s="1"/>
  <c r="CH137" i="23" s="1"/>
  <c r="CF164" i="23"/>
  <c r="CG160" i="23" s="1"/>
  <c r="CG162" i="23" s="1"/>
  <c r="CF384" i="23"/>
  <c r="CC293" i="23"/>
  <c r="CH185" i="23"/>
  <c r="CH186" i="23" s="1"/>
  <c r="CJ280" i="23"/>
  <c r="CJ391" i="23"/>
  <c r="CJ351" i="23"/>
  <c r="ES10" i="22"/>
  <c r="ER13" i="22"/>
  <c r="ER150" i="22"/>
  <c r="ER148" i="22"/>
  <c r="ER147" i="22"/>
  <c r="ER146" i="22"/>
  <c r="ER141" i="22"/>
  <c r="ER149" i="22"/>
  <c r="ER142" i="22"/>
  <c r="ER79" i="22" s="1"/>
  <c r="ER26" i="22"/>
  <c r="ER20" i="22" s="1"/>
  <c r="ER25" i="22"/>
  <c r="ES161" i="22"/>
  <c r="ES6" i="22"/>
  <c r="W236" i="23"/>
  <c r="W237" i="23" s="1"/>
  <c r="X229" i="23"/>
  <c r="X230" i="23" s="1"/>
  <c r="X231" i="23" s="1"/>
  <c r="Y227" i="23" s="1"/>
  <c r="ER160" i="22"/>
  <c r="ER159" i="22"/>
  <c r="EQ78" i="22"/>
  <c r="CF342" i="23"/>
  <c r="CF93" i="23"/>
  <c r="EP22" i="22"/>
  <c r="EQ19" i="22"/>
  <c r="EP34" i="22"/>
  <c r="EP37" i="22" s="1"/>
  <c r="EP57" i="22" s="1"/>
  <c r="CB396" i="23"/>
  <c r="CB302" i="23"/>
  <c r="CB355" i="23"/>
  <c r="CB94" i="23"/>
  <c r="EM70" i="22"/>
  <c r="DL443" i="23"/>
  <c r="DM443" i="23" s="1"/>
  <c r="DN443" i="23" s="1"/>
  <c r="DO443" i="23" s="1"/>
  <c r="DP443" i="23" s="1"/>
  <c r="DQ443" i="23" s="1"/>
  <c r="DR443" i="23" s="1"/>
  <c r="DS443" i="23" s="1"/>
  <c r="DT443" i="23" s="1"/>
  <c r="DU443" i="23" s="1"/>
  <c r="DV443" i="23" s="1"/>
  <c r="DW443" i="23" s="1"/>
  <c r="L443" i="23"/>
  <c r="L444" i="23" s="1"/>
  <c r="CH216" i="23"/>
  <c r="CH347" i="23"/>
  <c r="CH386" i="23"/>
  <c r="ES11" i="22"/>
  <c r="CG194" i="23"/>
  <c r="CG179" i="23"/>
  <c r="EQ35" i="22"/>
  <c r="EQ45" i="22"/>
  <c r="CJ273" i="23"/>
  <c r="CK269" i="23" s="1"/>
  <c r="EM144" i="22" l="1"/>
  <c r="EM145" i="22"/>
  <c r="EM72" i="22"/>
  <c r="EM143" i="22"/>
  <c r="CI251" i="23"/>
  <c r="CI253" i="23" s="1"/>
  <c r="EN70" i="22"/>
  <c r="ER55" i="22"/>
  <c r="EN31" i="22"/>
  <c r="EP46" i="22"/>
  <c r="EO69" i="22"/>
  <c r="CI207" i="23"/>
  <c r="CI208" i="23" s="1"/>
  <c r="CG163" i="23"/>
  <c r="CG164" i="23" s="1"/>
  <c r="CH160" i="23" s="1"/>
  <c r="CH162" i="23" s="1"/>
  <c r="CH163" i="23" s="1"/>
  <c r="ER28" i="22"/>
  <c r="CH139" i="23"/>
  <c r="CH140" i="23" s="1"/>
  <c r="CH187" i="23"/>
  <c r="CI183" i="23" s="1"/>
  <c r="CI185" i="23" s="1"/>
  <c r="CG148" i="23"/>
  <c r="CG133" i="23"/>
  <c r="ER54" i="22"/>
  <c r="ER35" i="22"/>
  <c r="Y229" i="23"/>
  <c r="CK271" i="23"/>
  <c r="CK272" i="23" s="1"/>
  <c r="CK273" i="23" s="1"/>
  <c r="CL269" i="23" s="1"/>
  <c r="CH194" i="23"/>
  <c r="CH179" i="23"/>
  <c r="CB397" i="23"/>
  <c r="CB399" i="23"/>
  <c r="CB398" i="23"/>
  <c r="ER45" i="22"/>
  <c r="ES13" i="22"/>
  <c r="DX443" i="23"/>
  <c r="DY443" i="23" s="1"/>
  <c r="DZ443" i="23" s="1"/>
  <c r="EA443" i="23" s="1"/>
  <c r="EB443" i="23" s="1"/>
  <c r="EC443" i="23" s="1"/>
  <c r="ED443" i="23" s="1"/>
  <c r="EE443" i="23" s="1"/>
  <c r="EF443" i="23" s="1"/>
  <c r="EG443" i="23" s="1"/>
  <c r="EH443" i="23" s="1"/>
  <c r="EI443" i="23" s="1"/>
  <c r="M443" i="23"/>
  <c r="M444" i="23" s="1"/>
  <c r="CJ393" i="23"/>
  <c r="CJ348" i="23" s="1"/>
  <c r="CJ394" i="23"/>
  <c r="CJ357" i="23" s="1"/>
  <c r="CJ392" i="23"/>
  <c r="CJ344" i="23" s="1"/>
  <c r="ER78" i="22"/>
  <c r="EO71" i="22"/>
  <c r="EO31" i="22"/>
  <c r="EO145" i="22" s="1"/>
  <c r="W238" i="23"/>
  <c r="X234" i="23" s="1"/>
  <c r="CH389" i="23"/>
  <c r="CH356" i="23" s="1"/>
  <c r="CH388" i="23"/>
  <c r="CH352" i="23" s="1"/>
  <c r="CH387" i="23"/>
  <c r="CH343" i="23" s="1"/>
  <c r="EQ22" i="22"/>
  <c r="ER19" i="22"/>
  <c r="EQ34" i="22"/>
  <c r="EQ37" i="22" s="1"/>
  <c r="EQ57" i="22" s="1"/>
  <c r="CC294" i="23"/>
  <c r="CC295" i="23" s="1"/>
  <c r="CD291" i="23" s="1"/>
  <c r="ES160" i="22"/>
  <c r="ES159" i="22"/>
  <c r="ES150" i="22"/>
  <c r="C150" i="22" s="1"/>
  <c r="ES149" i="22"/>
  <c r="C149" i="22" s="1"/>
  <c r="ES147" i="22"/>
  <c r="C147" i="22" s="1"/>
  <c r="J28" i="18" s="1"/>
  <c r="ES146" i="22"/>
  <c r="C146" i="22" s="1"/>
  <c r="J27" i="18" s="1"/>
  <c r="ES148" i="22"/>
  <c r="C148" i="22" s="1"/>
  <c r="ES142" i="22"/>
  <c r="ES141" i="22"/>
  <c r="M141" i="22" s="1"/>
  <c r="ES26" i="22"/>
  <c r="ES20" i="22" s="1"/>
  <c r="ES35" i="22" s="1"/>
  <c r="ES25" i="22"/>
  <c r="M25" i="22" s="1"/>
  <c r="L148" i="22"/>
  <c r="J71" i="22"/>
  <c r="K146" i="22"/>
  <c r="H148" i="22"/>
  <c r="K81" i="22"/>
  <c r="E70" i="22"/>
  <c r="F11" i="11" s="1"/>
  <c r="H146" i="22"/>
  <c r="F150" i="22"/>
  <c r="G45" i="22"/>
  <c r="L54" i="22"/>
  <c r="K78" i="22"/>
  <c r="D55" i="22"/>
  <c r="K69" i="22"/>
  <c r="L10" i="11" s="1"/>
  <c r="E46" i="22"/>
  <c r="G78" i="22"/>
  <c r="G31" i="22"/>
  <c r="I141" i="22"/>
  <c r="D146" i="22"/>
  <c r="L78" i="22"/>
  <c r="G146" i="22"/>
  <c r="F26" i="22"/>
  <c r="F149" i="22"/>
  <c r="H142" i="22"/>
  <c r="F31" i="22"/>
  <c r="J54" i="22"/>
  <c r="L62" i="22"/>
  <c r="F69" i="22"/>
  <c r="G10" i="11" s="1"/>
  <c r="E55" i="22"/>
  <c r="H78" i="22"/>
  <c r="L55" i="22"/>
  <c r="L45" i="22"/>
  <c r="F55" i="22"/>
  <c r="G25" i="22"/>
  <c r="K141" i="22"/>
  <c r="H55" i="22"/>
  <c r="G57" i="22"/>
  <c r="J141" i="22"/>
  <c r="D147" i="22"/>
  <c r="K144" i="22"/>
  <c r="G62" i="22"/>
  <c r="E71" i="22"/>
  <c r="H145" i="22"/>
  <c r="E57" i="22"/>
  <c r="L46" i="22"/>
  <c r="L81" i="22"/>
  <c r="H150" i="22"/>
  <c r="F54" i="22"/>
  <c r="F145" i="22"/>
  <c r="F25" i="22"/>
  <c r="J25" i="22"/>
  <c r="G141" i="22"/>
  <c r="J55" i="22"/>
  <c r="M82" i="22"/>
  <c r="N24" i="11" s="1"/>
  <c r="H149" i="22"/>
  <c r="J70" i="22"/>
  <c r="K11" i="11" s="1"/>
  <c r="F148" i="22"/>
  <c r="I72" i="22"/>
  <c r="J16" i="11" s="1"/>
  <c r="E82" i="22"/>
  <c r="F24" i="11" s="1"/>
  <c r="D150" i="22"/>
  <c r="I79" i="22"/>
  <c r="G72" i="22"/>
  <c r="H16" i="11" s="1"/>
  <c r="K71" i="22"/>
  <c r="K70" i="22"/>
  <c r="L11" i="11" s="1"/>
  <c r="D57" i="22"/>
  <c r="H45" i="22"/>
  <c r="L69" i="22"/>
  <c r="M10" i="11" s="1"/>
  <c r="D142" i="22"/>
  <c r="I57" i="22"/>
  <c r="I69" i="22"/>
  <c r="J10" i="11" s="1"/>
  <c r="J146" i="22"/>
  <c r="J145" i="22"/>
  <c r="L82" i="22"/>
  <c r="M24" i="11" s="1"/>
  <c r="L31" i="22"/>
  <c r="I142" i="22"/>
  <c r="I143" i="22"/>
  <c r="L150" i="22"/>
  <c r="K48" i="22"/>
  <c r="D62" i="22"/>
  <c r="H54" i="22"/>
  <c r="J57" i="22"/>
  <c r="I147" i="22"/>
  <c r="F143" i="22"/>
  <c r="K145" i="22"/>
  <c r="I78" i="22"/>
  <c r="E79" i="22"/>
  <c r="G142" i="22"/>
  <c r="D82" i="22"/>
  <c r="E24" i="11" s="1"/>
  <c r="D46" i="22"/>
  <c r="L25" i="22"/>
  <c r="G150" i="22"/>
  <c r="H62" i="22"/>
  <c r="J148" i="22"/>
  <c r="I82" i="22"/>
  <c r="J24" i="11" s="1"/>
  <c r="I25" i="22"/>
  <c r="F46" i="22"/>
  <c r="I48" i="22"/>
  <c r="F144" i="22"/>
  <c r="G144" i="22"/>
  <c r="D71" i="22"/>
  <c r="J31" i="22"/>
  <c r="F147" i="22"/>
  <c r="H46" i="22"/>
  <c r="D149" i="22"/>
  <c r="F78" i="22"/>
  <c r="D148" i="22"/>
  <c r="G81" i="22"/>
  <c r="L57" i="22"/>
  <c r="J79" i="22"/>
  <c r="H82" i="22"/>
  <c r="I24" i="11" s="1"/>
  <c r="I149" i="22"/>
  <c r="G82" i="22"/>
  <c r="H24" i="11" s="1"/>
  <c r="L79" i="22"/>
  <c r="I81" i="22"/>
  <c r="F48" i="22"/>
  <c r="K26" i="22"/>
  <c r="F72" i="22"/>
  <c r="G16" i="11" s="1"/>
  <c r="K31" i="22"/>
  <c r="K25" i="22"/>
  <c r="J81" i="22"/>
  <c r="L142" i="22"/>
  <c r="I144" i="22"/>
  <c r="I55" i="22"/>
  <c r="E26" i="22"/>
  <c r="I45" i="22"/>
  <c r="J46" i="22"/>
  <c r="L72" i="22"/>
  <c r="M16" i="11" s="1"/>
  <c r="G149" i="22"/>
  <c r="G46" i="22"/>
  <c r="E31" i="22"/>
  <c r="E146" i="22"/>
  <c r="J149" i="22"/>
  <c r="F71" i="22"/>
  <c r="G71" i="22"/>
  <c r="L71" i="22"/>
  <c r="G79" i="22"/>
  <c r="J45" i="22"/>
  <c r="G143" i="22"/>
  <c r="K54" i="22"/>
  <c r="C82" i="22"/>
  <c r="G55" i="22"/>
  <c r="H57" i="22"/>
  <c r="L141" i="22"/>
  <c r="K45" i="22"/>
  <c r="F142" i="22"/>
  <c r="I26" i="22"/>
  <c r="K79" i="22"/>
  <c r="D31" i="22"/>
  <c r="J69" i="22"/>
  <c r="K10" i="11" s="1"/>
  <c r="H143" i="22"/>
  <c r="J62" i="22"/>
  <c r="H72" i="22"/>
  <c r="I16" i="11" s="1"/>
  <c r="F45" i="22"/>
  <c r="F79" i="22"/>
  <c r="E150" i="22"/>
  <c r="C25" i="22"/>
  <c r="G147" i="22"/>
  <c r="E149" i="22"/>
  <c r="E54" i="22"/>
  <c r="F70" i="22"/>
  <c r="G11" i="11" s="1"/>
  <c r="H31" i="22"/>
  <c r="F57" i="22"/>
  <c r="J48" i="22"/>
  <c r="D48" i="22"/>
  <c r="E148" i="22"/>
  <c r="I148" i="22"/>
  <c r="J150" i="22"/>
  <c r="K150" i="22"/>
  <c r="J144" i="22"/>
  <c r="I70" i="22"/>
  <c r="J11" i="11" s="1"/>
  <c r="K149" i="22"/>
  <c r="E25" i="22"/>
  <c r="I145" i="22"/>
  <c r="H79" i="22"/>
  <c r="K72" i="22"/>
  <c r="L16" i="11" s="1"/>
  <c r="D26" i="22"/>
  <c r="L26" i="22"/>
  <c r="J143" i="22"/>
  <c r="K55" i="22"/>
  <c r="H26" i="22"/>
  <c r="G26" i="22"/>
  <c r="F62" i="22"/>
  <c r="G70" i="22"/>
  <c r="H11" i="11" s="1"/>
  <c r="K57" i="22"/>
  <c r="L145" i="22"/>
  <c r="D45" i="22"/>
  <c r="C26" i="22"/>
  <c r="D69" i="22"/>
  <c r="E10" i="11" s="1"/>
  <c r="E72" i="22"/>
  <c r="F16" i="11" s="1"/>
  <c r="J78" i="22"/>
  <c r="L149" i="22"/>
  <c r="E147" i="22"/>
  <c r="F82" i="22"/>
  <c r="G24" i="11" s="1"/>
  <c r="F146" i="22"/>
  <c r="L143" i="22"/>
  <c r="K46" i="22"/>
  <c r="G54" i="22"/>
  <c r="H70" i="22"/>
  <c r="I11" i="11" s="1"/>
  <c r="F81" i="22"/>
  <c r="H144" i="22"/>
  <c r="J26" i="22"/>
  <c r="D72" i="22"/>
  <c r="E16" i="11" s="1"/>
  <c r="D141" i="22"/>
  <c r="H48" i="22"/>
  <c r="I146" i="22"/>
  <c r="I31" i="22"/>
  <c r="K148" i="22"/>
  <c r="F141" i="22"/>
  <c r="K143" i="22"/>
  <c r="G148" i="22"/>
  <c r="L48" i="22"/>
  <c r="H71" i="22"/>
  <c r="L144" i="22"/>
  <c r="K147" i="22"/>
  <c r="L147" i="22"/>
  <c r="D54" i="22"/>
  <c r="I150" i="22"/>
  <c r="D78" i="22"/>
  <c r="D70" i="22"/>
  <c r="E11" i="11" s="1"/>
  <c r="L70" i="22"/>
  <c r="M11" i="11" s="1"/>
  <c r="G145" i="22"/>
  <c r="J147" i="22"/>
  <c r="L146" i="22"/>
  <c r="E78" i="22"/>
  <c r="E69" i="22"/>
  <c r="F10" i="11" s="1"/>
  <c r="J82" i="22"/>
  <c r="K24" i="11" s="1"/>
  <c r="G48" i="22"/>
  <c r="K142" i="22"/>
  <c r="K82" i="22"/>
  <c r="L24" i="11" s="1"/>
  <c r="E48" i="22"/>
  <c r="I62" i="22"/>
  <c r="H141" i="22"/>
  <c r="E142" i="22"/>
  <c r="J72" i="22"/>
  <c r="K16" i="11" s="1"/>
  <c r="H69" i="22"/>
  <c r="I10" i="11" s="1"/>
  <c r="J142" i="22"/>
  <c r="I71" i="22"/>
  <c r="H147" i="22"/>
  <c r="H81" i="22"/>
  <c r="H25" i="22"/>
  <c r="K62" i="22"/>
  <c r="E141" i="22"/>
  <c r="I54" i="22"/>
  <c r="D79" i="22"/>
  <c r="I46" i="22"/>
  <c r="G69" i="22"/>
  <c r="H10" i="11" s="1"/>
  <c r="D25" i="22"/>
  <c r="E62" i="22"/>
  <c r="E45" i="22"/>
  <c r="K28" i="18" l="1"/>
  <c r="L28" i="18" s="1"/>
  <c r="I28" i="18"/>
  <c r="I27" i="18"/>
  <c r="K27" i="18"/>
  <c r="L27" i="18" s="1"/>
  <c r="ES55" i="22"/>
  <c r="N443" i="23"/>
  <c r="N444" i="23" s="1"/>
  <c r="O444" i="23" s="1"/>
  <c r="BB13" i="25" s="1"/>
  <c r="EM152" i="22"/>
  <c r="EM81" i="22" s="1"/>
  <c r="EN144" i="22"/>
  <c r="EN145" i="22"/>
  <c r="EO143" i="22"/>
  <c r="EO144" i="22"/>
  <c r="O146" i="22"/>
  <c r="EN72" i="22"/>
  <c r="EN143" i="22"/>
  <c r="M26" i="22"/>
  <c r="M28" i="22" s="1"/>
  <c r="O144" i="22"/>
  <c r="EO72" i="22"/>
  <c r="O149" i="22"/>
  <c r="O150" i="22"/>
  <c r="M146" i="22"/>
  <c r="O147" i="22"/>
  <c r="O145" i="22"/>
  <c r="H28" i="22"/>
  <c r="O143" i="22"/>
  <c r="O148" i="22"/>
  <c r="D28" i="22"/>
  <c r="CG384" i="23"/>
  <c r="CG171" i="23"/>
  <c r="EP69" i="22"/>
  <c r="EQ46" i="22"/>
  <c r="EQ48" i="22" s="1"/>
  <c r="EQ62" i="22" s="1"/>
  <c r="EQ71" i="22" s="1"/>
  <c r="E28" i="22"/>
  <c r="EP48" i="22"/>
  <c r="EP62" i="22" s="1"/>
  <c r="EP71" i="22" s="1"/>
  <c r="CG156" i="23"/>
  <c r="CG342" i="23" s="1"/>
  <c r="M150" i="22"/>
  <c r="M147" i="22"/>
  <c r="M148" i="22"/>
  <c r="F28" i="22"/>
  <c r="ES28" i="22"/>
  <c r="N6" i="8" s="1"/>
  <c r="CH148" i="23"/>
  <c r="CH133" i="23"/>
  <c r="F152" i="22"/>
  <c r="G23" i="11" s="1"/>
  <c r="M149" i="22"/>
  <c r="L28" i="22"/>
  <c r="CH141" i="23"/>
  <c r="CI137" i="23" s="1"/>
  <c r="CI139" i="23" s="1"/>
  <c r="CI140" i="23" s="1"/>
  <c r="CI148" i="23" s="1"/>
  <c r="C55" i="22"/>
  <c r="O55" i="22"/>
  <c r="M55" i="22"/>
  <c r="CH171" i="23"/>
  <c r="CH156" i="23"/>
  <c r="CH384" i="23"/>
  <c r="CH164" i="23"/>
  <c r="CI160" i="23" s="1"/>
  <c r="I81" i="11"/>
  <c r="I82" i="11"/>
  <c r="H75" i="11"/>
  <c r="K28" i="22"/>
  <c r="G81" i="11"/>
  <c r="F75" i="11"/>
  <c r="G82" i="11"/>
  <c r="E75" i="11"/>
  <c r="F81" i="11"/>
  <c r="F82" i="11"/>
  <c r="G28" i="22"/>
  <c r="CK280" i="23"/>
  <c r="CK391" i="23"/>
  <c r="CK351" i="23"/>
  <c r="CL271" i="23"/>
  <c r="J81" i="11"/>
  <c r="J82" i="11"/>
  <c r="I75" i="11"/>
  <c r="L152" i="22"/>
  <c r="M23" i="11" s="1"/>
  <c r="ES78" i="22"/>
  <c r="C141" i="22"/>
  <c r="L98" i="16"/>
  <c r="CB345" i="23"/>
  <c r="O98" i="16"/>
  <c r="CD293" i="23"/>
  <c r="H152" i="22"/>
  <c r="I23" i="11" s="1"/>
  <c r="L81" i="11"/>
  <c r="L82" i="11"/>
  <c r="K75" i="11"/>
  <c r="I152" i="22"/>
  <c r="J23" i="11" s="1"/>
  <c r="X236" i="23"/>
  <c r="X237" i="23" s="1"/>
  <c r="Y230" i="23"/>
  <c r="Y231" i="23" s="1"/>
  <c r="Z227" i="23" s="1"/>
  <c r="CB349" i="23"/>
  <c r="ES79" i="22"/>
  <c r="C142" i="22"/>
  <c r="CB353" i="23"/>
  <c r="H98" i="16"/>
  <c r="CC396" i="23"/>
  <c r="CC302" i="23"/>
  <c r="CC355" i="23"/>
  <c r="CC94" i="23"/>
  <c r="ES54" i="22"/>
  <c r="I98" i="16"/>
  <c r="K23" i="10"/>
  <c r="L23" i="10" s="1"/>
  <c r="D24" i="11"/>
  <c r="T23" i="9"/>
  <c r="U23" i="9" s="1"/>
  <c r="O82" i="22"/>
  <c r="G152" i="22"/>
  <c r="H23" i="11" s="1"/>
  <c r="J152" i="22"/>
  <c r="K23" i="11" s="1"/>
  <c r="J28" i="22"/>
  <c r="H81" i="11"/>
  <c r="H82" i="11"/>
  <c r="G75" i="11"/>
  <c r="ER22" i="22"/>
  <c r="ES19" i="22"/>
  <c r="ER34" i="22"/>
  <c r="ER37" i="22" s="1"/>
  <c r="ER57" i="22" s="1"/>
  <c r="ES45" i="22"/>
  <c r="M142" i="22"/>
  <c r="K81" i="11"/>
  <c r="K82" i="11"/>
  <c r="J75" i="11"/>
  <c r="M81" i="11"/>
  <c r="M82" i="11"/>
  <c r="L75" i="11"/>
  <c r="EO70" i="22"/>
  <c r="CI216" i="23"/>
  <c r="CI386" i="23"/>
  <c r="CI347" i="23"/>
  <c r="CI186" i="23"/>
  <c r="CI187" i="23" s="1"/>
  <c r="CJ183" i="23" s="1"/>
  <c r="C28" i="22"/>
  <c r="O25" i="22"/>
  <c r="D19" i="22"/>
  <c r="I28" i="22"/>
  <c r="N98" i="16"/>
  <c r="M98" i="16"/>
  <c r="P98" i="16"/>
  <c r="CI209" i="23"/>
  <c r="CJ205" i="23" s="1"/>
  <c r="K98" i="16"/>
  <c r="M75" i="11"/>
  <c r="K152" i="22"/>
  <c r="L23" i="11" s="1"/>
  <c r="O26" i="22"/>
  <c r="D20" i="22"/>
  <c r="J98" i="16"/>
  <c r="EO152" i="22" l="1"/>
  <c r="EO81" i="22" s="1"/>
  <c r="EN152" i="22"/>
  <c r="EN81" i="22" s="1"/>
  <c r="EP31" i="22"/>
  <c r="CG93" i="23"/>
  <c r="ER46" i="22"/>
  <c r="EQ69" i="22"/>
  <c r="EQ70" i="22" s="1"/>
  <c r="N7" i="8"/>
  <c r="N9" i="8" s="1"/>
  <c r="BB11" i="25" s="1"/>
  <c r="EQ31" i="22"/>
  <c r="CI141" i="23"/>
  <c r="CJ137" i="23" s="1"/>
  <c r="CJ139" i="23" s="1"/>
  <c r="CI133" i="23"/>
  <c r="CJ185" i="23"/>
  <c r="E20" i="22"/>
  <c r="D35" i="22"/>
  <c r="J23" i="18"/>
  <c r="K23" i="18" s="1"/>
  <c r="L23" i="18" s="1"/>
  <c r="O142" i="22"/>
  <c r="C79" i="22"/>
  <c r="M79" i="22"/>
  <c r="CJ258" i="23"/>
  <c r="CJ251" i="23"/>
  <c r="CJ253" i="23" s="1"/>
  <c r="CJ207" i="23"/>
  <c r="Z229" i="23"/>
  <c r="O54" i="22"/>
  <c r="C54" i="22"/>
  <c r="M54" i="22"/>
  <c r="D22" i="22"/>
  <c r="E19" i="22"/>
  <c r="D34" i="22"/>
  <c r="C46" i="22"/>
  <c r="O46" i="22"/>
  <c r="CI162" i="23"/>
  <c r="EP70" i="22"/>
  <c r="O28" i="22"/>
  <c r="J22" i="18"/>
  <c r="O141" i="22"/>
  <c r="X238" i="23"/>
  <c r="Y234" i="23" s="1"/>
  <c r="CD294" i="23"/>
  <c r="CD295" i="23" s="1"/>
  <c r="CE291" i="23" s="1"/>
  <c r="C78" i="22"/>
  <c r="M78" i="22"/>
  <c r="CL272" i="23"/>
  <c r="CL273" i="23" s="1"/>
  <c r="CM269" i="23" s="1"/>
  <c r="CI194" i="23"/>
  <c r="CI179" i="23"/>
  <c r="CH342" i="23"/>
  <c r="CH93" i="23"/>
  <c r="CC397" i="23"/>
  <c r="CC399" i="23"/>
  <c r="CC398" i="23"/>
  <c r="CI387" i="23"/>
  <c r="CI343" i="23" s="1"/>
  <c r="CI388" i="23"/>
  <c r="CI352" i="23" s="1"/>
  <c r="CI389" i="23"/>
  <c r="CI356" i="23" s="1"/>
  <c r="C45" i="22"/>
  <c r="O45" i="22"/>
  <c r="M45" i="22"/>
  <c r="CK394" i="23"/>
  <c r="CK357" i="23" s="1"/>
  <c r="CK393" i="23"/>
  <c r="CK348" i="23" s="1"/>
  <c r="CK392" i="23"/>
  <c r="CK344" i="23" s="1"/>
  <c r="ES22" i="22"/>
  <c r="ES34" i="22"/>
  <c r="ES37" i="22" s="1"/>
  <c r="ES57" i="22" s="1"/>
  <c r="M57" i="22" s="1"/>
  <c r="Q31" i="23"/>
  <c r="P24" i="11"/>
  <c r="EQ144" i="22" l="1"/>
  <c r="EQ145" i="22"/>
  <c r="EP144" i="22"/>
  <c r="EP145" i="22"/>
  <c r="EQ72" i="22"/>
  <c r="EQ143" i="22"/>
  <c r="EP72" i="22"/>
  <c r="EP143" i="22"/>
  <c r="N10" i="8"/>
  <c r="BB12" i="25" s="1"/>
  <c r="ER69" i="22"/>
  <c r="ES46" i="22"/>
  <c r="ER48" i="22"/>
  <c r="ER62" i="22" s="1"/>
  <c r="ER71" i="22" s="1"/>
  <c r="O152" i="22"/>
  <c r="Q30" i="23" s="1"/>
  <c r="CM271" i="23"/>
  <c r="F20" i="22"/>
  <c r="E35" i="22"/>
  <c r="O81" i="22"/>
  <c r="CE293" i="23"/>
  <c r="K22" i="18"/>
  <c r="CI163" i="23"/>
  <c r="Z230" i="23"/>
  <c r="Z231" i="23" s="1"/>
  <c r="AA227" i="23" s="1"/>
  <c r="CL280" i="23"/>
  <c r="CL391" i="23"/>
  <c r="CL351" i="23"/>
  <c r="CJ208" i="23"/>
  <c r="CJ209" i="23" s="1"/>
  <c r="CK205" i="23" s="1"/>
  <c r="K19" i="10"/>
  <c r="T19" i="9"/>
  <c r="O78" i="22"/>
  <c r="D37" i="22"/>
  <c r="C57" i="22"/>
  <c r="O57" i="22"/>
  <c r="CD396" i="23"/>
  <c r="CD302" i="23"/>
  <c r="CD355" i="23"/>
  <c r="CD94" i="23"/>
  <c r="E22" i="22"/>
  <c r="F19" i="22"/>
  <c r="E34" i="22"/>
  <c r="CJ140" i="23"/>
  <c r="CJ141" i="23" s="1"/>
  <c r="CK137" i="23" s="1"/>
  <c r="C48" i="22"/>
  <c r="O48" i="22"/>
  <c r="CC349" i="23"/>
  <c r="Y236" i="23"/>
  <c r="Y237" i="23" s="1"/>
  <c r="CJ186" i="23"/>
  <c r="CC353" i="23"/>
  <c r="CC345" i="23"/>
  <c r="K20" i="10"/>
  <c r="L20" i="10" s="1"/>
  <c r="T20" i="9"/>
  <c r="U20" i="9" s="1"/>
  <c r="O79" i="22"/>
  <c r="EQ152" i="22" l="1"/>
  <c r="EQ81" i="22" s="1"/>
  <c r="ER31" i="22"/>
  <c r="ER145" i="22" s="1"/>
  <c r="EP152" i="22"/>
  <c r="EP81" i="22" s="1"/>
  <c r="M46" i="22"/>
  <c r="ES69" i="22"/>
  <c r="P23" i="11"/>
  <c r="ES48" i="22"/>
  <c r="E37" i="22"/>
  <c r="CK258" i="23"/>
  <c r="CK251" i="23"/>
  <c r="CK253" i="23" s="1"/>
  <c r="CK207" i="23"/>
  <c r="CK139" i="23"/>
  <c r="CL394" i="23"/>
  <c r="CL357" i="23" s="1"/>
  <c r="CL392" i="23"/>
  <c r="CL344" i="23" s="1"/>
  <c r="CL393" i="23"/>
  <c r="CL348" i="23" s="1"/>
  <c r="F22" i="22"/>
  <c r="G19" i="22"/>
  <c r="F34" i="22"/>
  <c r="ER70" i="22"/>
  <c r="CJ194" i="23"/>
  <c r="CJ179" i="23"/>
  <c r="AA229" i="23"/>
  <c r="CJ187" i="23"/>
  <c r="CK183" i="23" s="1"/>
  <c r="CI171" i="23"/>
  <c r="CI156" i="23"/>
  <c r="CI384" i="23"/>
  <c r="CI164" i="23"/>
  <c r="CJ160" i="23" s="1"/>
  <c r="CD397" i="23"/>
  <c r="CD398" i="23"/>
  <c r="CD399" i="23"/>
  <c r="L22" i="18"/>
  <c r="G20" i="22"/>
  <c r="F35" i="22"/>
  <c r="CJ216" i="23"/>
  <c r="CJ386" i="23"/>
  <c r="CJ347" i="23"/>
  <c r="Y238" i="23"/>
  <c r="Z234" i="23" s="1"/>
  <c r="CJ148" i="23"/>
  <c r="CJ133" i="23"/>
  <c r="CE294" i="23"/>
  <c r="O62" i="22"/>
  <c r="C62" i="22"/>
  <c r="U19" i="9"/>
  <c r="CM272" i="23"/>
  <c r="CM273" i="23" s="1"/>
  <c r="CN269" i="23" s="1"/>
  <c r="L19" i="10"/>
  <c r="ER143" i="22" l="1"/>
  <c r="ER144" i="22"/>
  <c r="ER72" i="22"/>
  <c r="F37" i="22"/>
  <c r="M48" i="22"/>
  <c r="ES62" i="22"/>
  <c r="C69" i="22"/>
  <c r="M69" i="22"/>
  <c r="N10" i="11" s="1"/>
  <c r="N81" i="11" s="1"/>
  <c r="CN271" i="23"/>
  <c r="CN272" i="23" s="1"/>
  <c r="CD353" i="23"/>
  <c r="CJ162" i="23"/>
  <c r="CJ163" i="23" s="1"/>
  <c r="CJ164" i="23" s="1"/>
  <c r="CK160" i="23" s="1"/>
  <c r="CJ389" i="23"/>
  <c r="CJ356" i="23" s="1"/>
  <c r="CJ388" i="23"/>
  <c r="CJ352" i="23" s="1"/>
  <c r="CJ387" i="23"/>
  <c r="CJ343" i="23" s="1"/>
  <c r="CD345" i="23"/>
  <c r="CI342" i="23"/>
  <c r="CI93" i="23"/>
  <c r="CK140" i="23"/>
  <c r="CK185" i="23"/>
  <c r="C31" i="22"/>
  <c r="O31" i="22" s="1"/>
  <c r="C71" i="22"/>
  <c r="AA230" i="23"/>
  <c r="AA231" i="23" s="1"/>
  <c r="AB227" i="23" s="1"/>
  <c r="H19" i="22"/>
  <c r="G22" i="22"/>
  <c r="G34" i="22"/>
  <c r="CD349" i="23"/>
  <c r="CE396" i="23"/>
  <c r="CE302" i="23"/>
  <c r="CE355" i="23"/>
  <c r="CE94" i="23"/>
  <c r="CK208" i="23"/>
  <c r="CM280" i="23"/>
  <c r="CM391" i="23"/>
  <c r="CM351" i="23"/>
  <c r="H20" i="22"/>
  <c r="G35" i="22"/>
  <c r="Z236" i="23"/>
  <c r="Z237" i="23" s="1"/>
  <c r="CE295" i="23"/>
  <c r="CF291" i="23" s="1"/>
  <c r="ER152" i="22" l="1"/>
  <c r="ER81" i="22" s="1"/>
  <c r="D10" i="11"/>
  <c r="E81" i="11" s="1"/>
  <c r="O69" i="22"/>
  <c r="P10" i="11" s="1"/>
  <c r="M62" i="22"/>
  <c r="ES71" i="22"/>
  <c r="ES31" i="22"/>
  <c r="ES145" i="22" s="1"/>
  <c r="CK162" i="23"/>
  <c r="AB229" i="23"/>
  <c r="J12" i="18"/>
  <c r="K9" i="10"/>
  <c r="T9" i="9"/>
  <c r="O71" i="22"/>
  <c r="CK216" i="23"/>
  <c r="CK386" i="23"/>
  <c r="CK347" i="23"/>
  <c r="CN280" i="23"/>
  <c r="CN391" i="23"/>
  <c r="CN351" i="23"/>
  <c r="CJ171" i="23"/>
  <c r="CJ156" i="23"/>
  <c r="CJ384" i="23"/>
  <c r="CE399" i="23"/>
  <c r="CE397" i="23"/>
  <c r="CE398" i="23"/>
  <c r="C72" i="22"/>
  <c r="CN273" i="23"/>
  <c r="CO269" i="23" s="1"/>
  <c r="CF293" i="23"/>
  <c r="CF294" i="23" s="1"/>
  <c r="I20" i="22"/>
  <c r="H35" i="22"/>
  <c r="CK148" i="23"/>
  <c r="CK133" i="23"/>
  <c r="G37" i="22"/>
  <c r="Z238" i="23"/>
  <c r="AA234" i="23" s="1"/>
  <c r="I19" i="22"/>
  <c r="H22" i="22"/>
  <c r="H34" i="22"/>
  <c r="CK186" i="23"/>
  <c r="CK209" i="23"/>
  <c r="CL205" i="23" s="1"/>
  <c r="CM394" i="23"/>
  <c r="CM357" i="23" s="1"/>
  <c r="CM392" i="23"/>
  <c r="CM344" i="23" s="1"/>
  <c r="CM393" i="23"/>
  <c r="CM348" i="23" s="1"/>
  <c r="CK141" i="23"/>
  <c r="CL137" i="23" s="1"/>
  <c r="M145" i="22" l="1"/>
  <c r="ES143" i="22"/>
  <c r="M143" i="22" s="1"/>
  <c r="ES144" i="22"/>
  <c r="M31" i="22"/>
  <c r="ES72" i="22"/>
  <c r="M72" i="22" s="1"/>
  <c r="N16" i="11" s="1"/>
  <c r="M71" i="22"/>
  <c r="ES70" i="22"/>
  <c r="H37" i="22"/>
  <c r="CF396" i="23"/>
  <c r="CF302" i="23"/>
  <c r="CF355" i="23"/>
  <c r="CF94" i="23"/>
  <c r="CF295" i="23"/>
  <c r="CG291" i="23" s="1"/>
  <c r="CO271" i="23"/>
  <c r="CO272" i="23" s="1"/>
  <c r="V20" i="9"/>
  <c r="V23" i="9"/>
  <c r="V19" i="9"/>
  <c r="V9" i="9"/>
  <c r="U9" i="9"/>
  <c r="D16" i="11"/>
  <c r="O72" i="22"/>
  <c r="M23" i="10"/>
  <c r="M19" i="10"/>
  <c r="M20" i="10"/>
  <c r="M9" i="10"/>
  <c r="L9" i="10"/>
  <c r="N9" i="10"/>
  <c r="G98" i="16"/>
  <c r="CE345" i="23"/>
  <c r="CL139" i="23"/>
  <c r="CE349" i="23"/>
  <c r="CE353" i="23"/>
  <c r="CL258" i="23"/>
  <c r="CL251" i="23"/>
  <c r="CL253" i="23" s="1"/>
  <c r="CL207" i="23"/>
  <c r="J20" i="22"/>
  <c r="O20" i="22" s="1"/>
  <c r="I35" i="22"/>
  <c r="AB230" i="23"/>
  <c r="AB231" i="23" s="1"/>
  <c r="AC227" i="23" s="1"/>
  <c r="K12" i="18"/>
  <c r="I12" i="18"/>
  <c r="CK194" i="23"/>
  <c r="CK179" i="23"/>
  <c r="I22" i="22"/>
  <c r="J19" i="22"/>
  <c r="O19" i="22" s="1"/>
  <c r="I34" i="22"/>
  <c r="CK163" i="23"/>
  <c r="CK164" i="23" s="1"/>
  <c r="CL160" i="23" s="1"/>
  <c r="CK389" i="23"/>
  <c r="CK356" i="23" s="1"/>
  <c r="CK388" i="23"/>
  <c r="CK352" i="23" s="1"/>
  <c r="CK387" i="23"/>
  <c r="CK343" i="23" s="1"/>
  <c r="AA236" i="23"/>
  <c r="AA237" i="23" s="1"/>
  <c r="CJ342" i="23"/>
  <c r="CJ93" i="23"/>
  <c r="CN394" i="23"/>
  <c r="CN393" i="23"/>
  <c r="CN392" i="23"/>
  <c r="Q18" i="23"/>
  <c r="CK187" i="23"/>
  <c r="CL183" i="23" s="1"/>
  <c r="ES152" i="22" l="1"/>
  <c r="ES81" i="22" s="1"/>
  <c r="M81" i="22" s="1"/>
  <c r="M144" i="22"/>
  <c r="M152" i="22" s="1"/>
  <c r="N23" i="11" s="1"/>
  <c r="O22" i="22"/>
  <c r="Q98" i="16"/>
  <c r="DJ73" i="22" s="1"/>
  <c r="C70" i="22"/>
  <c r="M70" i="22"/>
  <c r="N11" i="11" s="1"/>
  <c r="I37" i="22"/>
  <c r="CL162" i="23"/>
  <c r="CL163" i="23" s="1"/>
  <c r="L12" i="18"/>
  <c r="CO280" i="23"/>
  <c r="CO391" i="23"/>
  <c r="CO351" i="23"/>
  <c r="CL208" i="23"/>
  <c r="CN348" i="23"/>
  <c r="J22" i="22"/>
  <c r="K19" i="22"/>
  <c r="J34" i="22"/>
  <c r="O34" i="22" s="1"/>
  <c r="CO273" i="23"/>
  <c r="CP269" i="23" s="1"/>
  <c r="CN357" i="23"/>
  <c r="Q418" i="23"/>
  <c r="Q23" i="23"/>
  <c r="P16" i="11"/>
  <c r="CG293" i="23"/>
  <c r="CG294" i="23" s="1"/>
  <c r="AA238" i="23"/>
  <c r="AB234" i="23" s="1"/>
  <c r="CK156" i="23"/>
  <c r="CK171" i="23"/>
  <c r="CK384" i="23"/>
  <c r="CN344" i="23"/>
  <c r="K20" i="22"/>
  <c r="J35" i="22"/>
  <c r="O35" i="22" s="1"/>
  <c r="CL140" i="23"/>
  <c r="CL185" i="23"/>
  <c r="CL186" i="23" s="1"/>
  <c r="CL187" i="23" s="1"/>
  <c r="CM183" i="23" s="1"/>
  <c r="AC229" i="23"/>
  <c r="CF399" i="23"/>
  <c r="CF353" i="23" s="1"/>
  <c r="CF397" i="23"/>
  <c r="CF345" i="23" s="1"/>
  <c r="CF398" i="23"/>
  <c r="CF349" i="23" s="1"/>
  <c r="BV73" i="22" l="1"/>
  <c r="EJ73" i="22"/>
  <c r="EJ74" i="22" s="1"/>
  <c r="EJ75" i="22" s="1"/>
  <c r="CH73" i="22"/>
  <c r="BI73" i="22"/>
  <c r="BS73" i="22"/>
  <c r="CK73" i="22"/>
  <c r="CK74" i="22" s="1"/>
  <c r="CM25" i="23" s="1"/>
  <c r="ES73" i="22"/>
  <c r="ES74" i="22" s="1"/>
  <c r="ES75" i="22" s="1"/>
  <c r="DM73" i="22"/>
  <c r="DO22" i="23" s="1"/>
  <c r="EN73" i="22"/>
  <c r="EN74" i="22" s="1"/>
  <c r="DX73" i="22"/>
  <c r="DZ22" i="23" s="1"/>
  <c r="DH73" i="22"/>
  <c r="DJ22" i="23" s="1"/>
  <c r="CB73" i="22"/>
  <c r="CD22" i="23" s="1"/>
  <c r="AV73" i="22"/>
  <c r="AV145" i="22" s="1"/>
  <c r="AU73" i="22"/>
  <c r="AU145" i="22" s="1"/>
  <c r="CR73" i="22"/>
  <c r="CT22" i="23" s="1"/>
  <c r="BL73" i="22"/>
  <c r="BN22" i="23" s="1"/>
  <c r="AF73" i="22"/>
  <c r="AF145" i="22" s="1"/>
  <c r="EM73" i="22"/>
  <c r="EM74" i="22" s="1"/>
  <c r="EM75" i="22" s="1"/>
  <c r="DW73" i="22"/>
  <c r="DW74" i="22" s="1"/>
  <c r="DY25" i="23" s="1"/>
  <c r="DG73" i="22"/>
  <c r="DI22" i="23" s="1"/>
  <c r="CQ73" i="22"/>
  <c r="CS22" i="23" s="1"/>
  <c r="CA73" i="22"/>
  <c r="CC22" i="23" s="1"/>
  <c r="BK73" i="22"/>
  <c r="BM22" i="23" s="1"/>
  <c r="AE73" i="22"/>
  <c r="AE145" i="22" s="1"/>
  <c r="DV73" i="22"/>
  <c r="DX22" i="23" s="1"/>
  <c r="CP73" i="22"/>
  <c r="CR22" i="23" s="1"/>
  <c r="EL73" i="22"/>
  <c r="EL74" i="22" s="1"/>
  <c r="EL75" i="22" s="1"/>
  <c r="DF73" i="22"/>
  <c r="DH22" i="23" s="1"/>
  <c r="BZ73" i="22"/>
  <c r="CB22" i="23" s="1"/>
  <c r="BY73" i="22"/>
  <c r="BY74" i="22" s="1"/>
  <c r="CA25" i="23" s="1"/>
  <c r="AD73" i="22"/>
  <c r="AD145" i="22" s="1"/>
  <c r="EK73" i="22"/>
  <c r="EK74" i="22" s="1"/>
  <c r="EK75" i="22" s="1"/>
  <c r="CV73" i="22"/>
  <c r="CV74" i="22" s="1"/>
  <c r="CX25" i="23" s="1"/>
  <c r="BJ73" i="22"/>
  <c r="BL22" i="23" s="1"/>
  <c r="AT73" i="22"/>
  <c r="AT145" i="22" s="1"/>
  <c r="DT73" i="22"/>
  <c r="DV22" i="23" s="1"/>
  <c r="DD73" i="22"/>
  <c r="DF22" i="23" s="1"/>
  <c r="M28" i="18"/>
  <c r="M27" i="18"/>
  <c r="CN73" i="22"/>
  <c r="CP22" i="23" s="1"/>
  <c r="BX73" i="22"/>
  <c r="BX74" i="22" s="1"/>
  <c r="BZ25" i="23" s="1"/>
  <c r="AB73" i="22"/>
  <c r="AB145" i="22" s="1"/>
  <c r="BH73" i="22"/>
  <c r="BJ22" i="23" s="1"/>
  <c r="AR73" i="22"/>
  <c r="AR145" i="22" s="1"/>
  <c r="DU73" i="22"/>
  <c r="DW22" i="23" s="1"/>
  <c r="EI73" i="22"/>
  <c r="EI74" i="22" s="1"/>
  <c r="EI75" i="22" s="1"/>
  <c r="CM73" i="22"/>
  <c r="CO22" i="23" s="1"/>
  <c r="AS73" i="22"/>
  <c r="AS145" i="22" s="1"/>
  <c r="BG73" i="22"/>
  <c r="BG74" i="22" s="1"/>
  <c r="BI25" i="23" s="1"/>
  <c r="DS73" i="22"/>
  <c r="DS74" i="22" s="1"/>
  <c r="DU25" i="23" s="1"/>
  <c r="BW73" i="22"/>
  <c r="BY22" i="23" s="1"/>
  <c r="AA73" i="22"/>
  <c r="AA145" i="22" s="1"/>
  <c r="AQ73" i="22"/>
  <c r="AQ145" i="22" s="1"/>
  <c r="AC73" i="22"/>
  <c r="AC145" i="22" s="1"/>
  <c r="DC73" i="22"/>
  <c r="DC74" i="22" s="1"/>
  <c r="DE25" i="23" s="1"/>
  <c r="EH73" i="22"/>
  <c r="EH74" i="22" s="1"/>
  <c r="DR73" i="22"/>
  <c r="DT22" i="23" s="1"/>
  <c r="BA73" i="22"/>
  <c r="BA145" i="22" s="1"/>
  <c r="DB73" i="22"/>
  <c r="DD22" i="23" s="1"/>
  <c r="CL73" i="22"/>
  <c r="CN22" i="23" s="1"/>
  <c r="BF73" i="22"/>
  <c r="BH22" i="23" s="1"/>
  <c r="AP73" i="22"/>
  <c r="AP145" i="22" s="1"/>
  <c r="CO73" i="22"/>
  <c r="CQ22" i="23" s="1"/>
  <c r="EO73" i="22"/>
  <c r="EO74" i="22" s="1"/>
  <c r="EG73" i="22"/>
  <c r="EI22" i="23" s="1"/>
  <c r="DQ73" i="22"/>
  <c r="DS22" i="23" s="1"/>
  <c r="DA73" i="22"/>
  <c r="DA74" i="22" s="1"/>
  <c r="DC25" i="23" s="1"/>
  <c r="CF73" i="22"/>
  <c r="CH22" i="23" s="1"/>
  <c r="CU73" i="22"/>
  <c r="CU74" i="22" s="1"/>
  <c r="CW25" i="23" s="1"/>
  <c r="BU73" i="22"/>
  <c r="BW22" i="23" s="1"/>
  <c r="BE73" i="22"/>
  <c r="BG22" i="23" s="1"/>
  <c r="AO73" i="22"/>
  <c r="AO145" i="22" s="1"/>
  <c r="DE73" i="22"/>
  <c r="DE74" i="22" s="1"/>
  <c r="DG25" i="23" s="1"/>
  <c r="EF73" i="22"/>
  <c r="EF74" i="22" s="1"/>
  <c r="EH25" i="23" s="1"/>
  <c r="DP73" i="22"/>
  <c r="DR22" i="23" s="1"/>
  <c r="CJ73" i="22"/>
  <c r="CL22" i="23" s="1"/>
  <c r="CZ73" i="22"/>
  <c r="DB22" i="23" s="1"/>
  <c r="Z73" i="22"/>
  <c r="Z145" i="22" s="1"/>
  <c r="BD73" i="22"/>
  <c r="BD74" i="22" s="1"/>
  <c r="BF25" i="23" s="1"/>
  <c r="AN73" i="22"/>
  <c r="AN145" i="22" s="1"/>
  <c r="X73" i="22"/>
  <c r="X145" i="22" s="1"/>
  <c r="DO73" i="22"/>
  <c r="DQ22" i="23" s="1"/>
  <c r="BT73" i="22"/>
  <c r="BV22" i="23" s="1"/>
  <c r="CY73" i="22"/>
  <c r="DA22" i="23" s="1"/>
  <c r="CI73" i="22"/>
  <c r="CK22" i="23" s="1"/>
  <c r="AM73" i="22"/>
  <c r="AM145" i="22" s="1"/>
  <c r="Y73" i="22"/>
  <c r="Y145" i="22" s="1"/>
  <c r="ED73" i="22"/>
  <c r="EF22" i="23" s="1"/>
  <c r="BB73" i="22"/>
  <c r="BD22" i="23" s="1"/>
  <c r="V73" i="22"/>
  <c r="V145" i="22" s="1"/>
  <c r="BC73" i="22"/>
  <c r="BE22" i="23" s="1"/>
  <c r="DN73" i="22"/>
  <c r="DP22" i="23" s="1"/>
  <c r="U73" i="22"/>
  <c r="U145" i="22" s="1"/>
  <c r="AI73" i="22"/>
  <c r="AI145" i="22" s="1"/>
  <c r="W73" i="22"/>
  <c r="W145" i="22" s="1"/>
  <c r="DY73" i="22"/>
  <c r="DY74" i="22" s="1"/>
  <c r="EA25" i="23" s="1"/>
  <c r="EE73" i="22"/>
  <c r="EG22" i="23" s="1"/>
  <c r="CX73" i="22"/>
  <c r="CZ22" i="23" s="1"/>
  <c r="BR73" i="22"/>
  <c r="BR74" i="22" s="1"/>
  <c r="BT25" i="23" s="1"/>
  <c r="S73" i="22"/>
  <c r="S145" i="22" s="1"/>
  <c r="AL73" i="22"/>
  <c r="AL145" i="22" s="1"/>
  <c r="CT73" i="22"/>
  <c r="CV22" i="23" s="1"/>
  <c r="AX73" i="22"/>
  <c r="AX145" i="22" s="1"/>
  <c r="AH73" i="22"/>
  <c r="DI73" i="22"/>
  <c r="DK22" i="23" s="1"/>
  <c r="EC73" i="22"/>
  <c r="EE22" i="23" s="1"/>
  <c r="CW73" i="22"/>
  <c r="CY22" i="23" s="1"/>
  <c r="CG73" i="22"/>
  <c r="CG74" i="22" s="1"/>
  <c r="CI25" i="23" s="1"/>
  <c r="AK73" i="22"/>
  <c r="CC73" i="22"/>
  <c r="CE22" i="23" s="1"/>
  <c r="BQ73" i="22"/>
  <c r="BS22" i="23" s="1"/>
  <c r="EB73" i="22"/>
  <c r="ED22" i="23" s="1"/>
  <c r="BM73" i="22"/>
  <c r="AG73" i="22"/>
  <c r="BP73" i="22"/>
  <c r="BR22" i="23" s="1"/>
  <c r="DL73" i="22"/>
  <c r="DN22" i="23" s="1"/>
  <c r="AZ73" i="22"/>
  <c r="AJ73" i="22"/>
  <c r="T73" i="22"/>
  <c r="EQ73" i="22"/>
  <c r="EQ74" i="22" s="1"/>
  <c r="EQ75" i="22" s="1"/>
  <c r="R73" i="22"/>
  <c r="EA73" i="22"/>
  <c r="EC22" i="23" s="1"/>
  <c r="DK73" i="22"/>
  <c r="DM22" i="23" s="1"/>
  <c r="CE73" i="22"/>
  <c r="CG22" i="23" s="1"/>
  <c r="BO73" i="22"/>
  <c r="BQ22" i="23" s="1"/>
  <c r="AY73" i="22"/>
  <c r="CS73" i="22"/>
  <c r="CU22" i="23" s="1"/>
  <c r="AW73" i="22"/>
  <c r="DZ73" i="22"/>
  <c r="EB22" i="23" s="1"/>
  <c r="BN73" i="22"/>
  <c r="BP22" i="23" s="1"/>
  <c r="CD73" i="22"/>
  <c r="CF22" i="23" s="1"/>
  <c r="ER73" i="22"/>
  <c r="ER74" i="22" s="1"/>
  <c r="ER75" i="22" s="1"/>
  <c r="EP73" i="22"/>
  <c r="EP74" i="22" s="1"/>
  <c r="EP75" i="22" s="1"/>
  <c r="O37" i="22"/>
  <c r="N75" i="11"/>
  <c r="N82" i="11"/>
  <c r="D11" i="11"/>
  <c r="O70" i="22"/>
  <c r="CG295" i="23"/>
  <c r="CH291" i="23" s="1"/>
  <c r="CH293" i="23" s="1"/>
  <c r="CL164" i="23"/>
  <c r="CM160" i="23" s="1"/>
  <c r="CM162" i="23" s="1"/>
  <c r="CL194" i="23"/>
  <c r="CL179" i="23"/>
  <c r="K22" i="22"/>
  <c r="L19" i="22"/>
  <c r="K34" i="22"/>
  <c r="BX22" i="23"/>
  <c r="BV74" i="22"/>
  <c r="BX25" i="23" s="1"/>
  <c r="CM185" i="23"/>
  <c r="CM186" i="23" s="1"/>
  <c r="CL384" i="23"/>
  <c r="CL148" i="23"/>
  <c r="CL133" i="23"/>
  <c r="BK22" i="23"/>
  <c r="BI74" i="22"/>
  <c r="BK25" i="23" s="1"/>
  <c r="L20" i="22"/>
  <c r="K35" i="22"/>
  <c r="AC230" i="23"/>
  <c r="AC231" i="23" s="1"/>
  <c r="AD227" i="23" s="1"/>
  <c r="CJ22" i="23"/>
  <c r="CH74" i="22"/>
  <c r="CJ25" i="23" s="1"/>
  <c r="DL22" i="23"/>
  <c r="DJ74" i="22"/>
  <c r="DJ75" i="22" s="1"/>
  <c r="CL216" i="23"/>
  <c r="CL386" i="23"/>
  <c r="CL347" i="23"/>
  <c r="CL156" i="23"/>
  <c r="CL171" i="23"/>
  <c r="CG396" i="23"/>
  <c r="CG302" i="23"/>
  <c r="CG355" i="23"/>
  <c r="CG94" i="23"/>
  <c r="CK342" i="23"/>
  <c r="CK93" i="23"/>
  <c r="CO394" i="23"/>
  <c r="CO392" i="23"/>
  <c r="CO393" i="23"/>
  <c r="CM22" i="23"/>
  <c r="AB236" i="23"/>
  <c r="AB237" i="23" s="1"/>
  <c r="CP271" i="23"/>
  <c r="CL209" i="23"/>
  <c r="CM205" i="23" s="1"/>
  <c r="J37" i="22"/>
  <c r="M23" i="18"/>
  <c r="M30" i="18"/>
  <c r="M12" i="18"/>
  <c r="M22" i="18"/>
  <c r="BU22" i="23"/>
  <c r="BS74" i="22"/>
  <c r="BU25" i="23" s="1"/>
  <c r="CL141" i="23"/>
  <c r="CM137" i="23" s="1"/>
  <c r="DM74" i="22" l="1"/>
  <c r="DO25" i="23" s="1"/>
  <c r="AV74" i="22"/>
  <c r="AX25" i="23" s="1"/>
  <c r="DF74" i="22"/>
  <c r="DH25" i="23" s="1"/>
  <c r="AV144" i="22"/>
  <c r="DV74" i="22"/>
  <c r="DX74" i="22"/>
  <c r="DZ25" i="23" s="1"/>
  <c r="AX22" i="23"/>
  <c r="CP74" i="22"/>
  <c r="CR25" i="23" s="1"/>
  <c r="CB74" i="22"/>
  <c r="CD25" i="23" s="1"/>
  <c r="DH74" i="22"/>
  <c r="DJ25" i="23" s="1"/>
  <c r="AU74" i="22"/>
  <c r="AW25" i="23" s="1"/>
  <c r="BL74" i="22"/>
  <c r="BN25" i="23" s="1"/>
  <c r="CR74" i="22"/>
  <c r="CT25" i="23" s="1"/>
  <c r="AV143" i="22"/>
  <c r="AW22" i="23"/>
  <c r="AU144" i="22"/>
  <c r="AU143" i="22"/>
  <c r="AF74" i="22"/>
  <c r="AH25" i="23" s="1"/>
  <c r="AH22" i="23"/>
  <c r="AF143" i="22"/>
  <c r="AF144" i="22"/>
  <c r="DG74" i="22"/>
  <c r="DI25" i="23" s="1"/>
  <c r="DD74" i="22"/>
  <c r="DF25" i="23" s="1"/>
  <c r="DY22" i="23"/>
  <c r="BW74" i="22"/>
  <c r="BY25" i="23" s="1"/>
  <c r="AT74" i="22"/>
  <c r="AV25" i="23" s="1"/>
  <c r="AV22" i="23"/>
  <c r="CA74" i="22"/>
  <c r="CC25" i="23" s="1"/>
  <c r="CQ74" i="22"/>
  <c r="CS25" i="23" s="1"/>
  <c r="AT144" i="22"/>
  <c r="AT143" i="22"/>
  <c r="AE74" i="22"/>
  <c r="AG25" i="23" s="1"/>
  <c r="AG22" i="23"/>
  <c r="AE143" i="22"/>
  <c r="BK74" i="22"/>
  <c r="BM25" i="23" s="1"/>
  <c r="CA22" i="23"/>
  <c r="BZ74" i="22"/>
  <c r="CB25" i="23" s="1"/>
  <c r="AE144" i="22"/>
  <c r="AD144" i="22"/>
  <c r="CX22" i="23"/>
  <c r="BI22" i="23"/>
  <c r="AD74" i="22"/>
  <c r="AF25" i="23" s="1"/>
  <c r="AF22" i="23"/>
  <c r="AD143" i="22"/>
  <c r="BJ74" i="22"/>
  <c r="BL25" i="23" s="1"/>
  <c r="DT74" i="22"/>
  <c r="DV25" i="23" s="1"/>
  <c r="CN74" i="22"/>
  <c r="CP25" i="23" s="1"/>
  <c r="AB74" i="22"/>
  <c r="AD25" i="23" s="1"/>
  <c r="AD22" i="23"/>
  <c r="BH74" i="22"/>
  <c r="BJ25" i="23" s="1"/>
  <c r="BZ22" i="23"/>
  <c r="AB144" i="22"/>
  <c r="AB143" i="22"/>
  <c r="AT22" i="23"/>
  <c r="AR74" i="22"/>
  <c r="AT25" i="23" s="1"/>
  <c r="DU74" i="22"/>
  <c r="DW25" i="23" s="1"/>
  <c r="AR144" i="22"/>
  <c r="AR143" i="22"/>
  <c r="AS74" i="22"/>
  <c r="AU25" i="23" s="1"/>
  <c r="AU22" i="23"/>
  <c r="CM74" i="22"/>
  <c r="CO25" i="23" s="1"/>
  <c r="AQ144" i="22"/>
  <c r="AQ74" i="22"/>
  <c r="AS25" i="23" s="1"/>
  <c r="AS22" i="23"/>
  <c r="DU22" i="23"/>
  <c r="M22" i="23" s="1"/>
  <c r="AA74" i="22"/>
  <c r="AC25" i="23" s="1"/>
  <c r="AC22" i="23"/>
  <c r="AC143" i="22"/>
  <c r="AA144" i="22"/>
  <c r="AA143" i="22"/>
  <c r="AE22" i="23"/>
  <c r="AC74" i="22"/>
  <c r="AE25" i="23" s="1"/>
  <c r="DE22" i="23"/>
  <c r="BA74" i="22"/>
  <c r="BC25" i="23" s="1"/>
  <c r="BC22" i="23"/>
  <c r="AS144" i="22"/>
  <c r="AS143" i="22"/>
  <c r="AQ143" i="22"/>
  <c r="CW22" i="23"/>
  <c r="BA144" i="22"/>
  <c r="EH22" i="23"/>
  <c r="DR74" i="22"/>
  <c r="DT25" i="23" s="1"/>
  <c r="DB74" i="22"/>
  <c r="DD25" i="23" s="1"/>
  <c r="BE74" i="22"/>
  <c r="BG25" i="23" s="1"/>
  <c r="CL74" i="22"/>
  <c r="CL75" i="22" s="1"/>
  <c r="CN19" i="23" s="1"/>
  <c r="AR22" i="23"/>
  <c r="BF74" i="22"/>
  <c r="BH25" i="23" s="1"/>
  <c r="AC144" i="22"/>
  <c r="CJ74" i="22"/>
  <c r="CL25" i="23" s="1"/>
  <c r="AN74" i="22"/>
  <c r="AP25" i="23" s="1"/>
  <c r="AP22" i="23"/>
  <c r="AP143" i="22"/>
  <c r="AP74" i="22"/>
  <c r="AP75" i="22" s="1"/>
  <c r="AP76" i="22" s="1"/>
  <c r="AR24" i="23" s="1"/>
  <c r="CO74" i="22"/>
  <c r="CQ25" i="23" s="1"/>
  <c r="DQ74" i="22"/>
  <c r="DS25" i="23" s="1"/>
  <c r="EG74" i="22"/>
  <c r="EI25" i="23" s="1"/>
  <c r="AN143" i="22"/>
  <c r="BA143" i="22"/>
  <c r="X74" i="22"/>
  <c r="Z25" i="23" s="1"/>
  <c r="Z22" i="23"/>
  <c r="CF74" i="22"/>
  <c r="CH25" i="23" s="1"/>
  <c r="DC22" i="23"/>
  <c r="BT74" i="22"/>
  <c r="BV25" i="23" s="1"/>
  <c r="CY74" i="22"/>
  <c r="DA25" i="23" s="1"/>
  <c r="AN22" i="23"/>
  <c r="AP144" i="22"/>
  <c r="AL74" i="22"/>
  <c r="AN25" i="23" s="1"/>
  <c r="AO22" i="23"/>
  <c r="CI74" i="22"/>
  <c r="CK25" i="23" s="1"/>
  <c r="BB74" i="22"/>
  <c r="BB75" i="22" s="1"/>
  <c r="BD19" i="23" s="1"/>
  <c r="BU74" i="22"/>
  <c r="BW25" i="23" s="1"/>
  <c r="DG22" i="23"/>
  <c r="AO74" i="22"/>
  <c r="AQ25" i="23" s="1"/>
  <c r="AQ22" i="23"/>
  <c r="DP74" i="22"/>
  <c r="DR25" i="23" s="1"/>
  <c r="AO144" i="22"/>
  <c r="AO143" i="22"/>
  <c r="ED74" i="22"/>
  <c r="EF25" i="23" s="1"/>
  <c r="CZ74" i="22"/>
  <c r="DB25" i="23" s="1"/>
  <c r="BF22" i="23"/>
  <c r="Z74" i="22"/>
  <c r="AB25" i="23" s="1"/>
  <c r="AB22" i="23"/>
  <c r="Y144" i="22"/>
  <c r="DO74" i="22"/>
  <c r="DQ25" i="23" s="1"/>
  <c r="X143" i="22"/>
  <c r="AN144" i="22"/>
  <c r="AM74" i="22"/>
  <c r="AO25" i="23" s="1"/>
  <c r="Y74" i="22"/>
  <c r="AA25" i="23" s="1"/>
  <c r="AA22" i="23"/>
  <c r="EA22" i="23"/>
  <c r="Z144" i="22"/>
  <c r="Z143" i="22"/>
  <c r="X144" i="22"/>
  <c r="S74" i="22"/>
  <c r="U25" i="23" s="1"/>
  <c r="AM144" i="22"/>
  <c r="AM143" i="22"/>
  <c r="V74" i="22"/>
  <c r="X25" i="23" s="1"/>
  <c r="X22" i="23"/>
  <c r="AK22" i="23"/>
  <c r="W22" i="23"/>
  <c r="U74" i="22"/>
  <c r="W25" i="23" s="1"/>
  <c r="AI74" i="22"/>
  <c r="AK25" i="23" s="1"/>
  <c r="AZ144" i="22"/>
  <c r="AZ145" i="22"/>
  <c r="AG144" i="22"/>
  <c r="AG145" i="22"/>
  <c r="T144" i="22"/>
  <c r="T145" i="22"/>
  <c r="F73" i="22"/>
  <c r="J99" i="16" s="1"/>
  <c r="J100" i="16" s="1"/>
  <c r="AW144" i="22"/>
  <c r="AW145" i="22"/>
  <c r="DN74" i="22"/>
  <c r="DP25" i="23" s="1"/>
  <c r="AY144" i="22"/>
  <c r="AY145" i="22"/>
  <c r="AJ144" i="22"/>
  <c r="AJ145" i="22"/>
  <c r="AK144" i="22"/>
  <c r="AK145" i="22"/>
  <c r="Y143" i="22"/>
  <c r="BC74" i="22"/>
  <c r="BE25" i="23" s="1"/>
  <c r="R144" i="22"/>
  <c r="R145" i="22"/>
  <c r="AH144" i="22"/>
  <c r="AH145" i="22"/>
  <c r="AX143" i="22"/>
  <c r="AX144" i="22"/>
  <c r="AL143" i="22"/>
  <c r="AL144" i="22"/>
  <c r="S143" i="22"/>
  <c r="S144" i="22"/>
  <c r="V143" i="22"/>
  <c r="V144" i="22"/>
  <c r="AZ22" i="23"/>
  <c r="W143" i="22"/>
  <c r="W144" i="22"/>
  <c r="AI143" i="22"/>
  <c r="AI144" i="22"/>
  <c r="U143" i="22"/>
  <c r="U144" i="22"/>
  <c r="AX74" i="22"/>
  <c r="AZ25" i="23" s="1"/>
  <c r="U22" i="23"/>
  <c r="BT22" i="23"/>
  <c r="DL74" i="22"/>
  <c r="DN25" i="23" s="1"/>
  <c r="AI22" i="23"/>
  <c r="AG143" i="22"/>
  <c r="AY22" i="23"/>
  <c r="AW143" i="22"/>
  <c r="AY74" i="22"/>
  <c r="BA25" i="23" s="1"/>
  <c r="AY143" i="22"/>
  <c r="AM22" i="23"/>
  <c r="AK143" i="22"/>
  <c r="T22" i="23"/>
  <c r="R143" i="22"/>
  <c r="AH74" i="22"/>
  <c r="AJ25" i="23" s="1"/>
  <c r="AH143" i="22"/>
  <c r="V22" i="23"/>
  <c r="T143" i="22"/>
  <c r="W74" i="22"/>
  <c r="Y25" i="23" s="1"/>
  <c r="AL22" i="23"/>
  <c r="AJ143" i="22"/>
  <c r="Y22" i="23"/>
  <c r="BB22" i="23"/>
  <c r="AZ143" i="22"/>
  <c r="EE74" i="22"/>
  <c r="EG25" i="23" s="1"/>
  <c r="CX74" i="22"/>
  <c r="CX75" i="22" s="1"/>
  <c r="CZ19" i="23" s="1"/>
  <c r="T74" i="22"/>
  <c r="V25" i="23" s="1"/>
  <c r="EC74" i="22"/>
  <c r="EE25" i="23" s="1"/>
  <c r="J73" i="22"/>
  <c r="O73" i="22" s="1"/>
  <c r="AJ22" i="23"/>
  <c r="AJ74" i="22"/>
  <c r="AL25" i="23" s="1"/>
  <c r="CT74" i="22"/>
  <c r="CV25" i="23" s="1"/>
  <c r="CW74" i="22"/>
  <c r="CY25" i="23" s="1"/>
  <c r="DI74" i="22"/>
  <c r="DK25" i="23" s="1"/>
  <c r="AK74" i="22"/>
  <c r="AM25" i="23" s="1"/>
  <c r="CC74" i="22"/>
  <c r="CE25" i="23" s="1"/>
  <c r="EB74" i="22"/>
  <c r="ED25" i="23" s="1"/>
  <c r="BQ74" i="22"/>
  <c r="BS25" i="23" s="1"/>
  <c r="BO22" i="23"/>
  <c r="BM74" i="22"/>
  <c r="BO25" i="23" s="1"/>
  <c r="AG74" i="22"/>
  <c r="AI25" i="23" s="1"/>
  <c r="D73" i="22"/>
  <c r="E15" i="11" s="1"/>
  <c r="BN74" i="22"/>
  <c r="BN75" i="22" s="1"/>
  <c r="BP19" i="23" s="1"/>
  <c r="CD74" i="22"/>
  <c r="CF25" i="23" s="1"/>
  <c r="BP74" i="22"/>
  <c r="BR25" i="23" s="1"/>
  <c r="CI22" i="23"/>
  <c r="J22" i="23" s="1"/>
  <c r="R74" i="22"/>
  <c r="R75" i="22" s="1"/>
  <c r="R76" i="22" s="1"/>
  <c r="C73" i="22"/>
  <c r="G99" i="16" s="1"/>
  <c r="G100" i="16" s="1"/>
  <c r="AZ74" i="22"/>
  <c r="BB25" i="23" s="1"/>
  <c r="EA74" i="22"/>
  <c r="EC25" i="23" s="1"/>
  <c r="K73" i="22"/>
  <c r="L15" i="11" s="1"/>
  <c r="CE74" i="22"/>
  <c r="CG25" i="23" s="1"/>
  <c r="G73" i="22"/>
  <c r="H15" i="11" s="1"/>
  <c r="BA22" i="23"/>
  <c r="BO74" i="22"/>
  <c r="BQ25" i="23" s="1"/>
  <c r="I73" i="22"/>
  <c r="J15" i="11" s="1"/>
  <c r="H73" i="22"/>
  <c r="I15" i="11" s="1"/>
  <c r="E73" i="22"/>
  <c r="F15" i="11" s="1"/>
  <c r="AW74" i="22"/>
  <c r="AY25" i="23" s="1"/>
  <c r="DK74" i="22"/>
  <c r="DM25" i="23" s="1"/>
  <c r="CS74" i="22"/>
  <c r="CU25" i="23" s="1"/>
  <c r="M73" i="22"/>
  <c r="N15" i="11" s="1"/>
  <c r="L73" i="22"/>
  <c r="P99" i="16" s="1"/>
  <c r="P100" i="16" s="1"/>
  <c r="DZ74" i="22"/>
  <c r="EB25" i="23" s="1"/>
  <c r="Q417" i="23"/>
  <c r="Q420" i="23" s="1"/>
  <c r="P11" i="11"/>
  <c r="D75" i="11"/>
  <c r="E82" i="11"/>
  <c r="EF75" i="22"/>
  <c r="EH19" i="23" s="1"/>
  <c r="EH20" i="23" s="1"/>
  <c r="BD75" i="22"/>
  <c r="BF19" i="23" s="1"/>
  <c r="BF20" i="23" s="1"/>
  <c r="DM75" i="22"/>
  <c r="DO19" i="23" s="1"/>
  <c r="DO20" i="23" s="1"/>
  <c r="CG75" i="22"/>
  <c r="CI19" i="23" s="1"/>
  <c r="CI20" i="23" s="1"/>
  <c r="CH75" i="22"/>
  <c r="CJ19" i="23" s="1"/>
  <c r="CJ20" i="23" s="1"/>
  <c r="EL76" i="22"/>
  <c r="EL77" i="22" s="1"/>
  <c r="DS75" i="22"/>
  <c r="DU19" i="23" s="1"/>
  <c r="DU20" i="23" s="1"/>
  <c r="EQ76" i="22"/>
  <c r="DY75" i="22"/>
  <c r="EA19" i="23" s="1"/>
  <c r="EA20" i="23" s="1"/>
  <c r="EI76" i="22"/>
  <c r="EI77" i="22" s="1"/>
  <c r="M74" i="22"/>
  <c r="N18" i="11" s="1"/>
  <c r="ER76" i="22"/>
  <c r="ER77" i="22" s="1"/>
  <c r="BX75" i="22"/>
  <c r="BZ19" i="23" s="1"/>
  <c r="BZ20" i="23" s="1"/>
  <c r="BS75" i="22"/>
  <c r="BU19" i="23" s="1"/>
  <c r="BU20" i="23" s="1"/>
  <c r="EP76" i="22"/>
  <c r="EP77" i="22" s="1"/>
  <c r="CU75" i="22"/>
  <c r="EK76" i="22"/>
  <c r="EK77" i="22" s="1"/>
  <c r="CV75" i="22"/>
  <c r="CX19" i="23" s="1"/>
  <c r="CX20" i="23" s="1"/>
  <c r="EJ76" i="22"/>
  <c r="EJ77" i="22" s="1"/>
  <c r="BG75" i="22"/>
  <c r="AF75" i="22"/>
  <c r="AH19" i="23" s="1"/>
  <c r="AH20" i="23" s="1"/>
  <c r="AV75" i="22"/>
  <c r="AX19" i="23" s="1"/>
  <c r="AX20" i="23" s="1"/>
  <c r="DF75" i="22"/>
  <c r="CM194" i="23"/>
  <c r="CM179" i="23"/>
  <c r="ES76" i="22"/>
  <c r="ES77" i="22" s="1"/>
  <c r="AD229" i="23"/>
  <c r="CK75" i="22"/>
  <c r="CM19" i="23" s="1"/>
  <c r="DA75" i="22"/>
  <c r="DA76" i="22" s="1"/>
  <c r="DC24" i="23" s="1"/>
  <c r="L22" i="22"/>
  <c r="M19" i="22"/>
  <c r="L34" i="22"/>
  <c r="DX75" i="22"/>
  <c r="EH75" i="22"/>
  <c r="EH76" i="22" s="1"/>
  <c r="DW75" i="22"/>
  <c r="DW76" i="22" s="1"/>
  <c r="DY24" i="23" s="1"/>
  <c r="CM187" i="23"/>
  <c r="CN183" i="23" s="1"/>
  <c r="CG399" i="23"/>
  <c r="CG353" i="23" s="1"/>
  <c r="CG397" i="23"/>
  <c r="CG345" i="23" s="1"/>
  <c r="CG398" i="23"/>
  <c r="CG349" i="23" s="1"/>
  <c r="CM258" i="23"/>
  <c r="CM251" i="23"/>
  <c r="CM253" i="23" s="1"/>
  <c r="CM207" i="23"/>
  <c r="CO348" i="23"/>
  <c r="CP272" i="23"/>
  <c r="CP273" i="23" s="1"/>
  <c r="CQ269" i="23" s="1"/>
  <c r="CO344" i="23"/>
  <c r="EM76" i="22"/>
  <c r="EM77" i="22" s="1"/>
  <c r="M20" i="22"/>
  <c r="M35" i="22" s="1"/>
  <c r="L35" i="22"/>
  <c r="CM163" i="23"/>
  <c r="CM164" i="23" s="1"/>
  <c r="CN160" i="23" s="1"/>
  <c r="EN75" i="22"/>
  <c r="EN76" i="22" s="1"/>
  <c r="EN77" i="22" s="1"/>
  <c r="BR75" i="22"/>
  <c r="BT19" i="23" s="1"/>
  <c r="DH75" i="22"/>
  <c r="DJ19" i="23" s="1"/>
  <c r="DE75" i="22"/>
  <c r="DG19" i="23" s="1"/>
  <c r="BY75" i="22"/>
  <c r="BY76" i="22" s="1"/>
  <c r="CA24" i="23" s="1"/>
  <c r="DC75" i="22"/>
  <c r="BI75" i="22"/>
  <c r="CL342" i="23"/>
  <c r="CL93" i="23"/>
  <c r="CM139" i="23"/>
  <c r="CM140" i="23" s="1"/>
  <c r="AB238" i="23"/>
  <c r="AC234" i="23" s="1"/>
  <c r="CL389" i="23"/>
  <c r="CL356" i="23" s="1"/>
  <c r="CL388" i="23"/>
  <c r="CL352" i="23" s="1"/>
  <c r="CL387" i="23"/>
  <c r="CL343" i="23" s="1"/>
  <c r="DJ76" i="22"/>
  <c r="DJ77" i="22" s="1"/>
  <c r="DX25" i="23"/>
  <c r="DL19" i="23"/>
  <c r="EO75" i="22"/>
  <c r="EO76" i="22" s="1"/>
  <c r="DV75" i="22"/>
  <c r="CH294" i="23"/>
  <c r="CH295" i="23" s="1"/>
  <c r="CI291" i="23" s="1"/>
  <c r="CO357" i="23"/>
  <c r="DL25" i="23"/>
  <c r="BV75" i="22"/>
  <c r="BX19" i="23" s="1"/>
  <c r="K37" i="22"/>
  <c r="CP75" i="22" l="1"/>
  <c r="CP76" i="22" s="1"/>
  <c r="CR24" i="23" s="1"/>
  <c r="AU75" i="22"/>
  <c r="AW19" i="23" s="1"/>
  <c r="AW20" i="23" s="1"/>
  <c r="CB75" i="22"/>
  <c r="CD19" i="23" s="1"/>
  <c r="CD20" i="23" s="1"/>
  <c r="AV152" i="22"/>
  <c r="AX30" i="23" s="1"/>
  <c r="BL75" i="22"/>
  <c r="BN19" i="23" s="1"/>
  <c r="BN20" i="23" s="1"/>
  <c r="CR75" i="22"/>
  <c r="CT19" i="23" s="1"/>
  <c r="CT20" i="23" s="1"/>
  <c r="AU152" i="22"/>
  <c r="AW30" i="23" s="1"/>
  <c r="DD75" i="22"/>
  <c r="DF19" i="23" s="1"/>
  <c r="DU75" i="22"/>
  <c r="DW19" i="23" s="1"/>
  <c r="DW20" i="23" s="1"/>
  <c r="AF152" i="22"/>
  <c r="AH30" i="23" s="1"/>
  <c r="BW75" i="22"/>
  <c r="BY19" i="23" s="1"/>
  <c r="BY20" i="23" s="1"/>
  <c r="AT75" i="22"/>
  <c r="AV19" i="23" s="1"/>
  <c r="AV20" i="23" s="1"/>
  <c r="CA75" i="22"/>
  <c r="CC19" i="23" s="1"/>
  <c r="CC20" i="23" s="1"/>
  <c r="CQ75" i="22"/>
  <c r="CS19" i="23" s="1"/>
  <c r="CS20" i="23" s="1"/>
  <c r="DT75" i="22"/>
  <c r="DV19" i="23" s="1"/>
  <c r="DV20" i="23" s="1"/>
  <c r="AE75" i="22"/>
  <c r="AE76" i="22" s="1"/>
  <c r="AG24" i="23" s="1"/>
  <c r="BJ75" i="22"/>
  <c r="BL19" i="23" s="1"/>
  <c r="BL20" i="23" s="1"/>
  <c r="DG75" i="22"/>
  <c r="DI19" i="23" s="1"/>
  <c r="DI20" i="23" s="1"/>
  <c r="AT152" i="22"/>
  <c r="AV30" i="23" s="1"/>
  <c r="AE152" i="22"/>
  <c r="AG30" i="23" s="1"/>
  <c r="BZ75" i="22"/>
  <c r="BZ76" i="22" s="1"/>
  <c r="CB24" i="23" s="1"/>
  <c r="AR75" i="22"/>
  <c r="AT19" i="23" s="1"/>
  <c r="AT20" i="23" s="1"/>
  <c r="BK75" i="22"/>
  <c r="BM19" i="23" s="1"/>
  <c r="BM20" i="23" s="1"/>
  <c r="AS75" i="22"/>
  <c r="AU19" i="23" s="1"/>
  <c r="AU20" i="23" s="1"/>
  <c r="K22" i="23"/>
  <c r="AD152" i="22"/>
  <c r="AD81" i="22" s="1"/>
  <c r="CO75" i="22"/>
  <c r="CQ19" i="23" s="1"/>
  <c r="CQ20" i="23" s="1"/>
  <c r="AD75" i="22"/>
  <c r="AF19" i="23" s="1"/>
  <c r="CN75" i="22"/>
  <c r="CP19" i="23" s="1"/>
  <c r="AB75" i="22"/>
  <c r="AD19" i="23" s="1"/>
  <c r="AD20" i="23" s="1"/>
  <c r="AR152" i="22"/>
  <c r="AR81" i="22" s="1"/>
  <c r="AB152" i="22"/>
  <c r="AD30" i="23" s="1"/>
  <c r="I22" i="23"/>
  <c r="BH75" i="22"/>
  <c r="BJ19" i="23" s="1"/>
  <c r="BJ20" i="23" s="1"/>
  <c r="AQ152" i="22"/>
  <c r="AS30" i="23" s="1"/>
  <c r="AQ75" i="22"/>
  <c r="AS19" i="23" s="1"/>
  <c r="BD25" i="23"/>
  <c r="H25" i="23" s="1"/>
  <c r="CM75" i="22"/>
  <c r="CO19" i="23" s="1"/>
  <c r="CO20" i="23" s="1"/>
  <c r="N22" i="23"/>
  <c r="AA75" i="22"/>
  <c r="AC19" i="23" s="1"/>
  <c r="AC20" i="23" s="1"/>
  <c r="BB76" i="22"/>
  <c r="BD24" i="23" s="1"/>
  <c r="CL76" i="22"/>
  <c r="CN24" i="23" s="1"/>
  <c r="CN25" i="23"/>
  <c r="K25" i="23" s="1"/>
  <c r="AA152" i="22"/>
  <c r="AA81" i="22" s="1"/>
  <c r="BA75" i="22"/>
  <c r="BC19" i="23" s="1"/>
  <c r="BC20" i="23" s="1"/>
  <c r="AC75" i="22"/>
  <c r="AC76" i="22" s="1"/>
  <c r="AE24" i="23" s="1"/>
  <c r="AS152" i="22"/>
  <c r="AU30" i="23" s="1"/>
  <c r="AR25" i="23"/>
  <c r="G25" i="23" s="1"/>
  <c r="DQ75" i="22"/>
  <c r="DS19" i="23" s="1"/>
  <c r="DS20" i="23" s="1"/>
  <c r="AR19" i="23"/>
  <c r="AR20" i="23" s="1"/>
  <c r="BA152" i="22"/>
  <c r="BC30" i="23" s="1"/>
  <c r="AP77" i="22"/>
  <c r="AR26" i="23" s="1"/>
  <c r="DB75" i="22"/>
  <c r="DD19" i="23" s="1"/>
  <c r="DD20" i="23" s="1"/>
  <c r="DP75" i="22"/>
  <c r="DP76" i="22" s="1"/>
  <c r="DR24" i="23" s="1"/>
  <c r="DR75" i="22"/>
  <c r="DT19" i="23" s="1"/>
  <c r="DT20" i="23" s="1"/>
  <c r="AC152" i="22"/>
  <c r="AC81" i="22" s="1"/>
  <c r="X75" i="22"/>
  <c r="Z19" i="23" s="1"/>
  <c r="Z20" i="23" s="1"/>
  <c r="BF75" i="22"/>
  <c r="BH19" i="23" s="1"/>
  <c r="BE75" i="22"/>
  <c r="BG19" i="23" s="1"/>
  <c r="BG20" i="23" s="1"/>
  <c r="CJ75" i="22"/>
  <c r="CL19" i="23" s="1"/>
  <c r="CL20" i="23" s="1"/>
  <c r="AN75" i="22"/>
  <c r="AP19" i="23" s="1"/>
  <c r="AP20" i="23" s="1"/>
  <c r="EG75" i="22"/>
  <c r="EI19" i="23" s="1"/>
  <c r="EI20" i="23" s="1"/>
  <c r="AO75" i="22"/>
  <c r="AO76" i="22" s="1"/>
  <c r="AQ24" i="23" s="1"/>
  <c r="ED75" i="22"/>
  <c r="ED76" i="22" s="1"/>
  <c r="EF24" i="23" s="1"/>
  <c r="CZ75" i="22"/>
  <c r="DB19" i="23" s="1"/>
  <c r="DB20" i="23" s="1"/>
  <c r="BT75" i="22"/>
  <c r="BV19" i="23" s="1"/>
  <c r="BV20" i="23" s="1"/>
  <c r="AM75" i="22"/>
  <c r="AM76" i="22" s="1"/>
  <c r="AO24" i="23" s="1"/>
  <c r="AP152" i="22"/>
  <c r="AR30" i="23" s="1"/>
  <c r="CY75" i="22"/>
  <c r="DA19" i="23" s="1"/>
  <c r="AL75" i="22"/>
  <c r="AN19" i="23" s="1"/>
  <c r="AN20" i="23" s="1"/>
  <c r="AN152" i="22"/>
  <c r="AP30" i="23" s="1"/>
  <c r="CF75" i="22"/>
  <c r="CH19" i="23" s="1"/>
  <c r="CH20" i="23" s="1"/>
  <c r="CI75" i="22"/>
  <c r="CK19" i="23" s="1"/>
  <c r="CK20" i="23" s="1"/>
  <c r="L22" i="23"/>
  <c r="BU75" i="22"/>
  <c r="BW19" i="23" s="1"/>
  <c r="BW20" i="23" s="1"/>
  <c r="H22" i="23"/>
  <c r="BQ75" i="22"/>
  <c r="BS19" i="23" s="1"/>
  <c r="BS20" i="23" s="1"/>
  <c r="Z75" i="22"/>
  <c r="AB19" i="23" s="1"/>
  <c r="AB20" i="23" s="1"/>
  <c r="AO152" i="22"/>
  <c r="AQ30" i="23" s="1"/>
  <c r="CZ25" i="23"/>
  <c r="L25" i="23" s="1"/>
  <c r="CX76" i="22"/>
  <c r="CX77" i="22" s="1"/>
  <c r="CZ26" i="23" s="1"/>
  <c r="DO75" i="22"/>
  <c r="DQ19" i="23" s="1"/>
  <c r="DQ20" i="23" s="1"/>
  <c r="V75" i="22"/>
  <c r="X19" i="23" s="1"/>
  <c r="X20" i="23" s="1"/>
  <c r="Y152" i="22"/>
  <c r="AA30" i="23" s="1"/>
  <c r="Y75" i="22"/>
  <c r="AA19" i="23" s="1"/>
  <c r="X152" i="22"/>
  <c r="X81" i="22" s="1"/>
  <c r="S75" i="22"/>
  <c r="U19" i="23" s="1"/>
  <c r="U20" i="23" s="1"/>
  <c r="Z152" i="22"/>
  <c r="Z81" i="22" s="1"/>
  <c r="DL75" i="22"/>
  <c r="DN19" i="23" s="1"/>
  <c r="DN20" i="23" s="1"/>
  <c r="U75" i="22"/>
  <c r="W19" i="23" s="1"/>
  <c r="W20" i="23" s="1"/>
  <c r="AY75" i="22"/>
  <c r="AY76" i="22" s="1"/>
  <c r="BA24" i="23" s="1"/>
  <c r="EB75" i="22"/>
  <c r="EB76" i="22" s="1"/>
  <c r="ED24" i="23" s="1"/>
  <c r="AU81" i="22"/>
  <c r="AI75" i="22"/>
  <c r="AK19" i="23" s="1"/>
  <c r="AK20" i="23" s="1"/>
  <c r="AZ152" i="22"/>
  <c r="BB30" i="23" s="1"/>
  <c r="BC75" i="22"/>
  <c r="BE19" i="23" s="1"/>
  <c r="BE20" i="23" s="1"/>
  <c r="EC75" i="22"/>
  <c r="EE19" i="23" s="1"/>
  <c r="EE20" i="23" s="1"/>
  <c r="AM152" i="22"/>
  <c r="AO30" i="23" s="1"/>
  <c r="C145" i="22"/>
  <c r="J26" i="18" s="1"/>
  <c r="K26" i="18" s="1"/>
  <c r="L26" i="18" s="1"/>
  <c r="M26" i="18" s="1"/>
  <c r="K15" i="11"/>
  <c r="N99" i="16"/>
  <c r="N100" i="16" s="1"/>
  <c r="G15" i="11"/>
  <c r="AH152" i="22"/>
  <c r="AH81" i="22" s="1"/>
  <c r="AH75" i="22"/>
  <c r="AJ19" i="23" s="1"/>
  <c r="EE75" i="22"/>
  <c r="EG19" i="23" s="1"/>
  <c r="EG20" i="23" s="1"/>
  <c r="DN75" i="22"/>
  <c r="DP19" i="23" s="1"/>
  <c r="DP20" i="23" s="1"/>
  <c r="T152" i="22"/>
  <c r="T81" i="22" s="1"/>
  <c r="AI152" i="22"/>
  <c r="AI81" i="22" s="1"/>
  <c r="AW75" i="22"/>
  <c r="AY19" i="23" s="1"/>
  <c r="AY20" i="23" s="1"/>
  <c r="E144" i="22"/>
  <c r="W152" i="22"/>
  <c r="W81" i="22" s="1"/>
  <c r="W75" i="22"/>
  <c r="Y19" i="23" s="1"/>
  <c r="Y20" i="23" s="1"/>
  <c r="E145" i="22"/>
  <c r="AK152" i="22"/>
  <c r="AK81" i="22" s="1"/>
  <c r="D145" i="22"/>
  <c r="AY152" i="22"/>
  <c r="AY81" i="22" s="1"/>
  <c r="AJ152" i="22"/>
  <c r="AJ81" i="22" s="1"/>
  <c r="U152" i="22"/>
  <c r="F74" i="22"/>
  <c r="G18" i="11" s="1"/>
  <c r="V152" i="22"/>
  <c r="X30" i="23" s="1"/>
  <c r="D144" i="22"/>
  <c r="AL152" i="22"/>
  <c r="AX75" i="22"/>
  <c r="AZ19" i="23" s="1"/>
  <c r="AZ20" i="23" s="1"/>
  <c r="C144" i="22"/>
  <c r="J25" i="18" s="1"/>
  <c r="BM75" i="22"/>
  <c r="BO19" i="23" s="1"/>
  <c r="BO20" i="23" s="1"/>
  <c r="E22" i="23"/>
  <c r="F22" i="23"/>
  <c r="DI75" i="22"/>
  <c r="DK19" i="23" s="1"/>
  <c r="DK20" i="23" s="1"/>
  <c r="S152" i="22"/>
  <c r="J74" i="22"/>
  <c r="K18" i="11" s="1"/>
  <c r="AX152" i="22"/>
  <c r="AJ75" i="22"/>
  <c r="AJ76" i="22" s="1"/>
  <c r="AL24" i="23" s="1"/>
  <c r="J16" i="18"/>
  <c r="K16" i="18" s="1"/>
  <c r="L16" i="18" s="1"/>
  <c r="M16" i="18" s="1"/>
  <c r="T75" i="22"/>
  <c r="V19" i="23" s="1"/>
  <c r="V20" i="23" s="1"/>
  <c r="R152" i="22"/>
  <c r="C143" i="22"/>
  <c r="J24" i="18" s="1"/>
  <c r="EA75" i="22"/>
  <c r="EC19" i="23" s="1"/>
  <c r="EC20" i="23" s="1"/>
  <c r="AW152" i="22"/>
  <c r="E143" i="22"/>
  <c r="G22" i="23"/>
  <c r="AG152" i="22"/>
  <c r="D143" i="22"/>
  <c r="F25" i="23"/>
  <c r="AK75" i="22"/>
  <c r="AM19" i="23" s="1"/>
  <c r="AM20" i="23" s="1"/>
  <c r="CT75" i="22"/>
  <c r="CV19" i="23" s="1"/>
  <c r="CV20" i="23" s="1"/>
  <c r="CC75" i="22"/>
  <c r="CE19" i="23" s="1"/>
  <c r="CE20" i="23" s="1"/>
  <c r="CW75" i="22"/>
  <c r="CY19" i="23" s="1"/>
  <c r="CY20" i="23" s="1"/>
  <c r="AG75" i="22"/>
  <c r="AI19" i="23" s="1"/>
  <c r="AI20" i="23" s="1"/>
  <c r="K74" i="22"/>
  <c r="L18" i="11" s="1"/>
  <c r="L90" i="11" s="1"/>
  <c r="CD75" i="22"/>
  <c r="CF19" i="23" s="1"/>
  <c r="M25" i="23"/>
  <c r="DK75" i="22"/>
  <c r="DM19" i="23" s="1"/>
  <c r="DM20" i="23" s="1"/>
  <c r="D74" i="22"/>
  <c r="E18" i="11" s="1"/>
  <c r="E90" i="11" s="1"/>
  <c r="L99" i="16"/>
  <c r="L100" i="16" s="1"/>
  <c r="BN76" i="22"/>
  <c r="BN77" i="22" s="1"/>
  <c r="BP26" i="23" s="1"/>
  <c r="H99" i="16"/>
  <c r="H100" i="16" s="1"/>
  <c r="BP25" i="23"/>
  <c r="I25" i="23" s="1"/>
  <c r="D15" i="11"/>
  <c r="K13" i="10"/>
  <c r="L13" i="10" s="1"/>
  <c r="T13" i="9"/>
  <c r="U13" i="9" s="1"/>
  <c r="C74" i="22"/>
  <c r="K15" i="10" s="1"/>
  <c r="M15" i="11"/>
  <c r="T25" i="23"/>
  <c r="E25" i="23" s="1"/>
  <c r="L74" i="22"/>
  <c r="M18" i="11" s="1"/>
  <c r="N25" i="23"/>
  <c r="AZ75" i="22"/>
  <c r="BB19" i="23" s="1"/>
  <c r="BB20" i="23" s="1"/>
  <c r="H74" i="22"/>
  <c r="I18" i="11" s="1"/>
  <c r="I90" i="11" s="1"/>
  <c r="J25" i="23"/>
  <c r="CE75" i="22"/>
  <c r="CG19" i="23" s="1"/>
  <c r="CG20" i="23" s="1"/>
  <c r="K99" i="16"/>
  <c r="K100" i="16" s="1"/>
  <c r="AU76" i="22"/>
  <c r="AW24" i="23" s="1"/>
  <c r="O99" i="16"/>
  <c r="O100" i="16" s="1"/>
  <c r="CS75" i="22"/>
  <c r="CU19" i="23" s="1"/>
  <c r="CU20" i="23" s="1"/>
  <c r="G74" i="22"/>
  <c r="H18" i="11" s="1"/>
  <c r="H90" i="11" s="1"/>
  <c r="EF76" i="22"/>
  <c r="EH24" i="23" s="1"/>
  <c r="BP75" i="22"/>
  <c r="BR19" i="23" s="1"/>
  <c r="I74" i="22"/>
  <c r="J18" i="11" s="1"/>
  <c r="J90" i="11" s="1"/>
  <c r="I99" i="16"/>
  <c r="I100" i="16" s="1"/>
  <c r="BO75" i="22"/>
  <c r="BO76" i="22" s="1"/>
  <c r="BQ24" i="23" s="1"/>
  <c r="Q99" i="16"/>
  <c r="Q100" i="16" s="1"/>
  <c r="E74" i="22"/>
  <c r="F18" i="11" s="1"/>
  <c r="F90" i="11" s="1"/>
  <c r="DZ75" i="22"/>
  <c r="EB19" i="23" s="1"/>
  <c r="EB20" i="23" s="1"/>
  <c r="M99" i="16"/>
  <c r="M100" i="16" s="1"/>
  <c r="CR76" i="22"/>
  <c r="CR77" i="22" s="1"/>
  <c r="CT26" i="23" s="1"/>
  <c r="E432" i="23"/>
  <c r="F432" i="23"/>
  <c r="G432" i="23"/>
  <c r="H432" i="23"/>
  <c r="I432" i="23"/>
  <c r="J432" i="23"/>
  <c r="K432" i="23"/>
  <c r="L432" i="23"/>
  <c r="M432" i="23"/>
  <c r="N432" i="23"/>
  <c r="CK76" i="22"/>
  <c r="CM24" i="23" s="1"/>
  <c r="DY76" i="22"/>
  <c r="EA24" i="23" s="1"/>
  <c r="BD76" i="22"/>
  <c r="BF24" i="23" s="1"/>
  <c r="CB76" i="22"/>
  <c r="CD24" i="23" s="1"/>
  <c r="DS76" i="22"/>
  <c r="DS77" i="22" s="1"/>
  <c r="DU26" i="23" s="1"/>
  <c r="BL76" i="22"/>
  <c r="BN24" i="23" s="1"/>
  <c r="CG76" i="22"/>
  <c r="CI24" i="23" s="1"/>
  <c r="N90" i="11"/>
  <c r="CV76" i="22"/>
  <c r="CX24" i="23" s="1"/>
  <c r="DU76" i="22"/>
  <c r="DW24" i="23" s="1"/>
  <c r="BS76" i="22"/>
  <c r="BU24" i="23" s="1"/>
  <c r="BX76" i="22"/>
  <c r="DM76" i="22"/>
  <c r="CH76" i="22"/>
  <c r="AF76" i="22"/>
  <c r="AH24" i="23" s="1"/>
  <c r="EQ77" i="22"/>
  <c r="AV76" i="22"/>
  <c r="AX24" i="23" s="1"/>
  <c r="CM141" i="23"/>
  <c r="CN137" i="23" s="1"/>
  <c r="CN139" i="23" s="1"/>
  <c r="DE76" i="22"/>
  <c r="DG24" i="23" s="1"/>
  <c r="AD230" i="23"/>
  <c r="AD231" i="23" s="1"/>
  <c r="AE227" i="23" s="1"/>
  <c r="AE229" i="23" s="1"/>
  <c r="DH19" i="23"/>
  <c r="DF76" i="22"/>
  <c r="DH24" i="23" s="1"/>
  <c r="CW19" i="23"/>
  <c r="CW20" i="23" s="1"/>
  <c r="CU76" i="22"/>
  <c r="CW24" i="23" s="1"/>
  <c r="BI19" i="23"/>
  <c r="BG76" i="22"/>
  <c r="BI24" i="23" s="1"/>
  <c r="DL26" i="23"/>
  <c r="CI293" i="23"/>
  <c r="CQ271" i="23"/>
  <c r="CN162" i="23"/>
  <c r="CN163" i="23" s="1"/>
  <c r="DZ19" i="23"/>
  <c r="CN185" i="23"/>
  <c r="EO77" i="22"/>
  <c r="BK19" i="23"/>
  <c r="BI76" i="22"/>
  <c r="BK24" i="23" s="1"/>
  <c r="CA19" i="23"/>
  <c r="BY77" i="22"/>
  <c r="CR19" i="23"/>
  <c r="L37" i="22"/>
  <c r="DH76" i="22"/>
  <c r="R77" i="22"/>
  <c r="DY19" i="23"/>
  <c r="M75" i="22"/>
  <c r="M22" i="22"/>
  <c r="M34" i="22"/>
  <c r="M37" i="22" s="1"/>
  <c r="BT20" i="23"/>
  <c r="AC236" i="23"/>
  <c r="DE19" i="23"/>
  <c r="DC76" i="22"/>
  <c r="T24" i="23"/>
  <c r="BV76" i="22"/>
  <c r="Q22" i="23"/>
  <c r="P15" i="11"/>
  <c r="CM208" i="23"/>
  <c r="CM209" i="23" s="1"/>
  <c r="CN205" i="23" s="1"/>
  <c r="EH77" i="22"/>
  <c r="BX20" i="23"/>
  <c r="BP20" i="23"/>
  <c r="M76" i="22"/>
  <c r="N17" i="11" s="1"/>
  <c r="BR76" i="22"/>
  <c r="BT24" i="23" s="1"/>
  <c r="CH396" i="23"/>
  <c r="CH302" i="23"/>
  <c r="CH355" i="23"/>
  <c r="CH94" i="23"/>
  <c r="DG20" i="23"/>
  <c r="T19" i="23"/>
  <c r="DL20" i="23"/>
  <c r="CM384" i="23"/>
  <c r="CM148" i="23"/>
  <c r="CM133" i="23"/>
  <c r="CN20" i="23"/>
  <c r="CP77" i="22"/>
  <c r="CR26" i="23" s="1"/>
  <c r="DW77" i="22"/>
  <c r="DY26" i="23" s="1"/>
  <c r="DX19" i="23"/>
  <c r="DV76" i="22"/>
  <c r="DL24" i="23"/>
  <c r="DJ20" i="23"/>
  <c r="CM171" i="23"/>
  <c r="CM156" i="23"/>
  <c r="CP280" i="23"/>
  <c r="CP391" i="23"/>
  <c r="CP351" i="23"/>
  <c r="DX76" i="22"/>
  <c r="DC19" i="23"/>
  <c r="DA77" i="22"/>
  <c r="DC26" i="23" s="1"/>
  <c r="CM20" i="23"/>
  <c r="CZ20" i="23"/>
  <c r="BD20" i="23"/>
  <c r="DD76" i="22" l="1"/>
  <c r="AV81" i="22"/>
  <c r="AT76" i="22"/>
  <c r="AV24" i="23" s="1"/>
  <c r="BW76" i="22"/>
  <c r="BY24" i="23" s="1"/>
  <c r="AF81" i="22"/>
  <c r="CA76" i="22"/>
  <c r="CC24" i="23" s="1"/>
  <c r="BJ76" i="22"/>
  <c r="BL24" i="23" s="1"/>
  <c r="DG76" i="22"/>
  <c r="DI24" i="23" s="1"/>
  <c r="AG19" i="23"/>
  <c r="CQ76" i="22"/>
  <c r="CS24" i="23" s="1"/>
  <c r="AT81" i="22"/>
  <c r="DT76" i="22"/>
  <c r="DT77" i="22" s="1"/>
  <c r="DV26" i="23" s="1"/>
  <c r="AE81" i="22"/>
  <c r="BZ77" i="22"/>
  <c r="CB26" i="23" s="1"/>
  <c r="CB19" i="23"/>
  <c r="CB20" i="23" s="1"/>
  <c r="AR76" i="22"/>
  <c r="AT24" i="23" s="1"/>
  <c r="BK76" i="22"/>
  <c r="BM24" i="23" s="1"/>
  <c r="BB77" i="22"/>
  <c r="BD26" i="23" s="1"/>
  <c r="BD27" i="23" s="1"/>
  <c r="AS76" i="22"/>
  <c r="AU24" i="23" s="1"/>
  <c r="AF30" i="23"/>
  <c r="CN76" i="22"/>
  <c r="CN77" i="22" s="1"/>
  <c r="CP26" i="23" s="1"/>
  <c r="AD76" i="22"/>
  <c r="AD77" i="22" s="1"/>
  <c r="AF26" i="23" s="1"/>
  <c r="CO76" i="22"/>
  <c r="CQ24" i="23" s="1"/>
  <c r="AT30" i="23"/>
  <c r="AB76" i="22"/>
  <c r="AB77" i="22" s="1"/>
  <c r="AD26" i="23" s="1"/>
  <c r="AC30" i="23"/>
  <c r="AB81" i="22"/>
  <c r="BH76" i="22"/>
  <c r="BJ24" i="23" s="1"/>
  <c r="AQ81" i="22"/>
  <c r="CM76" i="22"/>
  <c r="CO24" i="23" s="1"/>
  <c r="DR19" i="23"/>
  <c r="DR20" i="23" s="1"/>
  <c r="AA76" i="22"/>
  <c r="AC24" i="23" s="1"/>
  <c r="AQ76" i="22"/>
  <c r="AS24" i="23" s="1"/>
  <c r="CL77" i="22"/>
  <c r="CN26" i="23" s="1"/>
  <c r="CN27" i="23" s="1"/>
  <c r="AE19" i="23"/>
  <c r="AE20" i="23" s="1"/>
  <c r="BA76" i="22"/>
  <c r="BC24" i="23" s="1"/>
  <c r="EF19" i="23"/>
  <c r="EF20" i="23" s="1"/>
  <c r="CZ76" i="22"/>
  <c r="DB24" i="23" s="1"/>
  <c r="BT76" i="22"/>
  <c r="BV24" i="23" s="1"/>
  <c r="DQ76" i="22"/>
  <c r="DS24" i="23" s="1"/>
  <c r="ED77" i="22"/>
  <c r="EF26" i="23" s="1"/>
  <c r="DR76" i="22"/>
  <c r="DR77" i="22" s="1"/>
  <c r="AS81" i="22"/>
  <c r="AL76" i="22"/>
  <c r="AN24" i="23" s="1"/>
  <c r="CY76" i="22"/>
  <c r="DA24" i="23" s="1"/>
  <c r="DB76" i="22"/>
  <c r="DD24" i="23" s="1"/>
  <c r="AE30" i="23"/>
  <c r="X76" i="22"/>
  <c r="Z24" i="23" s="1"/>
  <c r="BE76" i="22"/>
  <c r="BG24" i="23" s="1"/>
  <c r="BA81" i="22"/>
  <c r="AM77" i="22"/>
  <c r="AO26" i="23" s="1"/>
  <c r="AO19" i="23"/>
  <c r="AO20" i="23" s="1"/>
  <c r="AN76" i="22"/>
  <c r="AP24" i="23" s="1"/>
  <c r="CJ76" i="22"/>
  <c r="CL24" i="23" s="1"/>
  <c r="BF76" i="22"/>
  <c r="BH24" i="23" s="1"/>
  <c r="EG76" i="22"/>
  <c r="EI24" i="23" s="1"/>
  <c r="AO77" i="22"/>
  <c r="AQ26" i="23" s="1"/>
  <c r="AQ19" i="23"/>
  <c r="AQ20" i="23" s="1"/>
  <c r="S76" i="22"/>
  <c r="U24" i="23" s="1"/>
  <c r="CI76" i="22"/>
  <c r="CI77" i="22" s="1"/>
  <c r="CK26" i="23" s="1"/>
  <c r="CF76" i="22"/>
  <c r="CH24" i="23" s="1"/>
  <c r="BQ76" i="22"/>
  <c r="BQ77" i="22" s="1"/>
  <c r="BS26" i="23" s="1"/>
  <c r="CZ24" i="23"/>
  <c r="CZ27" i="23" s="1"/>
  <c r="BU76" i="22"/>
  <c r="BW24" i="23" s="1"/>
  <c r="AP81" i="22"/>
  <c r="BC76" i="22"/>
  <c r="BC77" i="22" s="1"/>
  <c r="BE26" i="23" s="1"/>
  <c r="AN81" i="22"/>
  <c r="V76" i="22"/>
  <c r="X24" i="23" s="1"/>
  <c r="AO81" i="22"/>
  <c r="Y76" i="22"/>
  <c r="AA24" i="23" s="1"/>
  <c r="Z76" i="22"/>
  <c r="AB24" i="23" s="1"/>
  <c r="Y81" i="22"/>
  <c r="AB30" i="23"/>
  <c r="DO76" i="22"/>
  <c r="DQ24" i="23" s="1"/>
  <c r="U76" i="22"/>
  <c r="W24" i="23" s="1"/>
  <c r="EB77" i="22"/>
  <c r="ED26" i="23" s="1"/>
  <c r="ED19" i="23"/>
  <c r="ED20" i="23" s="1"/>
  <c r="AY77" i="22"/>
  <c r="BA26" i="23" s="1"/>
  <c r="BA19" i="23"/>
  <c r="BA20" i="23" s="1"/>
  <c r="F75" i="22"/>
  <c r="G12" i="11" s="1"/>
  <c r="AH76" i="22"/>
  <c r="AJ24" i="23" s="1"/>
  <c r="EA76" i="22"/>
  <c r="EC24" i="23" s="1"/>
  <c r="BM76" i="22"/>
  <c r="BO24" i="23" s="1"/>
  <c r="DK76" i="22"/>
  <c r="DM24" i="23" s="1"/>
  <c r="DL76" i="22"/>
  <c r="DN24" i="23" s="1"/>
  <c r="AI76" i="22"/>
  <c r="AI77" i="22" s="1"/>
  <c r="AK26" i="23" s="1"/>
  <c r="EC76" i="22"/>
  <c r="EE24" i="23" s="1"/>
  <c r="Z30" i="23"/>
  <c r="DI76" i="22"/>
  <c r="DK24" i="23" s="1"/>
  <c r="J75" i="22"/>
  <c r="K12" i="11" s="1"/>
  <c r="EE76" i="22"/>
  <c r="EG24" i="23" s="1"/>
  <c r="K90" i="11"/>
  <c r="AK76" i="22"/>
  <c r="AK77" i="22" s="1"/>
  <c r="AM26" i="23" s="1"/>
  <c r="AZ81" i="22"/>
  <c r="G90" i="11"/>
  <c r="AM81" i="22"/>
  <c r="J18" i="18"/>
  <c r="K18" i="18" s="1"/>
  <c r="L18" i="18" s="1"/>
  <c r="M18" i="18" s="1"/>
  <c r="AJ30" i="23"/>
  <c r="DN76" i="22"/>
  <c r="DP24" i="23" s="1"/>
  <c r="K75" i="22"/>
  <c r="L12" i="11" s="1"/>
  <c r="L13" i="11" s="1"/>
  <c r="V30" i="23"/>
  <c r="AW76" i="22"/>
  <c r="AY24" i="23" s="1"/>
  <c r="D18" i="11"/>
  <c r="D90" i="11" s="1"/>
  <c r="T15" i="9"/>
  <c r="U15" i="9" s="1"/>
  <c r="AK30" i="23"/>
  <c r="V13" i="9"/>
  <c r="W76" i="22"/>
  <c r="Y24" i="23" s="1"/>
  <c r="O74" i="22"/>
  <c r="P18" i="11" s="1"/>
  <c r="AX76" i="22"/>
  <c r="AZ24" i="23" s="1"/>
  <c r="O22" i="23"/>
  <c r="E152" i="22"/>
  <c r="F23" i="11" s="1"/>
  <c r="AL19" i="23"/>
  <c r="AL20" i="23" s="1"/>
  <c r="BP24" i="23"/>
  <c r="BP27" i="23" s="1"/>
  <c r="AM30" i="23"/>
  <c r="T76" i="22"/>
  <c r="V24" i="23" s="1"/>
  <c r="C75" i="22"/>
  <c r="J13" i="18" s="1"/>
  <c r="BA30" i="23"/>
  <c r="AL30" i="23"/>
  <c r="Y30" i="23"/>
  <c r="W30" i="23"/>
  <c r="U81" i="22"/>
  <c r="V81" i="22"/>
  <c r="D152" i="22"/>
  <c r="E23" i="11" s="1"/>
  <c r="I16" i="18"/>
  <c r="E75" i="22"/>
  <c r="F12" i="11" s="1"/>
  <c r="F13" i="11" s="1"/>
  <c r="CD76" i="22"/>
  <c r="CF24" i="23" s="1"/>
  <c r="AL81" i="22"/>
  <c r="AN30" i="23"/>
  <c r="C152" i="22"/>
  <c r="D23" i="11" s="1"/>
  <c r="AZ76" i="22"/>
  <c r="AZ77" i="22" s="1"/>
  <c r="BB26" i="23" s="1"/>
  <c r="AZ30" i="23"/>
  <c r="AX81" i="22"/>
  <c r="BO77" i="22"/>
  <c r="BQ26" i="23" s="1"/>
  <c r="U30" i="23"/>
  <c r="S81" i="22"/>
  <c r="G75" i="22"/>
  <c r="H12" i="11" s="1"/>
  <c r="H13" i="11" s="1"/>
  <c r="D75" i="22"/>
  <c r="E12" i="11" s="1"/>
  <c r="E13" i="11" s="1"/>
  <c r="CC76" i="22"/>
  <c r="CE24" i="23" s="1"/>
  <c r="AG76" i="22"/>
  <c r="AI24" i="23" s="1"/>
  <c r="CW76" i="22"/>
  <c r="CY24" i="23" s="1"/>
  <c r="AI30" i="23"/>
  <c r="AG81" i="22"/>
  <c r="CT76" i="22"/>
  <c r="CV24" i="23" s="1"/>
  <c r="AY30" i="23"/>
  <c r="AW81" i="22"/>
  <c r="T30" i="23"/>
  <c r="R81" i="22"/>
  <c r="M13" i="10"/>
  <c r="N13" i="10"/>
  <c r="M90" i="11"/>
  <c r="CE76" i="22"/>
  <c r="CG24" i="23" s="1"/>
  <c r="H75" i="22"/>
  <c r="I12" i="11" s="1"/>
  <c r="BQ19" i="23"/>
  <c r="I19" i="23" s="1"/>
  <c r="I20" i="23" s="1"/>
  <c r="L75" i="22"/>
  <c r="M12" i="11" s="1"/>
  <c r="M13" i="11" s="1"/>
  <c r="AU77" i="22"/>
  <c r="AW26" i="23" s="1"/>
  <c r="AW27" i="23" s="1"/>
  <c r="EF77" i="22"/>
  <c r="EH26" i="23" s="1"/>
  <c r="EH27" i="23" s="1"/>
  <c r="I75" i="22"/>
  <c r="J12" i="11" s="1"/>
  <c r="BJ77" i="22"/>
  <c r="BL26" i="23" s="1"/>
  <c r="BP76" i="22"/>
  <c r="BR24" i="23" s="1"/>
  <c r="O25" i="23"/>
  <c r="DU24" i="23"/>
  <c r="DU27" i="23" s="1"/>
  <c r="CS76" i="22"/>
  <c r="CT24" i="23"/>
  <c r="CT27" i="23" s="1"/>
  <c r="DZ76" i="22"/>
  <c r="DZ77" i="22" s="1"/>
  <c r="EB26" i="23" s="1"/>
  <c r="DY77" i="22"/>
  <c r="EA26" i="23" s="1"/>
  <c r="EA27" i="23" s="1"/>
  <c r="CK77" i="22"/>
  <c r="CM26" i="23" s="1"/>
  <c r="N433" i="23"/>
  <c r="N435" i="23" s="1"/>
  <c r="N438" i="23" s="1"/>
  <c r="EI432" i="23"/>
  <c r="M433" i="23"/>
  <c r="DW432" i="23"/>
  <c r="L433" i="23"/>
  <c r="DK432" i="23"/>
  <c r="CB77" i="22"/>
  <c r="CD26" i="23" s="1"/>
  <c r="CD27" i="23" s="1"/>
  <c r="K433" i="23"/>
  <c r="CY432" i="23"/>
  <c r="J433" i="23"/>
  <c r="CM432" i="23"/>
  <c r="I433" i="23"/>
  <c r="CA432" i="23"/>
  <c r="H433" i="23"/>
  <c r="BO432" i="23"/>
  <c r="BD77" i="22"/>
  <c r="BF26" i="23" s="1"/>
  <c r="BF27" i="23" s="1"/>
  <c r="G433" i="23"/>
  <c r="BC433" i="23" s="1"/>
  <c r="BC432" i="23"/>
  <c r="F433" i="23"/>
  <c r="AQ432" i="23"/>
  <c r="E433" i="23"/>
  <c r="AE433" i="23" s="1"/>
  <c r="O432" i="23"/>
  <c r="AE432" i="23"/>
  <c r="CG77" i="22"/>
  <c r="CI26" i="23" s="1"/>
  <c r="CI27" i="23" s="1"/>
  <c r="AT77" i="22"/>
  <c r="AV26" i="23" s="1"/>
  <c r="AV27" i="23" s="1"/>
  <c r="BS77" i="22"/>
  <c r="BU26" i="23" s="1"/>
  <c r="CV77" i="22"/>
  <c r="CX26" i="23" s="1"/>
  <c r="BL77" i="22"/>
  <c r="BN26" i="23" s="1"/>
  <c r="BN27" i="23" s="1"/>
  <c r="AF77" i="22"/>
  <c r="AH26" i="23" s="1"/>
  <c r="AH27" i="23" s="1"/>
  <c r="BI77" i="22"/>
  <c r="BK26" i="23" s="1"/>
  <c r="AC77" i="22"/>
  <c r="AE26" i="23" s="1"/>
  <c r="DU77" i="22"/>
  <c r="DW26" i="23" s="1"/>
  <c r="DW27" i="23" s="1"/>
  <c r="DP77" i="22"/>
  <c r="DR26" i="23" s="1"/>
  <c r="DO24" i="23"/>
  <c r="DM77" i="22"/>
  <c r="DO26" i="23" s="1"/>
  <c r="BR20" i="23"/>
  <c r="DE77" i="22"/>
  <c r="DG26" i="23" s="1"/>
  <c r="DG27" i="23" s="1"/>
  <c r="CJ24" i="23"/>
  <c r="CH77" i="22"/>
  <c r="CJ26" i="23" s="1"/>
  <c r="BZ24" i="23"/>
  <c r="BX77" i="22"/>
  <c r="H19" i="23"/>
  <c r="H20" i="23" s="1"/>
  <c r="BW77" i="22"/>
  <c r="AV77" i="22"/>
  <c r="AX26" i="23" s="1"/>
  <c r="AX27" i="23" s="1"/>
  <c r="CI294" i="23"/>
  <c r="CI295" i="23" s="1"/>
  <c r="CJ291" i="23" s="1"/>
  <c r="DF77" i="22"/>
  <c r="BG77" i="22"/>
  <c r="BI26" i="23" s="1"/>
  <c r="DH20" i="23"/>
  <c r="BI20" i="23"/>
  <c r="CU77" i="22"/>
  <c r="CN171" i="23"/>
  <c r="CN156" i="23"/>
  <c r="CN258" i="23"/>
  <c r="CN251" i="23"/>
  <c r="CN253" i="23" s="1"/>
  <c r="CN207" i="23"/>
  <c r="DE20" i="23"/>
  <c r="AS20" i="23"/>
  <c r="DD77" i="22"/>
  <c r="DF26" i="23" s="1"/>
  <c r="CH399" i="23"/>
  <c r="CH353" i="23" s="1"/>
  <c r="CH398" i="23"/>
  <c r="CH349" i="23" s="1"/>
  <c r="CH397" i="23"/>
  <c r="CH345" i="23" s="1"/>
  <c r="CA26" i="23"/>
  <c r="M77" i="22"/>
  <c r="N19" i="11" s="1"/>
  <c r="DF20" i="23"/>
  <c r="CA20" i="23"/>
  <c r="CN186" i="23"/>
  <c r="CN187" i="23" s="1"/>
  <c r="CO183" i="23" s="1"/>
  <c r="AR27" i="23"/>
  <c r="CF20" i="23"/>
  <c r="BH20" i="23"/>
  <c r="DC20" i="23"/>
  <c r="DC27" i="23" s="1"/>
  <c r="DL27" i="23"/>
  <c r="T20" i="23"/>
  <c r="BK20" i="23"/>
  <c r="DZ20" i="23"/>
  <c r="AE230" i="23"/>
  <c r="AE231" i="23" s="1"/>
  <c r="AF227" i="23" s="1"/>
  <c r="AC237" i="23"/>
  <c r="AC238" i="23" s="1"/>
  <c r="AD234" i="23" s="1"/>
  <c r="AJ77" i="22"/>
  <c r="AL26" i="23" s="1"/>
  <c r="CN164" i="23"/>
  <c r="CO160" i="23" s="1"/>
  <c r="CQ272" i="23"/>
  <c r="CQ273" i="23" s="1"/>
  <c r="CR269" i="23" s="1"/>
  <c r="AG20" i="23"/>
  <c r="BX24" i="23"/>
  <c r="BV77" i="22"/>
  <c r="BX26" i="23" s="1"/>
  <c r="DX24" i="23"/>
  <c r="CM216" i="23"/>
  <c r="CM386" i="23"/>
  <c r="CM347" i="23"/>
  <c r="N12" i="11"/>
  <c r="DJ24" i="23"/>
  <c r="DH77" i="22"/>
  <c r="CN140" i="23"/>
  <c r="CN141" i="23" s="1"/>
  <c r="CO137" i="23" s="1"/>
  <c r="L15" i="10"/>
  <c r="N15" i="10"/>
  <c r="M15" i="10"/>
  <c r="DF24" i="23"/>
  <c r="CP20" i="23"/>
  <c r="DV77" i="22"/>
  <c r="K19" i="23"/>
  <c r="AA20" i="23"/>
  <c r="BR77" i="22"/>
  <c r="BT26" i="23" s="1"/>
  <c r="BT27" i="23" s="1"/>
  <c r="AF20" i="23"/>
  <c r="L19" i="23"/>
  <c r="CM342" i="23"/>
  <c r="CM93" i="23"/>
  <c r="DA20" i="23"/>
  <c r="DY20" i="23"/>
  <c r="AJ20" i="23"/>
  <c r="T26" i="23"/>
  <c r="CR20" i="23"/>
  <c r="CR27" i="23" s="1"/>
  <c r="DZ24" i="23"/>
  <c r="DX77" i="22"/>
  <c r="DZ26" i="23" s="1"/>
  <c r="CP393" i="23"/>
  <c r="CP394" i="23"/>
  <c r="CP392" i="23"/>
  <c r="DX20" i="23"/>
  <c r="AE77" i="22"/>
  <c r="AG26" i="23" s="1"/>
  <c r="DE24" i="23"/>
  <c r="DC77" i="22"/>
  <c r="CQ77" i="22" l="1"/>
  <c r="CS26" i="23" s="1"/>
  <c r="CS27" i="23" s="1"/>
  <c r="BL27" i="23"/>
  <c r="DG77" i="22"/>
  <c r="DI26" i="23" s="1"/>
  <c r="DI27" i="23" s="1"/>
  <c r="J19" i="23"/>
  <c r="CA77" i="22"/>
  <c r="DV24" i="23"/>
  <c r="AR77" i="22"/>
  <c r="AT26" i="23" s="1"/>
  <c r="AT27" i="23" s="1"/>
  <c r="AF24" i="23"/>
  <c r="CP24" i="23"/>
  <c r="CP27" i="23" s="1"/>
  <c r="CO77" i="22"/>
  <c r="BK77" i="22"/>
  <c r="BM26" i="23" s="1"/>
  <c r="BM27" i="23" s="1"/>
  <c r="BA77" i="22"/>
  <c r="BC26" i="23" s="1"/>
  <c r="BC27" i="23" s="1"/>
  <c r="AS77" i="22"/>
  <c r="AU26" i="23" s="1"/>
  <c r="AU27" i="23" s="1"/>
  <c r="AD24" i="23"/>
  <c r="AD27" i="23" s="1"/>
  <c r="BH77" i="22"/>
  <c r="BJ26" i="23" s="1"/>
  <c r="BJ27" i="23" s="1"/>
  <c r="AA77" i="22"/>
  <c r="AC26" i="23" s="1"/>
  <c r="AC27" i="23" s="1"/>
  <c r="CM77" i="22"/>
  <c r="CO26" i="23" s="1"/>
  <c r="CO27" i="23" s="1"/>
  <c r="E19" i="23"/>
  <c r="E20" i="23" s="1"/>
  <c r="AQ77" i="22"/>
  <c r="AS26" i="23" s="1"/>
  <c r="M19" i="23"/>
  <c r="M20" i="23" s="1"/>
  <c r="BT77" i="22"/>
  <c r="BV26" i="23" s="1"/>
  <c r="BV27" i="23" s="1"/>
  <c r="DQ77" i="22"/>
  <c r="DS26" i="23" s="1"/>
  <c r="DS27" i="23" s="1"/>
  <c r="DT24" i="23"/>
  <c r="CY77" i="22"/>
  <c r="DA26" i="23" s="1"/>
  <c r="DA27" i="23" s="1"/>
  <c r="BS24" i="23"/>
  <c r="BS27" i="23" s="1"/>
  <c r="DB77" i="22"/>
  <c r="DD26" i="23" s="1"/>
  <c r="DD27" i="23" s="1"/>
  <c r="CZ77" i="22"/>
  <c r="DB26" i="23" s="1"/>
  <c r="DB27" i="23" s="1"/>
  <c r="AL77" i="22"/>
  <c r="AN26" i="23" s="1"/>
  <c r="AN27" i="23" s="1"/>
  <c r="BE77" i="22"/>
  <c r="BG26" i="23" s="1"/>
  <c r="X77" i="22"/>
  <c r="Z26" i="23" s="1"/>
  <c r="Z27" i="23" s="1"/>
  <c r="BE24" i="23"/>
  <c r="BE27" i="23" s="1"/>
  <c r="AN77" i="22"/>
  <c r="AP26" i="23" s="1"/>
  <c r="AP27" i="23" s="1"/>
  <c r="CJ77" i="22"/>
  <c r="CL26" i="23" s="1"/>
  <c r="CL27" i="23" s="1"/>
  <c r="S77" i="22"/>
  <c r="U26" i="23" s="1"/>
  <c r="U27" i="23" s="1"/>
  <c r="BF77" i="22"/>
  <c r="BH26" i="23" s="1"/>
  <c r="BH27" i="23" s="1"/>
  <c r="EG77" i="22"/>
  <c r="EI26" i="23" s="1"/>
  <c r="EI27" i="23" s="1"/>
  <c r="CF77" i="22"/>
  <c r="CH26" i="23" s="1"/>
  <c r="CH27" i="23" s="1"/>
  <c r="BU77" i="22"/>
  <c r="BW26" i="23" s="1"/>
  <c r="BW27" i="23" s="1"/>
  <c r="G19" i="23"/>
  <c r="G20" i="23" s="1"/>
  <c r="CK24" i="23"/>
  <c r="CK27" i="23" s="1"/>
  <c r="DK77" i="22"/>
  <c r="DM26" i="23" s="1"/>
  <c r="V77" i="22"/>
  <c r="X26" i="23" s="1"/>
  <c r="X27" i="23" s="1"/>
  <c r="DO77" i="22"/>
  <c r="DQ26" i="23" s="1"/>
  <c r="DQ27" i="23" s="1"/>
  <c r="Y77" i="22"/>
  <c r="AA26" i="23" s="1"/>
  <c r="AA27" i="23" s="1"/>
  <c r="Z77" i="22"/>
  <c r="AB26" i="23" s="1"/>
  <c r="AB27" i="23" s="1"/>
  <c r="Q25" i="23"/>
  <c r="N19" i="23"/>
  <c r="N20" i="23" s="1"/>
  <c r="AM24" i="23"/>
  <c r="AM27" i="23" s="1"/>
  <c r="EA77" i="22"/>
  <c r="EC26" i="23" s="1"/>
  <c r="EC27" i="23" s="1"/>
  <c r="DL77" i="22"/>
  <c r="DN26" i="23" s="1"/>
  <c r="DN27" i="23" s="1"/>
  <c r="F76" i="22"/>
  <c r="G17" i="11" s="1"/>
  <c r="BA27" i="23"/>
  <c r="F19" i="23"/>
  <c r="F20" i="23" s="1"/>
  <c r="I18" i="18"/>
  <c r="AH77" i="22"/>
  <c r="AJ26" i="23" s="1"/>
  <c r="BB24" i="23"/>
  <c r="BB27" i="23" s="1"/>
  <c r="ED27" i="23"/>
  <c r="T77" i="22"/>
  <c r="V26" i="23" s="1"/>
  <c r="BM77" i="22"/>
  <c r="BO26" i="23" s="1"/>
  <c r="BO27" i="23" s="1"/>
  <c r="U77" i="22"/>
  <c r="W26" i="23" s="1"/>
  <c r="W27" i="23" s="1"/>
  <c r="AK24" i="23"/>
  <c r="EC77" i="22"/>
  <c r="EE26" i="23" s="1"/>
  <c r="EE27" i="23" s="1"/>
  <c r="EE77" i="22"/>
  <c r="EG26" i="23" s="1"/>
  <c r="EG27" i="23" s="1"/>
  <c r="V15" i="9"/>
  <c r="DI77" i="22"/>
  <c r="DK26" i="23" s="1"/>
  <c r="DK27" i="23" s="1"/>
  <c r="O75" i="22"/>
  <c r="Q19" i="23" s="1"/>
  <c r="J76" i="22"/>
  <c r="K17" i="11" s="1"/>
  <c r="DN77" i="22"/>
  <c r="DP26" i="23" s="1"/>
  <c r="DP27" i="23" s="1"/>
  <c r="K76" i="22"/>
  <c r="L17" i="11" s="1"/>
  <c r="L76" i="11" s="1"/>
  <c r="W77" i="22"/>
  <c r="Y26" i="23" s="1"/>
  <c r="Y27" i="23" s="1"/>
  <c r="C76" i="22"/>
  <c r="J17" i="18" s="1"/>
  <c r="I17" i="18" s="1"/>
  <c r="BQ20" i="23"/>
  <c r="BQ27" i="23" s="1"/>
  <c r="E76" i="22"/>
  <c r="F17" i="11" s="1"/>
  <c r="AX77" i="22"/>
  <c r="AZ26" i="23" s="1"/>
  <c r="AZ27" i="23" s="1"/>
  <c r="AW77" i="22"/>
  <c r="AY26" i="23" s="1"/>
  <c r="AY27" i="23" s="1"/>
  <c r="D12" i="11"/>
  <c r="D13" i="11" s="1"/>
  <c r="T10" i="9"/>
  <c r="U10" i="9" s="1"/>
  <c r="K10" i="10"/>
  <c r="L10" i="10" s="1"/>
  <c r="CE77" i="22"/>
  <c r="CG26" i="23" s="1"/>
  <c r="CG27" i="23" s="1"/>
  <c r="H76" i="22"/>
  <c r="I17" i="11" s="1"/>
  <c r="CW77" i="22"/>
  <c r="CY26" i="23" s="1"/>
  <c r="CY27" i="23" s="1"/>
  <c r="CT77" i="22"/>
  <c r="CV26" i="23" s="1"/>
  <c r="CV27" i="23" s="1"/>
  <c r="K25" i="18"/>
  <c r="E81" i="22"/>
  <c r="CD77" i="22"/>
  <c r="CF26" i="23" s="1"/>
  <c r="CF27" i="23" s="1"/>
  <c r="BP77" i="22"/>
  <c r="BR26" i="23" s="1"/>
  <c r="BR27" i="23" s="1"/>
  <c r="G76" i="22"/>
  <c r="H17" i="11" s="1"/>
  <c r="H76" i="11" s="1"/>
  <c r="D76" i="22"/>
  <c r="E17" i="11" s="1"/>
  <c r="E76" i="11" s="1"/>
  <c r="CC77" i="22"/>
  <c r="CE26" i="23" s="1"/>
  <c r="CE27" i="23" s="1"/>
  <c r="D81" i="22"/>
  <c r="AG77" i="22"/>
  <c r="AI26" i="23" s="1"/>
  <c r="AI27" i="23" s="1"/>
  <c r="C81" i="22"/>
  <c r="T22" i="9" s="1"/>
  <c r="I76" i="22"/>
  <c r="J17" i="11" s="1"/>
  <c r="E30" i="23"/>
  <c r="G30" i="23"/>
  <c r="F30" i="23"/>
  <c r="CS77" i="22"/>
  <c r="CU24" i="23"/>
  <c r="L76" i="22"/>
  <c r="M17" i="11" s="1"/>
  <c r="M76" i="11" s="1"/>
  <c r="EB24" i="23"/>
  <c r="EB27" i="23" s="1"/>
  <c r="G435" i="23"/>
  <c r="G438" i="23" s="1"/>
  <c r="J435" i="23"/>
  <c r="J438" i="23" s="1"/>
  <c r="CM433" i="23"/>
  <c r="CM435" i="23" s="1"/>
  <c r="CM438" i="23" s="1"/>
  <c r="F435" i="23"/>
  <c r="F438" i="23" s="1"/>
  <c r="AQ433" i="23"/>
  <c r="AQ435" i="23" s="1"/>
  <c r="K435" i="23"/>
  <c r="K438" i="23" s="1"/>
  <c r="CY433" i="23"/>
  <c r="CY435" i="23" s="1"/>
  <c r="BC435" i="23"/>
  <c r="BC438" i="23" s="1"/>
  <c r="L435" i="23"/>
  <c r="L438" i="23" s="1"/>
  <c r="DK433" i="23"/>
  <c r="DK435" i="23" s="1"/>
  <c r="H435" i="23"/>
  <c r="H438" i="23" s="1"/>
  <c r="BO433" i="23"/>
  <c r="BO435" i="23" s="1"/>
  <c r="M435" i="23"/>
  <c r="M438" i="23" s="1"/>
  <c r="DW433" i="23"/>
  <c r="DW435" i="23" s="1"/>
  <c r="AE435" i="23"/>
  <c r="AE438" i="23" s="1"/>
  <c r="BB9" i="25"/>
  <c r="I435" i="23"/>
  <c r="I438" i="23" s="1"/>
  <c r="CA433" i="23"/>
  <c r="CA435" i="23" s="1"/>
  <c r="E435" i="23"/>
  <c r="E438" i="23" s="1"/>
  <c r="O433" i="23"/>
  <c r="O435" i="23" s="1"/>
  <c r="EI433" i="23"/>
  <c r="EI435" i="23" s="1"/>
  <c r="DR27" i="23"/>
  <c r="CC26" i="23"/>
  <c r="BK27" i="23"/>
  <c r="AE27" i="23"/>
  <c r="CQ26" i="23"/>
  <c r="CQ27" i="23" s="1"/>
  <c r="DV27" i="23"/>
  <c r="L24" i="23"/>
  <c r="AL27" i="23"/>
  <c r="CJ27" i="23"/>
  <c r="BZ26" i="23"/>
  <c r="BZ27" i="23" s="1"/>
  <c r="DO27" i="23"/>
  <c r="BY26" i="23"/>
  <c r="BY27" i="23" s="1"/>
  <c r="DT26" i="23"/>
  <c r="CI94" i="23"/>
  <c r="BI27" i="23"/>
  <c r="CI355" i="23"/>
  <c r="CI302" i="23"/>
  <c r="CI396" i="23"/>
  <c r="CI399" i="23" s="1"/>
  <c r="CI353" i="23" s="1"/>
  <c r="CJ293" i="23"/>
  <c r="CB27" i="23"/>
  <c r="DH26" i="23"/>
  <c r="DH27" i="23" s="1"/>
  <c r="EF27" i="23"/>
  <c r="CW26" i="23"/>
  <c r="AF27" i="23"/>
  <c r="CA27" i="23"/>
  <c r="T27" i="23"/>
  <c r="CR271" i="23"/>
  <c r="BU27" i="23"/>
  <c r="DY27" i="23"/>
  <c r="CN194" i="23"/>
  <c r="CN179" i="23"/>
  <c r="DF27" i="23"/>
  <c r="CO139" i="23"/>
  <c r="DJ26" i="23"/>
  <c r="DJ27" i="23" s="1"/>
  <c r="AQ27" i="23"/>
  <c r="DX26" i="23"/>
  <c r="N13" i="11"/>
  <c r="BX27" i="23"/>
  <c r="J13" i="11"/>
  <c r="K13" i="11"/>
  <c r="CM389" i="23"/>
  <c r="CM356" i="23" s="1"/>
  <c r="CM388" i="23"/>
  <c r="CM352" i="23" s="1"/>
  <c r="CM387" i="23"/>
  <c r="CM343" i="23" s="1"/>
  <c r="CQ280" i="23"/>
  <c r="CQ391" i="23"/>
  <c r="CQ351" i="23"/>
  <c r="G13" i="11"/>
  <c r="AD236" i="23"/>
  <c r="AF229" i="23"/>
  <c r="AF230" i="23" s="1"/>
  <c r="I13" i="11"/>
  <c r="K20" i="23"/>
  <c r="CP344" i="23"/>
  <c r="L20" i="23"/>
  <c r="CP357" i="23"/>
  <c r="CM27" i="23"/>
  <c r="DZ27" i="23"/>
  <c r="K13" i="18"/>
  <c r="I13" i="18"/>
  <c r="J14" i="18"/>
  <c r="I14" i="18" s="1"/>
  <c r="AO27" i="23"/>
  <c r="CN208" i="23"/>
  <c r="CN209" i="23" s="1"/>
  <c r="CO205" i="23" s="1"/>
  <c r="DE26" i="23"/>
  <c r="CP348" i="23"/>
  <c r="CO162" i="23"/>
  <c r="CO163" i="23" s="1"/>
  <c r="CO185" i="23"/>
  <c r="J20" i="23"/>
  <c r="CN384" i="23"/>
  <c r="CN148" i="23"/>
  <c r="CN133" i="23"/>
  <c r="CX27" i="23"/>
  <c r="AG27" i="23"/>
  <c r="K24" i="23" l="1"/>
  <c r="M24" i="23"/>
  <c r="E24" i="23"/>
  <c r="I24" i="23"/>
  <c r="DT27" i="23"/>
  <c r="H24" i="23"/>
  <c r="J24" i="23"/>
  <c r="J77" i="22"/>
  <c r="K19" i="11" s="1"/>
  <c r="O19" i="23"/>
  <c r="O20" i="23" s="1"/>
  <c r="O76" i="22"/>
  <c r="Q24" i="23" s="1"/>
  <c r="G24" i="23"/>
  <c r="K17" i="18"/>
  <c r="L17" i="18" s="1"/>
  <c r="M17" i="18" s="1"/>
  <c r="F77" i="22"/>
  <c r="G19" i="11" s="1"/>
  <c r="G20" i="11" s="1"/>
  <c r="K77" i="22"/>
  <c r="L19" i="11" s="1"/>
  <c r="P12" i="11"/>
  <c r="P13" i="11" s="1"/>
  <c r="K14" i="10"/>
  <c r="L14" i="10" s="1"/>
  <c r="F24" i="23"/>
  <c r="AK27" i="23"/>
  <c r="L77" i="22"/>
  <c r="M19" i="11" s="1"/>
  <c r="K11" i="10"/>
  <c r="L11" i="10" s="1"/>
  <c r="M10" i="10"/>
  <c r="N10" i="10"/>
  <c r="C77" i="22"/>
  <c r="D19" i="11" s="1"/>
  <c r="T14" i="9"/>
  <c r="U14" i="9" s="1"/>
  <c r="D17" i="11"/>
  <c r="D76" i="11" s="1"/>
  <c r="E77" i="22"/>
  <c r="F19" i="11" s="1"/>
  <c r="F20" i="11" s="1"/>
  <c r="F91" i="11" s="1"/>
  <c r="V10" i="9"/>
  <c r="T11" i="9"/>
  <c r="V11" i="9" s="1"/>
  <c r="G77" i="22"/>
  <c r="H19" i="11" s="1"/>
  <c r="I77" i="22"/>
  <c r="J19" i="11" s="1"/>
  <c r="J20" i="11" s="1"/>
  <c r="J91" i="11" s="1"/>
  <c r="CU26" i="23"/>
  <c r="CU27" i="23" s="1"/>
  <c r="H77" i="22"/>
  <c r="I19" i="11" s="1"/>
  <c r="I20" i="11" s="1"/>
  <c r="I25" i="18"/>
  <c r="D77" i="22"/>
  <c r="E19" i="11" s="1"/>
  <c r="E20" i="11" s="1"/>
  <c r="K22" i="10"/>
  <c r="N22" i="10" s="1"/>
  <c r="L25" i="18"/>
  <c r="M25" i="18" s="1"/>
  <c r="O30" i="23"/>
  <c r="U22" i="9"/>
  <c r="V22" i="9"/>
  <c r="N24" i="23"/>
  <c r="F26" i="23"/>
  <c r="DK438" i="23"/>
  <c r="O438" i="23"/>
  <c r="CY438" i="23"/>
  <c r="DW438" i="23"/>
  <c r="AQ438" i="23"/>
  <c r="EI438" i="23"/>
  <c r="BO438" i="23"/>
  <c r="CA438" i="23"/>
  <c r="CC27" i="23"/>
  <c r="CI398" i="23"/>
  <c r="CI349" i="23" s="1"/>
  <c r="CI397" i="23"/>
  <c r="CI345" i="23" s="1"/>
  <c r="I26" i="23"/>
  <c r="J26" i="23"/>
  <c r="BG27" i="23"/>
  <c r="CW27" i="23"/>
  <c r="CJ294" i="23"/>
  <c r="DE27" i="23"/>
  <c r="V27" i="23"/>
  <c r="AJ27" i="23"/>
  <c r="AD237" i="23"/>
  <c r="AD238" i="23" s="1"/>
  <c r="AE234" i="23" s="1"/>
  <c r="E26" i="23"/>
  <c r="E27" i="23" s="1"/>
  <c r="CO251" i="23"/>
  <c r="CO253" i="23" s="1"/>
  <c r="CO258" i="23"/>
  <c r="CO207" i="23"/>
  <c r="H26" i="23"/>
  <c r="CO186" i="23"/>
  <c r="G76" i="11"/>
  <c r="K76" i="11"/>
  <c r="N20" i="11"/>
  <c r="N91" i="11" s="1"/>
  <c r="F76" i="11"/>
  <c r="DM27" i="23"/>
  <c r="M26" i="23"/>
  <c r="N26" i="23"/>
  <c r="DX27" i="23"/>
  <c r="N76" i="11"/>
  <c r="CO140" i="23"/>
  <c r="G26" i="23"/>
  <c r="AS27" i="23"/>
  <c r="J76" i="11"/>
  <c r="AF231" i="23"/>
  <c r="AG227" i="23" s="1"/>
  <c r="L26" i="23"/>
  <c r="L13" i="18"/>
  <c r="M13" i="18" s="1"/>
  <c r="K14" i="18"/>
  <c r="L14" i="18" s="1"/>
  <c r="M14" i="18" s="1"/>
  <c r="CQ393" i="23"/>
  <c r="CQ394" i="23"/>
  <c r="CQ392" i="23"/>
  <c r="I76" i="11"/>
  <c r="CR272" i="23"/>
  <c r="CO171" i="23"/>
  <c r="CO156" i="23"/>
  <c r="CO164" i="23"/>
  <c r="CP160" i="23" s="1"/>
  <c r="CN342" i="23"/>
  <c r="CN93" i="23"/>
  <c r="CN216" i="23"/>
  <c r="CN386" i="23"/>
  <c r="CN347" i="23"/>
  <c r="Q20" i="23"/>
  <c r="O77" i="22" l="1"/>
  <c r="P19" i="11" s="1"/>
  <c r="P17" i="11"/>
  <c r="G27" i="23"/>
  <c r="J27" i="23"/>
  <c r="F27" i="23"/>
  <c r="O24" i="23"/>
  <c r="M11" i="10"/>
  <c r="J19" i="18"/>
  <c r="T16" i="9"/>
  <c r="U16" i="9" s="1"/>
  <c r="N14" i="10"/>
  <c r="U11" i="9"/>
  <c r="M14" i="10"/>
  <c r="N11" i="10"/>
  <c r="K16" i="10"/>
  <c r="D20" i="11"/>
  <c r="D91" i="11" s="1"/>
  <c r="V14" i="9"/>
  <c r="K26" i="23"/>
  <c r="K27" i="23" s="1"/>
  <c r="L22" i="10"/>
  <c r="M22" i="10"/>
  <c r="C438" i="23"/>
  <c r="J247" i="16" s="1"/>
  <c r="J236" i="16" s="1"/>
  <c r="I27" i="23"/>
  <c r="I91" i="11"/>
  <c r="AE236" i="23"/>
  <c r="AE237" i="23" s="1"/>
  <c r="AE238" i="23" s="1"/>
  <c r="AF234" i="23" s="1"/>
  <c r="CJ396" i="23"/>
  <c r="CJ302" i="23"/>
  <c r="CJ355" i="23"/>
  <c r="CJ94" i="23"/>
  <c r="CJ295" i="23"/>
  <c r="CK291" i="23" s="1"/>
  <c r="H27" i="23"/>
  <c r="CQ357" i="23"/>
  <c r="N27" i="23"/>
  <c r="CO194" i="23"/>
  <c r="CO179" i="23"/>
  <c r="E91" i="11"/>
  <c r="CO208" i="23"/>
  <c r="CQ344" i="23"/>
  <c r="CQ348" i="23"/>
  <c r="CR280" i="23"/>
  <c r="CR391" i="23"/>
  <c r="CR351" i="23"/>
  <c r="L27" i="23"/>
  <c r="CO384" i="23"/>
  <c r="CO148" i="23"/>
  <c r="CO133" i="23"/>
  <c r="CP162" i="23"/>
  <c r="CP163" i="23" s="1"/>
  <c r="G91" i="11"/>
  <c r="AG229" i="23"/>
  <c r="H20" i="11"/>
  <c r="H91" i="11" s="1"/>
  <c r="K20" i="11"/>
  <c r="K91" i="11" s="1"/>
  <c r="M27" i="23"/>
  <c r="M20" i="11"/>
  <c r="M91" i="11" s="1"/>
  <c r="CR273" i="23"/>
  <c r="CS269" i="23" s="1"/>
  <c r="CN389" i="23"/>
  <c r="CN387" i="23"/>
  <c r="CN388" i="23"/>
  <c r="CO141" i="23"/>
  <c r="CP137" i="23" s="1"/>
  <c r="L20" i="11"/>
  <c r="L91" i="11" s="1"/>
  <c r="CO187" i="23"/>
  <c r="CP183" i="23" s="1"/>
  <c r="Q26" i="23" l="1"/>
  <c r="Q27" i="23" s="1"/>
  <c r="P20" i="11"/>
  <c r="K17" i="10"/>
  <c r="L17" i="10" s="1"/>
  <c r="N16" i="10"/>
  <c r="K19" i="18"/>
  <c r="L19" i="18" s="1"/>
  <c r="M19" i="18" s="1"/>
  <c r="I19" i="18"/>
  <c r="J20" i="18"/>
  <c r="I20" i="18" s="1"/>
  <c r="V16" i="9"/>
  <c r="T17" i="9"/>
  <c r="V17" i="9" s="1"/>
  <c r="O26" i="23"/>
  <c r="O27" i="23" s="1"/>
  <c r="L16" i="10"/>
  <c r="M16" i="10"/>
  <c r="BB6" i="25"/>
  <c r="C2" i="27" s="1"/>
  <c r="CJ398" i="23"/>
  <c r="CJ349" i="23" s="1"/>
  <c r="CJ399" i="23"/>
  <c r="CJ353" i="23" s="1"/>
  <c r="CJ397" i="23"/>
  <c r="CJ345" i="23" s="1"/>
  <c r="CK293" i="23"/>
  <c r="CP171" i="23"/>
  <c r="CP156" i="23"/>
  <c r="CS271" i="23"/>
  <c r="CN352" i="23"/>
  <c r="CP164" i="23"/>
  <c r="CQ160" i="23" s="1"/>
  <c r="CN343" i="23"/>
  <c r="CP185" i="23"/>
  <c r="CN356" i="23"/>
  <c r="CO216" i="23"/>
  <c r="CO386" i="23"/>
  <c r="CO347" i="23"/>
  <c r="CO209" i="23"/>
  <c r="CP205" i="23" s="1"/>
  <c r="CP139" i="23"/>
  <c r="AG230" i="23"/>
  <c r="AG231" i="23" s="1"/>
  <c r="AH227" i="23" s="1"/>
  <c r="CR393" i="23"/>
  <c r="CR348" i="23" s="1"/>
  <c r="CR394" i="23"/>
  <c r="CR357" i="23" s="1"/>
  <c r="CR392" i="23"/>
  <c r="CR344" i="23" s="1"/>
  <c r="CO342" i="23"/>
  <c r="CO93" i="23"/>
  <c r="K20" i="18" l="1"/>
  <c r="L20" i="18" s="1"/>
  <c r="M20" i="18" s="1"/>
  <c r="N17" i="10"/>
  <c r="M17" i="10"/>
  <c r="U17" i="9"/>
  <c r="CP140" i="23"/>
  <c r="CP141" i="23" s="1"/>
  <c r="CQ137" i="23" s="1"/>
  <c r="CQ139" i="23" s="1"/>
  <c r="CS272" i="23"/>
  <c r="CS280" i="23" s="1"/>
  <c r="CK294" i="23"/>
  <c r="AH229" i="23"/>
  <c r="CQ162" i="23"/>
  <c r="CQ163" i="23" s="1"/>
  <c r="CO389" i="23"/>
  <c r="CO388" i="23"/>
  <c r="CO387" i="23"/>
  <c r="CP251" i="23"/>
  <c r="CP253" i="23" s="1"/>
  <c r="CP258" i="23"/>
  <c r="CP207" i="23"/>
  <c r="CP186" i="23"/>
  <c r="CP133" i="23" l="1"/>
  <c r="CP148" i="23"/>
  <c r="CP384" i="23"/>
  <c r="CS351" i="23"/>
  <c r="CK396" i="23"/>
  <c r="CK302" i="23"/>
  <c r="CK355" i="23"/>
  <c r="CK94" i="23"/>
  <c r="CS273" i="23"/>
  <c r="CT269" i="23" s="1"/>
  <c r="CK295" i="23"/>
  <c r="CL291" i="23" s="1"/>
  <c r="CS391" i="23"/>
  <c r="CS393" i="23" s="1"/>
  <c r="CS348" i="23" s="1"/>
  <c r="CQ171" i="23"/>
  <c r="CQ156" i="23"/>
  <c r="CQ164" i="23"/>
  <c r="CR160" i="23" s="1"/>
  <c r="CP194" i="23"/>
  <c r="CP179" i="23"/>
  <c r="CO343" i="23"/>
  <c r="CO352" i="23"/>
  <c r="CQ140" i="23"/>
  <c r="CP208" i="23"/>
  <c r="CO356" i="23"/>
  <c r="AH230" i="23"/>
  <c r="AH231" i="23" s="1"/>
  <c r="AI227" i="23" s="1"/>
  <c r="CP187" i="23"/>
  <c r="CQ183" i="23" s="1"/>
  <c r="CP93" i="23" l="1"/>
  <c r="CP342" i="23"/>
  <c r="CS392" i="23"/>
  <c r="CS344" i="23" s="1"/>
  <c r="CS394" i="23"/>
  <c r="CS357" i="23" s="1"/>
  <c r="CL293" i="23"/>
  <c r="CL294" i="23" s="1"/>
  <c r="CT271" i="23"/>
  <c r="CK398" i="23"/>
  <c r="CK349" i="23" s="1"/>
  <c r="CK399" i="23"/>
  <c r="CK353" i="23" s="1"/>
  <c r="CK397" i="23"/>
  <c r="CK345" i="23" s="1"/>
  <c r="CR162" i="23"/>
  <c r="AI229" i="23"/>
  <c r="AI230" i="23" s="1"/>
  <c r="CP216" i="23"/>
  <c r="CP386" i="23"/>
  <c r="CP347" i="23"/>
  <c r="CQ185" i="23"/>
  <c r="CQ186" i="23" s="1"/>
  <c r="CQ384" i="23" s="1"/>
  <c r="CQ148" i="23"/>
  <c r="CQ133" i="23"/>
  <c r="CQ141" i="23"/>
  <c r="CR137" i="23" s="1"/>
  <c r="CP209" i="23"/>
  <c r="CQ205" i="23" s="1"/>
  <c r="CT272" i="23" l="1"/>
  <c r="CL302" i="23"/>
  <c r="CL396" i="23"/>
  <c r="CL355" i="23"/>
  <c r="CL94" i="23"/>
  <c r="CL295" i="23"/>
  <c r="CM291" i="23" s="1"/>
  <c r="CQ187" i="23"/>
  <c r="CR183" i="23" s="1"/>
  <c r="AI231" i="23"/>
  <c r="AJ227" i="23" s="1"/>
  <c r="CP389" i="23"/>
  <c r="CP388" i="23"/>
  <c r="CP387" i="23"/>
  <c r="CR163" i="23"/>
  <c r="CQ258" i="23"/>
  <c r="CQ251" i="23"/>
  <c r="CQ253" i="23" s="1"/>
  <c r="CQ207" i="23"/>
  <c r="CR139" i="23"/>
  <c r="CQ194" i="23"/>
  <c r="CQ179" i="23"/>
  <c r="CQ342" i="23" s="1"/>
  <c r="CQ208" i="23" l="1"/>
  <c r="CQ209" i="23" s="1"/>
  <c r="CR205" i="23" s="1"/>
  <c r="CM293" i="23"/>
  <c r="CM294" i="23" s="1"/>
  <c r="CL399" i="23"/>
  <c r="CL353" i="23" s="1"/>
  <c r="CL397" i="23"/>
  <c r="CL345" i="23" s="1"/>
  <c r="CL398" i="23"/>
  <c r="CL349" i="23" s="1"/>
  <c r="CT280" i="23"/>
  <c r="CT391" i="23"/>
  <c r="CT351" i="23"/>
  <c r="CT273" i="23"/>
  <c r="CU269" i="23" s="1"/>
  <c r="CP343" i="23"/>
  <c r="CP352" i="23"/>
  <c r="CP356" i="23"/>
  <c r="CQ93" i="23"/>
  <c r="AJ229" i="23"/>
  <c r="CR185" i="23"/>
  <c r="CR140" i="23"/>
  <c r="CR171" i="23"/>
  <c r="CR156" i="23"/>
  <c r="CR164" i="23"/>
  <c r="CS160" i="23" s="1"/>
  <c r="CQ386" i="23" l="1"/>
  <c r="CQ388" i="23" s="1"/>
  <c r="CQ216" i="23"/>
  <c r="CM396" i="23"/>
  <c r="CM302" i="23"/>
  <c r="CM355" i="23"/>
  <c r="CM94" i="23"/>
  <c r="CR258" i="23"/>
  <c r="CR251" i="23"/>
  <c r="CR253" i="23" s="1"/>
  <c r="CR207" i="23"/>
  <c r="CR208" i="23" s="1"/>
  <c r="CR209" i="23" s="1"/>
  <c r="CS205" i="23" s="1"/>
  <c r="CT392" i="23"/>
  <c r="CT344" i="23" s="1"/>
  <c r="CT393" i="23"/>
  <c r="CT348" i="23" s="1"/>
  <c r="CT394" i="23"/>
  <c r="CT357" i="23" s="1"/>
  <c r="CU271" i="23"/>
  <c r="CU272" i="23" s="1"/>
  <c r="CM295" i="23"/>
  <c r="CN291" i="23" s="1"/>
  <c r="CQ347" i="23"/>
  <c r="CS162" i="23"/>
  <c r="CR148" i="23"/>
  <c r="CR133" i="23"/>
  <c r="AJ230" i="23"/>
  <c r="AJ231" i="23" s="1"/>
  <c r="AK227" i="23" s="1"/>
  <c r="CR186" i="23"/>
  <c r="CR141" i="23"/>
  <c r="CS137" i="23" s="1"/>
  <c r="CQ387" i="23" l="1"/>
  <c r="CQ343" i="23" s="1"/>
  <c r="CQ389" i="23"/>
  <c r="CQ356" i="23" s="1"/>
  <c r="CU351" i="23"/>
  <c r="CU280" i="23"/>
  <c r="CU391" i="23"/>
  <c r="CN293" i="23"/>
  <c r="CN294" i="23" s="1"/>
  <c r="CN295" i="23" s="1"/>
  <c r="CO291" i="23" s="1"/>
  <c r="CU273" i="23"/>
  <c r="CV269" i="23" s="1"/>
  <c r="CM398" i="23"/>
  <c r="CM349" i="23" s="1"/>
  <c r="CM397" i="23"/>
  <c r="CM345" i="23" s="1"/>
  <c r="CM399" i="23"/>
  <c r="CM353" i="23" s="1"/>
  <c r="AK229" i="23"/>
  <c r="CS163" i="23"/>
  <c r="CS139" i="23"/>
  <c r="CS140" i="23" s="1"/>
  <c r="CR194" i="23"/>
  <c r="CR179" i="23"/>
  <c r="CR342" i="23" s="1"/>
  <c r="CR384" i="23"/>
  <c r="CR187" i="23"/>
  <c r="CS183" i="23" s="1"/>
  <c r="CS258" i="23"/>
  <c r="CS251" i="23"/>
  <c r="CS253" i="23" s="1"/>
  <c r="CS207" i="23"/>
  <c r="CS208" i="23" s="1"/>
  <c r="CQ352" i="23"/>
  <c r="CR216" i="23"/>
  <c r="CR347" i="23"/>
  <c r="CR386" i="23"/>
  <c r="CV271" i="23" l="1"/>
  <c r="CV272" i="23" s="1"/>
  <c r="CO293" i="23"/>
  <c r="CO294" i="23" s="1"/>
  <c r="CO295" i="23" s="1"/>
  <c r="CP291" i="23" s="1"/>
  <c r="CP293" i="23" s="1"/>
  <c r="CN396" i="23"/>
  <c r="CN302" i="23"/>
  <c r="CN355" i="23"/>
  <c r="CN94" i="23"/>
  <c r="CU393" i="23"/>
  <c r="CU348" i="23" s="1"/>
  <c r="CU392" i="23"/>
  <c r="CU344" i="23" s="1"/>
  <c r="CU394" i="23"/>
  <c r="CU357" i="23" s="1"/>
  <c r="CS216" i="23"/>
  <c r="CS386" i="23"/>
  <c r="CS347" i="23"/>
  <c r="CS148" i="23"/>
  <c r="CS133" i="23"/>
  <c r="CS141" i="23"/>
  <c r="CT137" i="23" s="1"/>
  <c r="CS185" i="23"/>
  <c r="CS186" i="23" s="1"/>
  <c r="CR93" i="23"/>
  <c r="CS171" i="23"/>
  <c r="CS156" i="23"/>
  <c r="CS164" i="23"/>
  <c r="CT160" i="23" s="1"/>
  <c r="CR388" i="23"/>
  <c r="CR352" i="23" s="1"/>
  <c r="CR387" i="23"/>
  <c r="CR343" i="23" s="1"/>
  <c r="CR389" i="23"/>
  <c r="CR356" i="23" s="1"/>
  <c r="CS209" i="23"/>
  <c r="CT205" i="23" s="1"/>
  <c r="AK230" i="23"/>
  <c r="AK231" i="23" s="1"/>
  <c r="AL227" i="23" s="1"/>
  <c r="CP294" i="23" l="1"/>
  <c r="CP396" i="23" s="1"/>
  <c r="CV391" i="23"/>
  <c r="CV280" i="23"/>
  <c r="CV351" i="23"/>
  <c r="CN398" i="23"/>
  <c r="CN349" i="23" s="1"/>
  <c r="CN399" i="23"/>
  <c r="CN353" i="23" s="1"/>
  <c r="CN397" i="23"/>
  <c r="CN345" i="23" s="1"/>
  <c r="CO396" i="23"/>
  <c r="CO302" i="23"/>
  <c r="CO355" i="23"/>
  <c r="CO94" i="23"/>
  <c r="CV273" i="23"/>
  <c r="CW269" i="23" s="1"/>
  <c r="CW271" i="23" s="1"/>
  <c r="AL229" i="23"/>
  <c r="CS194" i="23"/>
  <c r="CS179" i="23"/>
  <c r="CS342" i="23" s="1"/>
  <c r="CS384" i="23"/>
  <c r="CS187" i="23"/>
  <c r="CT183" i="23" s="1"/>
  <c r="CT258" i="23"/>
  <c r="CT251" i="23"/>
  <c r="CT253" i="23" s="1"/>
  <c r="CT207" i="23"/>
  <c r="CT139" i="23"/>
  <c r="CT162" i="23"/>
  <c r="CS388" i="23"/>
  <c r="CS352" i="23" s="1"/>
  <c r="CS389" i="23"/>
  <c r="CS356" i="23" s="1"/>
  <c r="CS387" i="23"/>
  <c r="CS343" i="23" s="1"/>
  <c r="CP295" i="23" l="1"/>
  <c r="CQ291" i="23" s="1"/>
  <c r="CQ293" i="23" s="1"/>
  <c r="CP94" i="23"/>
  <c r="CP355" i="23"/>
  <c r="CP302" i="23"/>
  <c r="CW272" i="23"/>
  <c r="CW391" i="23" s="1"/>
  <c r="CO397" i="23"/>
  <c r="CO345" i="23" s="1"/>
  <c r="CO398" i="23"/>
  <c r="CO349" i="23" s="1"/>
  <c r="CO399" i="23"/>
  <c r="CO353" i="23" s="1"/>
  <c r="CV392" i="23"/>
  <c r="CV344" i="23" s="1"/>
  <c r="CV393" i="23"/>
  <c r="CV348" i="23" s="1"/>
  <c r="CV394" i="23"/>
  <c r="CV357" i="23" s="1"/>
  <c r="CP397" i="23"/>
  <c r="CP399" i="23"/>
  <c r="CP398" i="23"/>
  <c r="CS93" i="23"/>
  <c r="AL230" i="23"/>
  <c r="AL231" i="23" s="1"/>
  <c r="AM227" i="23" s="1"/>
  <c r="CT185" i="23"/>
  <c r="CT208" i="23"/>
  <c r="CT163" i="23"/>
  <c r="CT140" i="23"/>
  <c r="CQ294" i="23" l="1"/>
  <c r="CQ295" i="23" s="1"/>
  <c r="CR291" i="23" s="1"/>
  <c r="CR293" i="23" s="1"/>
  <c r="CW280" i="23"/>
  <c r="CW273" i="23"/>
  <c r="CX269" i="23" s="1"/>
  <c r="CX271" i="23" s="1"/>
  <c r="CW351" i="23"/>
  <c r="AM229" i="23"/>
  <c r="CT148" i="23"/>
  <c r="CT133" i="23"/>
  <c r="CT171" i="23"/>
  <c r="CT156" i="23"/>
  <c r="CT186" i="23"/>
  <c r="CT384" i="23" s="1"/>
  <c r="CT164" i="23"/>
  <c r="CU160" i="23" s="1"/>
  <c r="CP349" i="23"/>
  <c r="CP353" i="23"/>
  <c r="CT216" i="23"/>
  <c r="CT386" i="23"/>
  <c r="CT347" i="23"/>
  <c r="CP345" i="23"/>
  <c r="CT209" i="23"/>
  <c r="CU205" i="23" s="1"/>
  <c r="CW392" i="23"/>
  <c r="CW344" i="23" s="1"/>
  <c r="CW393" i="23"/>
  <c r="CW348" i="23" s="1"/>
  <c r="CW394" i="23"/>
  <c r="CW357" i="23" s="1"/>
  <c r="CT141" i="23"/>
  <c r="CU137" i="23" s="1"/>
  <c r="CQ302" i="23" l="1"/>
  <c r="CQ396" i="23"/>
  <c r="CQ397" i="23" s="1"/>
  <c r="CQ94" i="23"/>
  <c r="CQ355" i="23"/>
  <c r="CU258" i="23"/>
  <c r="CU251" i="23"/>
  <c r="CU253" i="23" s="1"/>
  <c r="CU207" i="23"/>
  <c r="CU162" i="23"/>
  <c r="AM230" i="23"/>
  <c r="AM231" i="23" s="1"/>
  <c r="AN227" i="23" s="1"/>
  <c r="CT194" i="23"/>
  <c r="CT179" i="23"/>
  <c r="CT342" i="23" s="1"/>
  <c r="CT187" i="23"/>
  <c r="CU183" i="23" s="1"/>
  <c r="CU139" i="23"/>
  <c r="CU140" i="23" s="1"/>
  <c r="CX272" i="23"/>
  <c r="CX273" i="23" s="1"/>
  <c r="CY269" i="23" s="1"/>
  <c r="CT388" i="23"/>
  <c r="CT352" i="23" s="1"/>
  <c r="CT387" i="23"/>
  <c r="CT343" i="23" s="1"/>
  <c r="CT389" i="23"/>
  <c r="CT356" i="23" s="1"/>
  <c r="CR294" i="23"/>
  <c r="CQ399" i="23" l="1"/>
  <c r="CQ353" i="23" s="1"/>
  <c r="CQ398" i="23"/>
  <c r="CQ349" i="23" s="1"/>
  <c r="CT93" i="23"/>
  <c r="CU148" i="23"/>
  <c r="CU133" i="23"/>
  <c r="AN229" i="23"/>
  <c r="AN230" i="23" s="1"/>
  <c r="CU208" i="23"/>
  <c r="CQ345" i="23"/>
  <c r="CU141" i="23"/>
  <c r="CV137" i="23" s="1"/>
  <c r="CR396" i="23"/>
  <c r="CR302" i="23"/>
  <c r="CR355" i="23"/>
  <c r="CR94" i="23"/>
  <c r="CR295" i="23"/>
  <c r="CS291" i="23" s="1"/>
  <c r="CU163" i="23"/>
  <c r="CY271" i="23"/>
  <c r="CU185" i="23"/>
  <c r="CX280" i="23"/>
  <c r="CX391" i="23"/>
  <c r="CX351" i="23"/>
  <c r="CU186" i="23" l="1"/>
  <c r="AN231" i="23"/>
  <c r="AO227" i="23" s="1"/>
  <c r="CU216" i="23"/>
  <c r="CU386" i="23"/>
  <c r="CU347" i="23"/>
  <c r="CR397" i="23"/>
  <c r="CR345" i="23" s="1"/>
  <c r="CR398" i="23"/>
  <c r="CR349" i="23" s="1"/>
  <c r="CR399" i="23"/>
  <c r="CR353" i="23" s="1"/>
  <c r="CV139" i="23"/>
  <c r="CY272" i="23"/>
  <c r="CX392" i="23"/>
  <c r="CX344" i="23" s="1"/>
  <c r="CX393" i="23"/>
  <c r="CX348" i="23" s="1"/>
  <c r="CX394" i="23"/>
  <c r="CX357" i="23" s="1"/>
  <c r="CS293" i="23"/>
  <c r="CS294" i="23" s="1"/>
  <c r="CU171" i="23"/>
  <c r="CU156" i="23"/>
  <c r="CU164" i="23"/>
  <c r="CV160" i="23" s="1"/>
  <c r="CU209" i="23"/>
  <c r="CV205" i="23" s="1"/>
  <c r="CS295" i="23" l="1"/>
  <c r="CT291" i="23" s="1"/>
  <c r="CT293" i="23" s="1"/>
  <c r="CV140" i="23"/>
  <c r="CU194" i="23"/>
  <c r="CU179" i="23"/>
  <c r="CU342" i="23" s="1"/>
  <c r="CS396" i="23"/>
  <c r="CS302" i="23"/>
  <c r="CS355" i="23"/>
  <c r="CS94" i="23"/>
  <c r="CV162" i="23"/>
  <c r="CV163" i="23" s="1"/>
  <c r="CV164" i="23" s="1"/>
  <c r="CW160" i="23" s="1"/>
  <c r="CU389" i="23"/>
  <c r="CU356" i="23" s="1"/>
  <c r="CU388" i="23"/>
  <c r="CU352" i="23" s="1"/>
  <c r="CU387" i="23"/>
  <c r="CU343" i="23" s="1"/>
  <c r="CY280" i="23"/>
  <c r="CY351" i="23"/>
  <c r="CY391" i="23"/>
  <c r="AO229" i="23"/>
  <c r="CY273" i="23"/>
  <c r="CZ269" i="23" s="1"/>
  <c r="CU384" i="23"/>
  <c r="CV258" i="23"/>
  <c r="CV251" i="23"/>
  <c r="CV253" i="23" s="1"/>
  <c r="CV207" i="23"/>
  <c r="CU187" i="23"/>
  <c r="CV183" i="23" s="1"/>
  <c r="CU93" i="23" l="1"/>
  <c r="CW162" i="23"/>
  <c r="AO230" i="23"/>
  <c r="AO231" i="23" s="1"/>
  <c r="AP227" i="23" s="1"/>
  <c r="CV171" i="23"/>
  <c r="CV156" i="23"/>
  <c r="CV208" i="23"/>
  <c r="CV209" i="23" s="1"/>
  <c r="CW205" i="23" s="1"/>
  <c r="CY394" i="23"/>
  <c r="CY357" i="23" s="1"/>
  <c r="CY392" i="23"/>
  <c r="CY344" i="23" s="1"/>
  <c r="CY393" i="23"/>
  <c r="CY348" i="23" s="1"/>
  <c r="CV148" i="23"/>
  <c r="CV133" i="23"/>
  <c r="CZ271" i="23"/>
  <c r="CZ272" i="23" s="1"/>
  <c r="CS397" i="23"/>
  <c r="CS345" i="23" s="1"/>
  <c r="CS399" i="23"/>
  <c r="CS353" i="23" s="1"/>
  <c r="CS398" i="23"/>
  <c r="CS349" i="23" s="1"/>
  <c r="CT294" i="23"/>
  <c r="CT295" i="23" s="1"/>
  <c r="CU291" i="23" s="1"/>
  <c r="CV185" i="23"/>
  <c r="CV141" i="23"/>
  <c r="CW137" i="23" s="1"/>
  <c r="CU293" i="23" l="1"/>
  <c r="CW139" i="23"/>
  <c r="CW258" i="23"/>
  <c r="CW251" i="23"/>
  <c r="CW253" i="23" s="1"/>
  <c r="CW207" i="23"/>
  <c r="CW208" i="23" s="1"/>
  <c r="CV216" i="23"/>
  <c r="CV386" i="23"/>
  <c r="CV347" i="23"/>
  <c r="AP229" i="23"/>
  <c r="AP230" i="23" s="1"/>
  <c r="CT396" i="23"/>
  <c r="CT302" i="23"/>
  <c r="CT355" i="23"/>
  <c r="CT94" i="23"/>
  <c r="CV186" i="23"/>
  <c r="CV187" i="23" s="1"/>
  <c r="CW183" i="23" s="1"/>
  <c r="CZ280" i="23"/>
  <c r="CZ351" i="23"/>
  <c r="CZ391" i="23"/>
  <c r="CW163" i="23"/>
  <c r="CW164" i="23" s="1"/>
  <c r="CX160" i="23" s="1"/>
  <c r="CZ273" i="23"/>
  <c r="DA269" i="23" s="1"/>
  <c r="CW209" i="23" l="1"/>
  <c r="CX205" i="23" s="1"/>
  <c r="CX258" i="23" s="1"/>
  <c r="CX162" i="23"/>
  <c r="CW185" i="23"/>
  <c r="CV387" i="23"/>
  <c r="CV343" i="23" s="1"/>
  <c r="CV389" i="23"/>
  <c r="CV356" i="23" s="1"/>
  <c r="CV388" i="23"/>
  <c r="CV352" i="23" s="1"/>
  <c r="CW216" i="23"/>
  <c r="CW386" i="23"/>
  <c r="CW347" i="23"/>
  <c r="CT398" i="23"/>
  <c r="CT349" i="23" s="1"/>
  <c r="CT399" i="23"/>
  <c r="CT353" i="23" s="1"/>
  <c r="CT397" i="23"/>
  <c r="CT345" i="23" s="1"/>
  <c r="AP231" i="23"/>
  <c r="AQ227" i="23" s="1"/>
  <c r="DA271" i="23"/>
  <c r="DA272" i="23" s="1"/>
  <c r="CW171" i="23"/>
  <c r="CW156" i="23"/>
  <c r="CZ392" i="23"/>
  <c r="CZ394" i="23"/>
  <c r="CZ393" i="23"/>
  <c r="CU294" i="23"/>
  <c r="CU295" i="23" s="1"/>
  <c r="CV291" i="23" s="1"/>
  <c r="CV194" i="23"/>
  <c r="CV179" i="23"/>
  <c r="CV384" i="23"/>
  <c r="CW140" i="23"/>
  <c r="CX207" i="23" l="1"/>
  <c r="CX208" i="23" s="1"/>
  <c r="CX216" i="23" s="1"/>
  <c r="CX251" i="23"/>
  <c r="CX253" i="23" s="1"/>
  <c r="CW186" i="23"/>
  <c r="CW187" i="23" s="1"/>
  <c r="CX183" i="23" s="1"/>
  <c r="CX185" i="23" s="1"/>
  <c r="DA280" i="23"/>
  <c r="DA391" i="23"/>
  <c r="DA351" i="23"/>
  <c r="CV293" i="23"/>
  <c r="CZ348" i="23"/>
  <c r="CZ357" i="23"/>
  <c r="CW148" i="23"/>
  <c r="CW133" i="23"/>
  <c r="CZ344" i="23"/>
  <c r="CW141" i="23"/>
  <c r="CX137" i="23" s="1"/>
  <c r="CX163" i="23"/>
  <c r="CX164" i="23" s="1"/>
  <c r="CY160" i="23" s="1"/>
  <c r="CW387" i="23"/>
  <c r="CW343" i="23" s="1"/>
  <c r="CW389" i="23"/>
  <c r="CW356" i="23" s="1"/>
  <c r="CW388" i="23"/>
  <c r="CW352" i="23" s="1"/>
  <c r="DA273" i="23"/>
  <c r="DB269" i="23" s="1"/>
  <c r="CV342" i="23"/>
  <c r="CV93" i="23"/>
  <c r="CU396" i="23"/>
  <c r="CU302" i="23"/>
  <c r="CU355" i="23"/>
  <c r="CU94" i="23"/>
  <c r="AQ229" i="23"/>
  <c r="CX386" i="23" l="1"/>
  <c r="CX389" i="23" s="1"/>
  <c r="CX356" i="23" s="1"/>
  <c r="CW384" i="23"/>
  <c r="CW179" i="23"/>
  <c r="CW342" i="23" s="1"/>
  <c r="CW194" i="23"/>
  <c r="CX347" i="23"/>
  <c r="CX209" i="23"/>
  <c r="CY205" i="23" s="1"/>
  <c r="CY162" i="23"/>
  <c r="CY163" i="23" s="1"/>
  <c r="CX186" i="23"/>
  <c r="CX187" i="23" s="1"/>
  <c r="CY183" i="23" s="1"/>
  <c r="CU399" i="23"/>
  <c r="CU353" i="23" s="1"/>
  <c r="CU397" i="23"/>
  <c r="CU345" i="23" s="1"/>
  <c r="CU398" i="23"/>
  <c r="CU349" i="23" s="1"/>
  <c r="CX139" i="23"/>
  <c r="CX171" i="23"/>
  <c r="CX156" i="23"/>
  <c r="DA394" i="23"/>
  <c r="DA392" i="23"/>
  <c r="DA393" i="23"/>
  <c r="DB271" i="23"/>
  <c r="DB272" i="23" s="1"/>
  <c r="CV294" i="23"/>
  <c r="CV295" i="23" s="1"/>
  <c r="CW291" i="23" s="1"/>
  <c r="AQ230" i="23"/>
  <c r="AQ231" i="23" s="1"/>
  <c r="AR227" i="23" s="1"/>
  <c r="CX387" i="23" l="1"/>
  <c r="CX343" i="23" s="1"/>
  <c r="CX388" i="23"/>
  <c r="CX352" i="23" s="1"/>
  <c r="CW93" i="23"/>
  <c r="CY207" i="23"/>
  <c r="CY258" i="23"/>
  <c r="CY251" i="23"/>
  <c r="CY253" i="23" s="1"/>
  <c r="CX140" i="23"/>
  <c r="CX141" i="23" s="1"/>
  <c r="CY137" i="23" s="1"/>
  <c r="CY139" i="23" s="1"/>
  <c r="CY164" i="23"/>
  <c r="CZ160" i="23" s="1"/>
  <c r="CZ162" i="23" s="1"/>
  <c r="CZ163" i="23" s="1"/>
  <c r="DB280" i="23"/>
  <c r="DB391" i="23"/>
  <c r="DB351" i="23"/>
  <c r="DB273" i="23"/>
  <c r="DC269" i="23" s="1"/>
  <c r="AR229" i="23"/>
  <c r="CW293" i="23"/>
  <c r="DA348" i="23"/>
  <c r="DA344" i="23"/>
  <c r="CY185" i="23"/>
  <c r="CY186" i="23" s="1"/>
  <c r="CY171" i="23"/>
  <c r="CY156" i="23"/>
  <c r="DA357" i="23"/>
  <c r="CV396" i="23"/>
  <c r="CV302" i="23"/>
  <c r="CV355" i="23"/>
  <c r="CV94" i="23"/>
  <c r="CX194" i="23"/>
  <c r="CX179" i="23"/>
  <c r="CX148" i="23" l="1"/>
  <c r="CX133" i="23"/>
  <c r="CX93" i="23" s="1"/>
  <c r="CX384" i="23"/>
  <c r="CY208" i="23"/>
  <c r="CY209" i="23" s="1"/>
  <c r="CZ205" i="23" s="1"/>
  <c r="CY194" i="23"/>
  <c r="CY179" i="23"/>
  <c r="CZ164" i="23"/>
  <c r="DA160" i="23" s="1"/>
  <c r="CW294" i="23"/>
  <c r="CY187" i="23"/>
  <c r="CZ183" i="23" s="1"/>
  <c r="AR230" i="23"/>
  <c r="CZ171" i="23"/>
  <c r="CZ156" i="23"/>
  <c r="CV399" i="23"/>
  <c r="CV353" i="23" s="1"/>
  <c r="CV397" i="23"/>
  <c r="CV345" i="23" s="1"/>
  <c r="CV398" i="23"/>
  <c r="CV349" i="23" s="1"/>
  <c r="CY140" i="23"/>
  <c r="CY141" i="23" s="1"/>
  <c r="CZ137" i="23" s="1"/>
  <c r="DB394" i="23"/>
  <c r="DB392" i="23"/>
  <c r="DB393" i="23"/>
  <c r="DC271" i="23"/>
  <c r="CX342" i="23" l="1"/>
  <c r="CZ258" i="23"/>
  <c r="CZ251" i="23"/>
  <c r="CZ253" i="23" s="1"/>
  <c r="CZ207" i="23"/>
  <c r="CZ208" i="23" s="1"/>
  <c r="CZ209" i="23" s="1"/>
  <c r="DA205" i="23" s="1"/>
  <c r="CY347" i="23"/>
  <c r="CY216" i="23"/>
  <c r="CY386" i="23"/>
  <c r="CZ139" i="23"/>
  <c r="CZ185" i="23"/>
  <c r="CW396" i="23"/>
  <c r="CW302" i="23"/>
  <c r="CW355" i="23"/>
  <c r="CW94" i="23"/>
  <c r="DA162" i="23"/>
  <c r="DC272" i="23"/>
  <c r="DB348" i="23"/>
  <c r="CY384" i="23"/>
  <c r="CY148" i="23"/>
  <c r="CY133" i="23"/>
  <c r="AR231" i="23"/>
  <c r="AS227" i="23" s="1"/>
  <c r="DB344" i="23"/>
  <c r="DB357" i="23"/>
  <c r="CW295" i="23"/>
  <c r="CX291" i="23" s="1"/>
  <c r="CZ386" i="23" l="1"/>
  <c r="CZ389" i="23" s="1"/>
  <c r="CZ216" i="23"/>
  <c r="CZ347" i="23"/>
  <c r="DA251" i="23"/>
  <c r="DA253" i="23" s="1"/>
  <c r="DA207" i="23"/>
  <c r="DA208" i="23" s="1"/>
  <c r="DA216" i="23" s="1"/>
  <c r="DA258" i="23"/>
  <c r="CY387" i="23"/>
  <c r="CY343" i="23" s="1"/>
  <c r="CY389" i="23"/>
  <c r="CY356" i="23" s="1"/>
  <c r="CY388" i="23"/>
  <c r="CY352" i="23" s="1"/>
  <c r="DC280" i="23"/>
  <c r="DC391" i="23"/>
  <c r="DC351" i="23"/>
  <c r="AS229" i="23"/>
  <c r="CZ186" i="23"/>
  <c r="CY342" i="23"/>
  <c r="CY93" i="23"/>
  <c r="DA163" i="23"/>
  <c r="DA164" i="23" s="1"/>
  <c r="DB160" i="23" s="1"/>
  <c r="CW399" i="23"/>
  <c r="CW353" i="23" s="1"/>
  <c r="CW397" i="23"/>
  <c r="CW345" i="23" s="1"/>
  <c r="CW398" i="23"/>
  <c r="CW349" i="23" s="1"/>
  <c r="CX293" i="23"/>
  <c r="CZ140" i="23"/>
  <c r="CZ141" i="23" s="1"/>
  <c r="DA137" i="23" s="1"/>
  <c r="DC273" i="23"/>
  <c r="DD269" i="23" s="1"/>
  <c r="CZ388" i="23" l="1"/>
  <c r="CZ352" i="23" s="1"/>
  <c r="CZ387" i="23"/>
  <c r="CZ343" i="23" s="1"/>
  <c r="DA347" i="23"/>
  <c r="DA386" i="23"/>
  <c r="DA389" i="23" s="1"/>
  <c r="DA356" i="23" s="1"/>
  <c r="DA209" i="23"/>
  <c r="DB205" i="23" s="1"/>
  <c r="DB258" i="23" s="1"/>
  <c r="DA139" i="23"/>
  <c r="DA388" i="23"/>
  <c r="DA352" i="23" s="1"/>
  <c r="CZ194" i="23"/>
  <c r="CZ179" i="23"/>
  <c r="AS230" i="23"/>
  <c r="AS231" i="23" s="1"/>
  <c r="AT227" i="23" s="1"/>
  <c r="CZ356" i="23"/>
  <c r="CZ384" i="23"/>
  <c r="CZ148" i="23"/>
  <c r="CZ133" i="23"/>
  <c r="CX294" i="23"/>
  <c r="DB162" i="23"/>
  <c r="DB163" i="23" s="1"/>
  <c r="CZ187" i="23"/>
  <c r="DA183" i="23" s="1"/>
  <c r="DC394" i="23"/>
  <c r="DC392" i="23"/>
  <c r="DC393" i="23"/>
  <c r="DD271" i="23"/>
  <c r="DD272" i="23" s="1"/>
  <c r="DA156" i="23"/>
  <c r="DA171" i="23"/>
  <c r="DB207" i="23" l="1"/>
  <c r="DB208" i="23" s="1"/>
  <c r="DB209" i="23" s="1"/>
  <c r="DC205" i="23" s="1"/>
  <c r="DC258" i="23" s="1"/>
  <c r="DA387" i="23"/>
  <c r="DA343" i="23" s="1"/>
  <c r="DB251" i="23"/>
  <c r="DB253" i="23" s="1"/>
  <c r="DD273" i="23"/>
  <c r="DE269" i="23" s="1"/>
  <c r="DE271" i="23" s="1"/>
  <c r="DE272" i="23" s="1"/>
  <c r="DB164" i="23"/>
  <c r="DC160" i="23" s="1"/>
  <c r="DC162" i="23" s="1"/>
  <c r="DC344" i="23"/>
  <c r="DC348" i="23"/>
  <c r="DC357" i="23"/>
  <c r="DA185" i="23"/>
  <c r="DB156" i="23"/>
  <c r="DB171" i="23"/>
  <c r="DA140" i="23"/>
  <c r="DA141" i="23" s="1"/>
  <c r="DB137" i="23" s="1"/>
  <c r="CX396" i="23"/>
  <c r="CX302" i="23"/>
  <c r="CX355" i="23"/>
  <c r="CX94" i="23"/>
  <c r="AT229" i="23"/>
  <c r="CX295" i="23"/>
  <c r="CY291" i="23" s="1"/>
  <c r="CZ342" i="23"/>
  <c r="CZ93" i="23"/>
  <c r="DD280" i="23"/>
  <c r="DD391" i="23"/>
  <c r="DD351" i="23"/>
  <c r="DB347" i="23" l="1"/>
  <c r="DB386" i="23"/>
  <c r="DB387" i="23" s="1"/>
  <c r="DB216" i="23"/>
  <c r="DC207" i="23"/>
  <c r="DC208" i="23" s="1"/>
  <c r="DC251" i="23"/>
  <c r="DC253" i="23" s="1"/>
  <c r="DA148" i="23"/>
  <c r="DA133" i="23"/>
  <c r="CX399" i="23"/>
  <c r="CX353" i="23" s="1"/>
  <c r="CX398" i="23"/>
  <c r="CX349" i="23" s="1"/>
  <c r="CX397" i="23"/>
  <c r="CX345" i="23" s="1"/>
  <c r="DC163" i="23"/>
  <c r="DA186" i="23"/>
  <c r="DD394" i="23"/>
  <c r="DD357" i="23" s="1"/>
  <c r="DD393" i="23"/>
  <c r="DD348" i="23" s="1"/>
  <c r="DD392" i="23"/>
  <c r="DD344" i="23" s="1"/>
  <c r="CY293" i="23"/>
  <c r="DB139" i="23"/>
  <c r="DE280" i="23"/>
  <c r="DE391" i="23"/>
  <c r="DE351" i="23"/>
  <c r="AT230" i="23"/>
  <c r="AT231" i="23" s="1"/>
  <c r="AU227" i="23" s="1"/>
  <c r="DE273" i="23"/>
  <c r="DF269" i="23" s="1"/>
  <c r="DB389" i="23" l="1"/>
  <c r="DB356" i="23" s="1"/>
  <c r="DB388" i="23"/>
  <c r="DB352" i="23" s="1"/>
  <c r="DB140" i="23"/>
  <c r="DB141" i="23" s="1"/>
  <c r="DC137" i="23" s="1"/>
  <c r="DC139" i="23" s="1"/>
  <c r="AU229" i="23"/>
  <c r="DC216" i="23"/>
  <c r="DC386" i="23"/>
  <c r="DC347" i="23"/>
  <c r="DE393" i="23"/>
  <c r="DE348" i="23" s="1"/>
  <c r="DE394" i="23"/>
  <c r="DE357" i="23" s="1"/>
  <c r="DE392" i="23"/>
  <c r="DE344" i="23" s="1"/>
  <c r="CY294" i="23"/>
  <c r="DF271" i="23"/>
  <c r="DA194" i="23"/>
  <c r="DA179" i="23"/>
  <c r="DA342" i="23" s="1"/>
  <c r="DB343" i="23"/>
  <c r="DC171" i="23"/>
  <c r="DC156" i="23"/>
  <c r="DA384" i="23"/>
  <c r="DC164" i="23"/>
  <c r="DD160" i="23" s="1"/>
  <c r="DA187" i="23"/>
  <c r="DB183" i="23" s="1"/>
  <c r="DC209" i="23"/>
  <c r="DD205" i="23" s="1"/>
  <c r="DB133" i="23" l="1"/>
  <c r="DB148" i="23"/>
  <c r="DA93" i="23"/>
  <c r="CY396" i="23"/>
  <c r="CY302" i="23"/>
  <c r="CY355" i="23"/>
  <c r="CY94" i="23"/>
  <c r="DC389" i="23"/>
  <c r="DC388" i="23"/>
  <c r="DC387" i="23"/>
  <c r="DC140" i="23"/>
  <c r="CY295" i="23"/>
  <c r="CZ291" i="23" s="1"/>
  <c r="DF272" i="23"/>
  <c r="DD251" i="23"/>
  <c r="DD253" i="23" s="1"/>
  <c r="DD258" i="23"/>
  <c r="DD207" i="23"/>
  <c r="DD208" i="23" s="1"/>
  <c r="DB185" i="23"/>
  <c r="DB186" i="23" s="1"/>
  <c r="DD162" i="23"/>
  <c r="AU230" i="23"/>
  <c r="AU231" i="23" s="1"/>
  <c r="AV227" i="23" s="1"/>
  <c r="DD209" i="23" l="1"/>
  <c r="DE205" i="23" s="1"/>
  <c r="DE251" i="23" s="1"/>
  <c r="DE253" i="23" s="1"/>
  <c r="DB187" i="23"/>
  <c r="DC183" i="23" s="1"/>
  <c r="DC185" i="23" s="1"/>
  <c r="DF280" i="23"/>
  <c r="DF391" i="23"/>
  <c r="DF351" i="23"/>
  <c r="DC356" i="23"/>
  <c r="CZ293" i="23"/>
  <c r="CZ294" i="23" s="1"/>
  <c r="DB194" i="23"/>
  <c r="DB179" i="23"/>
  <c r="DB384" i="23"/>
  <c r="CY399" i="23"/>
  <c r="CY353" i="23" s="1"/>
  <c r="CY397" i="23"/>
  <c r="CY345" i="23" s="1"/>
  <c r="CY398" i="23"/>
  <c r="CY349" i="23" s="1"/>
  <c r="DC148" i="23"/>
  <c r="DC133" i="23"/>
  <c r="DC141" i="23"/>
  <c r="DD137" i="23" s="1"/>
  <c r="DD216" i="23"/>
  <c r="DD386" i="23"/>
  <c r="DD347" i="23"/>
  <c r="DD163" i="23"/>
  <c r="DC343" i="23"/>
  <c r="DF273" i="23"/>
  <c r="DG269" i="23" s="1"/>
  <c r="AV229" i="23"/>
  <c r="DC352" i="23"/>
  <c r="DE207" i="23" l="1"/>
  <c r="DE208" i="23" s="1"/>
  <c r="DE258" i="23"/>
  <c r="DF393" i="23"/>
  <c r="DF348" i="23" s="1"/>
  <c r="DF394" i="23"/>
  <c r="DF357" i="23" s="1"/>
  <c r="DF392" i="23"/>
  <c r="DF344" i="23" s="1"/>
  <c r="DC186" i="23"/>
  <c r="DB342" i="23"/>
  <c r="DB93" i="23"/>
  <c r="DD389" i="23"/>
  <c r="DD356" i="23" s="1"/>
  <c r="DD387" i="23"/>
  <c r="DD343" i="23" s="1"/>
  <c r="DD388" i="23"/>
  <c r="DD139" i="23"/>
  <c r="DD140" i="23" s="1"/>
  <c r="CZ295" i="23"/>
  <c r="DA291" i="23" s="1"/>
  <c r="DD171" i="23"/>
  <c r="DD156" i="23"/>
  <c r="AV230" i="23"/>
  <c r="AV231" i="23" s="1"/>
  <c r="AW227" i="23" s="1"/>
  <c r="DG271" i="23"/>
  <c r="DG272" i="23" s="1"/>
  <c r="CZ396" i="23"/>
  <c r="CZ302" i="23"/>
  <c r="CZ355" i="23"/>
  <c r="CZ94" i="23"/>
  <c r="DD164" i="23"/>
  <c r="DE160" i="23" s="1"/>
  <c r="DE209" i="23" l="1"/>
  <c r="DF205" i="23" s="1"/>
  <c r="DF251" i="23" s="1"/>
  <c r="DF253" i="23" s="1"/>
  <c r="DE386" i="23"/>
  <c r="DE388" i="23" s="1"/>
  <c r="DE352" i="23" s="1"/>
  <c r="DE347" i="23"/>
  <c r="DE216" i="23"/>
  <c r="AW229" i="23"/>
  <c r="DD148" i="23"/>
  <c r="DD133" i="23"/>
  <c r="DD141" i="23"/>
  <c r="DE137" i="23" s="1"/>
  <c r="DE162" i="23"/>
  <c r="CZ398" i="23"/>
  <c r="CZ399" i="23"/>
  <c r="CZ397" i="23"/>
  <c r="DA293" i="23"/>
  <c r="DC194" i="23"/>
  <c r="DC179" i="23"/>
  <c r="DC384" i="23"/>
  <c r="DG280" i="23"/>
  <c r="DG391" i="23"/>
  <c r="DG351" i="23"/>
  <c r="DG273" i="23"/>
  <c r="DH269" i="23" s="1"/>
  <c r="DD352" i="23"/>
  <c r="DC187" i="23"/>
  <c r="DD183" i="23" s="1"/>
  <c r="DE389" i="23" l="1"/>
  <c r="DE356" i="23" s="1"/>
  <c r="DE387" i="23"/>
  <c r="DE343" i="23" s="1"/>
  <c r="DF207" i="23"/>
  <c r="DF208" i="23" s="1"/>
  <c r="DF209" i="23" s="1"/>
  <c r="DG205" i="23" s="1"/>
  <c r="DG251" i="23" s="1"/>
  <c r="DG253" i="23" s="1"/>
  <c r="DF258" i="23"/>
  <c r="DD185" i="23"/>
  <c r="CZ349" i="23"/>
  <c r="DE163" i="23"/>
  <c r="CZ345" i="23"/>
  <c r="DG393" i="23"/>
  <c r="DG348" i="23" s="1"/>
  <c r="DG394" i="23"/>
  <c r="DG357" i="23" s="1"/>
  <c r="DG392" i="23"/>
  <c r="DG344" i="23" s="1"/>
  <c r="DE139" i="23"/>
  <c r="DH271" i="23"/>
  <c r="DH272" i="23" s="1"/>
  <c r="CZ353" i="23"/>
  <c r="DA294" i="23"/>
  <c r="DA295" i="23" s="1"/>
  <c r="DB291" i="23" s="1"/>
  <c r="DC93" i="23"/>
  <c r="DC342" i="23"/>
  <c r="AW230" i="23"/>
  <c r="AW231" i="23" s="1"/>
  <c r="AX227" i="23" s="1"/>
  <c r="DG258" i="23" l="1"/>
  <c r="DF347" i="23"/>
  <c r="DF386" i="23"/>
  <c r="DF387" i="23" s="1"/>
  <c r="DF343" i="23" s="1"/>
  <c r="DG207" i="23"/>
  <c r="DG208" i="23" s="1"/>
  <c r="DG216" i="23" s="1"/>
  <c r="DF216" i="23"/>
  <c r="DH280" i="23"/>
  <c r="DH391" i="23"/>
  <c r="DH351" i="23"/>
  <c r="DE140" i="23"/>
  <c r="AX229" i="23"/>
  <c r="DE171" i="23"/>
  <c r="DE156" i="23"/>
  <c r="DH273" i="23"/>
  <c r="DI269" i="23" s="1"/>
  <c r="DD186" i="23"/>
  <c r="DD187" i="23" s="1"/>
  <c r="DE183" i="23" s="1"/>
  <c r="DB293" i="23"/>
  <c r="DA396" i="23"/>
  <c r="DA302" i="23"/>
  <c r="DA355" i="23"/>
  <c r="DA94" i="23"/>
  <c r="DE164" i="23"/>
  <c r="DF160" i="23" s="1"/>
  <c r="DG209" i="23" l="1"/>
  <c r="DH205" i="23" s="1"/>
  <c r="DH258" i="23" s="1"/>
  <c r="DF388" i="23"/>
  <c r="DF352" i="23" s="1"/>
  <c r="DF389" i="23"/>
  <c r="DF356" i="23" s="1"/>
  <c r="DG347" i="23"/>
  <c r="DG386" i="23"/>
  <c r="DG388" i="23" s="1"/>
  <c r="DG352" i="23" s="1"/>
  <c r="DE185" i="23"/>
  <c r="DH393" i="23"/>
  <c r="DH348" i="23" s="1"/>
  <c r="DH392" i="23"/>
  <c r="DH344" i="23" s="1"/>
  <c r="DH394" i="23"/>
  <c r="DH357" i="23" s="1"/>
  <c r="DI271" i="23"/>
  <c r="DI272" i="23" s="1"/>
  <c r="DB294" i="23"/>
  <c r="AX230" i="23"/>
  <c r="AX231" i="23" s="1"/>
  <c r="AY227" i="23" s="1"/>
  <c r="DE148" i="23"/>
  <c r="DE133" i="23"/>
  <c r="DA398" i="23"/>
  <c r="DA399" i="23"/>
  <c r="DA397" i="23"/>
  <c r="DF162" i="23"/>
  <c r="DD194" i="23"/>
  <c r="DD179" i="23"/>
  <c r="DD384" i="23"/>
  <c r="DE141" i="23"/>
  <c r="DF137" i="23" s="1"/>
  <c r="DH207" i="23" l="1"/>
  <c r="DH208" i="23" s="1"/>
  <c r="DH347" i="23" s="1"/>
  <c r="DH251" i="23"/>
  <c r="DH253" i="23" s="1"/>
  <c r="DG387" i="23"/>
  <c r="DG343" i="23" s="1"/>
  <c r="DG389" i="23"/>
  <c r="DG356" i="23" s="1"/>
  <c r="DI280" i="23"/>
  <c r="DI391" i="23"/>
  <c r="DI351" i="23"/>
  <c r="DI273" i="23"/>
  <c r="DJ269" i="23" s="1"/>
  <c r="AY229" i="23"/>
  <c r="DF163" i="23"/>
  <c r="DF164" i="23" s="1"/>
  <c r="DG160" i="23" s="1"/>
  <c r="DE186" i="23"/>
  <c r="DB396" i="23"/>
  <c r="DB302" i="23"/>
  <c r="DB355" i="23"/>
  <c r="DB94" i="23"/>
  <c r="DA345" i="23"/>
  <c r="DA349" i="23"/>
  <c r="DD342" i="23"/>
  <c r="DD93" i="23"/>
  <c r="DA353" i="23"/>
  <c r="DF139" i="23"/>
  <c r="DF140" i="23" s="1"/>
  <c r="DB295" i="23"/>
  <c r="DC291" i="23" s="1"/>
  <c r="DH216" i="23" l="1"/>
  <c r="DH386" i="23"/>
  <c r="DH387" i="23" s="1"/>
  <c r="DH343" i="23" s="1"/>
  <c r="DH209" i="23"/>
  <c r="DI205" i="23" s="1"/>
  <c r="DI251" i="23" s="1"/>
  <c r="DI253" i="23" s="1"/>
  <c r="DF148" i="23"/>
  <c r="DF133" i="23"/>
  <c r="DG162" i="23"/>
  <c r="DJ271" i="23"/>
  <c r="DJ272" i="23" s="1"/>
  <c r="DI393" i="23"/>
  <c r="DI348" i="23" s="1"/>
  <c r="DI392" i="23"/>
  <c r="DI344" i="23" s="1"/>
  <c r="DI394" i="23"/>
  <c r="DI357" i="23" s="1"/>
  <c r="DF141" i="23"/>
  <c r="DG137" i="23" s="1"/>
  <c r="DE194" i="23"/>
  <c r="DE179" i="23"/>
  <c r="DE384" i="23"/>
  <c r="DC293" i="23"/>
  <c r="DH388" i="23"/>
  <c r="DH352" i="23" s="1"/>
  <c r="AY230" i="23"/>
  <c r="AY231" i="23" s="1"/>
  <c r="AZ227" i="23" s="1"/>
  <c r="DB397" i="23"/>
  <c r="DB398" i="23"/>
  <c r="DB399" i="23"/>
  <c r="DF171" i="23"/>
  <c r="DF156" i="23"/>
  <c r="DE187" i="23"/>
  <c r="DF183" i="23" s="1"/>
  <c r="DH389" i="23" l="1"/>
  <c r="DH356" i="23" s="1"/>
  <c r="DI258" i="23"/>
  <c r="DI207" i="23"/>
  <c r="DI208" i="23" s="1"/>
  <c r="DI209" i="23" s="1"/>
  <c r="DJ205" i="23" s="1"/>
  <c r="DJ258" i="23" s="1"/>
  <c r="DJ273" i="23"/>
  <c r="DK269" i="23" s="1"/>
  <c r="DK271" i="23" s="1"/>
  <c r="DK272" i="23" s="1"/>
  <c r="AZ229" i="23"/>
  <c r="AZ230" i="23" s="1"/>
  <c r="DC294" i="23"/>
  <c r="DG163" i="23"/>
  <c r="DG164" i="23" s="1"/>
  <c r="DH160" i="23" s="1"/>
  <c r="DE342" i="23"/>
  <c r="DE93" i="23"/>
  <c r="DG139" i="23"/>
  <c r="DB353" i="23"/>
  <c r="DF185" i="23"/>
  <c r="DB349" i="23"/>
  <c r="DJ280" i="23"/>
  <c r="DJ351" i="23"/>
  <c r="DJ391" i="23"/>
  <c r="DB345" i="23"/>
  <c r="DJ207" i="23" l="1"/>
  <c r="DJ208" i="23" s="1"/>
  <c r="DJ209" i="23" s="1"/>
  <c r="DK205" i="23" s="1"/>
  <c r="DJ251" i="23"/>
  <c r="DJ253" i="23" s="1"/>
  <c r="DI386" i="23"/>
  <c r="DI347" i="23"/>
  <c r="DI216" i="23"/>
  <c r="DF186" i="23"/>
  <c r="DF187" i="23" s="1"/>
  <c r="DG183" i="23" s="1"/>
  <c r="DG185" i="23" s="1"/>
  <c r="DK273" i="23"/>
  <c r="DL269" i="23" s="1"/>
  <c r="DL271" i="23" s="1"/>
  <c r="DL272" i="23" s="1"/>
  <c r="DL273" i="23" s="1"/>
  <c r="DM269" i="23" s="1"/>
  <c r="DH162" i="23"/>
  <c r="AZ231" i="23"/>
  <c r="BA227" i="23" s="1"/>
  <c r="DI388" i="23"/>
  <c r="DI352" i="23" s="1"/>
  <c r="DI389" i="23"/>
  <c r="DI356" i="23" s="1"/>
  <c r="DI387" i="23"/>
  <c r="DI343" i="23" s="1"/>
  <c r="DG171" i="23"/>
  <c r="DG156" i="23"/>
  <c r="DG140" i="23"/>
  <c r="DG141" i="23" s="1"/>
  <c r="DH137" i="23" s="1"/>
  <c r="DK280" i="23"/>
  <c r="DK391" i="23"/>
  <c r="DK351" i="23"/>
  <c r="DJ393" i="23"/>
  <c r="DJ348" i="23" s="1"/>
  <c r="DJ394" i="23"/>
  <c r="DJ357" i="23" s="1"/>
  <c r="DJ392" i="23"/>
  <c r="DJ344" i="23" s="1"/>
  <c r="DC396" i="23"/>
  <c r="DC302" i="23"/>
  <c r="DC355" i="23"/>
  <c r="DC94" i="23"/>
  <c r="DC295" i="23"/>
  <c r="DD291" i="23" s="1"/>
  <c r="DF194" i="23" l="1"/>
  <c r="DF384" i="23"/>
  <c r="DF179" i="23"/>
  <c r="DF342" i="23" s="1"/>
  <c r="DM271" i="23"/>
  <c r="DH139" i="23"/>
  <c r="DH140" i="23" s="1"/>
  <c r="DK258" i="23"/>
  <c r="DK251" i="23"/>
  <c r="DK253" i="23" s="1"/>
  <c r="DK207" i="23"/>
  <c r="DK208" i="23" s="1"/>
  <c r="DG186" i="23"/>
  <c r="DG187" i="23" s="1"/>
  <c r="DH183" i="23" s="1"/>
  <c r="DC398" i="23"/>
  <c r="DC397" i="23"/>
  <c r="DC399" i="23"/>
  <c r="DL280" i="23"/>
  <c r="DL391" i="23"/>
  <c r="DL351" i="23"/>
  <c r="BA229" i="23"/>
  <c r="DK392" i="23"/>
  <c r="DK344" i="23" s="1"/>
  <c r="DK393" i="23"/>
  <c r="DK348" i="23" s="1"/>
  <c r="DK394" i="23"/>
  <c r="DK357" i="23" s="1"/>
  <c r="DG148" i="23"/>
  <c r="DG133" i="23"/>
  <c r="DD293" i="23"/>
  <c r="DD294" i="23" s="1"/>
  <c r="DJ216" i="23"/>
  <c r="DJ386" i="23"/>
  <c r="DJ347" i="23"/>
  <c r="DH163" i="23"/>
  <c r="DH164" i="23" s="1"/>
  <c r="DI160" i="23" s="1"/>
  <c r="DF93" i="23" l="1"/>
  <c r="DH141" i="23"/>
  <c r="DI137" i="23" s="1"/>
  <c r="DI139" i="23" s="1"/>
  <c r="DI140" i="23" s="1"/>
  <c r="DI162" i="23"/>
  <c r="DI163" i="23" s="1"/>
  <c r="DL392" i="23"/>
  <c r="DL394" i="23"/>
  <c r="DL393" i="23"/>
  <c r="DH185" i="23"/>
  <c r="DH148" i="23"/>
  <c r="DH133" i="23"/>
  <c r="DD396" i="23"/>
  <c r="DD302" i="23"/>
  <c r="DD355" i="23"/>
  <c r="DD94" i="23"/>
  <c r="DG194" i="23"/>
  <c r="DG179" i="23"/>
  <c r="DG342" i="23" s="1"/>
  <c r="DC353" i="23"/>
  <c r="DC349" i="23"/>
  <c r="DD295" i="23"/>
  <c r="DE291" i="23" s="1"/>
  <c r="DJ388" i="23"/>
  <c r="DJ352" i="23" s="1"/>
  <c r="DJ387" i="23"/>
  <c r="DJ343" i="23" s="1"/>
  <c r="DJ389" i="23"/>
  <c r="DJ356" i="23" s="1"/>
  <c r="DH171" i="23"/>
  <c r="DH156" i="23"/>
  <c r="DG384" i="23"/>
  <c r="BA230" i="23"/>
  <c r="BA231" i="23" s="1"/>
  <c r="BB227" i="23" s="1"/>
  <c r="DK216" i="23"/>
  <c r="DK386" i="23"/>
  <c r="DK347" i="23"/>
  <c r="DM272" i="23"/>
  <c r="DM273" i="23" s="1"/>
  <c r="DN269" i="23" s="1"/>
  <c r="DC345" i="23"/>
  <c r="DK209" i="23"/>
  <c r="DL205" i="23" s="1"/>
  <c r="DI164" i="23" l="1"/>
  <c r="DJ160" i="23" s="1"/>
  <c r="DJ162" i="23" s="1"/>
  <c r="DJ163" i="23" s="1"/>
  <c r="DN271" i="23"/>
  <c r="DN272" i="23" s="1"/>
  <c r="BB229" i="23"/>
  <c r="BB230" i="23" s="1"/>
  <c r="DD398" i="23"/>
  <c r="DD349" i="23" s="1"/>
  <c r="DD397" i="23"/>
  <c r="DD345" i="23" s="1"/>
  <c r="DD399" i="23"/>
  <c r="DD353" i="23" s="1"/>
  <c r="DI171" i="23"/>
  <c r="DI156" i="23"/>
  <c r="DE293" i="23"/>
  <c r="DL357" i="23"/>
  <c r="DH186" i="23"/>
  <c r="DI148" i="23"/>
  <c r="DI133" i="23"/>
  <c r="DL344" i="23"/>
  <c r="DG93" i="23"/>
  <c r="DL258" i="23"/>
  <c r="DL251" i="23"/>
  <c r="DL253" i="23" s="1"/>
  <c r="DL207" i="23"/>
  <c r="DM280" i="23"/>
  <c r="DM391" i="23"/>
  <c r="DM351" i="23"/>
  <c r="DK389" i="23"/>
  <c r="DK356" i="23" s="1"/>
  <c r="DK388" i="23"/>
  <c r="DK352" i="23" s="1"/>
  <c r="DK387" i="23"/>
  <c r="DK343" i="23" s="1"/>
  <c r="DI141" i="23"/>
  <c r="DJ137" i="23" s="1"/>
  <c r="DL348" i="23"/>
  <c r="BB231" i="23" l="1"/>
  <c r="BC227" i="23" s="1"/>
  <c r="BC229" i="23" s="1"/>
  <c r="DJ164" i="23"/>
  <c r="DK160" i="23" s="1"/>
  <c r="DK162" i="23" s="1"/>
  <c r="DE294" i="23"/>
  <c r="DE295" i="23" s="1"/>
  <c r="DF291" i="23" s="1"/>
  <c r="DF293" i="23" s="1"/>
  <c r="DH194" i="23"/>
  <c r="DH179" i="23"/>
  <c r="DH384" i="23"/>
  <c r="DJ171" i="23"/>
  <c r="DJ156" i="23"/>
  <c r="DL208" i="23"/>
  <c r="DN280" i="23"/>
  <c r="DN391" i="23"/>
  <c r="DN351" i="23"/>
  <c r="DM392" i="23"/>
  <c r="DM394" i="23"/>
  <c r="DM393" i="23"/>
  <c r="DN273" i="23"/>
  <c r="DO269" i="23" s="1"/>
  <c r="DJ139" i="23"/>
  <c r="DH187" i="23"/>
  <c r="DI183" i="23" s="1"/>
  <c r="DE94" i="23" l="1"/>
  <c r="DE302" i="23"/>
  <c r="DE355" i="23"/>
  <c r="DE396" i="23"/>
  <c r="DE397" i="23" s="1"/>
  <c r="DE345" i="23" s="1"/>
  <c r="DK163" i="23"/>
  <c r="DJ140" i="23"/>
  <c r="DN392" i="23"/>
  <c r="DN344" i="23" s="1"/>
  <c r="DN394" i="23"/>
  <c r="DN357" i="23" s="1"/>
  <c r="DN393" i="23"/>
  <c r="DN348" i="23" s="1"/>
  <c r="DM348" i="23"/>
  <c r="DM357" i="23"/>
  <c r="DO271" i="23"/>
  <c r="DM344" i="23"/>
  <c r="DI185" i="23"/>
  <c r="DI186" i="23" s="1"/>
  <c r="DF294" i="23"/>
  <c r="DF295" i="23" s="1"/>
  <c r="DG291" i="23" s="1"/>
  <c r="DL216" i="23"/>
  <c r="DL347" i="23"/>
  <c r="DL386" i="23"/>
  <c r="BC230" i="23"/>
  <c r="BC231" i="23" s="1"/>
  <c r="BD227" i="23" s="1"/>
  <c r="DH342" i="23"/>
  <c r="DH93" i="23"/>
  <c r="DL209" i="23"/>
  <c r="DM205" i="23" s="1"/>
  <c r="DE398" i="23" l="1"/>
  <c r="DE349" i="23" s="1"/>
  <c r="DE399" i="23"/>
  <c r="DE353" i="23" s="1"/>
  <c r="DO272" i="23"/>
  <c r="DO273" i="23" s="1"/>
  <c r="DP269" i="23" s="1"/>
  <c r="DI194" i="23"/>
  <c r="DI179" i="23"/>
  <c r="DI384" i="23"/>
  <c r="DM258" i="23"/>
  <c r="DM251" i="23"/>
  <c r="DM253" i="23" s="1"/>
  <c r="DM207" i="23"/>
  <c r="DM208" i="23" s="1"/>
  <c r="DJ148" i="23"/>
  <c r="DJ133" i="23"/>
  <c r="DK171" i="23"/>
  <c r="DK156" i="23"/>
  <c r="DG293" i="23"/>
  <c r="DJ141" i="23"/>
  <c r="DK137" i="23" s="1"/>
  <c r="BD229" i="23"/>
  <c r="DK164" i="23"/>
  <c r="DL160" i="23" s="1"/>
  <c r="DI187" i="23"/>
  <c r="DJ183" i="23" s="1"/>
  <c r="DF396" i="23"/>
  <c r="DF302" i="23"/>
  <c r="DF355" i="23"/>
  <c r="DF94" i="23"/>
  <c r="DL387" i="23"/>
  <c r="DL388" i="23"/>
  <c r="DL389" i="23"/>
  <c r="DO391" i="23" l="1"/>
  <c r="DO394" i="23" s="1"/>
  <c r="DO351" i="23"/>
  <c r="DO280" i="23"/>
  <c r="DP271" i="23"/>
  <c r="DP272" i="23" s="1"/>
  <c r="DM216" i="23"/>
  <c r="DM386" i="23"/>
  <c r="DM347" i="23"/>
  <c r="DM209" i="23"/>
  <c r="DN205" i="23" s="1"/>
  <c r="BD230" i="23"/>
  <c r="DG294" i="23"/>
  <c r="DL356" i="23"/>
  <c r="DJ185" i="23"/>
  <c r="DL352" i="23"/>
  <c r="DL343" i="23"/>
  <c r="DI342" i="23"/>
  <c r="DI93" i="23"/>
  <c r="DL162" i="23"/>
  <c r="DK139" i="23"/>
  <c r="DF397" i="23"/>
  <c r="DF345" i="23" s="1"/>
  <c r="DF399" i="23"/>
  <c r="DF353" i="23" s="1"/>
  <c r="DF398" i="23"/>
  <c r="DF349" i="23" s="1"/>
  <c r="DO393" i="23" l="1"/>
  <c r="DO348" i="23" s="1"/>
  <c r="DO392" i="23"/>
  <c r="DP280" i="23"/>
  <c r="DP351" i="23"/>
  <c r="DP391" i="23"/>
  <c r="DP392" i="23" s="1"/>
  <c r="DP344" i="23" s="1"/>
  <c r="DP273" i="23"/>
  <c r="DQ269" i="23" s="1"/>
  <c r="DQ271" i="23" s="1"/>
  <c r="DN258" i="23"/>
  <c r="DN251" i="23"/>
  <c r="DN253" i="23" s="1"/>
  <c r="DN207" i="23"/>
  <c r="DN208" i="23" s="1"/>
  <c r="DO344" i="23"/>
  <c r="DJ186" i="23"/>
  <c r="DO357" i="23"/>
  <c r="DK140" i="23"/>
  <c r="DM387" i="23"/>
  <c r="DM388" i="23"/>
  <c r="DM389" i="23"/>
  <c r="DL163" i="23"/>
  <c r="DL164" i="23" s="1"/>
  <c r="DM160" i="23" s="1"/>
  <c r="DG396" i="23"/>
  <c r="DG302" i="23"/>
  <c r="DG355" i="23"/>
  <c r="DG94" i="23"/>
  <c r="DG295" i="23"/>
  <c r="DH291" i="23" s="1"/>
  <c r="BD231" i="23"/>
  <c r="BE227" i="23" s="1"/>
  <c r="DQ272" i="23" l="1"/>
  <c r="DQ280" i="23" s="1"/>
  <c r="DP394" i="23"/>
  <c r="DP357" i="23" s="1"/>
  <c r="DP393" i="23"/>
  <c r="DP348" i="23" s="1"/>
  <c r="DN209" i="23"/>
  <c r="DO205" i="23" s="1"/>
  <c r="DO258" i="23" s="1"/>
  <c r="BE229" i="23"/>
  <c r="DM162" i="23"/>
  <c r="DJ194" i="23"/>
  <c r="DJ179" i="23"/>
  <c r="DJ384" i="23"/>
  <c r="DH293" i="23"/>
  <c r="DM343" i="23"/>
  <c r="DK148" i="23"/>
  <c r="DK133" i="23"/>
  <c r="DG399" i="23"/>
  <c r="DG353" i="23" s="1"/>
  <c r="DG397" i="23"/>
  <c r="DG345" i="23" s="1"/>
  <c r="DG398" i="23"/>
  <c r="DG349" i="23" s="1"/>
  <c r="DM356" i="23"/>
  <c r="DM352" i="23"/>
  <c r="DJ187" i="23"/>
  <c r="DK183" i="23" s="1"/>
  <c r="DN216" i="23"/>
  <c r="DN386" i="23"/>
  <c r="DN347" i="23"/>
  <c r="DL171" i="23"/>
  <c r="DL156" i="23"/>
  <c r="DK141" i="23"/>
  <c r="DL137" i="23" s="1"/>
  <c r="DQ273" i="23" l="1"/>
  <c r="DR269" i="23" s="1"/>
  <c r="DR271" i="23" s="1"/>
  <c r="DR272" i="23" s="1"/>
  <c r="DQ391" i="23"/>
  <c r="DQ394" i="23" s="1"/>
  <c r="DQ351" i="23"/>
  <c r="DO251" i="23"/>
  <c r="DO253" i="23" s="1"/>
  <c r="DO207" i="23"/>
  <c r="DO208" i="23" s="1"/>
  <c r="DJ93" i="23"/>
  <c r="DJ342" i="23"/>
  <c r="DM163" i="23"/>
  <c r="DN389" i="23"/>
  <c r="DN388" i="23"/>
  <c r="DN387" i="23"/>
  <c r="DK185" i="23"/>
  <c r="DK186" i="23" s="1"/>
  <c r="DH294" i="23"/>
  <c r="BE230" i="23"/>
  <c r="BE231" i="23" s="1"/>
  <c r="BF227" i="23" s="1"/>
  <c r="DL139" i="23"/>
  <c r="DL140" i="23" s="1"/>
  <c r="DQ393" i="23" l="1"/>
  <c r="DQ348" i="23" s="1"/>
  <c r="DQ392" i="23"/>
  <c r="DQ344" i="23" s="1"/>
  <c r="DL148" i="23"/>
  <c r="DL133" i="23"/>
  <c r="DR280" i="23"/>
  <c r="DR391" i="23"/>
  <c r="DR351" i="23"/>
  <c r="DK194" i="23"/>
  <c r="DK179" i="23"/>
  <c r="DK384" i="23"/>
  <c r="DO216" i="23"/>
  <c r="DO386" i="23"/>
  <c r="DO347" i="23"/>
  <c r="DR273" i="23"/>
  <c r="DS269" i="23" s="1"/>
  <c r="DK187" i="23"/>
  <c r="DL183" i="23" s="1"/>
  <c r="DM171" i="23"/>
  <c r="DM156" i="23"/>
  <c r="BF229" i="23"/>
  <c r="DN343" i="23"/>
  <c r="DL141" i="23"/>
  <c r="DM137" i="23" s="1"/>
  <c r="DN356" i="23"/>
  <c r="DH396" i="23"/>
  <c r="DH302" i="23"/>
  <c r="DH355" i="23"/>
  <c r="DH94" i="23"/>
  <c r="DM164" i="23"/>
  <c r="DN160" i="23" s="1"/>
  <c r="DQ357" i="23"/>
  <c r="DN352" i="23"/>
  <c r="DO209" i="23"/>
  <c r="DP205" i="23" s="1"/>
  <c r="DH295" i="23"/>
  <c r="DI291" i="23" s="1"/>
  <c r="DK342" i="23" l="1"/>
  <c r="DK93" i="23"/>
  <c r="BF230" i="23"/>
  <c r="BF231" i="23" s="1"/>
  <c r="BG227" i="23" s="1"/>
  <c r="DL185" i="23"/>
  <c r="DL186" i="23" s="1"/>
  <c r="DO387" i="23"/>
  <c r="DO388" i="23"/>
  <c r="DO389" i="23"/>
  <c r="DR394" i="23"/>
  <c r="DR357" i="23" s="1"/>
  <c r="DR393" i="23"/>
  <c r="DR348" i="23" s="1"/>
  <c r="DR392" i="23"/>
  <c r="DR344" i="23" s="1"/>
  <c r="DP258" i="23"/>
  <c r="DP251" i="23"/>
  <c r="DP253" i="23" s="1"/>
  <c r="DP207" i="23"/>
  <c r="DN162" i="23"/>
  <c r="DN163" i="23" s="1"/>
  <c r="DN164" i="23" s="1"/>
  <c r="DO160" i="23" s="1"/>
  <c r="DS271" i="23"/>
  <c r="DS272" i="23" s="1"/>
  <c r="DI293" i="23"/>
  <c r="DH397" i="23"/>
  <c r="DH345" i="23" s="1"/>
  <c r="DH399" i="23"/>
  <c r="DH353" i="23" s="1"/>
  <c r="DH398" i="23"/>
  <c r="DH349" i="23" s="1"/>
  <c r="DM139" i="23"/>
  <c r="DO162" i="23" l="1"/>
  <c r="DS280" i="23"/>
  <c r="DS391" i="23"/>
  <c r="DS351" i="23"/>
  <c r="DL194" i="23"/>
  <c r="DL179" i="23"/>
  <c r="DL384" i="23"/>
  <c r="BG229" i="23"/>
  <c r="DO356" i="23"/>
  <c r="DO352" i="23"/>
  <c r="DP208" i="23"/>
  <c r="DP209" i="23" s="1"/>
  <c r="DQ205" i="23" s="1"/>
  <c r="DL187" i="23"/>
  <c r="DM183" i="23" s="1"/>
  <c r="DS273" i="23"/>
  <c r="DT269" i="23" s="1"/>
  <c r="DM140" i="23"/>
  <c r="DM141" i="23" s="1"/>
  <c r="DN137" i="23" s="1"/>
  <c r="DO343" i="23"/>
  <c r="DI294" i="23"/>
  <c r="DI295" i="23" s="1"/>
  <c r="DJ291" i="23" s="1"/>
  <c r="DN171" i="23"/>
  <c r="DN156" i="23"/>
  <c r="DQ258" i="23" l="1"/>
  <c r="DQ251" i="23"/>
  <c r="DQ253" i="23" s="1"/>
  <c r="DQ207" i="23"/>
  <c r="DL342" i="23"/>
  <c r="DL93" i="23"/>
  <c r="DS394" i="23"/>
  <c r="DS357" i="23" s="1"/>
  <c r="DS392" i="23"/>
  <c r="DS344" i="23" s="1"/>
  <c r="DS393" i="23"/>
  <c r="DS348" i="23" s="1"/>
  <c r="DJ293" i="23"/>
  <c r="DP216" i="23"/>
  <c r="DP386" i="23"/>
  <c r="DP347" i="23"/>
  <c r="DI396" i="23"/>
  <c r="DI302" i="23"/>
  <c r="DI355" i="23"/>
  <c r="DI94" i="23"/>
  <c r="DM148" i="23"/>
  <c r="DM133" i="23"/>
  <c r="DO163" i="23"/>
  <c r="DO164" i="23" s="1"/>
  <c r="DP160" i="23" s="1"/>
  <c r="DM185" i="23"/>
  <c r="DM186" i="23" s="1"/>
  <c r="DN139" i="23"/>
  <c r="DN140" i="23" s="1"/>
  <c r="DT271" i="23"/>
  <c r="DT272" i="23" s="1"/>
  <c r="BG230" i="23"/>
  <c r="BG231" i="23" s="1"/>
  <c r="BH227" i="23" s="1"/>
  <c r="DT273" i="23" l="1"/>
  <c r="DU269" i="23" s="1"/>
  <c r="DM194" i="23"/>
  <c r="DM179" i="23"/>
  <c r="DM342" i="23" s="1"/>
  <c r="DM384" i="23"/>
  <c r="DN148" i="23"/>
  <c r="DN133" i="23"/>
  <c r="DJ294" i="23"/>
  <c r="DJ295" i="23" s="1"/>
  <c r="DK291" i="23" s="1"/>
  <c r="DP162" i="23"/>
  <c r="DM187" i="23"/>
  <c r="DN183" i="23" s="1"/>
  <c r="DQ208" i="23"/>
  <c r="BH229" i="23"/>
  <c r="DO171" i="23"/>
  <c r="DO156" i="23"/>
  <c r="DT280" i="23"/>
  <c r="DT391" i="23"/>
  <c r="DT351" i="23"/>
  <c r="DN141" i="23"/>
  <c r="DO137" i="23" s="1"/>
  <c r="DI397" i="23"/>
  <c r="DI345" i="23" s="1"/>
  <c r="DI399" i="23"/>
  <c r="DI353" i="23" s="1"/>
  <c r="DI398" i="23"/>
  <c r="DI349" i="23" s="1"/>
  <c r="DP389" i="23"/>
  <c r="DP356" i="23" s="1"/>
  <c r="DP388" i="23"/>
  <c r="DP352" i="23" s="1"/>
  <c r="DP387" i="23"/>
  <c r="DP343" i="23" s="1"/>
  <c r="DM93" i="23" l="1"/>
  <c r="DU271" i="23"/>
  <c r="DU272" i="23" s="1"/>
  <c r="DP163" i="23"/>
  <c r="DT394" i="23"/>
  <c r="DT357" i="23" s="1"/>
  <c r="DT393" i="23"/>
  <c r="DT348" i="23" s="1"/>
  <c r="DT392" i="23"/>
  <c r="DT344" i="23" s="1"/>
  <c r="DO139" i="23"/>
  <c r="DK293" i="23"/>
  <c r="DQ216" i="23"/>
  <c r="DQ386" i="23"/>
  <c r="DQ347" i="23"/>
  <c r="DJ396" i="23"/>
  <c r="DJ302" i="23"/>
  <c r="DJ355" i="23"/>
  <c r="DJ94" i="23"/>
  <c r="DQ209" i="23"/>
  <c r="DR205" i="23" s="1"/>
  <c r="DN185" i="23"/>
  <c r="DN186" i="23" s="1"/>
  <c r="BH230" i="23"/>
  <c r="BH231" i="23" s="1"/>
  <c r="BI227" i="23" s="1"/>
  <c r="DU391" i="23" l="1"/>
  <c r="DU393" i="23" s="1"/>
  <c r="DU348" i="23" s="1"/>
  <c r="DU273" i="23"/>
  <c r="DV269" i="23" s="1"/>
  <c r="DV271" i="23" s="1"/>
  <c r="DV272" i="23" s="1"/>
  <c r="DV280" i="23" s="1"/>
  <c r="DU351" i="23"/>
  <c r="DU280" i="23"/>
  <c r="DN194" i="23"/>
  <c r="DN179" i="23"/>
  <c r="DN384" i="23"/>
  <c r="DP171" i="23"/>
  <c r="DP156" i="23"/>
  <c r="BI229" i="23"/>
  <c r="DO140" i="23"/>
  <c r="DO141" i="23" s="1"/>
  <c r="DP137" i="23" s="1"/>
  <c r="DR258" i="23"/>
  <c r="DR251" i="23"/>
  <c r="DR253" i="23" s="1"/>
  <c r="DR207" i="23"/>
  <c r="DK294" i="23"/>
  <c r="DJ399" i="23"/>
  <c r="DJ353" i="23" s="1"/>
  <c r="DJ397" i="23"/>
  <c r="DJ345" i="23" s="1"/>
  <c r="DJ398" i="23"/>
  <c r="DJ349" i="23" s="1"/>
  <c r="DQ389" i="23"/>
  <c r="DQ356" i="23" s="1"/>
  <c r="DQ387" i="23"/>
  <c r="DQ343" i="23" s="1"/>
  <c r="DQ388" i="23"/>
  <c r="DQ352" i="23" s="1"/>
  <c r="DN187" i="23"/>
  <c r="DO183" i="23" s="1"/>
  <c r="DP164" i="23"/>
  <c r="DQ160" i="23" s="1"/>
  <c r="DV351" i="23" l="1"/>
  <c r="DV273" i="23"/>
  <c r="DW269" i="23" s="1"/>
  <c r="DW271" i="23" s="1"/>
  <c r="DV391" i="23"/>
  <c r="DU392" i="23"/>
  <c r="DU344" i="23" s="1"/>
  <c r="DU394" i="23"/>
  <c r="DU357" i="23" s="1"/>
  <c r="DP139" i="23"/>
  <c r="DV393" i="23"/>
  <c r="DV348" i="23" s="1"/>
  <c r="DV392" i="23"/>
  <c r="DV344" i="23" s="1"/>
  <c r="DV394" i="23"/>
  <c r="DV357" i="23" s="1"/>
  <c r="DO185" i="23"/>
  <c r="DO186" i="23" s="1"/>
  <c r="DR208" i="23"/>
  <c r="DK396" i="23"/>
  <c r="DK302" i="23"/>
  <c r="DK355" i="23"/>
  <c r="DK94" i="23"/>
  <c r="DN93" i="23"/>
  <c r="DN342" i="23"/>
  <c r="DO148" i="23"/>
  <c r="DO133" i="23"/>
  <c r="BI230" i="23"/>
  <c r="BI231" i="23" s="1"/>
  <c r="BJ227" i="23" s="1"/>
  <c r="DQ162" i="23"/>
  <c r="DQ163" i="23" s="1"/>
  <c r="DK295" i="23"/>
  <c r="DL291" i="23" s="1"/>
  <c r="DW272" i="23" l="1"/>
  <c r="DW273" i="23" s="1"/>
  <c r="DX269" i="23" s="1"/>
  <c r="DX271" i="23" s="1"/>
  <c r="DX272" i="23" s="1"/>
  <c r="DQ156" i="23"/>
  <c r="DQ171" i="23"/>
  <c r="DO194" i="23"/>
  <c r="DO179" i="23"/>
  <c r="DO342" i="23" s="1"/>
  <c r="DO384" i="23"/>
  <c r="BJ229" i="23"/>
  <c r="BJ230" i="23" s="1"/>
  <c r="DQ164" i="23"/>
  <c r="DR160" i="23" s="1"/>
  <c r="DO187" i="23"/>
  <c r="DP183" i="23" s="1"/>
  <c r="DP140" i="23"/>
  <c r="DP141" i="23" s="1"/>
  <c r="DQ137" i="23" s="1"/>
  <c r="DL293" i="23"/>
  <c r="DL294" i="23" s="1"/>
  <c r="DR216" i="23"/>
  <c r="DR386" i="23"/>
  <c r="DR347" i="23"/>
  <c r="DK399" i="23"/>
  <c r="DK353" i="23" s="1"/>
  <c r="DK397" i="23"/>
  <c r="DK345" i="23" s="1"/>
  <c r="DK398" i="23"/>
  <c r="DK349" i="23" s="1"/>
  <c r="DR209" i="23"/>
  <c r="DS205" i="23" s="1"/>
  <c r="DW280" i="23" l="1"/>
  <c r="DW351" i="23"/>
  <c r="DW391" i="23"/>
  <c r="DO93" i="23"/>
  <c r="DX280" i="23"/>
  <c r="DX391" i="23"/>
  <c r="DX351" i="23"/>
  <c r="DW393" i="23"/>
  <c r="DW348" i="23" s="1"/>
  <c r="DW392" i="23"/>
  <c r="DW344" i="23" s="1"/>
  <c r="DW394" i="23"/>
  <c r="DW357" i="23" s="1"/>
  <c r="BJ231" i="23"/>
  <c r="BK227" i="23" s="1"/>
  <c r="DR389" i="23"/>
  <c r="DR356" i="23" s="1"/>
  <c r="DR387" i="23"/>
  <c r="DR343" i="23" s="1"/>
  <c r="DR388" i="23"/>
  <c r="DR352" i="23" s="1"/>
  <c r="DS258" i="23"/>
  <c r="DS251" i="23"/>
  <c r="DS253" i="23" s="1"/>
  <c r="DS207" i="23"/>
  <c r="DQ139" i="23"/>
  <c r="DQ140" i="23" s="1"/>
  <c r="DL396" i="23"/>
  <c r="DL302" i="23"/>
  <c r="DL355" i="23"/>
  <c r="DL94" i="23"/>
  <c r="DL295" i="23"/>
  <c r="DM291" i="23" s="1"/>
  <c r="DP185" i="23"/>
  <c r="DP148" i="23"/>
  <c r="DP133" i="23"/>
  <c r="DR162" i="23"/>
  <c r="DR163" i="23" s="1"/>
  <c r="DX273" i="23"/>
  <c r="DY269" i="23" s="1"/>
  <c r="DS208" i="23" l="1"/>
  <c r="DS209" i="23" s="1"/>
  <c r="DT205" i="23" s="1"/>
  <c r="DR156" i="23"/>
  <c r="DR171" i="23"/>
  <c r="DQ148" i="23"/>
  <c r="DQ133" i="23"/>
  <c r="DQ141" i="23"/>
  <c r="DR137" i="23" s="1"/>
  <c r="DP186" i="23"/>
  <c r="DP187" i="23" s="1"/>
  <c r="DQ183" i="23" s="1"/>
  <c r="DM293" i="23"/>
  <c r="DY271" i="23"/>
  <c r="DR164" i="23"/>
  <c r="DS160" i="23" s="1"/>
  <c r="DX393" i="23"/>
  <c r="DX392" i="23"/>
  <c r="DX394" i="23"/>
  <c r="DL399" i="23"/>
  <c r="DL397" i="23"/>
  <c r="DL398" i="23"/>
  <c r="BK229" i="23"/>
  <c r="DS386" i="23" l="1"/>
  <c r="DS389" i="23" s="1"/>
  <c r="DS356" i="23" s="1"/>
  <c r="DS347" i="23"/>
  <c r="DS216" i="23"/>
  <c r="DT251" i="23"/>
  <c r="DT253" i="23" s="1"/>
  <c r="DT258" i="23"/>
  <c r="DT207" i="23"/>
  <c r="DT208" i="23" s="1"/>
  <c r="DT209" i="23" s="1"/>
  <c r="DU205" i="23" s="1"/>
  <c r="DM294" i="23"/>
  <c r="DM302" i="23" s="1"/>
  <c r="DL349" i="23"/>
  <c r="DL353" i="23"/>
  <c r="DQ185" i="23"/>
  <c r="DQ186" i="23" s="1"/>
  <c r="BK230" i="23"/>
  <c r="BK231" i="23" s="1"/>
  <c r="BL227" i="23" s="1"/>
  <c r="DP194" i="23"/>
  <c r="DP179" i="23"/>
  <c r="DP384" i="23"/>
  <c r="DL345" i="23"/>
  <c r="DR139" i="23"/>
  <c r="DR140" i="23" s="1"/>
  <c r="DX357" i="23"/>
  <c r="DY272" i="23"/>
  <c r="DY273" i="23" s="1"/>
  <c r="DZ269" i="23" s="1"/>
  <c r="DX344" i="23"/>
  <c r="DX348" i="23"/>
  <c r="DS162" i="23"/>
  <c r="DM396" i="23" l="1"/>
  <c r="DM397" i="23" s="1"/>
  <c r="DS387" i="23"/>
  <c r="DS343" i="23" s="1"/>
  <c r="DS388" i="23"/>
  <c r="DS352" i="23" s="1"/>
  <c r="DQ187" i="23"/>
  <c r="DR183" i="23" s="1"/>
  <c r="DR185" i="23" s="1"/>
  <c r="DM295" i="23"/>
  <c r="DN291" i="23" s="1"/>
  <c r="DN293" i="23" s="1"/>
  <c r="DM355" i="23"/>
  <c r="DM94" i="23"/>
  <c r="DR148" i="23"/>
  <c r="DR133" i="23"/>
  <c r="DU251" i="23"/>
  <c r="DU253" i="23" s="1"/>
  <c r="DU258" i="23"/>
  <c r="DU207" i="23"/>
  <c r="DU208" i="23" s="1"/>
  <c r="DZ271" i="23"/>
  <c r="DR141" i="23"/>
  <c r="DS137" i="23" s="1"/>
  <c r="BL229" i="23"/>
  <c r="BL230" i="23" s="1"/>
  <c r="DT216" i="23"/>
  <c r="DT386" i="23"/>
  <c r="DT347" i="23"/>
  <c r="DQ194" i="23"/>
  <c r="DQ179" i="23"/>
  <c r="DQ384" i="23"/>
  <c r="DS163" i="23"/>
  <c r="DP93" i="23"/>
  <c r="DP342" i="23"/>
  <c r="DY280" i="23"/>
  <c r="DY391" i="23"/>
  <c r="DY351" i="23"/>
  <c r="DM399" i="23" l="1"/>
  <c r="DM398" i="23"/>
  <c r="DN294" i="23"/>
  <c r="DN396" i="23" s="1"/>
  <c r="DU216" i="23"/>
  <c r="DU386" i="23"/>
  <c r="DU347" i="23"/>
  <c r="DM349" i="23"/>
  <c r="DQ93" i="23"/>
  <c r="DQ342" i="23"/>
  <c r="DU209" i="23"/>
  <c r="DV205" i="23" s="1"/>
  <c r="DS139" i="23"/>
  <c r="DM345" i="23"/>
  <c r="DS171" i="23"/>
  <c r="DS156" i="23"/>
  <c r="BL231" i="23"/>
  <c r="BM227" i="23" s="1"/>
  <c r="DZ272" i="23"/>
  <c r="DM353" i="23"/>
  <c r="DT389" i="23"/>
  <c r="DT356" i="23" s="1"/>
  <c r="DT387" i="23"/>
  <c r="DT343" i="23" s="1"/>
  <c r="DT388" i="23"/>
  <c r="DT352" i="23" s="1"/>
  <c r="DR186" i="23"/>
  <c r="DY393" i="23"/>
  <c r="DY392" i="23"/>
  <c r="DY394" i="23"/>
  <c r="DS164" i="23"/>
  <c r="DT160" i="23" s="1"/>
  <c r="DN295" i="23" l="1"/>
  <c r="DO291" i="23" s="1"/>
  <c r="DO293" i="23" s="1"/>
  <c r="DO294" i="23" s="1"/>
  <c r="DN94" i="23"/>
  <c r="DN355" i="23"/>
  <c r="DN302" i="23"/>
  <c r="DS140" i="23"/>
  <c r="DY348" i="23"/>
  <c r="DR194" i="23"/>
  <c r="DR179" i="23"/>
  <c r="DR384" i="23"/>
  <c r="DV251" i="23"/>
  <c r="DV253" i="23" s="1"/>
  <c r="DV258" i="23"/>
  <c r="DV207" i="23"/>
  <c r="DV208" i="23" s="1"/>
  <c r="DR187" i="23"/>
  <c r="DS183" i="23" s="1"/>
  <c r="DU389" i="23"/>
  <c r="DU356" i="23" s="1"/>
  <c r="DU388" i="23"/>
  <c r="DU352" i="23" s="1"/>
  <c r="DU387" i="23"/>
  <c r="DU343" i="23" s="1"/>
  <c r="DZ280" i="23"/>
  <c r="DZ391" i="23"/>
  <c r="DZ351" i="23"/>
  <c r="DN399" i="23"/>
  <c r="DN398" i="23"/>
  <c r="DN397" i="23"/>
  <c r="BM229" i="23"/>
  <c r="DT162" i="23"/>
  <c r="DT163" i="23" s="1"/>
  <c r="DY357" i="23"/>
  <c r="DY344" i="23"/>
  <c r="DZ273" i="23"/>
  <c r="EA269" i="23" s="1"/>
  <c r="DO396" i="23" l="1"/>
  <c r="DO302" i="23"/>
  <c r="DO355" i="23"/>
  <c r="DO94" i="23"/>
  <c r="DT171" i="23"/>
  <c r="DT156" i="23"/>
  <c r="DV216" i="23"/>
  <c r="DV386" i="23"/>
  <c r="DV347" i="23"/>
  <c r="DV209" i="23"/>
  <c r="DW205" i="23" s="1"/>
  <c r="DT164" i="23"/>
  <c r="DU160" i="23" s="1"/>
  <c r="DO295" i="23"/>
  <c r="DP291" i="23" s="1"/>
  <c r="DR342" i="23"/>
  <c r="DR93" i="23"/>
  <c r="DZ394" i="23"/>
  <c r="DZ393" i="23"/>
  <c r="DZ392" i="23"/>
  <c r="BM230" i="23"/>
  <c r="BM231" i="23" s="1"/>
  <c r="BN227" i="23" s="1"/>
  <c r="DN345" i="23"/>
  <c r="DS185" i="23"/>
  <c r="EA271" i="23"/>
  <c r="EA272" i="23" s="1"/>
  <c r="DN349" i="23"/>
  <c r="DS148" i="23"/>
  <c r="DS133" i="23"/>
  <c r="DN353" i="23"/>
  <c r="DS141" i="23"/>
  <c r="DT137" i="23" s="1"/>
  <c r="DS186" i="23" l="1"/>
  <c r="DS384" i="23" s="1"/>
  <c r="EA280" i="23"/>
  <c r="EA391" i="23"/>
  <c r="EA351" i="23"/>
  <c r="BN229" i="23"/>
  <c r="DW251" i="23"/>
  <c r="DW253" i="23" s="1"/>
  <c r="DW258" i="23"/>
  <c r="DW207" i="23"/>
  <c r="DW208" i="23" s="1"/>
  <c r="DW209" i="23" s="1"/>
  <c r="DX205" i="23" s="1"/>
  <c r="DV388" i="23"/>
  <c r="DV352" i="23" s="1"/>
  <c r="DV387" i="23"/>
  <c r="DV343" i="23" s="1"/>
  <c r="DV389" i="23"/>
  <c r="DV356" i="23" s="1"/>
  <c r="DZ348" i="23"/>
  <c r="DZ357" i="23"/>
  <c r="DU162" i="23"/>
  <c r="DU163" i="23" s="1"/>
  <c r="EA273" i="23"/>
  <c r="EB269" i="23" s="1"/>
  <c r="DZ344" i="23"/>
  <c r="DT139" i="23"/>
  <c r="DP293" i="23"/>
  <c r="DP294" i="23" s="1"/>
  <c r="DO399" i="23"/>
  <c r="DO398" i="23"/>
  <c r="DO397" i="23"/>
  <c r="DS179" i="23" l="1"/>
  <c r="DS342" i="23" s="1"/>
  <c r="DS194" i="23"/>
  <c r="DS187" i="23"/>
  <c r="DT183" i="23" s="1"/>
  <c r="DT185" i="23" s="1"/>
  <c r="DX251" i="23"/>
  <c r="DX253" i="23" s="1"/>
  <c r="DX258" i="23"/>
  <c r="DX207" i="23"/>
  <c r="DP396" i="23"/>
  <c r="DP302" i="23"/>
  <c r="DP355" i="23"/>
  <c r="DP94" i="23"/>
  <c r="DU171" i="23"/>
  <c r="DU156" i="23"/>
  <c r="DU164" i="23"/>
  <c r="DV160" i="23" s="1"/>
  <c r="DT140" i="23"/>
  <c r="DT141" i="23" s="1"/>
  <c r="DU137" i="23" s="1"/>
  <c r="DO345" i="23"/>
  <c r="DO349" i="23"/>
  <c r="DP295" i="23"/>
  <c r="DQ291" i="23" s="1"/>
  <c r="EB271" i="23"/>
  <c r="BN230" i="23"/>
  <c r="BN231" i="23" s="1"/>
  <c r="BO227" i="23" s="1"/>
  <c r="EA392" i="23"/>
  <c r="EA393" i="23"/>
  <c r="EA394" i="23"/>
  <c r="DW216" i="23"/>
  <c r="DW347" i="23"/>
  <c r="DW386" i="23"/>
  <c r="DO353" i="23"/>
  <c r="DS93" i="23" l="1"/>
  <c r="DT186" i="23"/>
  <c r="DT187" i="23" s="1"/>
  <c r="DU183" i="23" s="1"/>
  <c r="DU185" i="23" s="1"/>
  <c r="BO229" i="23"/>
  <c r="EA357" i="23"/>
  <c r="EA348" i="23"/>
  <c r="EA344" i="23"/>
  <c r="DP398" i="23"/>
  <c r="DP349" i="23" s="1"/>
  <c r="DP397" i="23"/>
  <c r="DP345" i="23" s="1"/>
  <c r="DP399" i="23"/>
  <c r="DP353" i="23" s="1"/>
  <c r="EB272" i="23"/>
  <c r="EB273" i="23" s="1"/>
  <c r="EC269" i="23" s="1"/>
  <c r="DV162" i="23"/>
  <c r="DU139" i="23"/>
  <c r="DX208" i="23"/>
  <c r="DX209" i="23" s="1"/>
  <c r="DY205" i="23" s="1"/>
  <c r="DW388" i="23"/>
  <c r="DW352" i="23" s="1"/>
  <c r="DW387" i="23"/>
  <c r="DW343" i="23" s="1"/>
  <c r="DW389" i="23"/>
  <c r="DW356" i="23" s="1"/>
  <c r="DT148" i="23"/>
  <c r="DT133" i="23"/>
  <c r="DQ293" i="23"/>
  <c r="DQ294" i="23" s="1"/>
  <c r="DT179" i="23" l="1"/>
  <c r="DT342" i="23" s="1"/>
  <c r="DT194" i="23"/>
  <c r="DT384" i="23"/>
  <c r="DQ396" i="23"/>
  <c r="DQ302" i="23"/>
  <c r="DQ355" i="23"/>
  <c r="DQ94" i="23"/>
  <c r="DX216" i="23"/>
  <c r="DX386" i="23"/>
  <c r="DX347" i="23"/>
  <c r="DU186" i="23"/>
  <c r="DU140" i="23"/>
  <c r="EC271" i="23"/>
  <c r="EC272" i="23" s="1"/>
  <c r="DQ295" i="23"/>
  <c r="DR291" i="23" s="1"/>
  <c r="DV163" i="23"/>
  <c r="BO230" i="23"/>
  <c r="BO231" i="23" s="1"/>
  <c r="BP227" i="23" s="1"/>
  <c r="DY258" i="23"/>
  <c r="DY251" i="23"/>
  <c r="DY253" i="23" s="1"/>
  <c r="DY207" i="23"/>
  <c r="DY208" i="23" s="1"/>
  <c r="EB280" i="23"/>
  <c r="EB391" i="23"/>
  <c r="EB351" i="23"/>
  <c r="DT93" i="23" l="1"/>
  <c r="DY216" i="23"/>
  <c r="DY386" i="23"/>
  <c r="DY347" i="23"/>
  <c r="EC280" i="23"/>
  <c r="EC391" i="23"/>
  <c r="EC351" i="23"/>
  <c r="BP229" i="23"/>
  <c r="DU384" i="23"/>
  <c r="DU148" i="23"/>
  <c r="DU133" i="23"/>
  <c r="EC273" i="23"/>
  <c r="ED269" i="23" s="1"/>
  <c r="DX388" i="23"/>
  <c r="DX387" i="23"/>
  <c r="DX389" i="23"/>
  <c r="EB392" i="23"/>
  <c r="EB344" i="23" s="1"/>
  <c r="EB393" i="23"/>
  <c r="EB348" i="23" s="1"/>
  <c r="EB394" i="23"/>
  <c r="EB357" i="23" s="1"/>
  <c r="DU194" i="23"/>
  <c r="DU179" i="23"/>
  <c r="DY209" i="23"/>
  <c r="DZ205" i="23" s="1"/>
  <c r="DV171" i="23"/>
  <c r="DV156" i="23"/>
  <c r="DQ398" i="23"/>
  <c r="DQ349" i="23" s="1"/>
  <c r="DQ397" i="23"/>
  <c r="DQ345" i="23" s="1"/>
  <c r="DQ399" i="23"/>
  <c r="DQ353" i="23" s="1"/>
  <c r="DR293" i="23"/>
  <c r="DU187" i="23"/>
  <c r="DV183" i="23" s="1"/>
  <c r="DV164" i="23"/>
  <c r="DW160" i="23" s="1"/>
  <c r="DU141" i="23"/>
  <c r="DV137" i="23" s="1"/>
  <c r="DR294" i="23" l="1"/>
  <c r="DR295" i="23" s="1"/>
  <c r="DS291" i="23" s="1"/>
  <c r="DS293" i="23" s="1"/>
  <c r="ED271" i="23"/>
  <c r="DZ258" i="23"/>
  <c r="DZ251" i="23"/>
  <c r="DZ253" i="23" s="1"/>
  <c r="DZ207" i="23"/>
  <c r="DZ208" i="23" s="1"/>
  <c r="DW162" i="23"/>
  <c r="BP230" i="23"/>
  <c r="BP231" i="23" s="1"/>
  <c r="BQ227" i="23" s="1"/>
  <c r="DU342" i="23"/>
  <c r="DU93" i="23"/>
  <c r="EC392" i="23"/>
  <c r="EC344" i="23" s="1"/>
  <c r="EC393" i="23"/>
  <c r="EC348" i="23" s="1"/>
  <c r="EC394" i="23"/>
  <c r="EC357" i="23" s="1"/>
  <c r="DV185" i="23"/>
  <c r="DX352" i="23"/>
  <c r="DV139" i="23"/>
  <c r="DV140" i="23" s="1"/>
  <c r="DX356" i="23"/>
  <c r="DY388" i="23"/>
  <c r="DY352" i="23" s="1"/>
  <c r="DY389" i="23"/>
  <c r="DY356" i="23" s="1"/>
  <c r="DY387" i="23"/>
  <c r="DY343" i="23" s="1"/>
  <c r="DX343" i="23"/>
  <c r="DR302" i="23" l="1"/>
  <c r="DR94" i="23"/>
  <c r="DR355" i="23"/>
  <c r="DR396" i="23"/>
  <c r="DR399" i="23" s="1"/>
  <c r="DR353" i="23" s="1"/>
  <c r="DV186" i="23"/>
  <c r="DV187" i="23" s="1"/>
  <c r="DW183" i="23" s="1"/>
  <c r="DW185" i="23" s="1"/>
  <c r="DV141" i="23"/>
  <c r="DW137" i="23" s="1"/>
  <c r="DW139" i="23" s="1"/>
  <c r="BQ229" i="23"/>
  <c r="BQ230" i="23" s="1"/>
  <c r="DZ216" i="23"/>
  <c r="DZ386" i="23"/>
  <c r="DZ347" i="23"/>
  <c r="DZ209" i="23"/>
  <c r="EA205" i="23" s="1"/>
  <c r="DV148" i="23"/>
  <c r="DV133" i="23"/>
  <c r="ED272" i="23"/>
  <c r="ED273" i="23" s="1"/>
  <c r="EE269" i="23" s="1"/>
  <c r="DW163" i="23"/>
  <c r="DW164" i="23" s="1"/>
  <c r="DX160" i="23" s="1"/>
  <c r="DS294" i="23"/>
  <c r="DS295" i="23" s="1"/>
  <c r="DT291" i="23" s="1"/>
  <c r="DV384" i="23" l="1"/>
  <c r="DR398" i="23"/>
  <c r="DR349" i="23" s="1"/>
  <c r="DV194" i="23"/>
  <c r="DR397" i="23"/>
  <c r="DR345" i="23" s="1"/>
  <c r="DV179" i="23"/>
  <c r="DV342" i="23" s="1"/>
  <c r="DT293" i="23"/>
  <c r="DW171" i="23"/>
  <c r="DW156" i="23"/>
  <c r="DV93" i="23"/>
  <c r="ED280" i="23"/>
  <c r="ED391" i="23"/>
  <c r="ED351" i="23"/>
  <c r="DW186" i="23"/>
  <c r="DW187" i="23" s="1"/>
  <c r="DX183" i="23" s="1"/>
  <c r="DX162" i="23"/>
  <c r="EA258" i="23"/>
  <c r="EA251" i="23"/>
  <c r="EA253" i="23" s="1"/>
  <c r="EA207" i="23"/>
  <c r="DS396" i="23"/>
  <c r="DS302" i="23"/>
  <c r="DS355" i="23"/>
  <c r="DS94" i="23"/>
  <c r="DW140" i="23"/>
  <c r="DW141" i="23" s="1"/>
  <c r="DX137" i="23" s="1"/>
  <c r="EE271" i="23"/>
  <c r="EE272" i="23" s="1"/>
  <c r="BQ231" i="23"/>
  <c r="BR227" i="23" s="1"/>
  <c r="DZ388" i="23"/>
  <c r="DZ387" i="23"/>
  <c r="DZ389" i="23"/>
  <c r="EE273" i="23" l="1"/>
  <c r="EF269" i="23" s="1"/>
  <c r="EF271" i="23" s="1"/>
  <c r="DX185" i="23"/>
  <c r="DX186" i="23" s="1"/>
  <c r="DZ343" i="23"/>
  <c r="BR229" i="23"/>
  <c r="BR230" i="23" s="1"/>
  <c r="DX139" i="23"/>
  <c r="ED392" i="23"/>
  <c r="ED344" i="23" s="1"/>
  <c r="ED393" i="23"/>
  <c r="ED348" i="23" s="1"/>
  <c r="ED394" i="23"/>
  <c r="ED357" i="23" s="1"/>
  <c r="EE280" i="23"/>
  <c r="EE351" i="23"/>
  <c r="EE391" i="23"/>
  <c r="DZ352" i="23"/>
  <c r="EA208" i="23"/>
  <c r="DW384" i="23"/>
  <c r="DW148" i="23"/>
  <c r="DW133" i="23"/>
  <c r="DX163" i="23"/>
  <c r="DX164" i="23" s="1"/>
  <c r="DY160" i="23" s="1"/>
  <c r="DT294" i="23"/>
  <c r="DT295" i="23" s="1"/>
  <c r="DU291" i="23" s="1"/>
  <c r="DW194" i="23"/>
  <c r="DW179" i="23"/>
  <c r="DZ356" i="23"/>
  <c r="DS398" i="23"/>
  <c r="DS349" i="23" s="1"/>
  <c r="DS397" i="23"/>
  <c r="DS345" i="23" s="1"/>
  <c r="DS399" i="23"/>
  <c r="DS353" i="23" s="1"/>
  <c r="DY162" i="23" l="1"/>
  <c r="EE394" i="23"/>
  <c r="EE357" i="23" s="1"/>
  <c r="EE393" i="23"/>
  <c r="EE348" i="23" s="1"/>
  <c r="EE392" i="23"/>
  <c r="EE344" i="23" s="1"/>
  <c r="DT396" i="23"/>
  <c r="DT302" i="23"/>
  <c r="DT355" i="23"/>
  <c r="DT94" i="23"/>
  <c r="EF272" i="23"/>
  <c r="EF273" i="23" s="1"/>
  <c r="EG269" i="23" s="1"/>
  <c r="DX194" i="23"/>
  <c r="DX179" i="23"/>
  <c r="DX140" i="23"/>
  <c r="DX141" i="23" s="1"/>
  <c r="DY137" i="23" s="1"/>
  <c r="DX187" i="23"/>
  <c r="DY183" i="23" s="1"/>
  <c r="DU293" i="23"/>
  <c r="DX171" i="23"/>
  <c r="DX156" i="23"/>
  <c r="EA216" i="23"/>
  <c r="EA386" i="23"/>
  <c r="EA347" i="23"/>
  <c r="DW342" i="23"/>
  <c r="DW93" i="23"/>
  <c r="BR231" i="23"/>
  <c r="BS227" i="23" s="1"/>
  <c r="EA209" i="23"/>
  <c r="EB205" i="23" s="1"/>
  <c r="DY185" i="23" l="1"/>
  <c r="DX384" i="23"/>
  <c r="DX148" i="23"/>
  <c r="DX133" i="23"/>
  <c r="EG271" i="23"/>
  <c r="EG272" i="23" s="1"/>
  <c r="DU294" i="23"/>
  <c r="DT398" i="23"/>
  <c r="DT349" i="23" s="1"/>
  <c r="DT397" i="23"/>
  <c r="DT345" i="23" s="1"/>
  <c r="DT399" i="23"/>
  <c r="DT353" i="23" s="1"/>
  <c r="BS229" i="23"/>
  <c r="BS230" i="23" s="1"/>
  <c r="EB258" i="23"/>
  <c r="EB251" i="23"/>
  <c r="EB253" i="23" s="1"/>
  <c r="EB207" i="23"/>
  <c r="EB208" i="23" s="1"/>
  <c r="EA389" i="23"/>
  <c r="EA387" i="23"/>
  <c r="EA388" i="23"/>
  <c r="EF280" i="23"/>
  <c r="EF391" i="23"/>
  <c r="EF351" i="23"/>
  <c r="DY163" i="23"/>
  <c r="DY164" i="23" s="1"/>
  <c r="DZ160" i="23" s="1"/>
  <c r="DY139" i="23"/>
  <c r="DY140" i="23" s="1"/>
  <c r="EG273" i="23" l="1"/>
  <c r="EH269" i="23" s="1"/>
  <c r="EH271" i="23" s="1"/>
  <c r="EH272" i="23" s="1"/>
  <c r="DZ162" i="23"/>
  <c r="EB216" i="23"/>
  <c r="EB386" i="23"/>
  <c r="EB347" i="23"/>
  <c r="DY148" i="23"/>
  <c r="DY133" i="23"/>
  <c r="EG280" i="23"/>
  <c r="EG391" i="23"/>
  <c r="EG351" i="23"/>
  <c r="BS231" i="23"/>
  <c r="BT227" i="23" s="1"/>
  <c r="DY141" i="23"/>
  <c r="DZ137" i="23" s="1"/>
  <c r="EB209" i="23"/>
  <c r="EC205" i="23" s="1"/>
  <c r="EA352" i="23"/>
  <c r="EA356" i="23"/>
  <c r="DX342" i="23"/>
  <c r="DX93" i="23"/>
  <c r="EF393" i="23"/>
  <c r="EF348" i="23" s="1"/>
  <c r="EF394" i="23"/>
  <c r="EF357" i="23" s="1"/>
  <c r="EF392" i="23"/>
  <c r="EF344" i="23" s="1"/>
  <c r="DY186" i="23"/>
  <c r="DY384" i="23" s="1"/>
  <c r="DY171" i="23"/>
  <c r="DY156" i="23"/>
  <c r="EA343" i="23"/>
  <c r="DU396" i="23"/>
  <c r="DU302" i="23"/>
  <c r="DU355" i="23"/>
  <c r="DU94" i="23"/>
  <c r="DU295" i="23"/>
  <c r="DV291" i="23" s="1"/>
  <c r="DY187" i="23" l="1"/>
  <c r="DZ183" i="23" s="1"/>
  <c r="DZ185" i="23" s="1"/>
  <c r="EH280" i="23"/>
  <c r="EH391" i="23"/>
  <c r="EH351" i="23"/>
  <c r="EH273" i="23"/>
  <c r="EI269" i="23" s="1"/>
  <c r="EC258" i="23"/>
  <c r="EC251" i="23"/>
  <c r="EC253" i="23" s="1"/>
  <c r="EC207" i="23"/>
  <c r="EC208" i="23" s="1"/>
  <c r="DZ139" i="23"/>
  <c r="BT229" i="23"/>
  <c r="BT230" i="23" s="1"/>
  <c r="DV293" i="23"/>
  <c r="EB387" i="23"/>
  <c r="EB389" i="23"/>
  <c r="EB356" i="23" s="1"/>
  <c r="EB388" i="23"/>
  <c r="DU397" i="23"/>
  <c r="DU345" i="23" s="1"/>
  <c r="DU399" i="23"/>
  <c r="DU353" i="23" s="1"/>
  <c r="DU398" i="23"/>
  <c r="DU349" i="23" s="1"/>
  <c r="EG394" i="23"/>
  <c r="EG357" i="23" s="1"/>
  <c r="EG392" i="23"/>
  <c r="EG344" i="23" s="1"/>
  <c r="EG393" i="23"/>
  <c r="EG348" i="23" s="1"/>
  <c r="DY194" i="23"/>
  <c r="DY179" i="23"/>
  <c r="DY342" i="23" s="1"/>
  <c r="DZ163" i="23"/>
  <c r="DV294" i="23" l="1"/>
  <c r="DV295" i="23" s="1"/>
  <c r="DW291" i="23" s="1"/>
  <c r="DY93" i="23"/>
  <c r="EC216" i="23"/>
  <c r="EC386" i="23"/>
  <c r="EC347" i="23"/>
  <c r="EC209" i="23"/>
  <c r="ED205" i="23" s="1"/>
  <c r="DZ186" i="23"/>
  <c r="DZ140" i="23"/>
  <c r="DZ141" i="23" s="1"/>
  <c r="EA137" i="23" s="1"/>
  <c r="EB352" i="23"/>
  <c r="EB343" i="23"/>
  <c r="DZ171" i="23"/>
  <c r="DZ156" i="23"/>
  <c r="EI271" i="23"/>
  <c r="DZ164" i="23"/>
  <c r="EA160" i="23" s="1"/>
  <c r="EH394" i="23"/>
  <c r="EH357" i="23" s="1"/>
  <c r="EH392" i="23"/>
  <c r="EH344" i="23" s="1"/>
  <c r="EH393" i="23"/>
  <c r="EH348" i="23" s="1"/>
  <c r="BT231" i="23"/>
  <c r="BU227" i="23" s="1"/>
  <c r="DV396" i="23" l="1"/>
  <c r="DV302" i="23"/>
  <c r="DV94" i="23"/>
  <c r="DV355" i="23"/>
  <c r="DW293" i="23"/>
  <c r="EA139" i="23"/>
  <c r="DZ194" i="23"/>
  <c r="DZ179" i="23"/>
  <c r="ED258" i="23"/>
  <c r="ED251" i="23"/>
  <c r="ED253" i="23" s="1"/>
  <c r="ED207" i="23"/>
  <c r="EA162" i="23"/>
  <c r="EA163" i="23" s="1"/>
  <c r="DZ187" i="23"/>
  <c r="EA183" i="23" s="1"/>
  <c r="DZ384" i="23"/>
  <c r="DZ148" i="23"/>
  <c r="DZ133" i="23"/>
  <c r="E271" i="23"/>
  <c r="J271" i="23"/>
  <c r="K271" i="23"/>
  <c r="L271" i="23"/>
  <c r="M271" i="23"/>
  <c r="N271" i="23"/>
  <c r="BU229" i="23"/>
  <c r="EI272" i="23"/>
  <c r="EC387" i="23"/>
  <c r="EC343" i="23" s="1"/>
  <c r="EC389" i="23"/>
  <c r="EC356" i="23" s="1"/>
  <c r="EC388" i="23"/>
  <c r="EC352" i="23" s="1"/>
  <c r="DV397" i="23"/>
  <c r="DV345" i="23" s="1"/>
  <c r="DV399" i="23"/>
  <c r="DV353" i="23" s="1"/>
  <c r="DV398" i="23"/>
  <c r="DV349" i="23" s="1"/>
  <c r="DW294" i="23" l="1"/>
  <c r="EA171" i="23"/>
  <c r="EA156" i="23"/>
  <c r="EA164" i="23"/>
  <c r="EB160" i="23" s="1"/>
  <c r="ED208" i="23"/>
  <c r="ED209" i="23" s="1"/>
  <c r="EE205" i="23" s="1"/>
  <c r="EA140" i="23"/>
  <c r="EA141" i="23" s="1"/>
  <c r="EB137" i="23" s="1"/>
  <c r="O271" i="23"/>
  <c r="DZ342" i="23"/>
  <c r="DZ93" i="23"/>
  <c r="EA185" i="23"/>
  <c r="EA186" i="23" s="1"/>
  <c r="EI280" i="23"/>
  <c r="E272" i="23"/>
  <c r="E273" i="23" s="1"/>
  <c r="F269" i="23" s="1"/>
  <c r="EI391" i="23"/>
  <c r="EI351" i="23"/>
  <c r="J272" i="23"/>
  <c r="K272" i="23"/>
  <c r="L272" i="23"/>
  <c r="M272" i="23"/>
  <c r="N272" i="23"/>
  <c r="BU230" i="23"/>
  <c r="BU231" i="23" s="1"/>
  <c r="BV227" i="23" s="1"/>
  <c r="EI273" i="23"/>
  <c r="DW94" i="23" l="1"/>
  <c r="DW396" i="23"/>
  <c r="DW355" i="23"/>
  <c r="DW302" i="23"/>
  <c r="DW295" i="23"/>
  <c r="DX291" i="23" s="1"/>
  <c r="EA194" i="23"/>
  <c r="EA179" i="23"/>
  <c r="EA187" i="23"/>
  <c r="EB183" i="23" s="1"/>
  <c r="F273" i="23"/>
  <c r="G269" i="23" s="1"/>
  <c r="F276" i="23"/>
  <c r="F278" i="23" s="1"/>
  <c r="ED216" i="23"/>
  <c r="ED386" i="23"/>
  <c r="ED347" i="23"/>
  <c r="BV229" i="23"/>
  <c r="EA384" i="23"/>
  <c r="EA148" i="23"/>
  <c r="EA133" i="23"/>
  <c r="E351" i="23"/>
  <c r="J351" i="23"/>
  <c r="K351" i="23"/>
  <c r="L351" i="23"/>
  <c r="M351" i="23"/>
  <c r="N351" i="23"/>
  <c r="O272" i="23"/>
  <c r="J202" i="16" s="1"/>
  <c r="EI394" i="23"/>
  <c r="EI392" i="23"/>
  <c r="EI393" i="23"/>
  <c r="E391" i="23"/>
  <c r="J391" i="23"/>
  <c r="K391" i="23"/>
  <c r="L391" i="23"/>
  <c r="M391" i="23"/>
  <c r="N391" i="23"/>
  <c r="F280" i="23"/>
  <c r="E280" i="23"/>
  <c r="G280" i="23"/>
  <c r="H280" i="23"/>
  <c r="J280" i="23"/>
  <c r="K280" i="23"/>
  <c r="I280" i="23"/>
  <c r="M280" i="23"/>
  <c r="L280" i="23"/>
  <c r="K219" i="16"/>
  <c r="N280" i="23"/>
  <c r="EB162" i="23"/>
  <c r="EB163" i="23" s="1"/>
  <c r="EB139" i="23"/>
  <c r="EE258" i="23"/>
  <c r="EE251" i="23"/>
  <c r="EE253" i="23" s="1"/>
  <c r="EE207" i="23"/>
  <c r="DX293" i="23" l="1"/>
  <c r="DX294" i="23" s="1"/>
  <c r="EB140" i="23"/>
  <c r="EB141" i="23" s="1"/>
  <c r="EC137" i="23" s="1"/>
  <c r="EC139" i="23" s="1"/>
  <c r="DW397" i="23"/>
  <c r="DW345" i="23" s="1"/>
  <c r="DW398" i="23"/>
  <c r="DW349" i="23" s="1"/>
  <c r="DW399" i="23"/>
  <c r="DW353" i="23" s="1"/>
  <c r="EB171" i="23"/>
  <c r="EB156" i="23"/>
  <c r="EI348" i="23"/>
  <c r="E393" i="23"/>
  <c r="J393" i="23"/>
  <c r="K393" i="23"/>
  <c r="L393" i="23"/>
  <c r="M393" i="23"/>
  <c r="N393" i="23"/>
  <c r="EI357" i="23"/>
  <c r="E394" i="23"/>
  <c r="J394" i="23"/>
  <c r="K394" i="23"/>
  <c r="L394" i="23"/>
  <c r="M394" i="23"/>
  <c r="N394" i="23"/>
  <c r="ED389" i="23"/>
  <c r="ED356" i="23" s="1"/>
  <c r="ED388" i="23"/>
  <c r="ED352" i="23" s="1"/>
  <c r="ED387" i="23"/>
  <c r="ED343" i="23" s="1"/>
  <c r="O273" i="23"/>
  <c r="F277" i="23"/>
  <c r="AF278" i="23"/>
  <c r="AG278" i="23"/>
  <c r="AH278" i="23"/>
  <c r="AI278" i="23"/>
  <c r="AJ278" i="23"/>
  <c r="AK278" i="23"/>
  <c r="AL278" i="23"/>
  <c r="AM278" i="23"/>
  <c r="AN278" i="23"/>
  <c r="AO278" i="23"/>
  <c r="AP278" i="23"/>
  <c r="AQ278" i="23"/>
  <c r="BV230" i="23"/>
  <c r="BV231" i="23" s="1"/>
  <c r="BW227" i="23" s="1"/>
  <c r="EB164" i="23"/>
  <c r="EC160" i="23" s="1"/>
  <c r="EE208" i="23"/>
  <c r="AF276" i="23"/>
  <c r="AG276" i="23"/>
  <c r="AH276" i="23"/>
  <c r="AI276" i="23"/>
  <c r="AJ276" i="23"/>
  <c r="AK276" i="23"/>
  <c r="AL276" i="23"/>
  <c r="AM276" i="23"/>
  <c r="AN276" i="23"/>
  <c r="AO276" i="23"/>
  <c r="AP276" i="23"/>
  <c r="AQ276" i="23"/>
  <c r="O351" i="23"/>
  <c r="G273" i="23"/>
  <c r="H269" i="23" s="1"/>
  <c r="G276" i="23"/>
  <c r="G278" i="23" s="1"/>
  <c r="EB185" i="23"/>
  <c r="EI344" i="23"/>
  <c r="E392" i="23"/>
  <c r="J392" i="23"/>
  <c r="K392" i="23"/>
  <c r="L392" i="23"/>
  <c r="M392" i="23"/>
  <c r="N392" i="23"/>
  <c r="EA342" i="23"/>
  <c r="EA93" i="23"/>
  <c r="O391" i="23"/>
  <c r="C33" i="14" s="1"/>
  <c r="EB133" i="23" l="1"/>
  <c r="EB148" i="23"/>
  <c r="DX295" i="23"/>
  <c r="DY291" i="23" s="1"/>
  <c r="DX396" i="23"/>
  <c r="DX302" i="23"/>
  <c r="DX355" i="23"/>
  <c r="DX94" i="23"/>
  <c r="BW229" i="23"/>
  <c r="G277" i="23"/>
  <c r="AR278" i="23"/>
  <c r="AS278" i="23"/>
  <c r="AT278" i="23"/>
  <c r="AU278" i="23"/>
  <c r="AV278" i="23"/>
  <c r="AW278" i="23"/>
  <c r="AX278" i="23"/>
  <c r="AY278" i="23"/>
  <c r="AZ278" i="23"/>
  <c r="BA278" i="23"/>
  <c r="BB278" i="23"/>
  <c r="BC278" i="23"/>
  <c r="AG265" i="23"/>
  <c r="AG266" i="23" s="1"/>
  <c r="AG277" i="23"/>
  <c r="EC162" i="23"/>
  <c r="O393" i="23"/>
  <c r="AQ277" i="23"/>
  <c r="AQ265" i="23"/>
  <c r="AQ266" i="23" s="1"/>
  <c r="E348" i="23"/>
  <c r="J348" i="23"/>
  <c r="K348" i="23"/>
  <c r="L348" i="23"/>
  <c r="M348" i="23"/>
  <c r="N348" i="23"/>
  <c r="EE216" i="23"/>
  <c r="EE386" i="23"/>
  <c r="EE347" i="23"/>
  <c r="AP277" i="23"/>
  <c r="AP265" i="23"/>
  <c r="AP266" i="23" s="1"/>
  <c r="AR276" i="23"/>
  <c r="AS276" i="23"/>
  <c r="AT276" i="23"/>
  <c r="AU276" i="23"/>
  <c r="AV276" i="23"/>
  <c r="AW276" i="23"/>
  <c r="AX276" i="23"/>
  <c r="AY276" i="23"/>
  <c r="AZ276" i="23"/>
  <c r="BA276" i="23"/>
  <c r="BB276" i="23"/>
  <c r="BC276" i="23"/>
  <c r="H273" i="23"/>
  <c r="I269" i="23" s="1"/>
  <c r="H276" i="23"/>
  <c r="E344" i="23"/>
  <c r="J344" i="23"/>
  <c r="K344" i="23"/>
  <c r="L344" i="23"/>
  <c r="M344" i="23"/>
  <c r="N344" i="23"/>
  <c r="AO277" i="23"/>
  <c r="AO265" i="23"/>
  <c r="AO266" i="23" s="1"/>
  <c r="AN277" i="23"/>
  <c r="AN265" i="23"/>
  <c r="AN266" i="23" s="1"/>
  <c r="EC140" i="23"/>
  <c r="AM277" i="23"/>
  <c r="AM265" i="23"/>
  <c r="AM266" i="23" s="1"/>
  <c r="AL277" i="23"/>
  <c r="AL265" i="23"/>
  <c r="AL266" i="23" s="1"/>
  <c r="EB186" i="23"/>
  <c r="AK277" i="23"/>
  <c r="AK265" i="23"/>
  <c r="AK266" i="23" s="1"/>
  <c r="EE209" i="23"/>
  <c r="EF205" i="23" s="1"/>
  <c r="AJ277" i="23"/>
  <c r="AJ265" i="23"/>
  <c r="AJ266" i="23" s="1"/>
  <c r="AF265" i="23"/>
  <c r="AF277" i="23"/>
  <c r="AI277" i="23"/>
  <c r="AI265" i="23"/>
  <c r="AI266" i="23" s="1"/>
  <c r="O394" i="23"/>
  <c r="O392" i="23"/>
  <c r="AH265" i="23"/>
  <c r="AH266" i="23" s="1"/>
  <c r="AH277" i="23"/>
  <c r="E357" i="23"/>
  <c r="J357" i="23"/>
  <c r="K357" i="23"/>
  <c r="L357" i="23"/>
  <c r="M357" i="23"/>
  <c r="N357" i="23"/>
  <c r="O348" i="23" l="1"/>
  <c r="DX397" i="23"/>
  <c r="DX345" i="23" s="1"/>
  <c r="DX398" i="23"/>
  <c r="DX349" i="23" s="1"/>
  <c r="DX399" i="23"/>
  <c r="DX353" i="23" s="1"/>
  <c r="DY293" i="23"/>
  <c r="DY294" i="23" s="1"/>
  <c r="BA277" i="23"/>
  <c r="BA265" i="23"/>
  <c r="BA266" i="23" s="1"/>
  <c r="AV277" i="23"/>
  <c r="AV265" i="23"/>
  <c r="AV266" i="23" s="1"/>
  <c r="AZ277" i="23"/>
  <c r="AZ265" i="23"/>
  <c r="AZ266" i="23" s="1"/>
  <c r="EF258" i="23"/>
  <c r="EF251" i="23"/>
  <c r="EF253" i="23" s="1"/>
  <c r="EF207" i="23"/>
  <c r="EF208" i="23" s="1"/>
  <c r="AY277" i="23"/>
  <c r="AY265" i="23"/>
  <c r="AY266" i="23" s="1"/>
  <c r="AX265" i="23"/>
  <c r="AX266" i="23" s="1"/>
  <c r="AX277" i="23"/>
  <c r="AW265" i="23"/>
  <c r="AW266" i="23" s="1"/>
  <c r="AW277" i="23"/>
  <c r="O344" i="23"/>
  <c r="AU277" i="23"/>
  <c r="AU265" i="23"/>
  <c r="AU266" i="23" s="1"/>
  <c r="BD276" i="23"/>
  <c r="BE276" i="23"/>
  <c r="BF276" i="23"/>
  <c r="BG276" i="23"/>
  <c r="BH276" i="23"/>
  <c r="BI276" i="23"/>
  <c r="BJ276" i="23"/>
  <c r="BK276" i="23"/>
  <c r="BL276" i="23"/>
  <c r="BM276" i="23"/>
  <c r="BN276" i="23"/>
  <c r="BO276" i="23"/>
  <c r="EC163" i="23"/>
  <c r="AT277" i="23"/>
  <c r="AT265" i="23"/>
  <c r="AT266" i="23" s="1"/>
  <c r="H278" i="23"/>
  <c r="AS277" i="23"/>
  <c r="AS265" i="23"/>
  <c r="AS266" i="23" s="1"/>
  <c r="I273" i="23"/>
  <c r="J269" i="23" s="1"/>
  <c r="I276" i="23"/>
  <c r="EE387" i="23"/>
  <c r="EE343" i="23" s="1"/>
  <c r="EE388" i="23"/>
  <c r="EE352" i="23" s="1"/>
  <c r="EE389" i="23"/>
  <c r="EE356" i="23" s="1"/>
  <c r="AR277" i="23"/>
  <c r="AR265" i="23"/>
  <c r="EB194" i="23"/>
  <c r="EB179" i="23"/>
  <c r="EB384" i="23"/>
  <c r="EC148" i="23"/>
  <c r="EC133" i="23"/>
  <c r="EC141" i="23"/>
  <c r="ED137" i="23" s="1"/>
  <c r="BW230" i="23"/>
  <c r="BW231" i="23" s="1"/>
  <c r="BX227" i="23" s="1"/>
  <c r="AF266" i="23"/>
  <c r="F265" i="23"/>
  <c r="BC277" i="23"/>
  <c r="BC265" i="23"/>
  <c r="BC266" i="23" s="1"/>
  <c r="O357" i="23"/>
  <c r="BB277" i="23"/>
  <c r="BB265" i="23"/>
  <c r="BB266" i="23" s="1"/>
  <c r="EB187" i="23"/>
  <c r="EC183" i="23" s="1"/>
  <c r="DY396" i="23" l="1"/>
  <c r="DY302" i="23"/>
  <c r="DY355" i="23"/>
  <c r="DY94" i="23"/>
  <c r="DY295" i="23"/>
  <c r="DZ291" i="23" s="1"/>
  <c r="DZ293" i="23" s="1"/>
  <c r="DZ294" i="23" s="1"/>
  <c r="EF216" i="23"/>
  <c r="EF386" i="23"/>
  <c r="EF347" i="23"/>
  <c r="EF209" i="23"/>
  <c r="EG205" i="23" s="1"/>
  <c r="AR266" i="23"/>
  <c r="G265" i="23"/>
  <c r="G266" i="23" s="1"/>
  <c r="EC171" i="23"/>
  <c r="EC156" i="23"/>
  <c r="H277" i="23"/>
  <c r="BD278" i="23"/>
  <c r="BE278" i="23"/>
  <c r="BF278" i="23"/>
  <c r="BG278" i="23"/>
  <c r="BH278" i="23"/>
  <c r="BI278" i="23"/>
  <c r="BJ278" i="23"/>
  <c r="BK278" i="23"/>
  <c r="BL278" i="23"/>
  <c r="BM278" i="23"/>
  <c r="BN278" i="23"/>
  <c r="BO278" i="23"/>
  <c r="BP276" i="23"/>
  <c r="BQ276" i="23"/>
  <c r="BR276" i="23"/>
  <c r="BS276" i="23"/>
  <c r="BT276" i="23"/>
  <c r="BU276" i="23"/>
  <c r="BV276" i="23"/>
  <c r="BW276" i="23"/>
  <c r="BX276" i="23"/>
  <c r="BY276" i="23"/>
  <c r="BZ276" i="23"/>
  <c r="CA276" i="23"/>
  <c r="F266" i="23"/>
  <c r="ED139" i="23"/>
  <c r="I278" i="23"/>
  <c r="EB342" i="23"/>
  <c r="EB93" i="23"/>
  <c r="EC185" i="23"/>
  <c r="EC186" i="23" s="1"/>
  <c r="J273" i="23"/>
  <c r="K269" i="23" s="1"/>
  <c r="J276" i="23"/>
  <c r="J278" i="23" s="1"/>
  <c r="BX229" i="23"/>
  <c r="BX230" i="23" s="1"/>
  <c r="EC164" i="23"/>
  <c r="ED160" i="23" s="1"/>
  <c r="EC187" i="23" l="1"/>
  <c r="ED183" i="23" s="1"/>
  <c r="ED185" i="23" s="1"/>
  <c r="DY398" i="23"/>
  <c r="DY349" i="23" s="1"/>
  <c r="DY397" i="23"/>
  <c r="DY345" i="23" s="1"/>
  <c r="DY399" i="23"/>
  <c r="DY353" i="23" s="1"/>
  <c r="J277" i="23"/>
  <c r="CB278" i="23"/>
  <c r="CC278" i="23"/>
  <c r="CD278" i="23"/>
  <c r="CE278" i="23"/>
  <c r="CF278" i="23"/>
  <c r="CG278" i="23"/>
  <c r="CH278" i="23"/>
  <c r="CI278" i="23"/>
  <c r="CJ278" i="23"/>
  <c r="CK278" i="23"/>
  <c r="CL278" i="23"/>
  <c r="CM278" i="23"/>
  <c r="BO277" i="23"/>
  <c r="BO265" i="23"/>
  <c r="BO266" i="23" s="1"/>
  <c r="DZ396" i="23"/>
  <c r="DZ302" i="23"/>
  <c r="DZ355" i="23"/>
  <c r="DZ94" i="23"/>
  <c r="BL265" i="23"/>
  <c r="BL266" i="23" s="1"/>
  <c r="BL277" i="23"/>
  <c r="BK265" i="23"/>
  <c r="BK266" i="23" s="1"/>
  <c r="BK277" i="23"/>
  <c r="ED162" i="23"/>
  <c r="BJ265" i="23"/>
  <c r="BJ266" i="23" s="1"/>
  <c r="BJ277" i="23"/>
  <c r="EC194" i="23"/>
  <c r="EC179" i="23"/>
  <c r="EC384" i="23"/>
  <c r="BI265" i="23"/>
  <c r="BI266" i="23" s="1"/>
  <c r="BI277" i="23"/>
  <c r="I277" i="23"/>
  <c r="BP278" i="23"/>
  <c r="BQ278" i="23"/>
  <c r="BR278" i="23"/>
  <c r="BS278" i="23"/>
  <c r="BT278" i="23"/>
  <c r="BU278" i="23"/>
  <c r="BV278" i="23"/>
  <c r="BW278" i="23"/>
  <c r="BX278" i="23"/>
  <c r="BY278" i="23"/>
  <c r="BZ278" i="23"/>
  <c r="CA278" i="23"/>
  <c r="BH265" i="23"/>
  <c r="BH266" i="23" s="1"/>
  <c r="BH277" i="23"/>
  <c r="BG265" i="23"/>
  <c r="BG266" i="23" s="1"/>
  <c r="BG277" i="23"/>
  <c r="BF265" i="23"/>
  <c r="BF266" i="23" s="1"/>
  <c r="BF277" i="23"/>
  <c r="EG258" i="23"/>
  <c r="EG251" i="23"/>
  <c r="EG253" i="23" s="1"/>
  <c r="EG207" i="23"/>
  <c r="BM265" i="23"/>
  <c r="BM266" i="23" s="1"/>
  <c r="BM277" i="23"/>
  <c r="BX231" i="23"/>
  <c r="BY227" i="23" s="1"/>
  <c r="BE277" i="23"/>
  <c r="BE265" i="23"/>
  <c r="BE266" i="23" s="1"/>
  <c r="ED140" i="23"/>
  <c r="ED141" i="23" s="1"/>
  <c r="EE137" i="23" s="1"/>
  <c r="BD277" i="23"/>
  <c r="BD265" i="23"/>
  <c r="EF389" i="23"/>
  <c r="EF356" i="23" s="1"/>
  <c r="EF388" i="23"/>
  <c r="EF352" i="23" s="1"/>
  <c r="EF387" i="23"/>
  <c r="EF343" i="23" s="1"/>
  <c r="CB276" i="23"/>
  <c r="CC276" i="23"/>
  <c r="CD276" i="23"/>
  <c r="CE276" i="23"/>
  <c r="CF276" i="23"/>
  <c r="CG276" i="23"/>
  <c r="CH276" i="23"/>
  <c r="CI276" i="23"/>
  <c r="CJ276" i="23"/>
  <c r="CK276" i="23"/>
  <c r="CL276" i="23"/>
  <c r="CM276" i="23"/>
  <c r="BN277" i="23"/>
  <c r="BN265" i="23"/>
  <c r="BN266" i="23" s="1"/>
  <c r="K273" i="23"/>
  <c r="L269" i="23" s="1"/>
  <c r="K276" i="23"/>
  <c r="DZ295" i="23"/>
  <c r="EA291" i="23" s="1"/>
  <c r="ED163" i="23" l="1"/>
  <c r="ED164" i="23" s="1"/>
  <c r="EE160" i="23" s="1"/>
  <c r="EE162" i="23" s="1"/>
  <c r="EE163" i="23" s="1"/>
  <c r="EE139" i="23"/>
  <c r="BR277" i="23"/>
  <c r="BR265" i="23"/>
  <c r="BR266" i="23" s="1"/>
  <c r="BY229" i="23"/>
  <c r="BQ277" i="23"/>
  <c r="BQ265" i="23"/>
  <c r="BQ266" i="23" s="1"/>
  <c r="ED186" i="23"/>
  <c r="BP277" i="23"/>
  <c r="BP265" i="23"/>
  <c r="CL277" i="23"/>
  <c r="CL265" i="23"/>
  <c r="CL266" i="23" s="1"/>
  <c r="CK277" i="23"/>
  <c r="CK265" i="23"/>
  <c r="CK266" i="23" s="1"/>
  <c r="CM277" i="23"/>
  <c r="CM265" i="23"/>
  <c r="CM266" i="23" s="1"/>
  <c r="CJ277" i="23"/>
  <c r="CJ265" i="23"/>
  <c r="CJ266" i="23" s="1"/>
  <c r="CA265" i="23"/>
  <c r="CA266" i="23" s="1"/>
  <c r="CA277" i="23"/>
  <c r="CI277" i="23"/>
  <c r="CI265" i="23"/>
  <c r="CI266" i="23" s="1"/>
  <c r="CN276" i="23"/>
  <c r="CO276" i="23"/>
  <c r="CP276" i="23"/>
  <c r="CQ276" i="23"/>
  <c r="CR276" i="23"/>
  <c r="CS276" i="23"/>
  <c r="CT276" i="23"/>
  <c r="CU276" i="23"/>
  <c r="CV276" i="23"/>
  <c r="CW276" i="23"/>
  <c r="CX276" i="23"/>
  <c r="CY276" i="23"/>
  <c r="BZ265" i="23"/>
  <c r="BZ266" i="23" s="1"/>
  <c r="BZ277" i="23"/>
  <c r="EC93" i="23"/>
  <c r="EC342" i="23"/>
  <c r="CH277" i="23"/>
  <c r="CH265" i="23"/>
  <c r="CH266" i="23" s="1"/>
  <c r="K278" i="23"/>
  <c r="EG208" i="23"/>
  <c r="BY265" i="23"/>
  <c r="BY266" i="23" s="1"/>
  <c r="BY277" i="23"/>
  <c r="DZ397" i="23"/>
  <c r="DZ398" i="23"/>
  <c r="DZ399" i="23"/>
  <c r="CG277" i="23"/>
  <c r="CG265" i="23"/>
  <c r="CG266" i="23" s="1"/>
  <c r="L273" i="23"/>
  <c r="M269" i="23" s="1"/>
  <c r="L276" i="23"/>
  <c r="L278" i="23" s="1"/>
  <c r="BX265" i="23"/>
  <c r="BX266" i="23" s="1"/>
  <c r="BX277" i="23"/>
  <c r="CF277" i="23"/>
  <c r="CF265" i="23"/>
  <c r="CF266" i="23" s="1"/>
  <c r="BW277" i="23"/>
  <c r="BW265" i="23"/>
  <c r="BW266" i="23" s="1"/>
  <c r="CE277" i="23"/>
  <c r="CE265" i="23"/>
  <c r="CE266" i="23" s="1"/>
  <c r="EA293" i="23"/>
  <c r="EA294" i="23" s="1"/>
  <c r="BV277" i="23"/>
  <c r="BV265" i="23"/>
  <c r="BV266" i="23" s="1"/>
  <c r="CD277" i="23"/>
  <c r="CD265" i="23"/>
  <c r="CD266" i="23" s="1"/>
  <c r="BD266" i="23"/>
  <c r="H265" i="23"/>
  <c r="BU277" i="23"/>
  <c r="BU265" i="23"/>
  <c r="BU266" i="23" s="1"/>
  <c r="CC265" i="23"/>
  <c r="CC266" i="23" s="1"/>
  <c r="CC277" i="23"/>
  <c r="ED148" i="23"/>
  <c r="ED133" i="23"/>
  <c r="BT277" i="23"/>
  <c r="BT265" i="23"/>
  <c r="BT266" i="23" s="1"/>
  <c r="CB265" i="23"/>
  <c r="CB277" i="23"/>
  <c r="BS277" i="23"/>
  <c r="BS265" i="23"/>
  <c r="BS266" i="23" s="1"/>
  <c r="ED156" i="23" l="1"/>
  <c r="ED171" i="23"/>
  <c r="EE171" i="23"/>
  <c r="EE156" i="23"/>
  <c r="EE164" i="23"/>
  <c r="EF160" i="23" s="1"/>
  <c r="L277" i="23"/>
  <c r="CZ278" i="23"/>
  <c r="DA278" i="23"/>
  <c r="DB278" i="23"/>
  <c r="DC278" i="23"/>
  <c r="DD278" i="23"/>
  <c r="DE278" i="23"/>
  <c r="DF278" i="23"/>
  <c r="DG278" i="23"/>
  <c r="DH278" i="23"/>
  <c r="DI278" i="23"/>
  <c r="DJ278" i="23"/>
  <c r="DK278" i="23"/>
  <c r="EA396" i="23"/>
  <c r="EA302" i="23"/>
  <c r="EA355" i="23"/>
  <c r="EA94" i="23"/>
  <c r="DZ353" i="23"/>
  <c r="EA295" i="23"/>
  <c r="EB291" i="23" s="1"/>
  <c r="DZ349" i="23"/>
  <c r="H266" i="23"/>
  <c r="EG216" i="23"/>
  <c r="EG386" i="23"/>
  <c r="EG347" i="23"/>
  <c r="BP266" i="23"/>
  <c r="I265" i="23"/>
  <c r="I266" i="23" s="1"/>
  <c r="K277" i="23"/>
  <c r="CN278" i="23"/>
  <c r="CO278" i="23"/>
  <c r="CP278" i="23"/>
  <c r="CQ278" i="23"/>
  <c r="CR278" i="23"/>
  <c r="CS278" i="23"/>
  <c r="CT278" i="23"/>
  <c r="CU278" i="23"/>
  <c r="CV278" i="23"/>
  <c r="CW278" i="23"/>
  <c r="CX278" i="23"/>
  <c r="CY278" i="23"/>
  <c r="ED194" i="23"/>
  <c r="ED179" i="23"/>
  <c r="CB266" i="23"/>
  <c r="J265" i="23"/>
  <c r="J266" i="23" s="1"/>
  <c r="EE140" i="23"/>
  <c r="CZ276" i="23"/>
  <c r="DA276" i="23"/>
  <c r="DB276" i="23"/>
  <c r="DC276" i="23"/>
  <c r="DD276" i="23"/>
  <c r="DE276" i="23"/>
  <c r="DF276" i="23"/>
  <c r="DG276" i="23"/>
  <c r="DH276" i="23"/>
  <c r="DI276" i="23"/>
  <c r="DJ276" i="23"/>
  <c r="DK276" i="23"/>
  <c r="M273" i="23"/>
  <c r="N269" i="23" s="1"/>
  <c r="M276" i="23"/>
  <c r="M278" i="23" s="1"/>
  <c r="BY230" i="23"/>
  <c r="BY231" i="23" s="1"/>
  <c r="BZ227" i="23" s="1"/>
  <c r="EG209" i="23"/>
  <c r="EH205" i="23" s="1"/>
  <c r="DZ345" i="23"/>
  <c r="ED384" i="23"/>
  <c r="ED187" i="23"/>
  <c r="EE183" i="23" s="1"/>
  <c r="ED342" i="23" l="1"/>
  <c r="ED93" i="23"/>
  <c r="M277" i="23"/>
  <c r="DL278" i="23"/>
  <c r="DM278" i="23"/>
  <c r="DN278" i="23"/>
  <c r="DO278" i="23"/>
  <c r="DP278" i="23"/>
  <c r="DQ278" i="23"/>
  <c r="DR278" i="23"/>
  <c r="DS278" i="23"/>
  <c r="DT278" i="23"/>
  <c r="DU278" i="23"/>
  <c r="DV278" i="23"/>
  <c r="DW278" i="23"/>
  <c r="CY277" i="23"/>
  <c r="CY265" i="23"/>
  <c r="CY266" i="23" s="1"/>
  <c r="EG389" i="23"/>
  <c r="EG356" i="23" s="1"/>
  <c r="EG387" i="23"/>
  <c r="EG343" i="23" s="1"/>
  <c r="EG388" i="23"/>
  <c r="EG352" i="23" s="1"/>
  <c r="DJ277" i="23"/>
  <c r="DJ265" i="23"/>
  <c r="DJ266" i="23" s="1"/>
  <c r="EH258" i="23"/>
  <c r="EH251" i="23"/>
  <c r="EH253" i="23" s="1"/>
  <c r="EH207" i="23"/>
  <c r="CX277" i="23"/>
  <c r="CX265" i="23"/>
  <c r="CX266" i="23" s="1"/>
  <c r="DI265" i="23"/>
  <c r="DI266" i="23" s="1"/>
  <c r="DI277" i="23"/>
  <c r="DH265" i="23"/>
  <c r="DH266" i="23" s="1"/>
  <c r="DH277" i="23"/>
  <c r="DF265" i="23"/>
  <c r="DF266" i="23" s="1"/>
  <c r="DF277" i="23"/>
  <c r="CT277" i="23"/>
  <c r="CT265" i="23"/>
  <c r="CT266" i="23" s="1"/>
  <c r="DE265" i="23"/>
  <c r="DE266" i="23" s="1"/>
  <c r="DE277" i="23"/>
  <c r="DK277" i="23"/>
  <c r="DK265" i="23"/>
  <c r="DK266" i="23" s="1"/>
  <c r="EE148" i="23"/>
  <c r="EE133" i="23"/>
  <c r="CS277" i="23"/>
  <c r="CS265" i="23"/>
  <c r="CS266" i="23" s="1"/>
  <c r="EB293" i="23"/>
  <c r="DD265" i="23"/>
  <c r="DD266" i="23" s="1"/>
  <c r="DD277" i="23"/>
  <c r="DG265" i="23"/>
  <c r="DG266" i="23" s="1"/>
  <c r="DG277" i="23"/>
  <c r="CR277" i="23"/>
  <c r="CR265" i="23"/>
  <c r="CR266" i="23" s="1"/>
  <c r="DC265" i="23"/>
  <c r="DC266" i="23" s="1"/>
  <c r="DC277" i="23"/>
  <c r="BZ229" i="23"/>
  <c r="CQ277" i="23"/>
  <c r="CQ265" i="23"/>
  <c r="CQ266" i="23" s="1"/>
  <c r="DB265" i="23"/>
  <c r="DB266" i="23" s="1"/>
  <c r="DB277" i="23"/>
  <c r="CV277" i="23"/>
  <c r="CV265" i="23"/>
  <c r="CV266" i="23" s="1"/>
  <c r="CP277" i="23"/>
  <c r="CP265" i="23"/>
  <c r="CP266" i="23" s="1"/>
  <c r="DA277" i="23"/>
  <c r="DA265" i="23"/>
  <c r="DA266" i="23" s="1"/>
  <c r="CO277" i="23"/>
  <c r="CO265" i="23"/>
  <c r="CO266" i="23" s="1"/>
  <c r="CZ277" i="23"/>
  <c r="CZ265" i="23"/>
  <c r="CN277" i="23"/>
  <c r="CN265" i="23"/>
  <c r="CW265" i="23"/>
  <c r="CW266" i="23" s="1"/>
  <c r="CW277" i="23"/>
  <c r="CU277" i="23"/>
  <c r="CU265" i="23"/>
  <c r="CU266" i="23" s="1"/>
  <c r="EF162" i="23"/>
  <c r="EF163" i="23" s="1"/>
  <c r="EE185" i="23"/>
  <c r="EE186" i="23" s="1"/>
  <c r="EE384" i="23" s="1"/>
  <c r="EA399" i="23"/>
  <c r="EA397" i="23"/>
  <c r="EA398" i="23"/>
  <c r="DL276" i="23"/>
  <c r="DM276" i="23"/>
  <c r="DN276" i="23"/>
  <c r="DO276" i="23"/>
  <c r="DP276" i="23"/>
  <c r="DQ276" i="23"/>
  <c r="DR276" i="23"/>
  <c r="DS276" i="23"/>
  <c r="DT276" i="23"/>
  <c r="DU276" i="23"/>
  <c r="DV276" i="23"/>
  <c r="DW276" i="23"/>
  <c r="N273" i="23"/>
  <c r="N276" i="23"/>
  <c r="N278" i="23" s="1"/>
  <c r="EE141" i="23"/>
  <c r="EF137" i="23" s="1"/>
  <c r="EF171" i="23" l="1"/>
  <c r="EF156" i="23"/>
  <c r="N277" i="23"/>
  <c r="DX278" i="23"/>
  <c r="DY278" i="23"/>
  <c r="DZ278" i="23"/>
  <c r="EA278" i="23"/>
  <c r="EB278" i="23"/>
  <c r="EC278" i="23"/>
  <c r="ED278" i="23"/>
  <c r="EE278" i="23"/>
  <c r="EF278" i="23"/>
  <c r="EG278" i="23"/>
  <c r="EH278" i="23"/>
  <c r="EI278" i="23"/>
  <c r="EE187" i="23"/>
  <c r="EF183" i="23" s="1"/>
  <c r="DW265" i="23"/>
  <c r="DW266" i="23" s="1"/>
  <c r="DW277" i="23"/>
  <c r="DU277" i="23"/>
  <c r="DU265" i="23"/>
  <c r="DU266" i="23" s="1"/>
  <c r="EF164" i="23"/>
  <c r="EG160" i="23" s="1"/>
  <c r="DT277" i="23"/>
  <c r="DT265" i="23"/>
  <c r="DT266" i="23" s="1"/>
  <c r="DS277" i="23"/>
  <c r="DS265" i="23"/>
  <c r="DS266" i="23" s="1"/>
  <c r="DV265" i="23"/>
  <c r="DV266" i="23" s="1"/>
  <c r="DV277" i="23"/>
  <c r="EH208" i="23"/>
  <c r="DR277" i="23"/>
  <c r="DR265" i="23"/>
  <c r="DR266" i="23" s="1"/>
  <c r="DQ277" i="23"/>
  <c r="DQ265" i="23"/>
  <c r="DQ266" i="23" s="1"/>
  <c r="DP277" i="23"/>
  <c r="DP265" i="23"/>
  <c r="DP266" i="23" s="1"/>
  <c r="EE194" i="23"/>
  <c r="EE179" i="23"/>
  <c r="EE342" i="23" s="1"/>
  <c r="EA345" i="23"/>
  <c r="CN266" i="23"/>
  <c r="K265" i="23"/>
  <c r="DO277" i="23"/>
  <c r="DO265" i="23"/>
  <c r="DO266" i="23" s="1"/>
  <c r="BZ230" i="23"/>
  <c r="BZ231" i="23" s="1"/>
  <c r="CA227" i="23" s="1"/>
  <c r="EA353" i="23"/>
  <c r="DN277" i="23"/>
  <c r="DN265" i="23"/>
  <c r="DN266" i="23" s="1"/>
  <c r="EF139" i="23"/>
  <c r="EF140" i="23" s="1"/>
  <c r="DM277" i="23"/>
  <c r="DM265" i="23"/>
  <c r="DM266" i="23" s="1"/>
  <c r="DX276" i="23"/>
  <c r="DY276" i="23"/>
  <c r="DZ276" i="23"/>
  <c r="EA276" i="23"/>
  <c r="EB276" i="23"/>
  <c r="EC276" i="23"/>
  <c r="ED276" i="23"/>
  <c r="EE276" i="23"/>
  <c r="EF276" i="23"/>
  <c r="EG276" i="23"/>
  <c r="EH276" i="23"/>
  <c r="EI276" i="23"/>
  <c r="EB294" i="23"/>
  <c r="EB295" i="23" s="1"/>
  <c r="EC291" i="23" s="1"/>
  <c r="DL277" i="23"/>
  <c r="DL265" i="23"/>
  <c r="EA349" i="23"/>
  <c r="CZ266" i="23"/>
  <c r="L265" i="23"/>
  <c r="L266" i="23" s="1"/>
  <c r="CA229" i="23" l="1"/>
  <c r="EF148" i="23"/>
  <c r="EF133" i="23"/>
  <c r="EC293" i="23"/>
  <c r="EF141" i="23"/>
  <c r="EG137" i="23" s="1"/>
  <c r="EH265" i="23"/>
  <c r="EH266" i="23" s="1"/>
  <c r="EH277" i="23"/>
  <c r="EF277" i="23"/>
  <c r="EF265" i="23"/>
  <c r="EF266" i="23" s="1"/>
  <c r="EE277" i="23"/>
  <c r="EE265" i="23"/>
  <c r="EE266" i="23" s="1"/>
  <c r="EG162" i="23"/>
  <c r="ED277" i="23"/>
  <c r="ED265" i="23"/>
  <c r="ED266" i="23" s="1"/>
  <c r="EC277" i="23"/>
  <c r="EC265" i="23"/>
  <c r="EC266" i="23" s="1"/>
  <c r="EI265" i="23"/>
  <c r="EI266" i="23" s="1"/>
  <c r="EI277" i="23"/>
  <c r="EB277" i="23"/>
  <c r="EB265" i="23"/>
  <c r="EB266" i="23" s="1"/>
  <c r="EA277" i="23"/>
  <c r="EA265" i="23"/>
  <c r="EA266" i="23" s="1"/>
  <c r="EG277" i="23"/>
  <c r="EG265" i="23"/>
  <c r="EG266" i="23" s="1"/>
  <c r="EH216" i="23"/>
  <c r="EH386" i="23"/>
  <c r="EH347" i="23"/>
  <c r="EF185" i="23"/>
  <c r="DZ277" i="23"/>
  <c r="DZ265" i="23"/>
  <c r="DZ266" i="23" s="1"/>
  <c r="DY265" i="23"/>
  <c r="DY266" i="23" s="1"/>
  <c r="DY277" i="23"/>
  <c r="EE93" i="23"/>
  <c r="DX265" i="23"/>
  <c r="DX277" i="23"/>
  <c r="DL266" i="23"/>
  <c r="M265" i="23"/>
  <c r="M266" i="23" s="1"/>
  <c r="K266" i="23"/>
  <c r="EB396" i="23"/>
  <c r="EB302" i="23"/>
  <c r="EB355" i="23"/>
  <c r="EB94" i="23"/>
  <c r="EH209" i="23"/>
  <c r="EI205" i="23" s="1"/>
  <c r="EF186" i="23" l="1"/>
  <c r="EC294" i="23"/>
  <c r="EH389" i="23"/>
  <c r="EH356" i="23" s="1"/>
  <c r="EH387" i="23"/>
  <c r="EH343" i="23" s="1"/>
  <c r="EH388" i="23"/>
  <c r="EH352" i="23" s="1"/>
  <c r="DX266" i="23"/>
  <c r="N265" i="23"/>
  <c r="EG163" i="23"/>
  <c r="EG139" i="23"/>
  <c r="CA230" i="23"/>
  <c r="CA231" i="23" s="1"/>
  <c r="CB227" i="23" s="1"/>
  <c r="EB399" i="23"/>
  <c r="EB353" i="23" s="1"/>
  <c r="EB397" i="23"/>
  <c r="EB345" i="23" s="1"/>
  <c r="EB398" i="23"/>
  <c r="EB349" i="23" s="1"/>
  <c r="EI258" i="23"/>
  <c r="EI251" i="23"/>
  <c r="EI253" i="23" s="1"/>
  <c r="EI207" i="23"/>
  <c r="EI208" i="23" s="1"/>
  <c r="CB229" i="23" l="1"/>
  <c r="EI216" i="23"/>
  <c r="E208" i="23"/>
  <c r="EI347" i="23"/>
  <c r="EI386" i="23"/>
  <c r="J208" i="23"/>
  <c r="K208" i="23"/>
  <c r="L208" i="23"/>
  <c r="M208" i="23"/>
  <c r="N208" i="23"/>
  <c r="EI209" i="23"/>
  <c r="E253" i="23"/>
  <c r="J253" i="23"/>
  <c r="K253" i="23"/>
  <c r="L253" i="23"/>
  <c r="M253" i="23"/>
  <c r="N253" i="23"/>
  <c r="EG156" i="23"/>
  <c r="EG171" i="23"/>
  <c r="E258" i="23"/>
  <c r="G258" i="23"/>
  <c r="F258" i="23"/>
  <c r="I258" i="23"/>
  <c r="H258" i="23"/>
  <c r="J258" i="23"/>
  <c r="K258" i="23"/>
  <c r="L258" i="23"/>
  <c r="M258" i="23"/>
  <c r="N258" i="23"/>
  <c r="N266" i="23"/>
  <c r="O265" i="23"/>
  <c r="O266" i="23" s="1"/>
  <c r="EC396" i="23"/>
  <c r="EC302" i="23"/>
  <c r="EC355" i="23"/>
  <c r="EC94" i="23"/>
  <c r="EF194" i="23"/>
  <c r="EF179" i="23"/>
  <c r="EF384" i="23"/>
  <c r="E207" i="23"/>
  <c r="J207" i="23"/>
  <c r="K207" i="23"/>
  <c r="L207" i="23"/>
  <c r="M207" i="23"/>
  <c r="N207" i="23"/>
  <c r="EG140" i="23"/>
  <c r="EC295" i="23"/>
  <c r="ED291" i="23" s="1"/>
  <c r="EG164" i="23"/>
  <c r="EH160" i="23" s="1"/>
  <c r="EF187" i="23"/>
  <c r="EG183" i="23" s="1"/>
  <c r="O207" i="23" l="1"/>
  <c r="E209" i="23"/>
  <c r="F205" i="23" s="1"/>
  <c r="EH162" i="23"/>
  <c r="EI389" i="23"/>
  <c r="EI388" i="23"/>
  <c r="EI387" i="23"/>
  <c r="E386" i="23"/>
  <c r="J386" i="23"/>
  <c r="K386" i="23"/>
  <c r="L386" i="23"/>
  <c r="M386" i="23"/>
  <c r="N386" i="23"/>
  <c r="ED293" i="23"/>
  <c r="EC399" i="23"/>
  <c r="EC353" i="23" s="1"/>
  <c r="EC398" i="23"/>
  <c r="EC349" i="23" s="1"/>
  <c r="EC397" i="23"/>
  <c r="EC345" i="23" s="1"/>
  <c r="E347" i="23"/>
  <c r="J347" i="23"/>
  <c r="K347" i="23"/>
  <c r="L347" i="23"/>
  <c r="M347" i="23"/>
  <c r="N347" i="23"/>
  <c r="O208" i="23"/>
  <c r="H202" i="16" s="1"/>
  <c r="O253" i="23"/>
  <c r="E256" i="23"/>
  <c r="EG185" i="23"/>
  <c r="EG186" i="23" s="1"/>
  <c r="I219" i="16"/>
  <c r="G216" i="23"/>
  <c r="F216" i="23"/>
  <c r="E216" i="23"/>
  <c r="H216" i="23"/>
  <c r="L216" i="23"/>
  <c r="J216" i="23"/>
  <c r="K216" i="23"/>
  <c r="I216" i="23"/>
  <c r="M216" i="23"/>
  <c r="N216" i="23"/>
  <c r="EF342" i="23"/>
  <c r="EF93" i="23"/>
  <c r="EG148" i="23"/>
  <c r="EG133" i="23"/>
  <c r="CB230" i="23"/>
  <c r="CB231" i="23" s="1"/>
  <c r="CC227" i="23" s="1"/>
  <c r="EG141" i="23"/>
  <c r="EH137" i="23" s="1"/>
  <c r="EG194" i="23" l="1"/>
  <c r="EG179" i="23"/>
  <c r="EG342" i="23" s="1"/>
  <c r="EG187" i="23"/>
  <c r="EH183" i="23" s="1"/>
  <c r="EG384" i="23"/>
  <c r="EH139" i="23"/>
  <c r="O386" i="23"/>
  <c r="C32" i="14" s="1"/>
  <c r="EI343" i="23"/>
  <c r="E387" i="23"/>
  <c r="J387" i="23"/>
  <c r="K387" i="23"/>
  <c r="L387" i="23"/>
  <c r="M387" i="23"/>
  <c r="N387" i="23"/>
  <c r="O347" i="23"/>
  <c r="EI352" i="23"/>
  <c r="E388" i="23"/>
  <c r="J388" i="23"/>
  <c r="K388" i="23"/>
  <c r="L388" i="23"/>
  <c r="M388" i="23"/>
  <c r="N388" i="23"/>
  <c r="EI356" i="23"/>
  <c r="E389" i="23"/>
  <c r="J389" i="23"/>
  <c r="K389" i="23"/>
  <c r="L389" i="23"/>
  <c r="M389" i="23"/>
  <c r="N389" i="23"/>
  <c r="CC229" i="23"/>
  <c r="EH163" i="23"/>
  <c r="EH164" i="23" s="1"/>
  <c r="EI160" i="23" s="1"/>
  <c r="ED294" i="23"/>
  <c r="ED295" i="23" s="1"/>
  <c r="EE291" i="23" s="1"/>
  <c r="F251" i="23"/>
  <c r="F209" i="23"/>
  <c r="G205" i="23" s="1"/>
  <c r="F212" i="23"/>
  <c r="O209" i="23"/>
  <c r="EG93" i="23" l="1"/>
  <c r="O387" i="23"/>
  <c r="EE293" i="23"/>
  <c r="EI162" i="23"/>
  <c r="CC230" i="23"/>
  <c r="EH140" i="23"/>
  <c r="O388" i="23"/>
  <c r="E352" i="23"/>
  <c r="J352" i="23"/>
  <c r="K352" i="23"/>
  <c r="L352" i="23"/>
  <c r="M352" i="23"/>
  <c r="N352" i="23"/>
  <c r="EH156" i="23"/>
  <c r="EH171" i="23"/>
  <c r="E343" i="23"/>
  <c r="J343" i="23"/>
  <c r="K343" i="23"/>
  <c r="L343" i="23"/>
  <c r="M343" i="23"/>
  <c r="N343" i="23"/>
  <c r="AF212" i="23"/>
  <c r="AG212" i="23"/>
  <c r="AH212" i="23"/>
  <c r="AI212" i="23"/>
  <c r="AJ212" i="23"/>
  <c r="AK212" i="23"/>
  <c r="AL212" i="23"/>
  <c r="AM212" i="23"/>
  <c r="AN212" i="23"/>
  <c r="AO212" i="23"/>
  <c r="AP212" i="23"/>
  <c r="AQ212" i="23"/>
  <c r="ED396" i="23"/>
  <c r="ED302" i="23"/>
  <c r="ED355" i="23"/>
  <c r="ED94" i="23"/>
  <c r="EH185" i="23"/>
  <c r="EH186" i="23" s="1"/>
  <c r="O389" i="23"/>
  <c r="F214" i="23"/>
  <c r="G251" i="23"/>
  <c r="G209" i="23"/>
  <c r="H205" i="23" s="1"/>
  <c r="G212" i="23"/>
  <c r="G214" i="23" s="1"/>
  <c r="E356" i="23"/>
  <c r="J356" i="23"/>
  <c r="K356" i="23"/>
  <c r="L356" i="23"/>
  <c r="M356" i="23"/>
  <c r="N356" i="23"/>
  <c r="EH187" i="23" l="1"/>
  <c r="EI183" i="23" s="1"/>
  <c r="EI185" i="23" s="1"/>
  <c r="EH384" i="23"/>
  <c r="EH148" i="23"/>
  <c r="EH133" i="23"/>
  <c r="ED399" i="23"/>
  <c r="ED353" i="23" s="1"/>
  <c r="ED398" i="23"/>
  <c r="ED349" i="23" s="1"/>
  <c r="ED397" i="23"/>
  <c r="ED345" i="23" s="1"/>
  <c r="O343" i="23"/>
  <c r="E162" i="23"/>
  <c r="J162" i="23"/>
  <c r="K162" i="23"/>
  <c r="L162" i="23"/>
  <c r="M162" i="23"/>
  <c r="N162" i="23"/>
  <c r="F213" i="23"/>
  <c r="AF214" i="23"/>
  <c r="AG214" i="23"/>
  <c r="AH214" i="23"/>
  <c r="AI214" i="23"/>
  <c r="AJ214" i="23"/>
  <c r="AK214" i="23"/>
  <c r="AL214" i="23"/>
  <c r="AM214" i="23"/>
  <c r="AN214" i="23"/>
  <c r="AO214" i="23"/>
  <c r="AP214" i="23"/>
  <c r="AQ214" i="23"/>
  <c r="EI163" i="23"/>
  <c r="EI164" i="23" s="1"/>
  <c r="EH141" i="23"/>
  <c r="EI137" i="23" s="1"/>
  <c r="G213" i="23"/>
  <c r="AR214" i="23"/>
  <c r="AS214" i="23"/>
  <c r="AT214" i="23"/>
  <c r="AU214" i="23"/>
  <c r="AV214" i="23"/>
  <c r="AW214" i="23"/>
  <c r="AX214" i="23"/>
  <c r="AY214" i="23"/>
  <c r="AZ214" i="23"/>
  <c r="BA214" i="23"/>
  <c r="BB214" i="23"/>
  <c r="BC214" i="23"/>
  <c r="EH194" i="23"/>
  <c r="EH179" i="23"/>
  <c r="O356" i="23"/>
  <c r="AR212" i="23"/>
  <c r="AS212" i="23"/>
  <c r="AT212" i="23"/>
  <c r="AU212" i="23"/>
  <c r="AV212" i="23"/>
  <c r="AW212" i="23"/>
  <c r="AX212" i="23"/>
  <c r="AY212" i="23"/>
  <c r="AZ212" i="23"/>
  <c r="BA212" i="23"/>
  <c r="BB212" i="23"/>
  <c r="BC212" i="23"/>
  <c r="EE294" i="23"/>
  <c r="H251" i="23"/>
  <c r="H209" i="23"/>
  <c r="I205" i="23" s="1"/>
  <c r="H212" i="23"/>
  <c r="O352" i="23"/>
  <c r="CC231" i="23"/>
  <c r="CD227" i="23" s="1"/>
  <c r="AS254" i="23" l="1"/>
  <c r="AS213" i="23"/>
  <c r="AS201" i="23"/>
  <c r="AJ254" i="23"/>
  <c r="AJ201" i="23"/>
  <c r="AJ213" i="23"/>
  <c r="BD212" i="23"/>
  <c r="BE212" i="23"/>
  <c r="BF212" i="23"/>
  <c r="BG212" i="23"/>
  <c r="BH212" i="23"/>
  <c r="BI212" i="23"/>
  <c r="BJ212" i="23"/>
  <c r="BK212" i="23"/>
  <c r="BL212" i="23"/>
  <c r="BM212" i="23"/>
  <c r="BN212" i="23"/>
  <c r="BO212" i="23"/>
  <c r="AR254" i="23"/>
  <c r="AR213" i="23"/>
  <c r="AR201" i="23"/>
  <c r="AI254" i="23"/>
  <c r="AI201" i="23"/>
  <c r="AI213" i="23"/>
  <c r="EH342" i="23"/>
  <c r="EH93" i="23"/>
  <c r="H214" i="23"/>
  <c r="AH254" i="23"/>
  <c r="AH201" i="23"/>
  <c r="AH213" i="23"/>
  <c r="I251" i="23"/>
  <c r="I209" i="23"/>
  <c r="J205" i="23" s="1"/>
  <c r="I212" i="23"/>
  <c r="EI139" i="23"/>
  <c r="EI140" i="23" s="1"/>
  <c r="AG254" i="23"/>
  <c r="AG201" i="23"/>
  <c r="AG213" i="23"/>
  <c r="AW254" i="23"/>
  <c r="AW201" i="23"/>
  <c r="AW213" i="23"/>
  <c r="AF254" i="23"/>
  <c r="AF201" i="23"/>
  <c r="AF213" i="23"/>
  <c r="EE396" i="23"/>
  <c r="EE302" i="23"/>
  <c r="EE355" i="23"/>
  <c r="EE94" i="23"/>
  <c r="EE295" i="23"/>
  <c r="EF291" i="23" s="1"/>
  <c r="AU254" i="23"/>
  <c r="AU201" i="23"/>
  <c r="AU213" i="23"/>
  <c r="CD229" i="23"/>
  <c r="BC254" i="23"/>
  <c r="BC213" i="23"/>
  <c r="BC201" i="23"/>
  <c r="BB254" i="23"/>
  <c r="BB201" i="23"/>
  <c r="BB213" i="23"/>
  <c r="AM254" i="23"/>
  <c r="AM213" i="23"/>
  <c r="AM201" i="23"/>
  <c r="AK254" i="23"/>
  <c r="AK201" i="23"/>
  <c r="AK213" i="23"/>
  <c r="BA254" i="23"/>
  <c r="BA201" i="23"/>
  <c r="BA213" i="23"/>
  <c r="EI171" i="23"/>
  <c r="EI156" i="23"/>
  <c r="E163" i="23"/>
  <c r="E164" i="23" s="1"/>
  <c r="F160" i="23" s="1"/>
  <c r="J163" i="23"/>
  <c r="K163" i="23"/>
  <c r="L163" i="23"/>
  <c r="M163" i="23"/>
  <c r="N163" i="23"/>
  <c r="E185" i="23"/>
  <c r="J185" i="23"/>
  <c r="K185" i="23"/>
  <c r="L185" i="23"/>
  <c r="M185" i="23"/>
  <c r="N185" i="23"/>
  <c r="AZ254" i="23"/>
  <c r="AZ201" i="23"/>
  <c r="AZ213" i="23"/>
  <c r="AQ254" i="23"/>
  <c r="AQ213" i="23"/>
  <c r="AQ201" i="23"/>
  <c r="EI186" i="23"/>
  <c r="EI187" i="23" s="1"/>
  <c r="AN254" i="23"/>
  <c r="AN213" i="23"/>
  <c r="AN201" i="23"/>
  <c r="AV254" i="23"/>
  <c r="AV201" i="23"/>
  <c r="AV213" i="23"/>
  <c r="AL254" i="23"/>
  <c r="AL201" i="23"/>
  <c r="AL213" i="23"/>
  <c r="AY254" i="23"/>
  <c r="AY201" i="23"/>
  <c r="AY213" i="23"/>
  <c r="AP254" i="23"/>
  <c r="AP213" i="23"/>
  <c r="AP201" i="23"/>
  <c r="AT254" i="23"/>
  <c r="AT213" i="23"/>
  <c r="AT201" i="23"/>
  <c r="AX254" i="23"/>
  <c r="AX201" i="23"/>
  <c r="AX213" i="23"/>
  <c r="AO254" i="23"/>
  <c r="AO213" i="23"/>
  <c r="AO201" i="23"/>
  <c r="O162" i="23"/>
  <c r="AY256" i="23" l="1"/>
  <c r="BB256" i="23"/>
  <c r="AW256" i="23"/>
  <c r="AZ256" i="23"/>
  <c r="AK256" i="23"/>
  <c r="AP256" i="23"/>
  <c r="AQ256" i="23"/>
  <c r="F164" i="23"/>
  <c r="G160" i="23" s="1"/>
  <c r="F167" i="23"/>
  <c r="AY202" i="23"/>
  <c r="AZ202" i="23"/>
  <c r="BC256" i="23"/>
  <c r="AF256" i="23"/>
  <c r="F254" i="23"/>
  <c r="BA202" i="23"/>
  <c r="AO202" i="23"/>
  <c r="BA256" i="23"/>
  <c r="CD230" i="23"/>
  <c r="CD231" i="23" s="1"/>
  <c r="CE227" i="23" s="1"/>
  <c r="AW202" i="23"/>
  <c r="AH256" i="23"/>
  <c r="H213" i="23"/>
  <c r="BD214" i="23"/>
  <c r="BE214" i="23"/>
  <c r="BF214" i="23"/>
  <c r="BG214" i="23"/>
  <c r="BH214" i="23"/>
  <c r="BI214" i="23"/>
  <c r="BJ214" i="23"/>
  <c r="BK214" i="23"/>
  <c r="BL214" i="23"/>
  <c r="BM214" i="23"/>
  <c r="BN214" i="23"/>
  <c r="BO214" i="23"/>
  <c r="AF236" i="23"/>
  <c r="AF202" i="23"/>
  <c r="F201" i="23"/>
  <c r="AO256" i="23"/>
  <c r="AL256" i="23"/>
  <c r="AK202" i="23"/>
  <c r="AM202" i="23"/>
  <c r="AU256" i="23"/>
  <c r="AG256" i="23"/>
  <c r="AU202" i="23"/>
  <c r="AX256" i="23"/>
  <c r="AV256" i="23"/>
  <c r="O185" i="23"/>
  <c r="EF293" i="23"/>
  <c r="EF294" i="23" s="1"/>
  <c r="AI202" i="23"/>
  <c r="BC202" i="23"/>
  <c r="AV202" i="23"/>
  <c r="AT202" i="23"/>
  <c r="AN202" i="23"/>
  <c r="AM256" i="23"/>
  <c r="AI256" i="23"/>
  <c r="J251" i="23"/>
  <c r="J209" i="23"/>
  <c r="K205" i="23" s="1"/>
  <c r="J212" i="23"/>
  <c r="J214" i="23" s="1"/>
  <c r="AX202" i="23"/>
  <c r="EI384" i="23"/>
  <c r="EI148" i="23"/>
  <c r="EI133" i="23"/>
  <c r="E140" i="23"/>
  <c r="J140" i="23"/>
  <c r="K140" i="23"/>
  <c r="L140" i="23"/>
  <c r="M140" i="23"/>
  <c r="N140" i="23"/>
  <c r="AR202" i="23"/>
  <c r="G201" i="23"/>
  <c r="G202" i="23" s="1"/>
  <c r="AJ202" i="23"/>
  <c r="E156" i="23"/>
  <c r="J156" i="23"/>
  <c r="K156" i="23"/>
  <c r="L156" i="23"/>
  <c r="M156" i="23"/>
  <c r="N156" i="23"/>
  <c r="AL202" i="23"/>
  <c r="AT256" i="23"/>
  <c r="AN256" i="23"/>
  <c r="E139" i="23"/>
  <c r="J139" i="23"/>
  <c r="K139" i="23"/>
  <c r="L139" i="23"/>
  <c r="M139" i="23"/>
  <c r="N139" i="23"/>
  <c r="AJ256" i="23"/>
  <c r="AG202" i="23"/>
  <c r="EI194" i="23"/>
  <c r="EI179" i="23"/>
  <c r="E186" i="23"/>
  <c r="E187" i="23" s="1"/>
  <c r="F183" i="23" s="1"/>
  <c r="J186" i="23"/>
  <c r="K186" i="23"/>
  <c r="L186" i="23"/>
  <c r="M186" i="23"/>
  <c r="N186" i="23"/>
  <c r="BB202" i="23"/>
  <c r="EI141" i="23"/>
  <c r="AR256" i="23"/>
  <c r="G254" i="23"/>
  <c r="AS202" i="23"/>
  <c r="H171" i="23"/>
  <c r="D171" i="23"/>
  <c r="J171" i="23"/>
  <c r="K171" i="23"/>
  <c r="G171" i="23"/>
  <c r="E171" i="23"/>
  <c r="I171" i="23"/>
  <c r="F171" i="23"/>
  <c r="L171" i="23"/>
  <c r="M171" i="23"/>
  <c r="N171" i="23"/>
  <c r="AP202" i="23"/>
  <c r="AQ202" i="23"/>
  <c r="BP212" i="23"/>
  <c r="BQ212" i="23"/>
  <c r="BR212" i="23"/>
  <c r="BS212" i="23"/>
  <c r="BT212" i="23"/>
  <c r="BU212" i="23"/>
  <c r="BV212" i="23"/>
  <c r="BW212" i="23"/>
  <c r="BX212" i="23"/>
  <c r="BY212" i="23"/>
  <c r="BZ212" i="23"/>
  <c r="CA212" i="23"/>
  <c r="AH202" i="23"/>
  <c r="O163" i="23"/>
  <c r="F23" i="19" s="1"/>
  <c r="EE399" i="23"/>
  <c r="EE353" i="23" s="1"/>
  <c r="EE397" i="23"/>
  <c r="EE345" i="23" s="1"/>
  <c r="EE398" i="23"/>
  <c r="EE349" i="23" s="1"/>
  <c r="I214" i="23"/>
  <c r="AS256" i="23"/>
  <c r="EF295" i="23" l="1"/>
  <c r="EG291" i="23" s="1"/>
  <c r="EG293" i="23" s="1"/>
  <c r="CE229" i="23"/>
  <c r="BI254" i="23"/>
  <c r="BI213" i="23"/>
  <c r="BI201" i="23"/>
  <c r="O156" i="23"/>
  <c r="E157" i="23"/>
  <c r="BE254" i="23"/>
  <c r="BE213" i="23"/>
  <c r="BE201" i="23"/>
  <c r="F187" i="23"/>
  <c r="G183" i="23" s="1"/>
  <c r="F190" i="23"/>
  <c r="F192" i="23" s="1"/>
  <c r="BD254" i="23"/>
  <c r="BD213" i="23"/>
  <c r="BD201" i="23"/>
  <c r="E384" i="23"/>
  <c r="J384" i="23"/>
  <c r="K384" i="23"/>
  <c r="L384" i="23"/>
  <c r="M384" i="23"/>
  <c r="N384" i="23"/>
  <c r="O139" i="23"/>
  <c r="E141" i="23"/>
  <c r="F137" i="23" s="1"/>
  <c r="F202" i="23"/>
  <c r="BF254" i="23"/>
  <c r="BF213" i="23"/>
  <c r="BF201" i="23"/>
  <c r="H148" i="23"/>
  <c r="F148" i="23"/>
  <c r="D148" i="23"/>
  <c r="I148" i="23"/>
  <c r="E148" i="23"/>
  <c r="J148" i="23"/>
  <c r="G148" i="23"/>
  <c r="N148" i="23"/>
  <c r="E219" i="16"/>
  <c r="L148" i="23"/>
  <c r="M148" i="23"/>
  <c r="K148" i="23"/>
  <c r="EF396" i="23"/>
  <c r="EF302" i="23"/>
  <c r="EF355" i="23"/>
  <c r="EF94" i="23"/>
  <c r="O186" i="23"/>
  <c r="G23" i="19" s="1"/>
  <c r="CB212" i="23"/>
  <c r="CC212" i="23"/>
  <c r="CD212" i="23"/>
  <c r="CE212" i="23"/>
  <c r="CF212" i="23"/>
  <c r="CG212" i="23"/>
  <c r="CH212" i="23"/>
  <c r="CI212" i="23"/>
  <c r="CJ212" i="23"/>
  <c r="CK212" i="23"/>
  <c r="CL212" i="23"/>
  <c r="CM212" i="23"/>
  <c r="AF237" i="23"/>
  <c r="BG254" i="23"/>
  <c r="BG213" i="23"/>
  <c r="BG201" i="23"/>
  <c r="E179" i="23"/>
  <c r="J179" i="23"/>
  <c r="K179" i="23"/>
  <c r="L179" i="23"/>
  <c r="M179" i="23"/>
  <c r="N179" i="23"/>
  <c r="J213" i="23"/>
  <c r="CB214" i="23"/>
  <c r="CC214" i="23"/>
  <c r="CD214" i="23"/>
  <c r="CE214" i="23"/>
  <c r="CF214" i="23"/>
  <c r="CG214" i="23"/>
  <c r="CH214" i="23"/>
  <c r="CI214" i="23"/>
  <c r="CJ214" i="23"/>
  <c r="CK214" i="23"/>
  <c r="CL214" i="23"/>
  <c r="CM214" i="23"/>
  <c r="BO254" i="23"/>
  <c r="BO201" i="23"/>
  <c r="BO213" i="23"/>
  <c r="BH254" i="23"/>
  <c r="BH213" i="23"/>
  <c r="BH201" i="23"/>
  <c r="F256" i="23"/>
  <c r="F194" i="23"/>
  <c r="H194" i="23"/>
  <c r="D194" i="23"/>
  <c r="E194" i="23"/>
  <c r="I194" i="23"/>
  <c r="G194" i="23"/>
  <c r="J194" i="23"/>
  <c r="N194" i="23"/>
  <c r="K194" i="23"/>
  <c r="L194" i="23"/>
  <c r="M194" i="23"/>
  <c r="K251" i="23"/>
  <c r="K209" i="23"/>
  <c r="L205" i="23" s="1"/>
  <c r="K212" i="23"/>
  <c r="BN254" i="23"/>
  <c r="BN201" i="23"/>
  <c r="BN213" i="23"/>
  <c r="BM254" i="23"/>
  <c r="BM201" i="23"/>
  <c r="BM213" i="23"/>
  <c r="AF167" i="23"/>
  <c r="AG167" i="23"/>
  <c r="AH167" i="23"/>
  <c r="AI167" i="23"/>
  <c r="AJ167" i="23"/>
  <c r="AK167" i="23"/>
  <c r="AL167" i="23"/>
  <c r="AM167" i="23"/>
  <c r="AN167" i="23"/>
  <c r="AO167" i="23"/>
  <c r="AP167" i="23"/>
  <c r="AQ167" i="23"/>
  <c r="BL254" i="23"/>
  <c r="BL213" i="23"/>
  <c r="BL201" i="23"/>
  <c r="F169" i="23"/>
  <c r="I213" i="23"/>
  <c r="BP214" i="23"/>
  <c r="BQ214" i="23"/>
  <c r="BR214" i="23"/>
  <c r="BS214" i="23"/>
  <c r="BT214" i="23"/>
  <c r="BU214" i="23"/>
  <c r="BV214" i="23"/>
  <c r="BW214" i="23"/>
  <c r="BX214" i="23"/>
  <c r="BY214" i="23"/>
  <c r="BZ214" i="23"/>
  <c r="CA214" i="23"/>
  <c r="G256" i="23"/>
  <c r="O140" i="23"/>
  <c r="BK254" i="23"/>
  <c r="BK213" i="23"/>
  <c r="BK201" i="23"/>
  <c r="G164" i="23"/>
  <c r="H160" i="23" s="1"/>
  <c r="G167" i="23"/>
  <c r="G169" i="23" s="1"/>
  <c r="O164" i="23"/>
  <c r="EI342" i="23"/>
  <c r="EI93" i="23"/>
  <c r="E133" i="23"/>
  <c r="J133" i="23"/>
  <c r="K133" i="23"/>
  <c r="L133" i="23"/>
  <c r="M133" i="23"/>
  <c r="N133" i="23"/>
  <c r="BJ254" i="23"/>
  <c r="BJ213" i="23"/>
  <c r="BJ201" i="23"/>
  <c r="BF256" i="23" l="1"/>
  <c r="BE256" i="23"/>
  <c r="BH256" i="23"/>
  <c r="BO256" i="23"/>
  <c r="G168" i="23"/>
  <c r="AR169" i="23"/>
  <c r="AS169" i="23"/>
  <c r="AT169" i="23"/>
  <c r="AU169" i="23"/>
  <c r="AV169" i="23"/>
  <c r="AW169" i="23"/>
  <c r="AX169" i="23"/>
  <c r="AY169" i="23"/>
  <c r="AZ169" i="23"/>
  <c r="BA169" i="23"/>
  <c r="BB169" i="23"/>
  <c r="BC169" i="23"/>
  <c r="F191" i="23"/>
  <c r="AF192" i="23"/>
  <c r="AG192" i="23"/>
  <c r="AH192" i="23"/>
  <c r="AI192" i="23"/>
  <c r="AJ192" i="23"/>
  <c r="AK192" i="23"/>
  <c r="AL192" i="23"/>
  <c r="AM192" i="23"/>
  <c r="AN192" i="23"/>
  <c r="AO192" i="23"/>
  <c r="AP192" i="23"/>
  <c r="AQ192" i="23"/>
  <c r="H164" i="23"/>
  <c r="I160" i="23" s="1"/>
  <c r="H167" i="23"/>
  <c r="BQ254" i="23"/>
  <c r="BQ201" i="23"/>
  <c r="BQ213" i="23"/>
  <c r="BO202" i="23"/>
  <c r="O141" i="23"/>
  <c r="CK254" i="23"/>
  <c r="CK213" i="23"/>
  <c r="CK201" i="23"/>
  <c r="O179" i="23"/>
  <c r="E180" i="23"/>
  <c r="BI202" i="23"/>
  <c r="CJ254" i="23"/>
  <c r="CJ213" i="23"/>
  <c r="CJ201" i="23"/>
  <c r="BG202" i="23"/>
  <c r="BK202" i="23"/>
  <c r="CM254" i="23"/>
  <c r="CM213" i="23"/>
  <c r="CM201" i="23"/>
  <c r="F168" i="23"/>
  <c r="AF169" i="23"/>
  <c r="AG169" i="23"/>
  <c r="AH169" i="23"/>
  <c r="AI169" i="23"/>
  <c r="AJ169" i="23"/>
  <c r="AK169" i="23"/>
  <c r="AL169" i="23"/>
  <c r="AM169" i="23"/>
  <c r="AN169" i="23"/>
  <c r="AO169" i="23"/>
  <c r="AP169" i="23"/>
  <c r="AQ169" i="23"/>
  <c r="CI254" i="23"/>
  <c r="CI213" i="23"/>
  <c r="CI201" i="23"/>
  <c r="O384" i="23"/>
  <c r="C31" i="14" s="1"/>
  <c r="BI256" i="23"/>
  <c r="BK256" i="23"/>
  <c r="CH254" i="23"/>
  <c r="CH201" i="23"/>
  <c r="CH213" i="23"/>
  <c r="BG256" i="23"/>
  <c r="BD202" i="23"/>
  <c r="H201" i="23"/>
  <c r="CL254" i="23"/>
  <c r="CL213" i="23"/>
  <c r="CL201" i="23"/>
  <c r="CG254" i="23"/>
  <c r="CG201" i="23"/>
  <c r="CG213" i="23"/>
  <c r="BM202" i="23"/>
  <c r="BY254" i="23"/>
  <c r="BY213" i="23"/>
  <c r="BY201" i="23"/>
  <c r="CF254" i="23"/>
  <c r="CF201" i="23"/>
  <c r="CF213" i="23"/>
  <c r="AF238" i="23"/>
  <c r="AG234" i="23" s="1"/>
  <c r="BF202" i="23"/>
  <c r="BD256" i="23"/>
  <c r="H254" i="23"/>
  <c r="BP254" i="23"/>
  <c r="BP201" i="23"/>
  <c r="BP213" i="23"/>
  <c r="BL202" i="23"/>
  <c r="BL256" i="23"/>
  <c r="BX254" i="23"/>
  <c r="BX213" i="23"/>
  <c r="BX201" i="23"/>
  <c r="BN202" i="23"/>
  <c r="E93" i="23"/>
  <c r="J93" i="23"/>
  <c r="J43" i="12" s="1"/>
  <c r="K93" i="23"/>
  <c r="K43" i="12" s="1"/>
  <c r="L93" i="23"/>
  <c r="L43" i="12" s="1"/>
  <c r="M93" i="23"/>
  <c r="M43" i="12" s="1"/>
  <c r="N93" i="23"/>
  <c r="N43" i="12" s="1"/>
  <c r="BW254" i="23"/>
  <c r="BW213" i="23"/>
  <c r="BW201" i="23"/>
  <c r="BN256" i="23"/>
  <c r="CE254" i="23"/>
  <c r="CE201" i="23"/>
  <c r="CE213" i="23"/>
  <c r="CE230" i="23"/>
  <c r="CE231" i="23" s="1"/>
  <c r="CF227" i="23" s="1"/>
  <c r="O133" i="23"/>
  <c r="E134" i="23"/>
  <c r="E342" i="23"/>
  <c r="J342" i="23"/>
  <c r="K342" i="23"/>
  <c r="L342" i="23"/>
  <c r="M342" i="23"/>
  <c r="N342" i="23"/>
  <c r="BV254" i="23"/>
  <c r="BV213" i="23"/>
  <c r="BV201" i="23"/>
  <c r="CN212" i="23"/>
  <c r="CO212" i="23"/>
  <c r="CP212" i="23"/>
  <c r="CQ212" i="23"/>
  <c r="CR212" i="23"/>
  <c r="CS212" i="23"/>
  <c r="CT212" i="23"/>
  <c r="CU212" i="23"/>
  <c r="CV212" i="23"/>
  <c r="CW212" i="23"/>
  <c r="CX212" i="23"/>
  <c r="CY212" i="23"/>
  <c r="CD254" i="23"/>
  <c r="CD213" i="23"/>
  <c r="CD201" i="23"/>
  <c r="AF190" i="23"/>
  <c r="AG190" i="23"/>
  <c r="AH190" i="23"/>
  <c r="AI190" i="23"/>
  <c r="AJ190" i="23"/>
  <c r="AK190" i="23"/>
  <c r="AL190" i="23"/>
  <c r="AM190" i="23"/>
  <c r="AN190" i="23"/>
  <c r="AO190" i="23"/>
  <c r="AP190" i="23"/>
  <c r="AQ190" i="23"/>
  <c r="BJ202" i="23"/>
  <c r="E23" i="19"/>
  <c r="D202" i="16"/>
  <c r="BM256" i="23"/>
  <c r="CA254" i="23"/>
  <c r="CA213" i="23"/>
  <c r="CA201" i="23"/>
  <c r="BZ254" i="23"/>
  <c r="BZ213" i="23"/>
  <c r="BZ201" i="23"/>
  <c r="BU254" i="23"/>
  <c r="BU213" i="23"/>
  <c r="BU201" i="23"/>
  <c r="K214" i="23"/>
  <c r="BH202" i="23"/>
  <c r="CC254" i="23"/>
  <c r="CC213" i="23"/>
  <c r="CC201" i="23"/>
  <c r="EF398" i="23"/>
  <c r="EF349" i="23" s="1"/>
  <c r="EF397" i="23"/>
  <c r="EF345" i="23" s="1"/>
  <c r="EF399" i="23"/>
  <c r="EF353" i="23" s="1"/>
  <c r="G187" i="23"/>
  <c r="H183" i="23" s="1"/>
  <c r="G190" i="23"/>
  <c r="G192" i="23" s="1"/>
  <c r="BJ256" i="23"/>
  <c r="BT254" i="23"/>
  <c r="BT213" i="23"/>
  <c r="BT201" i="23"/>
  <c r="L251" i="23"/>
  <c r="L209" i="23"/>
  <c r="M205" i="23" s="1"/>
  <c r="L212" i="23"/>
  <c r="L214" i="23" s="1"/>
  <c r="CB254" i="23"/>
  <c r="CB213" i="23"/>
  <c r="CB201" i="23"/>
  <c r="BS254" i="23"/>
  <c r="BS213" i="23"/>
  <c r="BS201" i="23"/>
  <c r="O187" i="23"/>
  <c r="BE202" i="23"/>
  <c r="EG294" i="23"/>
  <c r="EG295" i="23" s="1"/>
  <c r="EH291" i="23" s="1"/>
  <c r="AR167" i="23"/>
  <c r="AS167" i="23"/>
  <c r="AT167" i="23"/>
  <c r="AU167" i="23"/>
  <c r="AV167" i="23"/>
  <c r="AW167" i="23"/>
  <c r="AX167" i="23"/>
  <c r="AY167" i="23"/>
  <c r="AZ167" i="23"/>
  <c r="BA167" i="23"/>
  <c r="BB167" i="23"/>
  <c r="BC167" i="23"/>
  <c r="BR254" i="23"/>
  <c r="BR201" i="23"/>
  <c r="BR213" i="23"/>
  <c r="F141" i="23"/>
  <c r="G137" i="23" s="1"/>
  <c r="F144" i="23"/>
  <c r="F146" i="23" s="1"/>
  <c r="BR256" i="23" l="1"/>
  <c r="O342" i="23"/>
  <c r="CH256" i="23"/>
  <c r="BU256" i="23"/>
  <c r="EH293" i="23"/>
  <c r="CF229" i="23"/>
  <c r="BS202" i="23"/>
  <c r="H187" i="23"/>
  <c r="I183" i="23" s="1"/>
  <c r="H190" i="23"/>
  <c r="H192" i="23" s="1"/>
  <c r="BZ256" i="23"/>
  <c r="AF168" i="23"/>
  <c r="AF155" i="23"/>
  <c r="G191" i="23"/>
  <c r="AR192" i="23"/>
  <c r="AS192" i="23"/>
  <c r="AT192" i="23"/>
  <c r="AU192" i="23"/>
  <c r="AV192" i="23"/>
  <c r="AW192" i="23"/>
  <c r="AX192" i="23"/>
  <c r="AY192" i="23"/>
  <c r="AZ192" i="23"/>
  <c r="BA192" i="23"/>
  <c r="BB192" i="23"/>
  <c r="BC192" i="23"/>
  <c r="AH168" i="23"/>
  <c r="AH155" i="23"/>
  <c r="AH157" i="23" s="1"/>
  <c r="BS256" i="23"/>
  <c r="BX202" i="23"/>
  <c r="CG202" i="23"/>
  <c r="CI202" i="23"/>
  <c r="CM202" i="23"/>
  <c r="AP178" i="23"/>
  <c r="AP180" i="23" s="1"/>
  <c r="AP191" i="23"/>
  <c r="BB168" i="23"/>
  <c r="BB155" i="23"/>
  <c r="BB157" i="23" s="1"/>
  <c r="BZ202" i="23"/>
  <c r="AR190" i="23"/>
  <c r="AS190" i="23"/>
  <c r="AT190" i="23"/>
  <c r="AU190" i="23"/>
  <c r="AV190" i="23"/>
  <c r="AW190" i="23"/>
  <c r="AX190" i="23"/>
  <c r="AY190" i="23"/>
  <c r="AZ190" i="23"/>
  <c r="BA190" i="23"/>
  <c r="BB190" i="23"/>
  <c r="BC190" i="23"/>
  <c r="I164" i="23"/>
  <c r="J160" i="23" s="1"/>
  <c r="I167" i="23"/>
  <c r="I169" i="23" s="1"/>
  <c r="CB202" i="23"/>
  <c r="J201" i="23"/>
  <c r="J202" i="23" s="1"/>
  <c r="CA256" i="23"/>
  <c r="CE202" i="23"/>
  <c r="AG236" i="23"/>
  <c r="CG256" i="23"/>
  <c r="CK202" i="23"/>
  <c r="AO178" i="23"/>
  <c r="AO180" i="23" s="1"/>
  <c r="AO191" i="23"/>
  <c r="BA168" i="23"/>
  <c r="BA155" i="23"/>
  <c r="BA157" i="23" s="1"/>
  <c r="E43" i="12"/>
  <c r="O93" i="23"/>
  <c r="AQ178" i="23"/>
  <c r="AQ180" i="23" s="1"/>
  <c r="AQ191" i="23"/>
  <c r="CC202" i="23"/>
  <c r="CE256" i="23"/>
  <c r="BX256" i="23"/>
  <c r="CL202" i="23"/>
  <c r="CI256" i="23"/>
  <c r="CM256" i="23"/>
  <c r="AN178" i="23"/>
  <c r="AN180" i="23" s="1"/>
  <c r="AN191" i="23"/>
  <c r="AZ168" i="23"/>
  <c r="AZ155" i="23"/>
  <c r="AZ157" i="23" s="1"/>
  <c r="CB256" i="23"/>
  <c r="J254" i="23"/>
  <c r="CF202" i="23"/>
  <c r="AQ168" i="23"/>
  <c r="AQ155" i="23"/>
  <c r="AQ157" i="23" s="1"/>
  <c r="CK256" i="23"/>
  <c r="AM191" i="23"/>
  <c r="AM178" i="23"/>
  <c r="AM180" i="23" s="1"/>
  <c r="AY168" i="23"/>
  <c r="AY155" i="23"/>
  <c r="AY157" i="23" s="1"/>
  <c r="BC168" i="23"/>
  <c r="BC155" i="23"/>
  <c r="BC157" i="23" s="1"/>
  <c r="CZ212" i="23"/>
  <c r="DA212" i="23"/>
  <c r="DB212" i="23"/>
  <c r="DC212" i="23"/>
  <c r="DD212" i="23"/>
  <c r="DE212" i="23"/>
  <c r="DF212" i="23"/>
  <c r="DG212" i="23"/>
  <c r="DH212" i="23"/>
  <c r="DI212" i="23"/>
  <c r="DJ212" i="23"/>
  <c r="DK212" i="23"/>
  <c r="CC256" i="23"/>
  <c r="CD202" i="23"/>
  <c r="BV202" i="23"/>
  <c r="BW202" i="23"/>
  <c r="CF256" i="23"/>
  <c r="CL256" i="23"/>
  <c r="AP168" i="23"/>
  <c r="AP155" i="23"/>
  <c r="AP157" i="23" s="1"/>
  <c r="AL191" i="23"/>
  <c r="AL178" i="23"/>
  <c r="AL180" i="23" s="1"/>
  <c r="AX168" i="23"/>
  <c r="AX155" i="23"/>
  <c r="AX157" i="23" s="1"/>
  <c r="H256" i="23"/>
  <c r="L213" i="23"/>
  <c r="CZ214" i="23"/>
  <c r="DA214" i="23"/>
  <c r="DB214" i="23"/>
  <c r="DC214" i="23"/>
  <c r="DD214" i="23"/>
  <c r="DE214" i="23"/>
  <c r="DF214" i="23"/>
  <c r="DG214" i="23"/>
  <c r="DH214" i="23"/>
  <c r="DI214" i="23"/>
  <c r="DJ214" i="23"/>
  <c r="DK214" i="23"/>
  <c r="BY202" i="23"/>
  <c r="H202" i="23"/>
  <c r="AO168" i="23"/>
  <c r="AO155" i="23"/>
  <c r="AO157" i="23" s="1"/>
  <c r="AK191" i="23"/>
  <c r="AK178" i="23"/>
  <c r="AK180" i="23" s="1"/>
  <c r="AW168" i="23"/>
  <c r="AW155" i="23"/>
  <c r="AW157" i="23" s="1"/>
  <c r="M251" i="23"/>
  <c r="M209" i="23"/>
  <c r="N205" i="23" s="1"/>
  <c r="M212" i="23"/>
  <c r="CD256" i="23"/>
  <c r="BV256" i="23"/>
  <c r="BW256" i="23"/>
  <c r="AN168" i="23"/>
  <c r="AN155" i="23"/>
  <c r="AN157" i="23" s="1"/>
  <c r="AJ191" i="23"/>
  <c r="AJ178" i="23"/>
  <c r="AJ180" i="23" s="1"/>
  <c r="AV168" i="23"/>
  <c r="AV155" i="23"/>
  <c r="AV157" i="23" s="1"/>
  <c r="F145" i="23"/>
  <c r="AF146" i="23"/>
  <c r="AG146" i="23"/>
  <c r="AH146" i="23"/>
  <c r="AI146" i="23"/>
  <c r="AJ146" i="23"/>
  <c r="AK146" i="23"/>
  <c r="AL146" i="23"/>
  <c r="AM146" i="23"/>
  <c r="AN146" i="23"/>
  <c r="AO146" i="23"/>
  <c r="AP146" i="23"/>
  <c r="AQ146" i="23"/>
  <c r="BY256" i="23"/>
  <c r="AM168" i="23"/>
  <c r="AM155" i="23"/>
  <c r="AM157" i="23" s="1"/>
  <c r="AI191" i="23"/>
  <c r="AI178" i="23"/>
  <c r="AI180" i="23" s="1"/>
  <c r="AU168" i="23"/>
  <c r="AU155" i="23"/>
  <c r="AU157" i="23" s="1"/>
  <c r="CA202" i="23"/>
  <c r="AF144" i="23"/>
  <c r="AG144" i="23"/>
  <c r="AH144" i="23"/>
  <c r="AI144" i="23"/>
  <c r="AJ144" i="23"/>
  <c r="AK144" i="23"/>
  <c r="AL144" i="23"/>
  <c r="AM144" i="23"/>
  <c r="AN144" i="23"/>
  <c r="AO144" i="23"/>
  <c r="AP144" i="23"/>
  <c r="AQ144" i="23"/>
  <c r="BT202" i="23"/>
  <c r="K213" i="23"/>
  <c r="CN214" i="23"/>
  <c r="CO214" i="23"/>
  <c r="CP214" i="23"/>
  <c r="CQ214" i="23"/>
  <c r="CR214" i="23"/>
  <c r="CS214" i="23"/>
  <c r="CT214" i="23"/>
  <c r="CU214" i="23"/>
  <c r="CV214" i="23"/>
  <c r="CW214" i="23"/>
  <c r="CX214" i="23"/>
  <c r="CY214" i="23"/>
  <c r="AL168" i="23"/>
  <c r="AL155" i="23"/>
  <c r="AL157" i="23" s="1"/>
  <c r="AH191" i="23"/>
  <c r="AH178" i="23"/>
  <c r="AH180" i="23" s="1"/>
  <c r="AT168" i="23"/>
  <c r="AT155" i="23"/>
  <c r="AT157" i="23" s="1"/>
  <c r="AG168" i="23"/>
  <c r="AG155" i="23"/>
  <c r="AG157" i="23" s="1"/>
  <c r="G141" i="23"/>
  <c r="H137" i="23" s="1"/>
  <c r="G144" i="23"/>
  <c r="G146" i="23" s="1"/>
  <c r="EG396" i="23"/>
  <c r="EG302" i="23"/>
  <c r="EG355" i="23"/>
  <c r="EG94" i="23"/>
  <c r="BU202" i="23"/>
  <c r="BP202" i="23"/>
  <c r="I201" i="23"/>
  <c r="I202" i="23" s="1"/>
  <c r="AK168" i="23"/>
  <c r="AK155" i="23"/>
  <c r="AK157" i="23" s="1"/>
  <c r="CJ202" i="23"/>
  <c r="BQ202" i="23"/>
  <c r="AG191" i="23"/>
  <c r="AG178" i="23"/>
  <c r="AG180" i="23" s="1"/>
  <c r="AS168" i="23"/>
  <c r="AS155" i="23"/>
  <c r="AS157" i="23" s="1"/>
  <c r="BT256" i="23"/>
  <c r="BP256" i="23"/>
  <c r="I254" i="23"/>
  <c r="AJ168" i="23"/>
  <c r="AJ155" i="23"/>
  <c r="AJ157" i="23" s="1"/>
  <c r="BQ256" i="23"/>
  <c r="AF191" i="23"/>
  <c r="AF178" i="23"/>
  <c r="AR168" i="23"/>
  <c r="AR155" i="23"/>
  <c r="BD167" i="23"/>
  <c r="BE167" i="23"/>
  <c r="BF167" i="23"/>
  <c r="BG167" i="23"/>
  <c r="BH167" i="23"/>
  <c r="BI167" i="23"/>
  <c r="BJ167" i="23"/>
  <c r="BK167" i="23"/>
  <c r="BL167" i="23"/>
  <c r="BM167" i="23"/>
  <c r="BN167" i="23"/>
  <c r="BO167" i="23"/>
  <c r="BR202" i="23"/>
  <c r="CH202" i="23"/>
  <c r="AI168" i="23"/>
  <c r="AI155" i="23"/>
  <c r="AI157" i="23" s="1"/>
  <c r="CJ256" i="23"/>
  <c r="H169" i="23"/>
  <c r="J256" i="23" l="1"/>
  <c r="I256" i="23"/>
  <c r="H191" i="23"/>
  <c r="BD192" i="23"/>
  <c r="BE192" i="23"/>
  <c r="BF192" i="23"/>
  <c r="BG192" i="23"/>
  <c r="BH192" i="23"/>
  <c r="BI192" i="23"/>
  <c r="BJ192" i="23"/>
  <c r="BK192" i="23"/>
  <c r="BL192" i="23"/>
  <c r="BM192" i="23"/>
  <c r="BN192" i="23"/>
  <c r="BO192" i="23"/>
  <c r="G145" i="23"/>
  <c r="AR146" i="23"/>
  <c r="AS146" i="23"/>
  <c r="AT146" i="23"/>
  <c r="AU146" i="23"/>
  <c r="AV146" i="23"/>
  <c r="AW146" i="23"/>
  <c r="AX146" i="23"/>
  <c r="AY146" i="23"/>
  <c r="AZ146" i="23"/>
  <c r="BA146" i="23"/>
  <c r="BB146" i="23"/>
  <c r="BC146" i="23"/>
  <c r="CT254" i="23"/>
  <c r="CT213" i="23"/>
  <c r="CT201" i="23"/>
  <c r="DE254" i="23"/>
  <c r="DE213" i="23"/>
  <c r="DE201" i="23"/>
  <c r="CS254" i="23"/>
  <c r="CS213" i="23"/>
  <c r="CS201" i="23"/>
  <c r="DD254" i="23"/>
  <c r="DD213" i="23"/>
  <c r="DD201" i="23"/>
  <c r="BC191" i="23"/>
  <c r="BC178" i="23"/>
  <c r="BC180" i="23" s="1"/>
  <c r="H141" i="23"/>
  <c r="I137" i="23" s="1"/>
  <c r="H144" i="23"/>
  <c r="H146" i="23" s="1"/>
  <c r="CR254" i="23"/>
  <c r="CR213" i="23"/>
  <c r="CR201" i="23"/>
  <c r="AP145" i="23"/>
  <c r="AP132" i="23"/>
  <c r="DC254" i="23"/>
  <c r="DC213" i="23"/>
  <c r="DC201" i="23"/>
  <c r="AG237" i="23"/>
  <c r="AG238" i="23" s="1"/>
  <c r="AH234" i="23" s="1"/>
  <c r="BB191" i="23"/>
  <c r="BB178" i="23"/>
  <c r="BB180" i="23" s="1"/>
  <c r="CQ254" i="23"/>
  <c r="CQ213" i="23"/>
  <c r="CQ201" i="23"/>
  <c r="AO145" i="23"/>
  <c r="AO132" i="23"/>
  <c r="DB254" i="23"/>
  <c r="DB213" i="23"/>
  <c r="DB201" i="23"/>
  <c r="BA191" i="23"/>
  <c r="BA178" i="23"/>
  <c r="BA180" i="23" s="1"/>
  <c r="I187" i="23"/>
  <c r="J183" i="23" s="1"/>
  <c r="I190" i="23"/>
  <c r="CP254" i="23"/>
  <c r="CP213" i="23"/>
  <c r="CP201" i="23"/>
  <c r="AN145" i="23"/>
  <c r="AN132" i="23"/>
  <c r="DA254" i="23"/>
  <c r="DA213" i="23"/>
  <c r="DA201" i="23"/>
  <c r="AZ191" i="23"/>
  <c r="AZ178" i="23"/>
  <c r="AZ180" i="23" s="1"/>
  <c r="AR144" i="23"/>
  <c r="AS144" i="23"/>
  <c r="AT144" i="23"/>
  <c r="AU144" i="23"/>
  <c r="AV144" i="23"/>
  <c r="AW144" i="23"/>
  <c r="AX144" i="23"/>
  <c r="AY144" i="23"/>
  <c r="AZ144" i="23"/>
  <c r="BA144" i="23"/>
  <c r="BB144" i="23"/>
  <c r="BC144" i="23"/>
  <c r="CO254" i="23"/>
  <c r="CO213" i="23"/>
  <c r="CO201" i="23"/>
  <c r="AM145" i="23"/>
  <c r="AM132" i="23"/>
  <c r="CZ254" i="23"/>
  <c r="CZ201" i="23"/>
  <c r="CZ213" i="23"/>
  <c r="AY191" i="23"/>
  <c r="AY178" i="23"/>
  <c r="AY180" i="23" s="1"/>
  <c r="CN254" i="23"/>
  <c r="CN213" i="23"/>
  <c r="CN201" i="23"/>
  <c r="AL145" i="23"/>
  <c r="AL132" i="23"/>
  <c r="AX191" i="23"/>
  <c r="AX178" i="23"/>
  <c r="AX180" i="23" s="1"/>
  <c r="AK145" i="23"/>
  <c r="AK132" i="23"/>
  <c r="AW191" i="23"/>
  <c r="AW178" i="23"/>
  <c r="AW180" i="23" s="1"/>
  <c r="AJ145" i="23"/>
  <c r="AJ132" i="23"/>
  <c r="O43" i="12"/>
  <c r="AV191" i="23"/>
  <c r="AV178" i="23"/>
  <c r="AV180" i="23" s="1"/>
  <c r="CF230" i="23"/>
  <c r="CF231" i="23" s="1"/>
  <c r="CG227" i="23" s="1"/>
  <c r="H168" i="23"/>
  <c r="BD169" i="23"/>
  <c r="BE169" i="23"/>
  <c r="BF169" i="23"/>
  <c r="BG169" i="23"/>
  <c r="BH169" i="23"/>
  <c r="BI169" i="23"/>
  <c r="BJ169" i="23"/>
  <c r="BK169" i="23"/>
  <c r="BL169" i="23"/>
  <c r="BM169" i="23"/>
  <c r="BN169" i="23"/>
  <c r="BO169" i="23"/>
  <c r="AI145" i="23"/>
  <c r="AI132" i="23"/>
  <c r="DL212" i="23"/>
  <c r="DM212" i="23"/>
  <c r="DN212" i="23"/>
  <c r="DO212" i="23"/>
  <c r="DP212" i="23"/>
  <c r="DQ212" i="23"/>
  <c r="DR212" i="23"/>
  <c r="DS212" i="23"/>
  <c r="DT212" i="23"/>
  <c r="DU212" i="23"/>
  <c r="DV212" i="23"/>
  <c r="DW212" i="23"/>
  <c r="AU191" i="23"/>
  <c r="AU178" i="23"/>
  <c r="AU180" i="23" s="1"/>
  <c r="AQ145" i="23"/>
  <c r="AQ132" i="23"/>
  <c r="BD190" i="23"/>
  <c r="BE190" i="23"/>
  <c r="BF190" i="23"/>
  <c r="BG190" i="23"/>
  <c r="BH190" i="23"/>
  <c r="BI190" i="23"/>
  <c r="BJ190" i="23"/>
  <c r="BK190" i="23"/>
  <c r="BL190" i="23"/>
  <c r="BM190" i="23"/>
  <c r="BN190" i="23"/>
  <c r="BO190" i="23"/>
  <c r="AH145" i="23"/>
  <c r="AH132" i="23"/>
  <c r="M214" i="23"/>
  <c r="DK254" i="23"/>
  <c r="DK213" i="23"/>
  <c r="DK201" i="23"/>
  <c r="AT191" i="23"/>
  <c r="AT178" i="23"/>
  <c r="AT180" i="23" s="1"/>
  <c r="CY254" i="23"/>
  <c r="CY213" i="23"/>
  <c r="CY201" i="23"/>
  <c r="AG145" i="23"/>
  <c r="AG132" i="23"/>
  <c r="N251" i="23"/>
  <c r="N209" i="23"/>
  <c r="N212" i="23"/>
  <c r="DJ254" i="23"/>
  <c r="DJ213" i="23"/>
  <c r="DJ201" i="23"/>
  <c r="AS191" i="23"/>
  <c r="AS178" i="23"/>
  <c r="AS180" i="23" s="1"/>
  <c r="CX254" i="23"/>
  <c r="CX201" i="23"/>
  <c r="CX213" i="23"/>
  <c r="AF145" i="23"/>
  <c r="AF132" i="23"/>
  <c r="DI254" i="23"/>
  <c r="DI213" i="23"/>
  <c r="DI201" i="23"/>
  <c r="I168" i="23"/>
  <c r="BP169" i="23"/>
  <c r="BQ169" i="23"/>
  <c r="BR169" i="23"/>
  <c r="BS169" i="23"/>
  <c r="BT169" i="23"/>
  <c r="BU169" i="23"/>
  <c r="BV169" i="23"/>
  <c r="BW169" i="23"/>
  <c r="BX169" i="23"/>
  <c r="BY169" i="23"/>
  <c r="BZ169" i="23"/>
  <c r="CA169" i="23"/>
  <c r="AR191" i="23"/>
  <c r="AR178" i="23"/>
  <c r="EH294" i="23"/>
  <c r="EH295" i="23" s="1"/>
  <c r="EI291" i="23" s="1"/>
  <c r="AF180" i="23"/>
  <c r="F178" i="23"/>
  <c r="CW254" i="23"/>
  <c r="CW201" i="23"/>
  <c r="CW213" i="23"/>
  <c r="DH254" i="23"/>
  <c r="DH213" i="23"/>
  <c r="DH201" i="23"/>
  <c r="BP167" i="23"/>
  <c r="BQ167" i="23"/>
  <c r="BR167" i="23"/>
  <c r="BS167" i="23"/>
  <c r="BT167" i="23"/>
  <c r="BU167" i="23"/>
  <c r="BV167" i="23"/>
  <c r="BW167" i="23"/>
  <c r="BX167" i="23"/>
  <c r="BY167" i="23"/>
  <c r="BZ167" i="23"/>
  <c r="CA167" i="23"/>
  <c r="CV254" i="23"/>
  <c r="CV213" i="23"/>
  <c r="CV201" i="23"/>
  <c r="DG254" i="23"/>
  <c r="DG213" i="23"/>
  <c r="DG201" i="23"/>
  <c r="J164" i="23"/>
  <c r="K160" i="23" s="1"/>
  <c r="J167" i="23"/>
  <c r="AF157" i="23"/>
  <c r="F155" i="23"/>
  <c r="AR157" i="23"/>
  <c r="G155" i="23"/>
  <c r="G157" i="23" s="1"/>
  <c r="EG398" i="23"/>
  <c r="EG349" i="23" s="1"/>
  <c r="EG397" i="23"/>
  <c r="EG345" i="23" s="1"/>
  <c r="EG399" i="23"/>
  <c r="EG353" i="23" s="1"/>
  <c r="CU254" i="23"/>
  <c r="CU213" i="23"/>
  <c r="CU201" i="23"/>
  <c r="DF254" i="23"/>
  <c r="DF213" i="23"/>
  <c r="DF201" i="23"/>
  <c r="DE256" i="23" l="1"/>
  <c r="DB256" i="23"/>
  <c r="CU256" i="23"/>
  <c r="CR256" i="23"/>
  <c r="CX256" i="23"/>
  <c r="DG256" i="23"/>
  <c r="DF256" i="23"/>
  <c r="DH256" i="23"/>
  <c r="DK256" i="23"/>
  <c r="CW256" i="23"/>
  <c r="CG229" i="23"/>
  <c r="EI293" i="23"/>
  <c r="EI294" i="23" s="1"/>
  <c r="CW202" i="23"/>
  <c r="BU168" i="23"/>
  <c r="BU155" i="23"/>
  <c r="BU157" i="23" s="1"/>
  <c r="DK202" i="23"/>
  <c r="BD168" i="23"/>
  <c r="BD155" i="23"/>
  <c r="DB202" i="23"/>
  <c r="CR202" i="23"/>
  <c r="AS145" i="23"/>
  <c r="AS132" i="23"/>
  <c r="F157" i="23"/>
  <c r="BQ168" i="23"/>
  <c r="BQ155" i="23"/>
  <c r="BQ157" i="23" s="1"/>
  <c r="DJ256" i="23"/>
  <c r="AH134" i="23"/>
  <c r="AL134" i="23"/>
  <c r="BD144" i="23"/>
  <c r="BE144" i="23"/>
  <c r="BF144" i="23"/>
  <c r="BG144" i="23"/>
  <c r="BH144" i="23"/>
  <c r="BI144" i="23"/>
  <c r="BJ144" i="23"/>
  <c r="BK144" i="23"/>
  <c r="BL144" i="23"/>
  <c r="BM144" i="23"/>
  <c r="BN144" i="23"/>
  <c r="BO144" i="23"/>
  <c r="BN191" i="23"/>
  <c r="BN178" i="23"/>
  <c r="BN180" i="23" s="1"/>
  <c r="AI134" i="23"/>
  <c r="AO134" i="23"/>
  <c r="F180" i="23"/>
  <c r="BP168" i="23"/>
  <c r="BP155" i="23"/>
  <c r="DX212" i="23"/>
  <c r="DY212" i="23"/>
  <c r="DZ212" i="23"/>
  <c r="EA212" i="23"/>
  <c r="EB212" i="23"/>
  <c r="EC212" i="23"/>
  <c r="ED212" i="23"/>
  <c r="EE212" i="23"/>
  <c r="EF212" i="23"/>
  <c r="EG212" i="23"/>
  <c r="EH212" i="23"/>
  <c r="EI212" i="23"/>
  <c r="BO168" i="23"/>
  <c r="BO155" i="23"/>
  <c r="BO157" i="23" s="1"/>
  <c r="DA256" i="23"/>
  <c r="CQ202" i="23"/>
  <c r="I141" i="23"/>
  <c r="J137" i="23" s="1"/>
  <c r="I144" i="23"/>
  <c r="I146" i="23" s="1"/>
  <c r="AH236" i="23"/>
  <c r="AH237" i="23" s="1"/>
  <c r="AH238" i="23" s="1"/>
  <c r="AI234" i="23" s="1"/>
  <c r="BM191" i="23"/>
  <c r="BM178" i="23"/>
  <c r="BM180" i="23" s="1"/>
  <c r="CB167" i="23"/>
  <c r="CC167" i="23"/>
  <c r="CD167" i="23"/>
  <c r="CE167" i="23"/>
  <c r="CF167" i="23"/>
  <c r="CG167" i="23"/>
  <c r="CH167" i="23"/>
  <c r="CI167" i="23"/>
  <c r="CJ167" i="23"/>
  <c r="CK167" i="23"/>
  <c r="CL167" i="23"/>
  <c r="CM167" i="23"/>
  <c r="N214" i="23"/>
  <c r="BN168" i="23"/>
  <c r="BN155" i="23"/>
  <c r="BN157" i="23" s="1"/>
  <c r="CN202" i="23"/>
  <c r="K201" i="23"/>
  <c r="AN134" i="23"/>
  <c r="BC145" i="23"/>
  <c r="BC132" i="23"/>
  <c r="BL191" i="23"/>
  <c r="BL178" i="23"/>
  <c r="BL180" i="23" s="1"/>
  <c r="CT202" i="23"/>
  <c r="J169" i="23"/>
  <c r="EH396" i="23"/>
  <c r="EH302" i="23"/>
  <c r="EH355" i="23"/>
  <c r="EH94" i="23"/>
  <c r="DI202" i="23"/>
  <c r="BM168" i="23"/>
  <c r="BM155" i="23"/>
  <c r="BM157" i="23" s="1"/>
  <c r="CQ256" i="23"/>
  <c r="BB145" i="23"/>
  <c r="BB132" i="23"/>
  <c r="BK191" i="23"/>
  <c r="BK178" i="23"/>
  <c r="BK180" i="23" s="1"/>
  <c r="AQ134" i="23"/>
  <c r="DA202" i="23"/>
  <c r="K164" i="23"/>
  <c r="L160" i="23" s="1"/>
  <c r="K167" i="23"/>
  <c r="K169" i="23" s="1"/>
  <c r="AR180" i="23"/>
  <c r="G178" i="23"/>
  <c r="G180" i="23" s="1"/>
  <c r="BL168" i="23"/>
  <c r="BL155" i="23"/>
  <c r="BL157" i="23" s="1"/>
  <c r="CN256" i="23"/>
  <c r="K254" i="23"/>
  <c r="CP202" i="23"/>
  <c r="DD202" i="23"/>
  <c r="BA145" i="23"/>
  <c r="BA132" i="23"/>
  <c r="BJ191" i="23"/>
  <c r="BJ178" i="23"/>
  <c r="BJ180" i="23" s="1"/>
  <c r="BT168" i="23"/>
  <c r="BT155" i="23"/>
  <c r="BT157" i="23" s="1"/>
  <c r="CO202" i="23"/>
  <c r="DF202" i="23"/>
  <c r="DG202" i="23"/>
  <c r="DI256" i="23"/>
  <c r="AG134" i="23"/>
  <c r="BK168" i="23"/>
  <c r="BK155" i="23"/>
  <c r="BK157" i="23" s="1"/>
  <c r="AJ134" i="23"/>
  <c r="AZ145" i="23"/>
  <c r="AZ132" i="23"/>
  <c r="BI191" i="23"/>
  <c r="BI178" i="23"/>
  <c r="BI180" i="23" s="1"/>
  <c r="H145" i="23"/>
  <c r="BD146" i="23"/>
  <c r="BE146" i="23"/>
  <c r="BF146" i="23"/>
  <c r="BG146" i="23"/>
  <c r="BH146" i="23"/>
  <c r="BI146" i="23"/>
  <c r="BJ146" i="23"/>
  <c r="BK146" i="23"/>
  <c r="BL146" i="23"/>
  <c r="BM146" i="23"/>
  <c r="BN146" i="23"/>
  <c r="BO146" i="23"/>
  <c r="CA168" i="23"/>
  <c r="CA155" i="23"/>
  <c r="CA157" i="23" s="1"/>
  <c r="AF134" i="23"/>
  <c r="F132" i="23"/>
  <c r="BJ168" i="23"/>
  <c r="BJ155" i="23"/>
  <c r="BJ157" i="23" s="1"/>
  <c r="CP256" i="23"/>
  <c r="DD256" i="23"/>
  <c r="AY145" i="23"/>
  <c r="AY132" i="23"/>
  <c r="BH191" i="23"/>
  <c r="BH178" i="23"/>
  <c r="BH180" i="23" s="1"/>
  <c r="BR168" i="23"/>
  <c r="BR155" i="23"/>
  <c r="BR157" i="23" s="1"/>
  <c r="BO191" i="23"/>
  <c r="BO178" i="23"/>
  <c r="BO180" i="23" s="1"/>
  <c r="BZ168" i="23"/>
  <c r="BZ155" i="23"/>
  <c r="BZ157" i="23" s="1"/>
  <c r="CY202" i="23"/>
  <c r="BI168" i="23"/>
  <c r="BI155" i="23"/>
  <c r="BI157" i="23" s="1"/>
  <c r="BP190" i="23"/>
  <c r="BQ190" i="23"/>
  <c r="BR190" i="23"/>
  <c r="BS190" i="23"/>
  <c r="BT190" i="23"/>
  <c r="BU190" i="23"/>
  <c r="BV190" i="23"/>
  <c r="BW190" i="23"/>
  <c r="BX190" i="23"/>
  <c r="BY190" i="23"/>
  <c r="BZ190" i="23"/>
  <c r="CA190" i="23"/>
  <c r="DC202" i="23"/>
  <c r="CS202" i="23"/>
  <c r="AX145" i="23"/>
  <c r="AX132" i="23"/>
  <c r="BG191" i="23"/>
  <c r="BG178" i="23"/>
  <c r="BG180" i="23" s="1"/>
  <c r="AR145" i="23"/>
  <c r="AR132" i="23"/>
  <c r="DJ202" i="23"/>
  <c r="CT256" i="23"/>
  <c r="CU202" i="23"/>
  <c r="DH202" i="23"/>
  <c r="BY168" i="23"/>
  <c r="BY155" i="23"/>
  <c r="BY157" i="23" s="1"/>
  <c r="BH168" i="23"/>
  <c r="BH155" i="23"/>
  <c r="BH157" i="23" s="1"/>
  <c r="CZ202" i="23"/>
  <c r="L201" i="23"/>
  <c r="L202" i="23" s="1"/>
  <c r="I192" i="23"/>
  <c r="AW145" i="23"/>
  <c r="AW132" i="23"/>
  <c r="BF191" i="23"/>
  <c r="BF178" i="23"/>
  <c r="BF180" i="23" s="1"/>
  <c r="CO256" i="23"/>
  <c r="CV202" i="23"/>
  <c r="BX168" i="23"/>
  <c r="BX155" i="23"/>
  <c r="BX157" i="23" s="1"/>
  <c r="CX202" i="23"/>
  <c r="CY256" i="23"/>
  <c r="BG168" i="23"/>
  <c r="BG155" i="23"/>
  <c r="BG157" i="23" s="1"/>
  <c r="CZ256" i="23"/>
  <c r="L254" i="23"/>
  <c r="J187" i="23"/>
  <c r="K183" i="23" s="1"/>
  <c r="J190" i="23"/>
  <c r="DC256" i="23"/>
  <c r="CS256" i="23"/>
  <c r="AV145" i="23"/>
  <c r="AV132" i="23"/>
  <c r="BE191" i="23"/>
  <c r="BE178" i="23"/>
  <c r="BE180" i="23" s="1"/>
  <c r="BS168" i="23"/>
  <c r="BS155" i="23"/>
  <c r="BS157" i="23" s="1"/>
  <c r="M213" i="23"/>
  <c r="DL214" i="23"/>
  <c r="DM214" i="23"/>
  <c r="DN214" i="23"/>
  <c r="DO214" i="23"/>
  <c r="DP214" i="23"/>
  <c r="DQ214" i="23"/>
  <c r="DR214" i="23"/>
  <c r="DS214" i="23"/>
  <c r="DT214" i="23"/>
  <c r="DU214" i="23"/>
  <c r="DV214" i="23"/>
  <c r="DW214" i="23"/>
  <c r="BW168" i="23"/>
  <c r="BW155" i="23"/>
  <c r="BW157" i="23" s="1"/>
  <c r="BF168" i="23"/>
  <c r="BF155" i="23"/>
  <c r="BF157" i="23" s="1"/>
  <c r="AP134" i="23"/>
  <c r="DE202" i="23"/>
  <c r="AU145" i="23"/>
  <c r="AU132" i="23"/>
  <c r="BD191" i="23"/>
  <c r="BD178" i="23"/>
  <c r="CV256" i="23"/>
  <c r="BV168" i="23"/>
  <c r="BV155" i="23"/>
  <c r="BV157" i="23" s="1"/>
  <c r="BE168" i="23"/>
  <c r="BE155" i="23"/>
  <c r="BE157" i="23" s="1"/>
  <c r="AK134" i="23"/>
  <c r="AM134" i="23"/>
  <c r="AT145" i="23"/>
  <c r="AT132" i="23"/>
  <c r="EI396" i="23" l="1"/>
  <c r="EI302" i="23"/>
  <c r="E294" i="23"/>
  <c r="EI355" i="23"/>
  <c r="I294" i="23"/>
  <c r="J294" i="23"/>
  <c r="K294" i="23"/>
  <c r="L294" i="23"/>
  <c r="M294" i="23"/>
  <c r="N294" i="23"/>
  <c r="EI94" i="23"/>
  <c r="EI295" i="23"/>
  <c r="I145" i="23"/>
  <c r="BP146" i="23"/>
  <c r="BQ146" i="23"/>
  <c r="BR146" i="23"/>
  <c r="BS146" i="23"/>
  <c r="BT146" i="23"/>
  <c r="BU146" i="23"/>
  <c r="BV146" i="23"/>
  <c r="BW146" i="23"/>
  <c r="BX146" i="23"/>
  <c r="BY146" i="23"/>
  <c r="BZ146" i="23"/>
  <c r="CA146" i="23"/>
  <c r="AI236" i="23"/>
  <c r="DL254" i="23"/>
  <c r="DL213" i="23"/>
  <c r="DL201" i="23"/>
  <c r="J168" i="23"/>
  <c r="CB169" i="23"/>
  <c r="CC169" i="23"/>
  <c r="CD169" i="23"/>
  <c r="CE169" i="23"/>
  <c r="CF169" i="23"/>
  <c r="CG169" i="23"/>
  <c r="CH169" i="23"/>
  <c r="CI169" i="23"/>
  <c r="CJ169" i="23"/>
  <c r="CK169" i="23"/>
  <c r="CL169" i="23"/>
  <c r="CM169" i="23"/>
  <c r="N213" i="23"/>
  <c r="DX214" i="23"/>
  <c r="DY214" i="23"/>
  <c r="DZ214" i="23"/>
  <c r="EA214" i="23"/>
  <c r="EB214" i="23"/>
  <c r="EC214" i="23"/>
  <c r="ED214" i="23"/>
  <c r="EE214" i="23"/>
  <c r="EF214" i="23"/>
  <c r="EG214" i="23"/>
  <c r="EH214" i="23"/>
  <c r="EI214" i="23"/>
  <c r="AR134" i="23"/>
  <c r="G132" i="23"/>
  <c r="G134" i="23" s="1"/>
  <c r="DW254" i="23"/>
  <c r="DW201" i="23"/>
  <c r="DW213" i="23"/>
  <c r="BN145" i="23"/>
  <c r="BN132" i="23"/>
  <c r="AZ134" i="23"/>
  <c r="DV254" i="23"/>
  <c r="DV201" i="23"/>
  <c r="DV213" i="23"/>
  <c r="AV134" i="23"/>
  <c r="AX134" i="23"/>
  <c r="BM145" i="23"/>
  <c r="BM132" i="23"/>
  <c r="BC134" i="23"/>
  <c r="AS134" i="23"/>
  <c r="DU254" i="23"/>
  <c r="DU213" i="23"/>
  <c r="DU201" i="23"/>
  <c r="AY134" i="23"/>
  <c r="BL145" i="23"/>
  <c r="BL132" i="23"/>
  <c r="K168" i="23"/>
  <c r="CN169" i="23"/>
  <c r="CO169" i="23"/>
  <c r="CP169" i="23"/>
  <c r="CQ169" i="23"/>
  <c r="CR169" i="23"/>
  <c r="CS169" i="23"/>
  <c r="CT169" i="23"/>
  <c r="CU169" i="23"/>
  <c r="CV169" i="23"/>
  <c r="CW169" i="23"/>
  <c r="CX169" i="23"/>
  <c r="CY169" i="23"/>
  <c r="BP157" i="23"/>
  <c r="I155" i="23"/>
  <c r="I157" i="23" s="1"/>
  <c r="BB134" i="23"/>
  <c r="BD180" i="23"/>
  <c r="H178" i="23"/>
  <c r="H180" i="23" s="1"/>
  <c r="DT254" i="23"/>
  <c r="DT213" i="23"/>
  <c r="DT201" i="23"/>
  <c r="BK145" i="23"/>
  <c r="BK132" i="23"/>
  <c r="CN167" i="23"/>
  <c r="CO167" i="23"/>
  <c r="CP167" i="23"/>
  <c r="CQ167" i="23"/>
  <c r="CR167" i="23"/>
  <c r="CS167" i="23"/>
  <c r="CT167" i="23"/>
  <c r="CU167" i="23"/>
  <c r="CV167" i="23"/>
  <c r="CW167" i="23"/>
  <c r="CX167" i="23"/>
  <c r="CY167" i="23"/>
  <c r="DS254" i="23"/>
  <c r="DS213" i="23"/>
  <c r="DS201" i="23"/>
  <c r="BJ145" i="23"/>
  <c r="BJ132" i="23"/>
  <c r="BA134" i="23"/>
  <c r="L164" i="23"/>
  <c r="M160" i="23" s="1"/>
  <c r="L167" i="23"/>
  <c r="BP144" i="23"/>
  <c r="BQ144" i="23"/>
  <c r="BR144" i="23"/>
  <c r="BS144" i="23"/>
  <c r="BT144" i="23"/>
  <c r="BU144" i="23"/>
  <c r="BV144" i="23"/>
  <c r="BW144" i="23"/>
  <c r="BX144" i="23"/>
  <c r="BY144" i="23"/>
  <c r="BZ144" i="23"/>
  <c r="CA144" i="23"/>
  <c r="BO145" i="23"/>
  <c r="BO132" i="23"/>
  <c r="AU134" i="23"/>
  <c r="DR254" i="23"/>
  <c r="DR201" i="23"/>
  <c r="DR213" i="23"/>
  <c r="CB190" i="23"/>
  <c r="CC190" i="23"/>
  <c r="CD190" i="23"/>
  <c r="CE190" i="23"/>
  <c r="CF190" i="23"/>
  <c r="CG190" i="23"/>
  <c r="CH190" i="23"/>
  <c r="CI190" i="23"/>
  <c r="CJ190" i="23"/>
  <c r="CK190" i="23"/>
  <c r="CL190" i="23"/>
  <c r="CM190" i="23"/>
  <c r="BI145" i="23"/>
  <c r="BI132" i="23"/>
  <c r="K202" i="23"/>
  <c r="DQ254" i="23"/>
  <c r="DQ213" i="23"/>
  <c r="DQ201" i="23"/>
  <c r="J192" i="23"/>
  <c r="BH145" i="23"/>
  <c r="BH132" i="23"/>
  <c r="E293" i="23"/>
  <c r="I293" i="23"/>
  <c r="J293" i="23"/>
  <c r="K293" i="23"/>
  <c r="L293" i="23"/>
  <c r="M293" i="23"/>
  <c r="N293" i="23"/>
  <c r="DP254" i="23"/>
  <c r="DP213" i="23"/>
  <c r="DP201" i="23"/>
  <c r="K187" i="23"/>
  <c r="L183" i="23" s="1"/>
  <c r="K190" i="23"/>
  <c r="BG145" i="23"/>
  <c r="BG132" i="23"/>
  <c r="K256" i="23"/>
  <c r="AT134" i="23"/>
  <c r="DO254" i="23"/>
  <c r="DO201" i="23"/>
  <c r="DO213" i="23"/>
  <c r="L256" i="23"/>
  <c r="AW134" i="23"/>
  <c r="BF145" i="23"/>
  <c r="BF132" i="23"/>
  <c r="DN254" i="23"/>
  <c r="DN213" i="23"/>
  <c r="DN201" i="23"/>
  <c r="BE145" i="23"/>
  <c r="BE132" i="23"/>
  <c r="BD157" i="23"/>
  <c r="H155" i="23"/>
  <c r="CG230" i="23"/>
  <c r="CG231" i="23" s="1"/>
  <c r="CH227" i="23" s="1"/>
  <c r="J141" i="23"/>
  <c r="K137" i="23" s="1"/>
  <c r="J144" i="23"/>
  <c r="J146" i="23" s="1"/>
  <c r="DM254" i="23"/>
  <c r="DM213" i="23"/>
  <c r="DM201" i="23"/>
  <c r="I191" i="23"/>
  <c r="BP192" i="23"/>
  <c r="BQ192" i="23"/>
  <c r="BR192" i="23"/>
  <c r="BS192" i="23"/>
  <c r="BT192" i="23"/>
  <c r="BU192" i="23"/>
  <c r="BV192" i="23"/>
  <c r="BW192" i="23"/>
  <c r="BX192" i="23"/>
  <c r="BY192" i="23"/>
  <c r="BZ192" i="23"/>
  <c r="CA192" i="23"/>
  <c r="F134" i="23"/>
  <c r="BD145" i="23"/>
  <c r="BD132" i="23"/>
  <c r="EH399" i="23"/>
  <c r="EH353" i="23" s="1"/>
  <c r="EH398" i="23"/>
  <c r="EH349" i="23" s="1"/>
  <c r="EH397" i="23"/>
  <c r="EH345" i="23" s="1"/>
  <c r="DW256" i="23" l="1"/>
  <c r="DQ256" i="23"/>
  <c r="DM256" i="23"/>
  <c r="DS256" i="23"/>
  <c r="J145" i="23"/>
  <c r="CB146" i="23"/>
  <c r="CC146" i="23"/>
  <c r="CD146" i="23"/>
  <c r="CE146" i="23"/>
  <c r="CF146" i="23"/>
  <c r="CG146" i="23"/>
  <c r="CH146" i="23"/>
  <c r="CI146" i="23"/>
  <c r="CJ146" i="23"/>
  <c r="CK146" i="23"/>
  <c r="CL146" i="23"/>
  <c r="CM146" i="23"/>
  <c r="CH229" i="23"/>
  <c r="CH230" i="23" s="1"/>
  <c r="L187" i="23"/>
  <c r="M183" i="23" s="1"/>
  <c r="L190" i="23"/>
  <c r="DS202" i="23"/>
  <c r="CS168" i="23"/>
  <c r="CS155" i="23"/>
  <c r="CS157" i="23" s="1"/>
  <c r="DW202" i="23"/>
  <c r="DZ254" i="23"/>
  <c r="DZ201" i="23"/>
  <c r="DZ213" i="23"/>
  <c r="BR145" i="23"/>
  <c r="BR132" i="23"/>
  <c r="BZ191" i="23"/>
  <c r="BZ178" i="23"/>
  <c r="BZ180" i="23" s="1"/>
  <c r="CQ155" i="23"/>
  <c r="CQ157" i="23" s="1"/>
  <c r="CQ168" i="23"/>
  <c r="BM134" i="23"/>
  <c r="DX254" i="23"/>
  <c r="DX201" i="23"/>
  <c r="DX213" i="23"/>
  <c r="BP145" i="23"/>
  <c r="BP132" i="23"/>
  <c r="CB144" i="23"/>
  <c r="CC144" i="23"/>
  <c r="CD144" i="23"/>
  <c r="CE144" i="23"/>
  <c r="CF144" i="23"/>
  <c r="CG144" i="23"/>
  <c r="CH144" i="23"/>
  <c r="CI144" i="23"/>
  <c r="CJ144" i="23"/>
  <c r="CK144" i="23"/>
  <c r="CL144" i="23"/>
  <c r="CM144" i="23"/>
  <c r="DP202" i="23"/>
  <c r="BX191" i="23"/>
  <c r="BX178" i="23"/>
  <c r="BX180" i="23" s="1"/>
  <c r="DO202" i="23"/>
  <c r="CO168" i="23"/>
  <c r="CO155" i="23"/>
  <c r="CO157" i="23" s="1"/>
  <c r="CM168" i="23"/>
  <c r="CM155" i="23"/>
  <c r="CM157" i="23" s="1"/>
  <c r="CR168" i="23"/>
  <c r="CR155" i="23"/>
  <c r="CR157" i="23" s="1"/>
  <c r="BW178" i="23"/>
  <c r="BW180" i="23" s="1"/>
  <c r="BW191" i="23"/>
  <c r="H157" i="23"/>
  <c r="DO256" i="23"/>
  <c r="CN168" i="23"/>
  <c r="CN155" i="23"/>
  <c r="CL168" i="23"/>
  <c r="CL155" i="23"/>
  <c r="CL157" i="23" s="1"/>
  <c r="AI237" i="23"/>
  <c r="AI238" i="23" s="1"/>
  <c r="AJ234" i="23" s="1"/>
  <c r="E94" i="23"/>
  <c r="I94" i="23"/>
  <c r="I44" i="12" s="1"/>
  <c r="J94" i="23"/>
  <c r="J44" i="12" s="1"/>
  <c r="K94" i="23"/>
  <c r="K44" i="12" s="1"/>
  <c r="L94" i="23"/>
  <c r="L44" i="12" s="1"/>
  <c r="M94" i="23"/>
  <c r="M44" i="12" s="1"/>
  <c r="N94" i="23"/>
  <c r="N44" i="12" s="1"/>
  <c r="CA191" i="23"/>
  <c r="CA178" i="23"/>
  <c r="CA180" i="23" s="1"/>
  <c r="BV178" i="23"/>
  <c r="BV180" i="23" s="1"/>
  <c r="BV191" i="23"/>
  <c r="BI134" i="23"/>
  <c r="DR202" i="23"/>
  <c r="CK168" i="23"/>
  <c r="CK155" i="23"/>
  <c r="CK157" i="23" s="1"/>
  <c r="DL202" i="23"/>
  <c r="M201" i="23"/>
  <c r="M202" i="23" s="1"/>
  <c r="BU191" i="23"/>
  <c r="BU178" i="23"/>
  <c r="BU180" i="23" s="1"/>
  <c r="BE134" i="23"/>
  <c r="DR256" i="23"/>
  <c r="BL134" i="23"/>
  <c r="EI254" i="23"/>
  <c r="EI201" i="23"/>
  <c r="EI213" i="23"/>
  <c r="CJ168" i="23"/>
  <c r="CJ155" i="23"/>
  <c r="CJ157" i="23" s="1"/>
  <c r="CA145" i="23"/>
  <c r="CA132" i="23"/>
  <c r="BT191" i="23"/>
  <c r="BT178" i="23"/>
  <c r="BT180" i="23" s="1"/>
  <c r="EH254" i="23"/>
  <c r="EH213" i="23"/>
  <c r="EH201" i="23"/>
  <c r="CI168" i="23"/>
  <c r="CI155" i="23"/>
  <c r="CI157" i="23" s="1"/>
  <c r="BZ145" i="23"/>
  <c r="BZ132" i="23"/>
  <c r="BQ145" i="23"/>
  <c r="BQ132" i="23"/>
  <c r="DP256" i="23"/>
  <c r="CP168" i="23"/>
  <c r="CP155" i="23"/>
  <c r="CP157" i="23" s="1"/>
  <c r="BS191" i="23"/>
  <c r="BS178" i="23"/>
  <c r="BS180" i="23" s="1"/>
  <c r="CZ167" i="23"/>
  <c r="DA167" i="23"/>
  <c r="DB167" i="23"/>
  <c r="DC167" i="23"/>
  <c r="DD167" i="23"/>
  <c r="DE167" i="23"/>
  <c r="DF167" i="23"/>
  <c r="DG167" i="23"/>
  <c r="DH167" i="23"/>
  <c r="DI167" i="23"/>
  <c r="DJ167" i="23"/>
  <c r="DK167" i="23"/>
  <c r="DV202" i="23"/>
  <c r="EG254" i="23"/>
  <c r="EG213" i="23"/>
  <c r="EG201" i="23"/>
  <c r="CH168" i="23"/>
  <c r="CH155" i="23"/>
  <c r="CH157" i="23" s="1"/>
  <c r="BY145" i="23"/>
  <c r="BY132" i="23"/>
  <c r="DT202" i="23"/>
  <c r="BY191" i="23"/>
  <c r="BY178" i="23"/>
  <c r="BY180" i="23" s="1"/>
  <c r="BR191" i="23"/>
  <c r="BR178" i="23"/>
  <c r="BR180" i="23" s="1"/>
  <c r="DN202" i="23"/>
  <c r="O293" i="23"/>
  <c r="E295" i="23"/>
  <c r="F291" i="23" s="1"/>
  <c r="BO134" i="23"/>
  <c r="L169" i="23"/>
  <c r="CY168" i="23"/>
  <c r="CY155" i="23"/>
  <c r="CY157" i="23" s="1"/>
  <c r="DV256" i="23"/>
  <c r="EF254" i="23"/>
  <c r="EF213" i="23"/>
  <c r="EF201" i="23"/>
  <c r="CG168" i="23"/>
  <c r="CG155" i="23"/>
  <c r="CG157" i="23" s="1"/>
  <c r="BX145" i="23"/>
  <c r="BX132" i="23"/>
  <c r="BQ191" i="23"/>
  <c r="BQ178" i="23"/>
  <c r="BQ180" i="23" s="1"/>
  <c r="M164" i="23"/>
  <c r="N160" i="23" s="1"/>
  <c r="M167" i="23"/>
  <c r="CX168" i="23"/>
  <c r="CX155" i="23"/>
  <c r="CX157" i="23" s="1"/>
  <c r="DU202" i="23"/>
  <c r="EE254" i="23"/>
  <c r="EE213" i="23"/>
  <c r="EE201" i="23"/>
  <c r="CF168" i="23"/>
  <c r="CF155" i="23"/>
  <c r="CF157" i="23" s="1"/>
  <c r="BW145" i="23"/>
  <c r="BW132" i="23"/>
  <c r="DY254" i="23"/>
  <c r="DY201" i="23"/>
  <c r="DY213" i="23"/>
  <c r="BP191" i="23"/>
  <c r="BP178" i="23"/>
  <c r="DN256" i="23"/>
  <c r="BG134" i="23"/>
  <c r="BH134" i="23"/>
  <c r="CW168" i="23"/>
  <c r="CW155" i="23"/>
  <c r="CW157" i="23" s="1"/>
  <c r="ED254" i="23"/>
  <c r="ED201" i="23"/>
  <c r="ED213" i="23"/>
  <c r="CE168" i="23"/>
  <c r="CE155" i="23"/>
  <c r="CE157" i="23" s="1"/>
  <c r="BV145" i="23"/>
  <c r="BV132" i="23"/>
  <c r="E355" i="23"/>
  <c r="I355" i="23"/>
  <c r="J355" i="23"/>
  <c r="K355" i="23"/>
  <c r="L355" i="23"/>
  <c r="M355" i="23"/>
  <c r="N355" i="23"/>
  <c r="DL256" i="23"/>
  <c r="M254" i="23"/>
  <c r="BD134" i="23"/>
  <c r="H132" i="23"/>
  <c r="H134" i="23" s="1"/>
  <c r="CV168" i="23"/>
  <c r="CV155" i="23"/>
  <c r="CV157" i="23" s="1"/>
  <c r="DU256" i="23"/>
  <c r="BN134" i="23"/>
  <c r="EC254" i="23"/>
  <c r="EC201" i="23"/>
  <c r="EC213" i="23"/>
  <c r="CD168" i="23"/>
  <c r="CD155" i="23"/>
  <c r="CD157" i="23" s="1"/>
  <c r="BU145" i="23"/>
  <c r="BU132" i="23"/>
  <c r="O294" i="23"/>
  <c r="L202" i="16" s="1"/>
  <c r="K141" i="23"/>
  <c r="L137" i="23" s="1"/>
  <c r="K144" i="23"/>
  <c r="K146" i="23" s="1"/>
  <c r="DT256" i="23"/>
  <c r="DM202" i="23"/>
  <c r="BF134" i="23"/>
  <c r="CN190" i="23"/>
  <c r="CO190" i="23"/>
  <c r="CP190" i="23"/>
  <c r="CQ190" i="23"/>
  <c r="CR190" i="23"/>
  <c r="CS190" i="23"/>
  <c r="CT190" i="23"/>
  <c r="CU190" i="23"/>
  <c r="CV190" i="23"/>
  <c r="CW190" i="23"/>
  <c r="CX190" i="23"/>
  <c r="CY190" i="23"/>
  <c r="J191" i="23"/>
  <c r="CB192" i="23"/>
  <c r="CC192" i="23"/>
  <c r="CD192" i="23"/>
  <c r="CE192" i="23"/>
  <c r="CF192" i="23"/>
  <c r="CG192" i="23"/>
  <c r="CH192" i="23"/>
  <c r="CI192" i="23"/>
  <c r="CJ192" i="23"/>
  <c r="CK192" i="23"/>
  <c r="CL192" i="23"/>
  <c r="CM192" i="23"/>
  <c r="BJ134" i="23"/>
  <c r="CU168" i="23"/>
  <c r="CU155" i="23"/>
  <c r="CU157" i="23" s="1"/>
  <c r="EB254" i="23"/>
  <c r="EB201" i="23"/>
  <c r="EB213" i="23"/>
  <c r="CC168" i="23"/>
  <c r="CC155" i="23"/>
  <c r="CC157" i="23" s="1"/>
  <c r="BT145" i="23"/>
  <c r="BT132" i="23"/>
  <c r="I302" i="23"/>
  <c r="G302" i="23"/>
  <c r="J302" i="23"/>
  <c r="H302" i="23"/>
  <c r="F302" i="23"/>
  <c r="E302" i="23"/>
  <c r="K302" i="23"/>
  <c r="N302" i="23"/>
  <c r="M302" i="23"/>
  <c r="L302" i="23"/>
  <c r="M219" i="16"/>
  <c r="K192" i="23"/>
  <c r="DQ202" i="23"/>
  <c r="BK134" i="23"/>
  <c r="CT168" i="23"/>
  <c r="CT155" i="23"/>
  <c r="CT157" i="23" s="1"/>
  <c r="EA254" i="23"/>
  <c r="EA201" i="23"/>
  <c r="EA213" i="23"/>
  <c r="CB168" i="23"/>
  <c r="CB155" i="23"/>
  <c r="BS145" i="23"/>
  <c r="BS132" i="23"/>
  <c r="EI398" i="23"/>
  <c r="EI397" i="23"/>
  <c r="EI399" i="23"/>
  <c r="E396" i="23"/>
  <c r="I396" i="23"/>
  <c r="J396" i="23"/>
  <c r="K396" i="23"/>
  <c r="L396" i="23"/>
  <c r="M396" i="23"/>
  <c r="N396" i="23"/>
  <c r="O355" i="23" l="1"/>
  <c r="EI256" i="23"/>
  <c r="EC256" i="23"/>
  <c r="ED256" i="23"/>
  <c r="EH256" i="23"/>
  <c r="M256" i="23"/>
  <c r="EF256" i="23"/>
  <c r="EG256" i="23"/>
  <c r="DL167" i="23"/>
  <c r="DM167" i="23"/>
  <c r="DN167" i="23"/>
  <c r="DO167" i="23"/>
  <c r="DP167" i="23"/>
  <c r="DQ167" i="23"/>
  <c r="DR167" i="23"/>
  <c r="DS167" i="23"/>
  <c r="DT167" i="23"/>
  <c r="DU167" i="23"/>
  <c r="DV167" i="23"/>
  <c r="DW167" i="23"/>
  <c r="EI349" i="23"/>
  <c r="E398" i="23"/>
  <c r="I398" i="23"/>
  <c r="J398" i="23"/>
  <c r="K398" i="23"/>
  <c r="L398" i="23"/>
  <c r="M398" i="23"/>
  <c r="N398" i="23"/>
  <c r="CD191" i="23"/>
  <c r="CD178" i="23"/>
  <c r="CD180" i="23" s="1"/>
  <c r="BP180" i="23"/>
  <c r="I178" i="23"/>
  <c r="BZ134" i="23"/>
  <c r="BR134" i="23"/>
  <c r="BS134" i="23"/>
  <c r="EB256" i="23"/>
  <c r="CB191" i="23"/>
  <c r="CB178" i="23"/>
  <c r="BV134" i="23"/>
  <c r="M169" i="23"/>
  <c r="CN157" i="23"/>
  <c r="K155" i="23"/>
  <c r="K157" i="23" s="1"/>
  <c r="CH231" i="23"/>
  <c r="CI227" i="23" s="1"/>
  <c r="DY202" i="23"/>
  <c r="CM145" i="23"/>
  <c r="CM132" i="23"/>
  <c r="DY256" i="23"/>
  <c r="L168" i="23"/>
  <c r="CZ169" i="23"/>
  <c r="DA169" i="23"/>
  <c r="DB169" i="23"/>
  <c r="DC169" i="23"/>
  <c r="DD169" i="23"/>
  <c r="DE169" i="23"/>
  <c r="DF169" i="23"/>
  <c r="DG169" i="23"/>
  <c r="DH169" i="23"/>
  <c r="DI169" i="23"/>
  <c r="DJ169" i="23"/>
  <c r="DK169" i="23"/>
  <c r="EH202" i="23"/>
  <c r="DZ256" i="23"/>
  <c r="CL145" i="23"/>
  <c r="CL132" i="23"/>
  <c r="BW134" i="23"/>
  <c r="BP134" i="23"/>
  <c r="I132" i="23"/>
  <c r="CK145" i="23"/>
  <c r="CK132" i="23"/>
  <c r="K145" i="23"/>
  <c r="CN146" i="23"/>
  <c r="CO146" i="23"/>
  <c r="CP146" i="23"/>
  <c r="CQ146" i="23"/>
  <c r="CR146" i="23"/>
  <c r="CS146" i="23"/>
  <c r="CT146" i="23"/>
  <c r="CU146" i="23"/>
  <c r="CV146" i="23"/>
  <c r="CW146" i="23"/>
  <c r="CX146" i="23"/>
  <c r="CY146" i="23"/>
  <c r="CJ145" i="23"/>
  <c r="CJ132" i="23"/>
  <c r="EA256" i="23"/>
  <c r="CM191" i="23"/>
  <c r="CM178" i="23"/>
  <c r="CM180" i="23" s="1"/>
  <c r="CN144" i="23"/>
  <c r="CO144" i="23"/>
  <c r="CP144" i="23"/>
  <c r="CQ144" i="23"/>
  <c r="CR144" i="23"/>
  <c r="CS144" i="23"/>
  <c r="CT144" i="23"/>
  <c r="CU144" i="23"/>
  <c r="CV144" i="23"/>
  <c r="CW144" i="23"/>
  <c r="CX144" i="23"/>
  <c r="CY144" i="23"/>
  <c r="ED202" i="23"/>
  <c r="F295" i="23"/>
  <c r="G291" i="23" s="1"/>
  <c r="F298" i="23"/>
  <c r="F300" i="23" s="1"/>
  <c r="EG202" i="23"/>
  <c r="CI145" i="23"/>
  <c r="CI132" i="23"/>
  <c r="BY134" i="23"/>
  <c r="CL191" i="23"/>
  <c r="CL178" i="23"/>
  <c r="CL180" i="23" s="1"/>
  <c r="L141" i="23"/>
  <c r="M137" i="23" s="1"/>
  <c r="L144" i="23"/>
  <c r="L146" i="23" s="1"/>
  <c r="O295" i="23"/>
  <c r="DX202" i="23"/>
  <c r="N201" i="23"/>
  <c r="CH145" i="23"/>
  <c r="CH132" i="23"/>
  <c r="CC191" i="23"/>
  <c r="CC178" i="23"/>
  <c r="CC180" i="23" s="1"/>
  <c r="CB157" i="23"/>
  <c r="J155" i="23"/>
  <c r="CK191" i="23"/>
  <c r="CK178" i="23"/>
  <c r="CK180" i="23" s="1"/>
  <c r="EE202" i="23"/>
  <c r="DX256" i="23"/>
  <c r="N254" i="23"/>
  <c r="CG145" i="23"/>
  <c r="CG132" i="23"/>
  <c r="EB202" i="23"/>
  <c r="CJ191" i="23"/>
  <c r="CJ178" i="23"/>
  <c r="CJ180" i="23" s="1"/>
  <c r="BU134" i="23"/>
  <c r="BX134" i="23"/>
  <c r="CA134" i="23"/>
  <c r="CF145" i="23"/>
  <c r="CF132" i="23"/>
  <c r="CI191" i="23"/>
  <c r="CI178" i="23"/>
  <c r="CI180" i="23" s="1"/>
  <c r="EE256" i="23"/>
  <c r="CE145" i="23"/>
  <c r="CE132" i="23"/>
  <c r="EA202" i="23"/>
  <c r="BT134" i="23"/>
  <c r="CH191" i="23"/>
  <c r="CH178" i="23"/>
  <c r="CH180" i="23" s="1"/>
  <c r="AJ236" i="23"/>
  <c r="CD145" i="23"/>
  <c r="CD132" i="23"/>
  <c r="O396" i="23"/>
  <c r="C34" i="14" s="1"/>
  <c r="CG191" i="23"/>
  <c r="CG178" i="23"/>
  <c r="CG180" i="23" s="1"/>
  <c r="CZ190" i="23"/>
  <c r="DA190" i="23"/>
  <c r="DB190" i="23"/>
  <c r="DC190" i="23"/>
  <c r="DD190" i="23"/>
  <c r="DE190" i="23"/>
  <c r="DF190" i="23"/>
  <c r="DG190" i="23"/>
  <c r="DH190" i="23"/>
  <c r="DI190" i="23"/>
  <c r="DJ190" i="23"/>
  <c r="DK190" i="23"/>
  <c r="CC145" i="23"/>
  <c r="CC132" i="23"/>
  <c r="N164" i="23"/>
  <c r="N167" i="23"/>
  <c r="EI353" i="23"/>
  <c r="E399" i="23"/>
  <c r="I399" i="23"/>
  <c r="J399" i="23"/>
  <c r="K399" i="23"/>
  <c r="L399" i="23"/>
  <c r="M399" i="23"/>
  <c r="N399" i="23"/>
  <c r="CF191" i="23"/>
  <c r="CF178" i="23"/>
  <c r="CF180" i="23" s="1"/>
  <c r="EF202" i="23"/>
  <c r="BQ134" i="23"/>
  <c r="E44" i="12"/>
  <c r="O94" i="23"/>
  <c r="E95" i="23"/>
  <c r="L192" i="23"/>
  <c r="CB145" i="23"/>
  <c r="CB132" i="23"/>
  <c r="DZ202" i="23"/>
  <c r="EI345" i="23"/>
  <c r="E397" i="23"/>
  <c r="I397" i="23"/>
  <c r="J397" i="23"/>
  <c r="K397" i="23"/>
  <c r="L397" i="23"/>
  <c r="M397" i="23"/>
  <c r="N397" i="23"/>
  <c r="K191" i="23"/>
  <c r="CN192" i="23"/>
  <c r="CO192" i="23"/>
  <c r="CP192" i="23"/>
  <c r="CQ192" i="23"/>
  <c r="CR192" i="23"/>
  <c r="CS192" i="23"/>
  <c r="CT192" i="23"/>
  <c r="CU192" i="23"/>
  <c r="CV192" i="23"/>
  <c r="CW192" i="23"/>
  <c r="CX192" i="23"/>
  <c r="CY192" i="23"/>
  <c r="CE191" i="23"/>
  <c r="CE178" i="23"/>
  <c r="CE180" i="23" s="1"/>
  <c r="EC202" i="23"/>
  <c r="EI202" i="23"/>
  <c r="M187" i="23"/>
  <c r="N183" i="23" s="1"/>
  <c r="M190" i="23"/>
  <c r="M192" i="23" s="1"/>
  <c r="M191" i="23" l="1"/>
  <c r="DL192" i="23"/>
  <c r="DM192" i="23"/>
  <c r="DN192" i="23"/>
  <c r="DO192" i="23"/>
  <c r="DP192" i="23"/>
  <c r="DQ192" i="23"/>
  <c r="DR192" i="23"/>
  <c r="DS192" i="23"/>
  <c r="DT192" i="23"/>
  <c r="DU192" i="23"/>
  <c r="DV192" i="23"/>
  <c r="DW192" i="23"/>
  <c r="F299" i="23"/>
  <c r="AF300" i="23"/>
  <c r="AG300" i="23"/>
  <c r="AH300" i="23"/>
  <c r="AI300" i="23"/>
  <c r="AJ300" i="23"/>
  <c r="AK300" i="23"/>
  <c r="AL300" i="23"/>
  <c r="AM300" i="23"/>
  <c r="AN300" i="23"/>
  <c r="AO300" i="23"/>
  <c r="AP300" i="23"/>
  <c r="AQ300" i="23"/>
  <c r="CY191" i="23"/>
  <c r="CY178" i="23"/>
  <c r="CY180" i="23" s="1"/>
  <c r="CC134" i="23"/>
  <c r="CG134" i="23"/>
  <c r="CR145" i="23"/>
  <c r="CR132" i="23"/>
  <c r="CZ168" i="23"/>
  <c r="CZ155" i="23"/>
  <c r="CW191" i="23"/>
  <c r="CW178" i="23"/>
  <c r="CW180" i="23" s="1"/>
  <c r="CF134" i="23"/>
  <c r="N256" i="23"/>
  <c r="O256" i="23" s="1"/>
  <c r="O254" i="23"/>
  <c r="G295" i="23"/>
  <c r="H291" i="23" s="1"/>
  <c r="G298" i="23"/>
  <c r="G300" i="23" s="1"/>
  <c r="CP145" i="23"/>
  <c r="CP132" i="23"/>
  <c r="O398" i="23"/>
  <c r="CV191" i="23"/>
  <c r="CV178" i="23"/>
  <c r="CV180" i="23" s="1"/>
  <c r="CU191" i="23"/>
  <c r="CU178" i="23"/>
  <c r="CU180" i="23" s="1"/>
  <c r="E345" i="23"/>
  <c r="I345" i="23"/>
  <c r="J345" i="23"/>
  <c r="K345" i="23"/>
  <c r="L345" i="23"/>
  <c r="M345" i="23"/>
  <c r="N345" i="23"/>
  <c r="AJ237" i="23"/>
  <c r="AJ238" i="23" s="1"/>
  <c r="AK234" i="23" s="1"/>
  <c r="CZ144" i="23"/>
  <c r="DA144" i="23"/>
  <c r="DB144" i="23"/>
  <c r="DC144" i="23"/>
  <c r="DD144" i="23"/>
  <c r="DE144" i="23"/>
  <c r="DF144" i="23"/>
  <c r="DG144" i="23"/>
  <c r="DH144" i="23"/>
  <c r="DI144" i="23"/>
  <c r="DJ144" i="23"/>
  <c r="DK144" i="23"/>
  <c r="CN145" i="23"/>
  <c r="CN132" i="23"/>
  <c r="L145" i="23"/>
  <c r="CZ146" i="23"/>
  <c r="DA146" i="23"/>
  <c r="DB146" i="23"/>
  <c r="DC146" i="23"/>
  <c r="DD146" i="23"/>
  <c r="DE146" i="23"/>
  <c r="DF146" i="23"/>
  <c r="DG146" i="23"/>
  <c r="DH146" i="23"/>
  <c r="DI146" i="23"/>
  <c r="DJ146" i="23"/>
  <c r="DK146" i="23"/>
  <c r="DK168" i="23"/>
  <c r="DK155" i="23"/>
  <c r="DK157" i="23" s="1"/>
  <c r="N187" i="23"/>
  <c r="N190" i="23"/>
  <c r="CS191" i="23"/>
  <c r="CS178" i="23"/>
  <c r="CS180" i="23" s="1"/>
  <c r="M141" i="23"/>
  <c r="N137" i="23" s="1"/>
  <c r="M144" i="23"/>
  <c r="CJ134" i="23"/>
  <c r="CK134" i="23"/>
  <c r="DJ168" i="23"/>
  <c r="DJ155" i="23"/>
  <c r="DJ157" i="23" s="1"/>
  <c r="E349" i="23"/>
  <c r="I349" i="23"/>
  <c r="J349" i="23"/>
  <c r="K349" i="23"/>
  <c r="L349" i="23"/>
  <c r="M349" i="23"/>
  <c r="N349" i="23"/>
  <c r="CT191" i="23"/>
  <c r="CT178" i="23"/>
  <c r="CT180" i="23" s="1"/>
  <c r="CR191" i="23"/>
  <c r="CR178" i="23"/>
  <c r="CR180" i="23" s="1"/>
  <c r="DI168" i="23"/>
  <c r="DI155" i="23"/>
  <c r="DI157" i="23" s="1"/>
  <c r="CQ145" i="23"/>
  <c r="CQ132" i="23"/>
  <c r="CQ191" i="23"/>
  <c r="CQ178" i="23"/>
  <c r="CQ180" i="23" s="1"/>
  <c r="CB134" i="23"/>
  <c r="J132" i="23"/>
  <c r="J134" i="23" s="1"/>
  <c r="I134" i="23"/>
  <c r="DH168" i="23"/>
  <c r="DH155" i="23"/>
  <c r="DH157" i="23" s="1"/>
  <c r="CI229" i="23"/>
  <c r="I180" i="23"/>
  <c r="CM134" i="23"/>
  <c r="J157" i="23"/>
  <c r="CY145" i="23"/>
  <c r="CY132" i="23"/>
  <c r="DG155" i="23"/>
  <c r="DG157" i="23" s="1"/>
  <c r="DG168" i="23"/>
  <c r="CO191" i="23"/>
  <c r="CO178" i="23"/>
  <c r="CO180" i="23" s="1"/>
  <c r="L191" i="23"/>
  <c r="CZ192" i="23"/>
  <c r="DA192" i="23"/>
  <c r="DB192" i="23"/>
  <c r="DC192" i="23"/>
  <c r="DD192" i="23"/>
  <c r="DE192" i="23"/>
  <c r="DF192" i="23"/>
  <c r="DG192" i="23"/>
  <c r="DH192" i="23"/>
  <c r="DI192" i="23"/>
  <c r="DJ192" i="23"/>
  <c r="DK192" i="23"/>
  <c r="CX145" i="23"/>
  <c r="CX132" i="23"/>
  <c r="DF168" i="23"/>
  <c r="DF155" i="23"/>
  <c r="DF157" i="23" s="1"/>
  <c r="AF298" i="23"/>
  <c r="AG298" i="23"/>
  <c r="AH298" i="23"/>
  <c r="AI298" i="23"/>
  <c r="AJ298" i="23"/>
  <c r="AK298" i="23"/>
  <c r="AL298" i="23"/>
  <c r="AM298" i="23"/>
  <c r="AN298" i="23"/>
  <c r="AO298" i="23"/>
  <c r="AP298" i="23"/>
  <c r="AQ298" i="23"/>
  <c r="CN191" i="23"/>
  <c r="CN178" i="23"/>
  <c r="O399" i="23"/>
  <c r="CI134" i="23"/>
  <c r="CW145" i="23"/>
  <c r="CW132" i="23"/>
  <c r="DE168" i="23"/>
  <c r="DE155" i="23"/>
  <c r="DE157" i="23" s="1"/>
  <c r="M168" i="23"/>
  <c r="DL169" i="23"/>
  <c r="DM169" i="23"/>
  <c r="DN169" i="23"/>
  <c r="DO169" i="23"/>
  <c r="DP169" i="23"/>
  <c r="DQ169" i="23"/>
  <c r="DR169" i="23"/>
  <c r="DS169" i="23"/>
  <c r="DT169" i="23"/>
  <c r="DU169" i="23"/>
  <c r="DV169" i="23"/>
  <c r="DW169" i="23"/>
  <c r="DL190" i="23"/>
  <c r="DM190" i="23"/>
  <c r="DN190" i="23"/>
  <c r="DO190" i="23"/>
  <c r="DP190" i="23"/>
  <c r="DQ190" i="23"/>
  <c r="DR190" i="23"/>
  <c r="DS190" i="23"/>
  <c r="DT190" i="23"/>
  <c r="DU190" i="23"/>
  <c r="DV190" i="23"/>
  <c r="DW190" i="23"/>
  <c r="E353" i="23"/>
  <c r="I353" i="23"/>
  <c r="J353" i="23"/>
  <c r="K353" i="23"/>
  <c r="L353" i="23"/>
  <c r="M353" i="23"/>
  <c r="N353" i="23"/>
  <c r="CV132" i="23"/>
  <c r="CV145" i="23"/>
  <c r="DD168" i="23"/>
  <c r="DD155" i="23"/>
  <c r="DD157" i="23" s="1"/>
  <c r="CD134" i="23"/>
  <c r="O397" i="23"/>
  <c r="CO145" i="23"/>
  <c r="CO132" i="23"/>
  <c r="CP191" i="23"/>
  <c r="CP178" i="23"/>
  <c r="CP180" i="23" s="1"/>
  <c r="O44" i="12"/>
  <c r="E45" i="12"/>
  <c r="DX167" i="23"/>
  <c r="DY167" i="23"/>
  <c r="DZ167" i="23"/>
  <c r="EA167" i="23"/>
  <c r="EB167" i="23"/>
  <c r="EC167" i="23"/>
  <c r="ED167" i="23"/>
  <c r="EE167" i="23"/>
  <c r="EF167" i="23"/>
  <c r="EG167" i="23"/>
  <c r="EH167" i="23"/>
  <c r="EI167" i="23"/>
  <c r="CE134" i="23"/>
  <c r="CH134" i="23"/>
  <c r="CU145" i="23"/>
  <c r="CU132" i="23"/>
  <c r="DC168" i="23"/>
  <c r="DC155" i="23"/>
  <c r="DC157" i="23" s="1"/>
  <c r="CX191" i="23"/>
  <c r="CX178" i="23"/>
  <c r="CX180" i="23" s="1"/>
  <c r="N169" i="23"/>
  <c r="CT145" i="23"/>
  <c r="CT132" i="23"/>
  <c r="DB168" i="23"/>
  <c r="DB155" i="23"/>
  <c r="DB157" i="23" s="1"/>
  <c r="CB180" i="23"/>
  <c r="J178" i="23"/>
  <c r="J180" i="23" s="1"/>
  <c r="N202" i="23"/>
  <c r="O201" i="23"/>
  <c r="O202" i="23" s="1"/>
  <c r="CS145" i="23"/>
  <c r="CS132" i="23"/>
  <c r="CL134" i="23"/>
  <c r="DA168" i="23"/>
  <c r="DA155" i="23"/>
  <c r="DA157" i="23" s="1"/>
  <c r="C35" i="14" l="1"/>
  <c r="DQ168" i="23"/>
  <c r="DQ155" i="23"/>
  <c r="DQ157" i="23" s="1"/>
  <c r="DK191" i="23"/>
  <c r="DK178" i="23"/>
  <c r="DK180" i="23" s="1"/>
  <c r="DX190" i="23"/>
  <c r="DY190" i="23"/>
  <c r="DZ190" i="23"/>
  <c r="EA190" i="23"/>
  <c r="EB190" i="23"/>
  <c r="EC190" i="23"/>
  <c r="ED190" i="23"/>
  <c r="EE190" i="23"/>
  <c r="EF190" i="23"/>
  <c r="EG190" i="23"/>
  <c r="EH190" i="23"/>
  <c r="EI190" i="23"/>
  <c r="CP134" i="23"/>
  <c r="AG299" i="23"/>
  <c r="AG287" i="23"/>
  <c r="CN134" i="23"/>
  <c r="K132" i="23"/>
  <c r="K134" i="23" s="1"/>
  <c r="AR298" i="23"/>
  <c r="AS298" i="23"/>
  <c r="AT298" i="23"/>
  <c r="AU298" i="23"/>
  <c r="AV298" i="23"/>
  <c r="AW298" i="23"/>
  <c r="AX298" i="23"/>
  <c r="AY298" i="23"/>
  <c r="AZ298" i="23"/>
  <c r="BA298" i="23"/>
  <c r="BB298" i="23"/>
  <c r="BC298" i="23"/>
  <c r="DW191" i="23"/>
  <c r="DW178" i="23"/>
  <c r="DW180" i="23" s="1"/>
  <c r="DM168" i="23"/>
  <c r="DM155" i="23"/>
  <c r="DM157" i="23" s="1"/>
  <c r="DL168" i="23"/>
  <c r="DL155" i="23"/>
  <c r="DF191" i="23"/>
  <c r="DF178" i="23"/>
  <c r="DF180" i="23" s="1"/>
  <c r="CQ134" i="23"/>
  <c r="DJ145" i="23"/>
  <c r="DJ132" i="23"/>
  <c r="DU191" i="23"/>
  <c r="DU178" i="23"/>
  <c r="DU180" i="23" s="1"/>
  <c r="CY134" i="23"/>
  <c r="DO168" i="23"/>
  <c r="DO155" i="23"/>
  <c r="DO157" i="23" s="1"/>
  <c r="CV134" i="23"/>
  <c r="DE191" i="23"/>
  <c r="DE178" i="23"/>
  <c r="DE180" i="23" s="1"/>
  <c r="DI145" i="23"/>
  <c r="DI132" i="23"/>
  <c r="AQ299" i="23"/>
  <c r="AQ287" i="23"/>
  <c r="DT191" i="23"/>
  <c r="DT178" i="23"/>
  <c r="DT180" i="23" s="1"/>
  <c r="CS134" i="23"/>
  <c r="CU134" i="23"/>
  <c r="DD191" i="23"/>
  <c r="DD178" i="23"/>
  <c r="DD180" i="23" s="1"/>
  <c r="DH145" i="23"/>
  <c r="DH132" i="23"/>
  <c r="O345" i="23"/>
  <c r="AP299" i="23"/>
  <c r="AP287" i="23"/>
  <c r="DS178" i="23"/>
  <c r="DS180" i="23" s="1"/>
  <c r="DS191" i="23"/>
  <c r="DN168" i="23"/>
  <c r="DN155" i="23"/>
  <c r="DN157" i="23" s="1"/>
  <c r="DG191" i="23"/>
  <c r="DG178" i="23"/>
  <c r="DG180" i="23" s="1"/>
  <c r="DC191" i="23"/>
  <c r="DC178" i="23"/>
  <c r="DC180" i="23" s="1"/>
  <c r="DG145" i="23"/>
  <c r="DG132" i="23"/>
  <c r="AO299" i="23"/>
  <c r="AO287" i="23"/>
  <c r="DR178" i="23"/>
  <c r="DR180" i="23" s="1"/>
  <c r="DR191" i="23"/>
  <c r="AK236" i="23"/>
  <c r="CW134" i="23"/>
  <c r="DB191" i="23"/>
  <c r="DB178" i="23"/>
  <c r="DB180" i="23" s="1"/>
  <c r="DF145" i="23"/>
  <c r="DF132" i="23"/>
  <c r="AN299" i="23"/>
  <c r="AN287" i="23"/>
  <c r="DQ191" i="23"/>
  <c r="DQ178" i="23"/>
  <c r="DQ180" i="23" s="1"/>
  <c r="DP168" i="23"/>
  <c r="DP155" i="23"/>
  <c r="DP157" i="23" s="1"/>
  <c r="DW155" i="23"/>
  <c r="DW157" i="23" s="1"/>
  <c r="DW168" i="23"/>
  <c r="DA191" i="23"/>
  <c r="DA178" i="23"/>
  <c r="DA180" i="23" s="1"/>
  <c r="DL144" i="23"/>
  <c r="DM144" i="23"/>
  <c r="DN144" i="23"/>
  <c r="DO144" i="23"/>
  <c r="DP144" i="23"/>
  <c r="DQ144" i="23"/>
  <c r="DR144" i="23"/>
  <c r="DS144" i="23"/>
  <c r="DT144" i="23"/>
  <c r="DU144" i="23"/>
  <c r="DV144" i="23"/>
  <c r="DW144" i="23"/>
  <c r="DE145" i="23"/>
  <c r="DE132" i="23"/>
  <c r="AM287" i="23"/>
  <c r="AM299" i="23"/>
  <c r="DP178" i="23"/>
  <c r="DP180" i="23" s="1"/>
  <c r="DP191" i="23"/>
  <c r="DH191" i="23"/>
  <c r="DH178" i="23"/>
  <c r="DH180" i="23" s="1"/>
  <c r="H295" i="23"/>
  <c r="I291" i="23" s="1"/>
  <c r="H298" i="23"/>
  <c r="DV168" i="23"/>
  <c r="DV155" i="23"/>
  <c r="DV157" i="23" s="1"/>
  <c r="CZ191" i="23"/>
  <c r="CZ178" i="23"/>
  <c r="CI230" i="23"/>
  <c r="CI231" i="23" s="1"/>
  <c r="CJ227" i="23" s="1"/>
  <c r="M146" i="23"/>
  <c r="DD145" i="23"/>
  <c r="DD132" i="23"/>
  <c r="CZ157" i="23"/>
  <c r="L155" i="23"/>
  <c r="AL299" i="23"/>
  <c r="AL287" i="23"/>
  <c r="DO178" i="23"/>
  <c r="DO180" i="23" s="1"/>
  <c r="DO191" i="23"/>
  <c r="G299" i="23"/>
  <c r="AR300" i="23"/>
  <c r="AS300" i="23"/>
  <c r="AT300" i="23"/>
  <c r="AU300" i="23"/>
  <c r="AV300" i="23"/>
  <c r="AW300" i="23"/>
  <c r="AX300" i="23"/>
  <c r="AY300" i="23"/>
  <c r="AZ300" i="23"/>
  <c r="BA300" i="23"/>
  <c r="BB300" i="23"/>
  <c r="BC300" i="23"/>
  <c r="DV191" i="23"/>
  <c r="DV178" i="23"/>
  <c r="DV180" i="23" s="1"/>
  <c r="DU168" i="23"/>
  <c r="DU155" i="23"/>
  <c r="DU157" i="23" s="1"/>
  <c r="N141" i="23"/>
  <c r="N144" i="23"/>
  <c r="DC145" i="23"/>
  <c r="DC132" i="23"/>
  <c r="AK299" i="23"/>
  <c r="AK287" i="23"/>
  <c r="DN178" i="23"/>
  <c r="DN180" i="23" s="1"/>
  <c r="DN191" i="23"/>
  <c r="DJ191" i="23"/>
  <c r="DJ178" i="23"/>
  <c r="DJ180" i="23" s="1"/>
  <c r="AF299" i="23"/>
  <c r="AF287" i="23"/>
  <c r="CT134" i="23"/>
  <c r="O353" i="23"/>
  <c r="DT168" i="23"/>
  <c r="DT155" i="23"/>
  <c r="DT157" i="23" s="1"/>
  <c r="DB145" i="23"/>
  <c r="DB132" i="23"/>
  <c r="CR134" i="23"/>
  <c r="AJ299" i="23"/>
  <c r="AJ287" i="23"/>
  <c r="DM178" i="23"/>
  <c r="DM180" i="23" s="1"/>
  <c r="DM191" i="23"/>
  <c r="O349" i="23"/>
  <c r="DK145" i="23"/>
  <c r="DK132" i="23"/>
  <c r="CO134" i="23"/>
  <c r="DS168" i="23"/>
  <c r="DS155" i="23"/>
  <c r="DS157" i="23" s="1"/>
  <c r="CN180" i="23"/>
  <c r="K178" i="23"/>
  <c r="K180" i="23" s="1"/>
  <c r="CX134" i="23"/>
  <c r="DA145" i="23"/>
  <c r="DA132" i="23"/>
  <c r="AI299" i="23"/>
  <c r="AI287" i="23"/>
  <c r="DL191" i="23"/>
  <c r="DL178" i="23"/>
  <c r="DI191" i="23"/>
  <c r="DI178" i="23"/>
  <c r="DI180" i="23" s="1"/>
  <c r="N168" i="23"/>
  <c r="DX169" i="23"/>
  <c r="DY169" i="23"/>
  <c r="DZ169" i="23"/>
  <c r="EA169" i="23"/>
  <c r="EB169" i="23"/>
  <c r="EC169" i="23"/>
  <c r="ED169" i="23"/>
  <c r="EE169" i="23"/>
  <c r="EF169" i="23"/>
  <c r="EG169" i="23"/>
  <c r="EH169" i="23"/>
  <c r="EI169" i="23"/>
  <c r="DR168" i="23"/>
  <c r="DR155" i="23"/>
  <c r="DR157" i="23" s="1"/>
  <c r="N192" i="23"/>
  <c r="CZ145" i="23"/>
  <c r="CZ132" i="23"/>
  <c r="AH299" i="23"/>
  <c r="AH287" i="23"/>
  <c r="CJ229" i="23" l="1"/>
  <c r="ED168" i="23"/>
  <c r="ED155" i="23"/>
  <c r="ED157" i="23" s="1"/>
  <c r="DI134" i="23"/>
  <c r="EE168" i="23"/>
  <c r="EE155" i="23"/>
  <c r="EE157" i="23" s="1"/>
  <c r="AK288" i="23"/>
  <c r="AK92" i="23"/>
  <c r="AX299" i="23"/>
  <c r="AX287" i="23"/>
  <c r="M145" i="23"/>
  <c r="DL146" i="23"/>
  <c r="DM146" i="23"/>
  <c r="DN146" i="23"/>
  <c r="DO146" i="23"/>
  <c r="DP146" i="23"/>
  <c r="DQ146" i="23"/>
  <c r="DR146" i="23"/>
  <c r="DS146" i="23"/>
  <c r="DT146" i="23"/>
  <c r="DU146" i="23"/>
  <c r="DV146" i="23"/>
  <c r="DW146" i="23"/>
  <c r="DE134" i="23"/>
  <c r="AV299" i="23"/>
  <c r="AV287" i="23"/>
  <c r="AU299" i="23"/>
  <c r="AU287" i="23"/>
  <c r="DX144" i="23"/>
  <c r="DY144" i="23"/>
  <c r="DZ144" i="23"/>
  <c r="EA144" i="23"/>
  <c r="EB144" i="23"/>
  <c r="EC144" i="23"/>
  <c r="ED144" i="23"/>
  <c r="EE144" i="23"/>
  <c r="EF144" i="23"/>
  <c r="EG144" i="23"/>
  <c r="EH144" i="23"/>
  <c r="EI144" i="23"/>
  <c r="AT299" i="23"/>
  <c r="AT287" i="23"/>
  <c r="DL157" i="23"/>
  <c r="M155" i="23"/>
  <c r="M157" i="23" s="1"/>
  <c r="AH288" i="23"/>
  <c r="AH92" i="23"/>
  <c r="DZ168" i="23"/>
  <c r="DZ155" i="23"/>
  <c r="DZ157" i="23" s="1"/>
  <c r="N146" i="23"/>
  <c r="AS299" i="23"/>
  <c r="AS287" i="23"/>
  <c r="DH134" i="23"/>
  <c r="BD298" i="23"/>
  <c r="BE298" i="23"/>
  <c r="BF298" i="23"/>
  <c r="BG298" i="23"/>
  <c r="BH298" i="23"/>
  <c r="BI298" i="23"/>
  <c r="BJ298" i="23"/>
  <c r="BK298" i="23"/>
  <c r="BL298" i="23"/>
  <c r="BM298" i="23"/>
  <c r="BN298" i="23"/>
  <c r="BO298" i="23"/>
  <c r="AO288" i="23"/>
  <c r="AO92" i="23"/>
  <c r="CZ134" i="23"/>
  <c r="L132" i="23"/>
  <c r="L134" i="23" s="1"/>
  <c r="H300" i="23"/>
  <c r="EC168" i="23"/>
  <c r="EC155" i="23"/>
  <c r="EC157" i="23" s="1"/>
  <c r="CZ180" i="23"/>
  <c r="L178" i="23"/>
  <c r="L180" i="23" s="1"/>
  <c r="EB168" i="23"/>
  <c r="EB155" i="23"/>
  <c r="EB157" i="23" s="1"/>
  <c r="I295" i="23"/>
  <c r="J291" i="23" s="1"/>
  <c r="I298" i="23"/>
  <c r="I300" i="23" s="1"/>
  <c r="AN288" i="23"/>
  <c r="AN92" i="23"/>
  <c r="DG134" i="23"/>
  <c r="AW299" i="23"/>
  <c r="AW287" i="23"/>
  <c r="N191" i="23"/>
  <c r="DX192" i="23"/>
  <c r="DY192" i="23"/>
  <c r="DZ192" i="23"/>
  <c r="EA192" i="23"/>
  <c r="EB192" i="23"/>
  <c r="EC192" i="23"/>
  <c r="ED192" i="23"/>
  <c r="EE192" i="23"/>
  <c r="EF192" i="23"/>
  <c r="EG192" i="23"/>
  <c r="EH192" i="23"/>
  <c r="EI192" i="23"/>
  <c r="AG288" i="23"/>
  <c r="AG92" i="23"/>
  <c r="DB134" i="23"/>
  <c r="EA168" i="23"/>
  <c r="EA155" i="23"/>
  <c r="EA157" i="23" s="1"/>
  <c r="AR299" i="23"/>
  <c r="AR287" i="23"/>
  <c r="DK134" i="23"/>
  <c r="AF288" i="23"/>
  <c r="F287" i="23"/>
  <c r="AF92" i="23"/>
  <c r="AL288" i="23"/>
  <c r="AL92" i="23"/>
  <c r="DF134" i="23"/>
  <c r="DL180" i="23"/>
  <c r="M178" i="23"/>
  <c r="M180" i="23" s="1"/>
  <c r="BC299" i="23"/>
  <c r="BC287" i="23"/>
  <c r="EI168" i="23"/>
  <c r="EI155" i="23"/>
  <c r="EI157" i="23" s="1"/>
  <c r="BB299" i="23"/>
  <c r="BB287" i="23"/>
  <c r="L157" i="23"/>
  <c r="DC134" i="23"/>
  <c r="DX168" i="23"/>
  <c r="DX155" i="23"/>
  <c r="EH168" i="23"/>
  <c r="EH155" i="23"/>
  <c r="EH157" i="23" s="1"/>
  <c r="AI288" i="23"/>
  <c r="AI92" i="23"/>
  <c r="BA299" i="23"/>
  <c r="BA287" i="23"/>
  <c r="AP288" i="23"/>
  <c r="AP92" i="23"/>
  <c r="DY168" i="23"/>
  <c r="DY155" i="23"/>
  <c r="DY157" i="23" s="1"/>
  <c r="EG168" i="23"/>
  <c r="EG155" i="23"/>
  <c r="EG157" i="23" s="1"/>
  <c r="AZ299" i="23"/>
  <c r="AZ287" i="23"/>
  <c r="DD134" i="23"/>
  <c r="DJ134" i="23"/>
  <c r="AK237" i="23"/>
  <c r="AK238" i="23" s="1"/>
  <c r="AL234" i="23" s="1"/>
  <c r="EF168" i="23"/>
  <c r="EF155" i="23"/>
  <c r="EF157" i="23" s="1"/>
  <c r="DA134" i="23"/>
  <c r="AJ288" i="23"/>
  <c r="AJ92" i="23"/>
  <c r="AY299" i="23"/>
  <c r="AY287" i="23"/>
  <c r="AM288" i="23"/>
  <c r="AM92" i="23"/>
  <c r="AQ288" i="23"/>
  <c r="AQ92" i="23"/>
  <c r="AL236" i="23" l="1"/>
  <c r="BC288" i="23"/>
  <c r="BC92" i="23"/>
  <c r="DZ191" i="23"/>
  <c r="DZ178" i="23"/>
  <c r="DZ180" i="23" s="1"/>
  <c r="DL145" i="23"/>
  <c r="DL132" i="23"/>
  <c r="DX157" i="23"/>
  <c r="N155" i="23"/>
  <c r="DX191" i="23"/>
  <c r="DX178" i="23"/>
  <c r="AX288" i="23"/>
  <c r="AX92" i="23"/>
  <c r="AZ288" i="23"/>
  <c r="AZ92" i="23"/>
  <c r="AW288" i="23"/>
  <c r="AW92" i="23"/>
  <c r="AK339" i="23"/>
  <c r="AK95" i="23"/>
  <c r="AM339" i="23"/>
  <c r="AM95" i="23"/>
  <c r="AG339" i="23"/>
  <c r="AG95" i="23"/>
  <c r="DW145" i="23"/>
  <c r="DW132" i="23"/>
  <c r="AV288" i="23"/>
  <c r="AV92" i="23"/>
  <c r="DV145" i="23"/>
  <c r="DV132" i="23"/>
  <c r="AY288" i="23"/>
  <c r="AY92" i="23"/>
  <c r="EI191" i="23"/>
  <c r="EI178" i="23"/>
  <c r="EI180" i="23" s="1"/>
  <c r="AO339" i="23"/>
  <c r="AO95" i="23"/>
  <c r="AS288" i="23"/>
  <c r="AS92" i="23"/>
  <c r="DU145" i="23"/>
  <c r="DU132" i="23"/>
  <c r="BB288" i="23"/>
  <c r="BB92" i="23"/>
  <c r="AL339" i="23"/>
  <c r="AL95" i="23"/>
  <c r="EH191" i="23"/>
  <c r="EH178" i="23"/>
  <c r="EH180" i="23" s="1"/>
  <c r="AN339" i="23"/>
  <c r="AN95" i="23"/>
  <c r="DT145" i="23"/>
  <c r="DT132" i="23"/>
  <c r="AJ339" i="23"/>
  <c r="AJ95" i="23"/>
  <c r="EG191" i="23"/>
  <c r="EG178" i="23"/>
  <c r="EG180" i="23" s="1"/>
  <c r="N145" i="23"/>
  <c r="DX146" i="23"/>
  <c r="DY146" i="23"/>
  <c r="DZ146" i="23"/>
  <c r="EA146" i="23"/>
  <c r="EB146" i="23"/>
  <c r="EC146" i="23"/>
  <c r="ED146" i="23"/>
  <c r="EE146" i="23"/>
  <c r="EF146" i="23"/>
  <c r="EG146" i="23"/>
  <c r="EH146" i="23"/>
  <c r="EI146" i="23"/>
  <c r="DS145" i="23"/>
  <c r="DS132" i="23"/>
  <c r="DY191" i="23"/>
  <c r="DY178" i="23"/>
  <c r="DY180" i="23" s="1"/>
  <c r="AP339" i="23"/>
  <c r="AP95" i="23"/>
  <c r="AF339" i="23"/>
  <c r="AF95" i="23"/>
  <c r="F92" i="23"/>
  <c r="EF191" i="23"/>
  <c r="EF178" i="23"/>
  <c r="EF180" i="23" s="1"/>
  <c r="I299" i="23"/>
  <c r="BP300" i="23"/>
  <c r="BQ300" i="23"/>
  <c r="BR300" i="23"/>
  <c r="BS300" i="23"/>
  <c r="BT300" i="23"/>
  <c r="BU300" i="23"/>
  <c r="BV300" i="23"/>
  <c r="BW300" i="23"/>
  <c r="BX300" i="23"/>
  <c r="BY300" i="23"/>
  <c r="BZ300" i="23"/>
  <c r="CA300" i="23"/>
  <c r="DR145" i="23"/>
  <c r="DR132" i="23"/>
  <c r="F288" i="23"/>
  <c r="EE191" i="23"/>
  <c r="EE178" i="23"/>
  <c r="EE180" i="23" s="1"/>
  <c r="BP298" i="23"/>
  <c r="BQ298" i="23"/>
  <c r="BR298" i="23"/>
  <c r="BS298" i="23"/>
  <c r="BT298" i="23"/>
  <c r="BU298" i="23"/>
  <c r="BV298" i="23"/>
  <c r="BW298" i="23"/>
  <c r="BX298" i="23"/>
  <c r="BY298" i="23"/>
  <c r="BZ298" i="23"/>
  <c r="CA298" i="23"/>
  <c r="DQ145" i="23"/>
  <c r="DQ132" i="23"/>
  <c r="H299" i="23"/>
  <c r="BD300" i="23"/>
  <c r="BE300" i="23"/>
  <c r="BF300" i="23"/>
  <c r="BG300" i="23"/>
  <c r="BH300" i="23"/>
  <c r="BI300" i="23"/>
  <c r="BJ300" i="23"/>
  <c r="BK300" i="23"/>
  <c r="BL300" i="23"/>
  <c r="BM300" i="23"/>
  <c r="BN300" i="23"/>
  <c r="BO300" i="23"/>
  <c r="BA288" i="23"/>
  <c r="BA92" i="23"/>
  <c r="ED191" i="23"/>
  <c r="ED178" i="23"/>
  <c r="ED180" i="23" s="1"/>
  <c r="J295" i="23"/>
  <c r="K291" i="23" s="1"/>
  <c r="J298" i="23"/>
  <c r="J300" i="23" s="1"/>
  <c r="AH339" i="23"/>
  <c r="AH95" i="23"/>
  <c r="DP145" i="23"/>
  <c r="DP132" i="23"/>
  <c r="AT288" i="23"/>
  <c r="AT92" i="23"/>
  <c r="EC191" i="23"/>
  <c r="EC178" i="23"/>
  <c r="EC180" i="23" s="1"/>
  <c r="DO145" i="23"/>
  <c r="DO132" i="23"/>
  <c r="AQ339" i="23"/>
  <c r="AQ95" i="23"/>
  <c r="AI339" i="23"/>
  <c r="AI95" i="23"/>
  <c r="EB191" i="23"/>
  <c r="EB178" i="23"/>
  <c r="EB180" i="23" s="1"/>
  <c r="DN145" i="23"/>
  <c r="DN132" i="23"/>
  <c r="AR288" i="23"/>
  <c r="G287" i="23"/>
  <c r="G288" i="23" s="1"/>
  <c r="AR92" i="23"/>
  <c r="EA191" i="23"/>
  <c r="EA178" i="23"/>
  <c r="EA180" i="23" s="1"/>
  <c r="AU288" i="23"/>
  <c r="AU92" i="23"/>
  <c r="DM145" i="23"/>
  <c r="DM132" i="23"/>
  <c r="CJ230" i="23"/>
  <c r="CJ231" i="23" s="1"/>
  <c r="CK227" i="23" s="1"/>
  <c r="CK229" i="23" l="1"/>
  <c r="DO134" i="23"/>
  <c r="BK299" i="23"/>
  <c r="BK287" i="23"/>
  <c r="BX299" i="23"/>
  <c r="BX287" i="23"/>
  <c r="EC145" i="23"/>
  <c r="EC132" i="23"/>
  <c r="AX339" i="23"/>
  <c r="AX95" i="23"/>
  <c r="DN134" i="23"/>
  <c r="BJ299" i="23"/>
  <c r="BJ287" i="23"/>
  <c r="BW299" i="23"/>
  <c r="BW287" i="23"/>
  <c r="F339" i="23"/>
  <c r="EB132" i="23"/>
  <c r="EB145" i="23"/>
  <c r="BI299" i="23"/>
  <c r="BI287" i="23"/>
  <c r="BV299" i="23"/>
  <c r="BV287" i="23"/>
  <c r="EA145" i="23"/>
  <c r="EA132" i="23"/>
  <c r="DX180" i="23"/>
  <c r="N178" i="23"/>
  <c r="BH299" i="23"/>
  <c r="BH287" i="23"/>
  <c r="BU299" i="23"/>
  <c r="BU287" i="23"/>
  <c r="DZ145" i="23"/>
  <c r="DZ132" i="23"/>
  <c r="BL299" i="23"/>
  <c r="BL287" i="23"/>
  <c r="BG299" i="23"/>
  <c r="BG287" i="23"/>
  <c r="BT299" i="23"/>
  <c r="BT287" i="23"/>
  <c r="DY145" i="23"/>
  <c r="DY132" i="23"/>
  <c r="N157" i="23"/>
  <c r="O155" i="23"/>
  <c r="O157" i="23" s="1"/>
  <c r="BY299" i="23"/>
  <c r="BY287" i="23"/>
  <c r="DM134" i="23"/>
  <c r="J299" i="23"/>
  <c r="CB300" i="23"/>
  <c r="CC300" i="23"/>
  <c r="CD300" i="23"/>
  <c r="CE300" i="23"/>
  <c r="CF300" i="23"/>
  <c r="CG300" i="23"/>
  <c r="CH300" i="23"/>
  <c r="CI300" i="23"/>
  <c r="CJ300" i="23"/>
  <c r="CK300" i="23"/>
  <c r="CL300" i="23"/>
  <c r="CM300" i="23"/>
  <c r="BF299" i="23"/>
  <c r="BF287" i="23"/>
  <c r="BS287" i="23"/>
  <c r="BS299" i="23"/>
  <c r="DX145" i="23"/>
  <c r="DX132" i="23"/>
  <c r="CB298" i="23"/>
  <c r="CC298" i="23"/>
  <c r="CD298" i="23"/>
  <c r="CE298" i="23"/>
  <c r="CF298" i="23"/>
  <c r="CG298" i="23"/>
  <c r="CH298" i="23"/>
  <c r="CI298" i="23"/>
  <c r="CJ298" i="23"/>
  <c r="CK298" i="23"/>
  <c r="CL298" i="23"/>
  <c r="CM298" i="23"/>
  <c r="BE299" i="23"/>
  <c r="BE287" i="23"/>
  <c r="BR287" i="23"/>
  <c r="BR299" i="23"/>
  <c r="AY339" i="23"/>
  <c r="AY95" i="23"/>
  <c r="DL134" i="23"/>
  <c r="M132" i="23"/>
  <c r="M134" i="23" s="1"/>
  <c r="AU339" i="23"/>
  <c r="AU95" i="23"/>
  <c r="K295" i="23"/>
  <c r="L291" i="23" s="1"/>
  <c r="K298" i="23"/>
  <c r="K300" i="23" s="1"/>
  <c r="BD299" i="23"/>
  <c r="BD287" i="23"/>
  <c r="BQ287" i="23"/>
  <c r="BQ299" i="23"/>
  <c r="BP299" i="23"/>
  <c r="BP287" i="23"/>
  <c r="DS134" i="23"/>
  <c r="DV134" i="23"/>
  <c r="DQ134" i="23"/>
  <c r="BA339" i="23"/>
  <c r="BA95" i="23"/>
  <c r="EI145" i="23"/>
  <c r="EI132" i="23"/>
  <c r="BB339" i="23"/>
  <c r="BB95" i="23"/>
  <c r="AV339" i="23"/>
  <c r="AV95" i="23"/>
  <c r="BC339" i="23"/>
  <c r="BC95" i="23"/>
  <c r="F42" i="12"/>
  <c r="F95" i="23"/>
  <c r="AR339" i="23"/>
  <c r="AR95" i="23"/>
  <c r="G92" i="23"/>
  <c r="DR134" i="23"/>
  <c r="EH145" i="23"/>
  <c r="EH132" i="23"/>
  <c r="ED145" i="23"/>
  <c r="ED132" i="23"/>
  <c r="AT339" i="23"/>
  <c r="AT95" i="23"/>
  <c r="BO299" i="23"/>
  <c r="BO287" i="23"/>
  <c r="EG145" i="23"/>
  <c r="EG132" i="23"/>
  <c r="DU134" i="23"/>
  <c r="DW134" i="23"/>
  <c r="AW339" i="23"/>
  <c r="AW95" i="23"/>
  <c r="BN299" i="23"/>
  <c r="BN287" i="23"/>
  <c r="CA299" i="23"/>
  <c r="CA287" i="23"/>
  <c r="EF145" i="23"/>
  <c r="EF132" i="23"/>
  <c r="AL237" i="23"/>
  <c r="AL238" i="23" s="1"/>
  <c r="AM234" i="23" s="1"/>
  <c r="DP134" i="23"/>
  <c r="BM299" i="23"/>
  <c r="BM287" i="23"/>
  <c r="BZ299" i="23"/>
  <c r="BZ287" i="23"/>
  <c r="EE145" i="23"/>
  <c r="EE132" i="23"/>
  <c r="DT134" i="23"/>
  <c r="AS339" i="23"/>
  <c r="AS95" i="23"/>
  <c r="AZ339" i="23"/>
  <c r="AZ95" i="23"/>
  <c r="BS288" i="23" l="1"/>
  <c r="BS92" i="23"/>
  <c r="EG134" i="23"/>
  <c r="BY288" i="23"/>
  <c r="BY92" i="23"/>
  <c r="DZ134" i="23"/>
  <c r="AM236" i="23"/>
  <c r="CA288" i="23"/>
  <c r="CA92" i="23"/>
  <c r="BO288" i="23"/>
  <c r="BO92" i="23"/>
  <c r="CL299" i="23"/>
  <c r="CL287" i="23"/>
  <c r="BU288" i="23"/>
  <c r="BU92" i="23"/>
  <c r="BW288" i="23"/>
  <c r="BW92" i="23"/>
  <c r="BM288" i="23"/>
  <c r="BM92" i="23"/>
  <c r="G339" i="23"/>
  <c r="EI134" i="23"/>
  <c r="CK299" i="23"/>
  <c r="CK287" i="23"/>
  <c r="BN288" i="23"/>
  <c r="BN92" i="23"/>
  <c r="CJ299" i="23"/>
  <c r="CJ287" i="23"/>
  <c r="DY134" i="23"/>
  <c r="BH288" i="23"/>
  <c r="BH92" i="23"/>
  <c r="BJ288" i="23"/>
  <c r="BJ92" i="23"/>
  <c r="BF288" i="23"/>
  <c r="BF92" i="23"/>
  <c r="BP288" i="23"/>
  <c r="I287" i="23"/>
  <c r="I288" i="23" s="1"/>
  <c r="BP92" i="23"/>
  <c r="CI299" i="23"/>
  <c r="CI287" i="23"/>
  <c r="BX288" i="23"/>
  <c r="BX92" i="23"/>
  <c r="F45" i="12"/>
  <c r="CH299" i="23"/>
  <c r="CH287" i="23"/>
  <c r="BT288" i="23"/>
  <c r="BT92" i="23"/>
  <c r="N180" i="23"/>
  <c r="O178" i="23"/>
  <c r="O180" i="23" s="1"/>
  <c r="CG299" i="23"/>
  <c r="CG287" i="23"/>
  <c r="BK288" i="23"/>
  <c r="BK92" i="23"/>
  <c r="ED134" i="23"/>
  <c r="CF299" i="23"/>
  <c r="CF287" i="23"/>
  <c r="BG288" i="23"/>
  <c r="BG92" i="23"/>
  <c r="EA134" i="23"/>
  <c r="EF134" i="23"/>
  <c r="BQ288" i="23"/>
  <c r="BQ92" i="23"/>
  <c r="CE299" i="23"/>
  <c r="CE287" i="23"/>
  <c r="L295" i="23"/>
  <c r="M291" i="23" s="1"/>
  <c r="L298" i="23"/>
  <c r="L300" i="23" s="1"/>
  <c r="EB134" i="23"/>
  <c r="BD288" i="23"/>
  <c r="H287" i="23"/>
  <c r="BD92" i="23"/>
  <c r="DX134" i="23"/>
  <c r="N132" i="23"/>
  <c r="CD299" i="23"/>
  <c r="CD287" i="23"/>
  <c r="BV288" i="23"/>
  <c r="BV92" i="23"/>
  <c r="BZ288" i="23"/>
  <c r="BZ92" i="23"/>
  <c r="EH134" i="23"/>
  <c r="BR288" i="23"/>
  <c r="BR92" i="23"/>
  <c r="CC299" i="23"/>
  <c r="CC287" i="23"/>
  <c r="BL288" i="23"/>
  <c r="BL92" i="23"/>
  <c r="G42" i="12"/>
  <c r="G95" i="23"/>
  <c r="EE134" i="23"/>
  <c r="K299" i="23"/>
  <c r="CN300" i="23"/>
  <c r="CO300" i="23"/>
  <c r="CP300" i="23"/>
  <c r="CQ300" i="23"/>
  <c r="CR300" i="23"/>
  <c r="CS300" i="23"/>
  <c r="CT300" i="23"/>
  <c r="CU300" i="23"/>
  <c r="CV300" i="23"/>
  <c r="CW300" i="23"/>
  <c r="CX300" i="23"/>
  <c r="CY300" i="23"/>
  <c r="BE288" i="23"/>
  <c r="BE92" i="23"/>
  <c r="CB299" i="23"/>
  <c r="CB287" i="23"/>
  <c r="BI288" i="23"/>
  <c r="BI92" i="23"/>
  <c r="EC134" i="23"/>
  <c r="CK230" i="23"/>
  <c r="CK231" i="23" s="1"/>
  <c r="CL227" i="23" s="1"/>
  <c r="CM299" i="23"/>
  <c r="CM287" i="23"/>
  <c r="CN298" i="23"/>
  <c r="CO298" i="23"/>
  <c r="CP298" i="23"/>
  <c r="CQ298" i="23"/>
  <c r="CR298" i="23"/>
  <c r="CS298" i="23"/>
  <c r="CT298" i="23"/>
  <c r="CU298" i="23"/>
  <c r="CV298" i="23"/>
  <c r="CW298" i="23"/>
  <c r="CX298" i="23"/>
  <c r="CY298" i="23"/>
  <c r="CL229" i="23" l="1"/>
  <c r="L299" i="23"/>
  <c r="CZ300" i="23"/>
  <c r="DA300" i="23"/>
  <c r="DB300" i="23"/>
  <c r="DC300" i="23"/>
  <c r="DD300" i="23"/>
  <c r="DE300" i="23"/>
  <c r="DF300" i="23"/>
  <c r="DG300" i="23"/>
  <c r="DH300" i="23"/>
  <c r="DI300" i="23"/>
  <c r="DJ300" i="23"/>
  <c r="DK300" i="23"/>
  <c r="BW339" i="23"/>
  <c r="BW95" i="23"/>
  <c r="M295" i="23"/>
  <c r="N291" i="23" s="1"/>
  <c r="M298" i="23"/>
  <c r="BU339" i="23"/>
  <c r="BU95" i="23"/>
  <c r="G45" i="12"/>
  <c r="CX287" i="23"/>
  <c r="CX299" i="23"/>
  <c r="CL288" i="23"/>
  <c r="CL92" i="23"/>
  <c r="BY339" i="23"/>
  <c r="BY95" i="23"/>
  <c r="CJ288" i="23"/>
  <c r="CJ92" i="23"/>
  <c r="CW287" i="23"/>
  <c r="CW299" i="23"/>
  <c r="CD288" i="23"/>
  <c r="CD92" i="23"/>
  <c r="CG288" i="23"/>
  <c r="CG92" i="23"/>
  <c r="BP339" i="23"/>
  <c r="BP95" i="23"/>
  <c r="I92" i="23"/>
  <c r="BN339" i="23"/>
  <c r="BN95" i="23"/>
  <c r="BZ339" i="23"/>
  <c r="BZ95" i="23"/>
  <c r="BV339" i="23"/>
  <c r="BV95" i="23"/>
  <c r="CV287" i="23"/>
  <c r="CV299" i="23"/>
  <c r="BL339" i="23"/>
  <c r="BL95" i="23"/>
  <c r="BQ339" i="23"/>
  <c r="BQ95" i="23"/>
  <c r="CY287" i="23"/>
  <c r="CY299" i="23"/>
  <c r="CU299" i="23"/>
  <c r="CU287" i="23"/>
  <c r="N134" i="23"/>
  <c r="O132" i="23"/>
  <c r="O134" i="23" s="1"/>
  <c r="BX339" i="23"/>
  <c r="BX95" i="23"/>
  <c r="CE288" i="23"/>
  <c r="CE92" i="23"/>
  <c r="CM288" i="23"/>
  <c r="CM92" i="23"/>
  <c r="CT299" i="23"/>
  <c r="CT287" i="23"/>
  <c r="CC288" i="23"/>
  <c r="CC92" i="23"/>
  <c r="CK288" i="23"/>
  <c r="CK92" i="23"/>
  <c r="BO339" i="23"/>
  <c r="BO95" i="23"/>
  <c r="CS299" i="23"/>
  <c r="CS287" i="23"/>
  <c r="BF339" i="23"/>
  <c r="BF95" i="23"/>
  <c r="CR299" i="23"/>
  <c r="CR287" i="23"/>
  <c r="BR339" i="23"/>
  <c r="BR95" i="23"/>
  <c r="BD339" i="23"/>
  <c r="BD95" i="23"/>
  <c r="H92" i="23"/>
  <c r="BT339" i="23"/>
  <c r="BT95" i="23"/>
  <c r="CA339" i="23"/>
  <c r="CA95" i="23"/>
  <c r="CZ298" i="23"/>
  <c r="DA298" i="23"/>
  <c r="DB298" i="23"/>
  <c r="DC298" i="23"/>
  <c r="DD298" i="23"/>
  <c r="DE298" i="23"/>
  <c r="DF298" i="23"/>
  <c r="DG298" i="23"/>
  <c r="DH298" i="23"/>
  <c r="DI298" i="23"/>
  <c r="DJ298" i="23"/>
  <c r="DK298" i="23"/>
  <c r="CQ299" i="23"/>
  <c r="CQ287" i="23"/>
  <c r="H288" i="23"/>
  <c r="BE339" i="23"/>
  <c r="BE95" i="23"/>
  <c r="BK339" i="23"/>
  <c r="BK95" i="23"/>
  <c r="CP299" i="23"/>
  <c r="CP287" i="23"/>
  <c r="CH288" i="23"/>
  <c r="CH92" i="23"/>
  <c r="BI339" i="23"/>
  <c r="BI95" i="23"/>
  <c r="CO299" i="23"/>
  <c r="CO287" i="23"/>
  <c r="BG339" i="23"/>
  <c r="BG95" i="23"/>
  <c r="BJ339" i="23"/>
  <c r="BJ95" i="23"/>
  <c r="BS339" i="23"/>
  <c r="BS95" i="23"/>
  <c r="CI288" i="23"/>
  <c r="CI92" i="23"/>
  <c r="CN299" i="23"/>
  <c r="CN287" i="23"/>
  <c r="BM339" i="23"/>
  <c r="BM95" i="23"/>
  <c r="CB288" i="23"/>
  <c r="J287" i="23"/>
  <c r="J288" i="23" s="1"/>
  <c r="CB92" i="23"/>
  <c r="CF288" i="23"/>
  <c r="CF92" i="23"/>
  <c r="BH339" i="23"/>
  <c r="BH95" i="23"/>
  <c r="AM237" i="23"/>
  <c r="H339" i="23" l="1"/>
  <c r="CV288" i="23"/>
  <c r="CV92" i="23"/>
  <c r="DK299" i="23"/>
  <c r="DK287" i="23"/>
  <c r="CH339" i="23"/>
  <c r="CH95" i="23"/>
  <c r="CG339" i="23"/>
  <c r="CG95" i="23"/>
  <c r="DI299" i="23"/>
  <c r="DI287" i="23"/>
  <c r="CK339" i="23"/>
  <c r="CK95" i="23"/>
  <c r="CU288" i="23"/>
  <c r="CU92" i="23"/>
  <c r="DH299" i="23"/>
  <c r="DH287" i="23"/>
  <c r="CP288" i="23"/>
  <c r="CP92" i="23"/>
  <c r="CD339" i="23"/>
  <c r="CD95" i="23"/>
  <c r="DG299" i="23"/>
  <c r="DG287" i="23"/>
  <c r="CR288" i="23"/>
  <c r="CR92" i="23"/>
  <c r="CC339" i="23"/>
  <c r="CC95" i="23"/>
  <c r="DF299" i="23"/>
  <c r="DF287" i="23"/>
  <c r="CX288" i="23"/>
  <c r="CX92" i="23"/>
  <c r="CQ288" i="23"/>
  <c r="CQ92" i="23"/>
  <c r="CY288" i="23"/>
  <c r="CY92" i="23"/>
  <c r="DE299" i="23"/>
  <c r="DE287" i="23"/>
  <c r="DJ299" i="23"/>
  <c r="DJ287" i="23"/>
  <c r="CT288" i="23"/>
  <c r="CT92" i="23"/>
  <c r="CW288" i="23"/>
  <c r="CW92" i="23"/>
  <c r="DD299" i="23"/>
  <c r="DD287" i="23"/>
  <c r="CJ339" i="23"/>
  <c r="CJ95" i="23"/>
  <c r="DL298" i="23"/>
  <c r="DM298" i="23"/>
  <c r="DN298" i="23"/>
  <c r="DO298" i="23"/>
  <c r="DP298" i="23"/>
  <c r="DQ298" i="23"/>
  <c r="DR298" i="23"/>
  <c r="DS298" i="23"/>
  <c r="DT298" i="23"/>
  <c r="DU298" i="23"/>
  <c r="DV298" i="23"/>
  <c r="DW298" i="23"/>
  <c r="DC299" i="23"/>
  <c r="DC287" i="23"/>
  <c r="AM238" i="23"/>
  <c r="AN234" i="23" s="1"/>
  <c r="CM339" i="23"/>
  <c r="CM95" i="23"/>
  <c r="M300" i="23"/>
  <c r="DB299" i="23"/>
  <c r="DB287" i="23"/>
  <c r="CN288" i="23"/>
  <c r="K287" i="23"/>
  <c r="K288" i="23" s="1"/>
  <c r="CN92" i="23"/>
  <c r="CO288" i="23"/>
  <c r="CO92" i="23"/>
  <c r="N295" i="23"/>
  <c r="N298" i="23"/>
  <c r="DA299" i="23"/>
  <c r="DA287" i="23"/>
  <c r="CE339" i="23"/>
  <c r="CE95" i="23"/>
  <c r="CZ299" i="23"/>
  <c r="CZ287" i="23"/>
  <c r="I339" i="23"/>
  <c r="CI339" i="23"/>
  <c r="CI95" i="23"/>
  <c r="CB339" i="23"/>
  <c r="CB95" i="23"/>
  <c r="J92" i="23"/>
  <c r="CS288" i="23"/>
  <c r="CS92" i="23"/>
  <c r="H42" i="12"/>
  <c r="H45" i="12" s="1"/>
  <c r="H95" i="23"/>
  <c r="CL339" i="23"/>
  <c r="CL95" i="23"/>
  <c r="CF339" i="23"/>
  <c r="CF95" i="23"/>
  <c r="I42" i="12"/>
  <c r="I45" i="12" s="1"/>
  <c r="I95" i="23"/>
  <c r="CL230" i="23"/>
  <c r="CL231" i="23" s="1"/>
  <c r="CM227" i="23" s="1"/>
  <c r="CR339" i="23" l="1"/>
  <c r="CR95" i="23"/>
  <c r="CO339" i="23"/>
  <c r="CO95" i="23"/>
  <c r="CS339" i="23"/>
  <c r="CS95" i="23"/>
  <c r="CP339" i="23"/>
  <c r="CP95" i="23"/>
  <c r="CZ288" i="23"/>
  <c r="L287" i="23"/>
  <c r="L288" i="23" s="1"/>
  <c r="CZ92" i="23"/>
  <c r="CN339" i="23"/>
  <c r="CN95" i="23"/>
  <c r="K92" i="23"/>
  <c r="DE288" i="23"/>
  <c r="DE92" i="23"/>
  <c r="DC288" i="23"/>
  <c r="DC92" i="23"/>
  <c r="CU339" i="23"/>
  <c r="CU95" i="23"/>
  <c r="CM229" i="23"/>
  <c r="CM230" i="23" s="1"/>
  <c r="CY339" i="23"/>
  <c r="CY95" i="23"/>
  <c r="DK288" i="23"/>
  <c r="DK92" i="23"/>
  <c r="J42" i="12"/>
  <c r="J95" i="23"/>
  <c r="DD288" i="23"/>
  <c r="DD92" i="23"/>
  <c r="CQ339" i="23"/>
  <c r="CQ95" i="23"/>
  <c r="DG288" i="23"/>
  <c r="DG92" i="23"/>
  <c r="CV339" i="23"/>
  <c r="CV95" i="23"/>
  <c r="DJ288" i="23"/>
  <c r="DJ92" i="23"/>
  <c r="J339" i="23"/>
  <c r="DB288" i="23"/>
  <c r="DB92" i="23"/>
  <c r="CX339" i="23"/>
  <c r="CX95" i="23"/>
  <c r="AN236" i="23"/>
  <c r="AN237" i="23" s="1"/>
  <c r="DA288" i="23"/>
  <c r="DA92" i="23"/>
  <c r="CW339" i="23"/>
  <c r="CW95" i="23"/>
  <c r="DI288" i="23"/>
  <c r="DI92" i="23"/>
  <c r="DH288" i="23"/>
  <c r="DH92" i="23"/>
  <c r="M299" i="23"/>
  <c r="DL300" i="23"/>
  <c r="DM300" i="23"/>
  <c r="DN300" i="23"/>
  <c r="DO300" i="23"/>
  <c r="DP300" i="23"/>
  <c r="DQ300" i="23"/>
  <c r="DR300" i="23"/>
  <c r="DS300" i="23"/>
  <c r="DT300" i="23"/>
  <c r="DU300" i="23"/>
  <c r="DV300" i="23"/>
  <c r="DW300" i="23"/>
  <c r="DF288" i="23"/>
  <c r="DF92" i="23"/>
  <c r="DX298" i="23"/>
  <c r="DY298" i="23"/>
  <c r="DZ298" i="23"/>
  <c r="EA298" i="23"/>
  <c r="EB298" i="23"/>
  <c r="EC298" i="23"/>
  <c r="ED298" i="23"/>
  <c r="EE298" i="23"/>
  <c r="EF298" i="23"/>
  <c r="EG298" i="23"/>
  <c r="EH298" i="23"/>
  <c r="EI298" i="23"/>
  <c r="CT339" i="23"/>
  <c r="CT95" i="23"/>
  <c r="N300" i="23"/>
  <c r="DU299" i="23" l="1"/>
  <c r="DU287" i="23"/>
  <c r="DE339" i="23"/>
  <c r="DE95" i="23"/>
  <c r="DT299" i="23"/>
  <c r="DT287" i="23"/>
  <c r="DD339" i="23"/>
  <c r="DD95" i="23"/>
  <c r="DV299" i="23"/>
  <c r="DV287" i="23"/>
  <c r="DS299" i="23"/>
  <c r="DS287" i="23"/>
  <c r="DR299" i="23"/>
  <c r="DR287" i="23"/>
  <c r="DA339" i="23"/>
  <c r="DA95" i="23"/>
  <c r="N299" i="23"/>
  <c r="DX300" i="23"/>
  <c r="DY300" i="23"/>
  <c r="DZ300" i="23"/>
  <c r="EA300" i="23"/>
  <c r="EB300" i="23"/>
  <c r="EC300" i="23"/>
  <c r="ED300" i="23"/>
  <c r="EE300" i="23"/>
  <c r="EF300" i="23"/>
  <c r="EG300" i="23"/>
  <c r="EH300" i="23"/>
  <c r="EI300" i="23"/>
  <c r="DP299" i="23"/>
  <c r="DP287" i="23"/>
  <c r="DJ339" i="23"/>
  <c r="DJ95" i="23"/>
  <c r="DO299" i="23"/>
  <c r="DO287" i="23"/>
  <c r="K339" i="23"/>
  <c r="DN299" i="23"/>
  <c r="DN287" i="23"/>
  <c r="AN238" i="23"/>
  <c r="AO234" i="23" s="1"/>
  <c r="CM231" i="23"/>
  <c r="CN227" i="23" s="1"/>
  <c r="CZ339" i="23"/>
  <c r="CZ95" i="23"/>
  <c r="L92" i="23"/>
  <c r="DM299" i="23"/>
  <c r="DM287" i="23"/>
  <c r="DL299" i="23"/>
  <c r="DL287" i="23"/>
  <c r="K42" i="12"/>
  <c r="K45" i="12" s="1"/>
  <c r="K95" i="23"/>
  <c r="DH339" i="23"/>
  <c r="DH95" i="23"/>
  <c r="DG339" i="23"/>
  <c r="DG95" i="23"/>
  <c r="DQ299" i="23"/>
  <c r="DQ287" i="23"/>
  <c r="DF339" i="23"/>
  <c r="DF95" i="23"/>
  <c r="J45" i="12"/>
  <c r="DI339" i="23"/>
  <c r="DI95" i="23"/>
  <c r="DB339" i="23"/>
  <c r="DB95" i="23"/>
  <c r="DW299" i="23"/>
  <c r="DW287" i="23"/>
  <c r="DK339" i="23"/>
  <c r="DK95" i="23"/>
  <c r="DC339" i="23"/>
  <c r="DC95" i="23"/>
  <c r="DL288" i="23" l="1"/>
  <c r="M287" i="23"/>
  <c r="M288" i="23" s="1"/>
  <c r="DL92" i="23"/>
  <c r="EF299" i="23"/>
  <c r="EF287" i="23"/>
  <c r="DR288" i="23"/>
  <c r="DR92" i="23"/>
  <c r="EE287" i="23"/>
  <c r="EE299" i="23"/>
  <c r="DM288" i="23"/>
  <c r="DM92" i="23"/>
  <c r="ED287" i="23"/>
  <c r="ED299" i="23"/>
  <c r="DO288" i="23"/>
  <c r="DO92" i="23"/>
  <c r="EC287" i="23"/>
  <c r="EC299" i="23"/>
  <c r="EA299" i="23"/>
  <c r="EA287" i="23"/>
  <c r="DS288" i="23"/>
  <c r="DS92" i="23"/>
  <c r="DZ299" i="23"/>
  <c r="DZ287" i="23"/>
  <c r="DU288" i="23"/>
  <c r="DU92" i="23"/>
  <c r="EG299" i="23"/>
  <c r="EG287" i="23"/>
  <c r="L42" i="12"/>
  <c r="L95" i="23"/>
  <c r="DY299" i="23"/>
  <c r="DY287" i="23"/>
  <c r="DV288" i="23"/>
  <c r="DV92" i="23"/>
  <c r="DT288" i="23"/>
  <c r="DT92" i="23"/>
  <c r="EB287" i="23"/>
  <c r="EB299" i="23"/>
  <c r="DX299" i="23"/>
  <c r="DX287" i="23"/>
  <c r="DW288" i="23"/>
  <c r="DW92" i="23"/>
  <c r="L339" i="23"/>
  <c r="CN229" i="23"/>
  <c r="AO236" i="23"/>
  <c r="DP288" i="23"/>
  <c r="DP92" i="23"/>
  <c r="DN288" i="23"/>
  <c r="DN92" i="23"/>
  <c r="EI299" i="23"/>
  <c r="EI287" i="23"/>
  <c r="DQ288" i="23"/>
  <c r="DQ92" i="23"/>
  <c r="EH299" i="23"/>
  <c r="EH287" i="23"/>
  <c r="ED288" i="23" l="1"/>
  <c r="ED92" i="23"/>
  <c r="DM339" i="23"/>
  <c r="DM95" i="23"/>
  <c r="EG288" i="23"/>
  <c r="EG92" i="23"/>
  <c r="DZ288" i="23"/>
  <c r="DZ92" i="23"/>
  <c r="DN339" i="23"/>
  <c r="DN95" i="23"/>
  <c r="DT339" i="23"/>
  <c r="DT95" i="23"/>
  <c r="EE288" i="23"/>
  <c r="EE92" i="23"/>
  <c r="DV339" i="23"/>
  <c r="DV95" i="23"/>
  <c r="DS339" i="23"/>
  <c r="DS95" i="23"/>
  <c r="DR339" i="23"/>
  <c r="DR95" i="23"/>
  <c r="DW339" i="23"/>
  <c r="DW95" i="23"/>
  <c r="DX288" i="23"/>
  <c r="N287" i="23"/>
  <c r="DX92" i="23"/>
  <c r="CN230" i="23"/>
  <c r="CN231" i="23" s="1"/>
  <c r="CO227" i="23" s="1"/>
  <c r="DY288" i="23"/>
  <c r="DY92" i="23"/>
  <c r="EA288" i="23"/>
  <c r="EA92" i="23"/>
  <c r="EF288" i="23"/>
  <c r="EF92" i="23"/>
  <c r="EB288" i="23"/>
  <c r="EB92" i="23"/>
  <c r="DP339" i="23"/>
  <c r="DP95" i="23"/>
  <c r="DU339" i="23"/>
  <c r="DU95" i="23"/>
  <c r="DL339" i="23"/>
  <c r="DL95" i="23"/>
  <c r="M92" i="23"/>
  <c r="EH288" i="23"/>
  <c r="EH92" i="23"/>
  <c r="L45" i="12"/>
  <c r="EC288" i="23"/>
  <c r="EC92" i="23"/>
  <c r="DQ339" i="23"/>
  <c r="DQ95" i="23"/>
  <c r="EI288" i="23"/>
  <c r="EI92" i="23"/>
  <c r="AO237" i="23"/>
  <c r="DO339" i="23"/>
  <c r="DO95" i="23"/>
  <c r="EI339" i="23" l="1"/>
  <c r="EI95" i="23"/>
  <c r="EF339" i="23"/>
  <c r="EF95" i="23"/>
  <c r="EE339" i="23"/>
  <c r="EE95" i="23"/>
  <c r="EG339" i="23"/>
  <c r="EG95" i="23"/>
  <c r="CO229" i="23"/>
  <c r="EB339" i="23"/>
  <c r="EB95" i="23"/>
  <c r="M42" i="12"/>
  <c r="M45" i="12" s="1"/>
  <c r="M95" i="23"/>
  <c r="N288" i="23"/>
  <c r="O288" i="23" s="1"/>
  <c r="O287" i="23"/>
  <c r="DZ339" i="23"/>
  <c r="DZ95" i="23"/>
  <c r="EH339" i="23"/>
  <c r="EH95" i="23"/>
  <c r="EA339" i="23"/>
  <c r="EA95" i="23"/>
  <c r="M339" i="23"/>
  <c r="DY339" i="23"/>
  <c r="DY95" i="23"/>
  <c r="DX339" i="23"/>
  <c r="DX95" i="23"/>
  <c r="N92" i="23"/>
  <c r="AO238" i="23"/>
  <c r="AP234" i="23" s="1"/>
  <c r="EC339" i="23"/>
  <c r="EC95" i="23"/>
  <c r="ED339" i="23"/>
  <c r="ED95" i="23"/>
  <c r="N339" i="23" l="1"/>
  <c r="O339" i="23" s="1"/>
  <c r="CO230" i="23"/>
  <c r="N42" i="12"/>
  <c r="N95" i="23"/>
  <c r="O92" i="23"/>
  <c r="O95" i="23" s="1"/>
  <c r="AP236" i="23"/>
  <c r="AP237" i="23" l="1"/>
  <c r="AP238" i="23" s="1"/>
  <c r="AQ234" i="23" s="1"/>
  <c r="N45" i="12"/>
  <c r="O45" i="12" s="1"/>
  <c r="O42" i="12"/>
  <c r="CO231" i="23"/>
  <c r="CP227" i="23" s="1"/>
  <c r="AQ236" i="23" l="1"/>
  <c r="CP229" i="23"/>
  <c r="AQ237" i="23" l="1"/>
  <c r="AQ238" i="23" s="1"/>
  <c r="AR234" i="23" s="1"/>
  <c r="CP230" i="23"/>
  <c r="CP231" i="23" s="1"/>
  <c r="CQ227" i="23" s="1"/>
  <c r="AR236" i="23" l="1"/>
  <c r="CQ229" i="23"/>
  <c r="CQ230" i="23" l="1"/>
  <c r="CQ231" i="23" s="1"/>
  <c r="CR227" i="23" s="1"/>
  <c r="AR237" i="23"/>
  <c r="CR229" i="23" l="1"/>
  <c r="AR238" i="23"/>
  <c r="AS234" i="23" s="1"/>
  <c r="AS236" i="23" l="1"/>
  <c r="CR230" i="23"/>
  <c r="CR231" i="23" s="1"/>
  <c r="CS227" i="23" s="1"/>
  <c r="CS229" i="23" l="1"/>
  <c r="AS237" i="23"/>
  <c r="AS238" i="23" s="1"/>
  <c r="AT234" i="23" s="1"/>
  <c r="CS230" i="23" l="1"/>
  <c r="CS231" i="23" s="1"/>
  <c r="CT227" i="23" s="1"/>
  <c r="AT236" i="23"/>
  <c r="CT229" i="23" l="1"/>
  <c r="AT237" i="23"/>
  <c r="CT230" i="23" l="1"/>
  <c r="CT231" i="23" s="1"/>
  <c r="CU227" i="23" s="1"/>
  <c r="AT238" i="23"/>
  <c r="AU234" i="23" s="1"/>
  <c r="CU229" i="23" l="1"/>
  <c r="AU236" i="23"/>
  <c r="AU237" i="23" l="1"/>
  <c r="AU238" i="23" s="1"/>
  <c r="AV234" i="23" s="1"/>
  <c r="CU230" i="23"/>
  <c r="CU231" i="23" s="1"/>
  <c r="CV227" i="23" s="1"/>
  <c r="CV229" i="23" l="1"/>
  <c r="AV236" i="23"/>
  <c r="AV237" i="23" l="1"/>
  <c r="CV230" i="23"/>
  <c r="CV231" i="23" s="1"/>
  <c r="CW227" i="23" s="1"/>
  <c r="CW229" i="23" l="1"/>
  <c r="AV238" i="23"/>
  <c r="AW234" i="23" s="1"/>
  <c r="AW236" i="23" l="1"/>
  <c r="CW230" i="23"/>
  <c r="CW231" i="23" s="1"/>
  <c r="CX227" i="23" s="1"/>
  <c r="CX229" i="23" l="1"/>
  <c r="AW237" i="23"/>
  <c r="CX230" i="23" l="1"/>
  <c r="CX231" i="23" s="1"/>
  <c r="CY227" i="23" s="1"/>
  <c r="AW238" i="23"/>
  <c r="AX234" i="23" s="1"/>
  <c r="CY229" i="23" l="1"/>
  <c r="CY230" i="23" s="1"/>
  <c r="AX236" i="23"/>
  <c r="AX237" i="23" s="1"/>
  <c r="AX238" i="23" l="1"/>
  <c r="AY234" i="23" s="1"/>
  <c r="CY231" i="23"/>
  <c r="CZ227" i="23" s="1"/>
  <c r="AY236" i="23" l="1"/>
  <c r="CZ229" i="23"/>
  <c r="AY237" i="23" l="1"/>
  <c r="CZ230" i="23"/>
  <c r="CZ231" i="23" s="1"/>
  <c r="DA227" i="23" s="1"/>
  <c r="DA229" i="23" l="1"/>
  <c r="AY238" i="23"/>
  <c r="AZ234" i="23" s="1"/>
  <c r="AZ236" i="23" l="1"/>
  <c r="DA230" i="23"/>
  <c r="DA231" i="23" s="1"/>
  <c r="DB227" i="23" s="1"/>
  <c r="DB229" i="23" l="1"/>
  <c r="AZ237" i="23"/>
  <c r="DB230" i="23" l="1"/>
  <c r="DB231" i="23" s="1"/>
  <c r="DC227" i="23" s="1"/>
  <c r="AZ238" i="23"/>
  <c r="BA234" i="23" s="1"/>
  <c r="DC229" i="23" l="1"/>
  <c r="BA236" i="23"/>
  <c r="BA237" i="23" l="1"/>
  <c r="BA238" i="23" s="1"/>
  <c r="BB234" i="23" s="1"/>
  <c r="DC230" i="23"/>
  <c r="DC231" i="23" s="1"/>
  <c r="DD227" i="23" s="1"/>
  <c r="DD229" i="23" l="1"/>
  <c r="BB236" i="23"/>
  <c r="BB237" i="23" l="1"/>
  <c r="DD230" i="23"/>
  <c r="DD231" i="23" s="1"/>
  <c r="DE227" i="23" s="1"/>
  <c r="DE229" i="23" l="1"/>
  <c r="DE230" i="23" s="1"/>
  <c r="BB238" i="23"/>
  <c r="BC234" i="23" s="1"/>
  <c r="BC236" i="23" l="1"/>
  <c r="DE231" i="23"/>
  <c r="DF227" i="23" s="1"/>
  <c r="DF229" i="23" l="1"/>
  <c r="BC237" i="23"/>
  <c r="DF230" i="23" l="1"/>
  <c r="DF231" i="23" s="1"/>
  <c r="DG227" i="23" s="1"/>
  <c r="BC238" i="23"/>
  <c r="BD234" i="23" s="1"/>
  <c r="BD236" i="23" l="1"/>
  <c r="DG229" i="23"/>
  <c r="BD237" i="23" l="1"/>
  <c r="DG230" i="23"/>
  <c r="DG231" i="23" s="1"/>
  <c r="DH227" i="23" s="1"/>
  <c r="DH229" i="23" l="1"/>
  <c r="BD238" i="23"/>
  <c r="BE234" i="23" s="1"/>
  <c r="BE236" i="23" l="1"/>
  <c r="DH230" i="23"/>
  <c r="DH231" i="23" s="1"/>
  <c r="DI227" i="23" s="1"/>
  <c r="DI229" i="23" l="1"/>
  <c r="BE237" i="23"/>
  <c r="BE238" i="23" s="1"/>
  <c r="BF234" i="23" s="1"/>
  <c r="BF236" i="23" l="1"/>
  <c r="DI230" i="23"/>
  <c r="DI231" i="23" s="1"/>
  <c r="DJ227" i="23" s="1"/>
  <c r="DJ229" i="23" l="1"/>
  <c r="DJ230" i="23" s="1"/>
  <c r="BF237" i="23"/>
  <c r="BF238" i="23" s="1"/>
  <c r="BG234" i="23" s="1"/>
  <c r="DJ231" i="23" l="1"/>
  <c r="DK227" i="23" s="1"/>
  <c r="BG236" i="23"/>
  <c r="BG237" i="23" l="1"/>
  <c r="BG238" i="23" s="1"/>
  <c r="BH234" i="23" s="1"/>
  <c r="DK229" i="23"/>
  <c r="BH236" i="23" l="1"/>
  <c r="DK230" i="23"/>
  <c r="DK231" i="23" s="1"/>
  <c r="DL227" i="23" s="1"/>
  <c r="DL229" i="23" l="1"/>
  <c r="BH237" i="23"/>
  <c r="BH238" i="23" l="1"/>
  <c r="BI234" i="23" s="1"/>
  <c r="DL230" i="23"/>
  <c r="DL231" i="23" s="1"/>
  <c r="DM227" i="23" s="1"/>
  <c r="DM229" i="23" l="1"/>
  <c r="BI236" i="23"/>
  <c r="DM230" i="23" l="1"/>
  <c r="DM231" i="23" s="1"/>
  <c r="DN227" i="23" s="1"/>
  <c r="BI237" i="23"/>
  <c r="DN229" i="23" l="1"/>
  <c r="BI238" i="23"/>
  <c r="BJ234" i="23" s="1"/>
  <c r="BJ236" i="23" l="1"/>
  <c r="DN230" i="23"/>
  <c r="DN231" i="23" s="1"/>
  <c r="DO227" i="23" s="1"/>
  <c r="BJ237" i="23" l="1"/>
  <c r="BJ238" i="23" s="1"/>
  <c r="BK234" i="23" s="1"/>
  <c r="DO229" i="23"/>
  <c r="DO230" i="23" l="1"/>
  <c r="DO231" i="23" s="1"/>
  <c r="DP227" i="23" s="1"/>
  <c r="BK236" i="23"/>
  <c r="BK237" i="23" s="1"/>
  <c r="DP229" i="23" l="1"/>
  <c r="BK238" i="23"/>
  <c r="BL234" i="23" s="1"/>
  <c r="BL236" i="23" l="1"/>
  <c r="DP230" i="23"/>
  <c r="DP231" i="23" s="1"/>
  <c r="DQ227" i="23" s="1"/>
  <c r="DQ229" i="23" l="1"/>
  <c r="DQ230" i="23" s="1"/>
  <c r="BL237" i="23"/>
  <c r="BL238" i="23" s="1"/>
  <c r="BM234" i="23" s="1"/>
  <c r="BM236" i="23" l="1"/>
  <c r="DQ231" i="23"/>
  <c r="DR227" i="23" s="1"/>
  <c r="DR229" i="23" l="1"/>
  <c r="BM237" i="23"/>
  <c r="BM238" i="23" s="1"/>
  <c r="BN234" i="23" s="1"/>
  <c r="DR230" i="23" l="1"/>
  <c r="DR231" i="23" s="1"/>
  <c r="DS227" i="23" s="1"/>
  <c r="BN236" i="23"/>
  <c r="BN237" i="23" l="1"/>
  <c r="BN238" i="23" s="1"/>
  <c r="BO234" i="23" s="1"/>
  <c r="DS229" i="23"/>
  <c r="BO236" i="23" l="1"/>
  <c r="BO237" i="23" s="1"/>
  <c r="BO238" i="23" s="1"/>
  <c r="BP234" i="23" s="1"/>
  <c r="DS230" i="23"/>
  <c r="DS231" i="23" s="1"/>
  <c r="DT227" i="23" s="1"/>
  <c r="BP236" i="23" l="1"/>
  <c r="DT229" i="23"/>
  <c r="DT230" i="23" l="1"/>
  <c r="DT231" i="23" s="1"/>
  <c r="DU227" i="23" s="1"/>
  <c r="BP237" i="23"/>
  <c r="DU229" i="23" l="1"/>
  <c r="BP238" i="23"/>
  <c r="BQ234" i="23" s="1"/>
  <c r="DU230" i="23" l="1"/>
  <c r="DU231" i="23" s="1"/>
  <c r="DV227" i="23" s="1"/>
  <c r="BQ236" i="23"/>
  <c r="BQ237" i="23" s="1"/>
  <c r="DV229" i="23" l="1"/>
  <c r="BQ238" i="23"/>
  <c r="BR234" i="23" s="1"/>
  <c r="DV230" i="23" l="1"/>
  <c r="DV231" i="23" s="1"/>
  <c r="DW227" i="23" s="1"/>
  <c r="BR236" i="23"/>
  <c r="BR237" i="23" s="1"/>
  <c r="DW229" i="23" l="1"/>
  <c r="BR238" i="23"/>
  <c r="BS234" i="23" s="1"/>
  <c r="DW230" i="23" l="1"/>
  <c r="DW231" i="23" s="1"/>
  <c r="DX227" i="23" s="1"/>
  <c r="BS236" i="23"/>
  <c r="BS237" i="23" l="1"/>
  <c r="BS238" i="23" s="1"/>
  <c r="BT234" i="23" s="1"/>
  <c r="BT236" i="23" s="1"/>
  <c r="DX229" i="23"/>
  <c r="BT237" i="23" l="1"/>
  <c r="DX230" i="23"/>
  <c r="DX231" i="23" s="1"/>
  <c r="DY227" i="23" s="1"/>
  <c r="DY229" i="23" l="1"/>
  <c r="BT238" i="23"/>
  <c r="BU234" i="23" s="1"/>
  <c r="BU236" i="23" l="1"/>
  <c r="DY230" i="23"/>
  <c r="DY231" i="23" s="1"/>
  <c r="DZ227" i="23" s="1"/>
  <c r="DZ229" i="23" l="1"/>
  <c r="BU237" i="23"/>
  <c r="BU238" i="23" s="1"/>
  <c r="BV234" i="23" s="1"/>
  <c r="DZ230" i="23" l="1"/>
  <c r="DZ231" i="23" s="1"/>
  <c r="EA227" i="23" s="1"/>
  <c r="BV236" i="23"/>
  <c r="EA229" i="23" l="1"/>
  <c r="BV237" i="23"/>
  <c r="BV238" i="23" s="1"/>
  <c r="BW234" i="23" s="1"/>
  <c r="BW236" i="23" l="1"/>
  <c r="EA230" i="23"/>
  <c r="EA231" i="23" s="1"/>
  <c r="EB227" i="23" s="1"/>
  <c r="EB229" i="23" l="1"/>
  <c r="EB230" i="23" s="1"/>
  <c r="BW237" i="23"/>
  <c r="BW238" i="23" l="1"/>
  <c r="BX234" i="23" s="1"/>
  <c r="EB231" i="23"/>
  <c r="EC227" i="23" s="1"/>
  <c r="EC229" i="23" l="1"/>
  <c r="BX236" i="23"/>
  <c r="BX237" i="23" l="1"/>
  <c r="EC230" i="23"/>
  <c r="EC231" i="23" s="1"/>
  <c r="ED227" i="23" s="1"/>
  <c r="ED229" i="23" l="1"/>
  <c r="BX238" i="23"/>
  <c r="BY234" i="23" s="1"/>
  <c r="ED230" i="23" l="1"/>
  <c r="ED231" i="23" s="1"/>
  <c r="EE227" i="23" s="1"/>
  <c r="BY236" i="23"/>
  <c r="BY237" i="23" s="1"/>
  <c r="EE229" i="23" l="1"/>
  <c r="BY238" i="23"/>
  <c r="BZ234" i="23" s="1"/>
  <c r="EE230" i="23" l="1"/>
  <c r="EE231" i="23" s="1"/>
  <c r="EF227" i="23" s="1"/>
  <c r="BZ236" i="23"/>
  <c r="EF229" i="23" l="1"/>
  <c r="BZ237" i="23"/>
  <c r="BZ238" i="23" l="1"/>
  <c r="CA234" i="23" s="1"/>
  <c r="EF230" i="23"/>
  <c r="EF231" i="23" s="1"/>
  <c r="EG227" i="23" s="1"/>
  <c r="CA236" i="23" l="1"/>
  <c r="EG229" i="23"/>
  <c r="EG230" i="23" l="1"/>
  <c r="EG231" i="23" s="1"/>
  <c r="EH227" i="23" s="1"/>
  <c r="CA237" i="23"/>
  <c r="CA238" i="23" s="1"/>
  <c r="CB234" i="23" s="1"/>
  <c r="EH229" i="23" l="1"/>
  <c r="EH230" i="23" s="1"/>
  <c r="CB236" i="23"/>
  <c r="CB237" i="23" l="1"/>
  <c r="CB238" i="23" s="1"/>
  <c r="CC234" i="23" s="1"/>
  <c r="EH231" i="23"/>
  <c r="EI227" i="23" s="1"/>
  <c r="EI229" i="23" l="1"/>
  <c r="CC236" i="23"/>
  <c r="E229" i="23" l="1"/>
  <c r="F229" i="23"/>
  <c r="G229" i="23"/>
  <c r="H229" i="23"/>
  <c r="I229" i="23"/>
  <c r="J229" i="23"/>
  <c r="K229" i="23"/>
  <c r="L229" i="23"/>
  <c r="M229" i="23"/>
  <c r="N229" i="23"/>
  <c r="EI230" i="23"/>
  <c r="CC237" i="23"/>
  <c r="O229" i="23" l="1"/>
  <c r="E230" i="23"/>
  <c r="F230" i="23"/>
  <c r="G230" i="23"/>
  <c r="H230" i="23"/>
  <c r="I230" i="23"/>
  <c r="J230" i="23"/>
  <c r="K230" i="23"/>
  <c r="L230" i="23"/>
  <c r="M230" i="23"/>
  <c r="N230" i="23"/>
  <c r="CC238" i="23"/>
  <c r="CD234" i="23" s="1"/>
  <c r="EI231" i="23"/>
  <c r="O230" i="23" l="1"/>
  <c r="O231" i="23" s="1"/>
  <c r="E231" i="23"/>
  <c r="F227" i="23" s="1"/>
  <c r="F231" i="23" s="1"/>
  <c r="G227" i="23" s="1"/>
  <c r="G231" i="23" s="1"/>
  <c r="H227" i="23" s="1"/>
  <c r="H231" i="23" s="1"/>
  <c r="I227" i="23" s="1"/>
  <c r="I231" i="23" s="1"/>
  <c r="J227" i="23" s="1"/>
  <c r="J231" i="23" s="1"/>
  <c r="K227" i="23" s="1"/>
  <c r="K231" i="23" s="1"/>
  <c r="L227" i="23" s="1"/>
  <c r="L231" i="23" s="1"/>
  <c r="M227" i="23" s="1"/>
  <c r="M231" i="23" s="1"/>
  <c r="N227" i="23" s="1"/>
  <c r="N231" i="23" s="1"/>
  <c r="CD236" i="23"/>
  <c r="CD237" i="23" l="1"/>
  <c r="CD238" i="23" s="1"/>
  <c r="CE234" i="23" s="1"/>
  <c r="CE236" i="23" l="1"/>
  <c r="CE237" i="23" s="1"/>
  <c r="CE238" i="23" s="1"/>
  <c r="CF234" i="23" s="1"/>
  <c r="CF236" i="23" l="1"/>
  <c r="CF237" i="23" l="1"/>
  <c r="CF238" i="23" s="1"/>
  <c r="CG234" i="23" s="1"/>
  <c r="CG236" i="23" l="1"/>
  <c r="CG237" i="23" l="1"/>
  <c r="CG238" i="23" l="1"/>
  <c r="CH234" i="23" s="1"/>
  <c r="CH236" i="23" l="1"/>
  <c r="CH237" i="23" s="1"/>
  <c r="CH238" i="23" l="1"/>
  <c r="CI234" i="23" s="1"/>
  <c r="CI236" i="23" l="1"/>
  <c r="CI237" i="23" s="1"/>
  <c r="CI238" i="23" l="1"/>
  <c r="CJ234" i="23" s="1"/>
  <c r="CJ236" i="23" l="1"/>
  <c r="CJ237" i="23" l="1"/>
  <c r="CJ238" i="23" s="1"/>
  <c r="CK234" i="23" s="1"/>
  <c r="CK236" i="23" l="1"/>
  <c r="CK237" i="23" l="1"/>
  <c r="CK238" i="23" l="1"/>
  <c r="CL234" i="23" s="1"/>
  <c r="CL236" i="23" l="1"/>
  <c r="CL237" i="23" l="1"/>
  <c r="CL238" i="23" l="1"/>
  <c r="CM234" i="23" s="1"/>
  <c r="CM236" i="23" l="1"/>
  <c r="CM237" i="23" l="1"/>
  <c r="CM238" i="23" l="1"/>
  <c r="CN234" i="23" s="1"/>
  <c r="CN236" i="23" l="1"/>
  <c r="CN237" i="23" l="1"/>
  <c r="CN238" i="23" s="1"/>
  <c r="CO234" i="23" s="1"/>
  <c r="CO236" i="23" l="1"/>
  <c r="CO237" i="23" s="1"/>
  <c r="CO238" i="23" l="1"/>
  <c r="CP234" i="23" s="1"/>
  <c r="CP236" i="23" l="1"/>
  <c r="CP237" i="23" l="1"/>
  <c r="CP238" i="23" l="1"/>
  <c r="CQ234" i="23" s="1"/>
  <c r="CQ236" i="23" l="1"/>
  <c r="CQ237" i="23" l="1"/>
  <c r="CQ238" i="23" s="1"/>
  <c r="CR234" i="23" s="1"/>
  <c r="CR236" i="23" l="1"/>
  <c r="CR237" i="23" l="1"/>
  <c r="CR238" i="23" l="1"/>
  <c r="CS234" i="23" s="1"/>
  <c r="CS236" i="23" l="1"/>
  <c r="CS237" i="23" s="1"/>
  <c r="CS238" i="23" l="1"/>
  <c r="CT234" i="23" s="1"/>
  <c r="CT236" i="23" l="1"/>
  <c r="CT237" i="23" l="1"/>
  <c r="CT238" i="23" l="1"/>
  <c r="CU234" i="23" s="1"/>
  <c r="CU236" i="23" l="1"/>
  <c r="CU237" i="23" s="1"/>
  <c r="CU238" i="23" l="1"/>
  <c r="CV234" i="23" s="1"/>
  <c r="CV236" i="23" l="1"/>
  <c r="CV237" i="23" s="1"/>
  <c r="CV238" i="23" l="1"/>
  <c r="CW234" i="23" s="1"/>
  <c r="CW236" i="23" l="1"/>
  <c r="CW237" i="23" s="1"/>
  <c r="CW238" i="23" l="1"/>
  <c r="CX234" i="23" s="1"/>
  <c r="CX236" i="23" l="1"/>
  <c r="CX237" i="23" s="1"/>
  <c r="CX238" i="23" l="1"/>
  <c r="CY234" i="23" s="1"/>
  <c r="CY236" i="23" l="1"/>
  <c r="CY237" i="23" l="1"/>
  <c r="CY238" i="23" s="1"/>
  <c r="CZ234" i="23" s="1"/>
  <c r="CZ236" i="23" l="1"/>
  <c r="CZ237" i="23" l="1"/>
  <c r="CZ238" i="23" s="1"/>
  <c r="DA234" i="23" s="1"/>
  <c r="DA236" i="23" l="1"/>
  <c r="DA237" i="23" s="1"/>
  <c r="DA238" i="23" l="1"/>
  <c r="DB234" i="23" s="1"/>
  <c r="DB236" i="23" l="1"/>
  <c r="DB237" i="23" l="1"/>
  <c r="DB238" i="23" s="1"/>
  <c r="DC234" i="23" s="1"/>
  <c r="DC236" i="23" s="1"/>
  <c r="DC237" i="23" l="1"/>
  <c r="DC238" i="23" l="1"/>
  <c r="DD234" i="23" s="1"/>
  <c r="DD236" i="23" l="1"/>
  <c r="DD237" i="23" s="1"/>
  <c r="DD238" i="23" l="1"/>
  <c r="DE234" i="23" s="1"/>
  <c r="DE236" i="23" l="1"/>
  <c r="DE237" i="23" l="1"/>
  <c r="DE238" i="23" s="1"/>
  <c r="DF234" i="23" s="1"/>
  <c r="DF236" i="23" l="1"/>
  <c r="DF237" i="23" l="1"/>
  <c r="DF238" i="23" l="1"/>
  <c r="DG234" i="23" s="1"/>
  <c r="DG236" i="23" l="1"/>
  <c r="DG237" i="23" s="1"/>
  <c r="DG238" i="23" l="1"/>
  <c r="DH234" i="23" s="1"/>
  <c r="DH236" i="23" l="1"/>
  <c r="DH237" i="23" l="1"/>
  <c r="DH238" i="23" s="1"/>
  <c r="DI234" i="23" s="1"/>
  <c r="DI236" i="23" l="1"/>
  <c r="DI237" i="23" l="1"/>
  <c r="DI238" i="23" s="1"/>
  <c r="DJ234" i="23" s="1"/>
  <c r="DJ236" i="23" l="1"/>
  <c r="DJ237" i="23" l="1"/>
  <c r="DJ238" i="23" l="1"/>
  <c r="DK234" i="23" s="1"/>
  <c r="DK236" i="23" l="1"/>
  <c r="DK237" i="23" l="1"/>
  <c r="DK238" i="23" l="1"/>
  <c r="DL234" i="23" s="1"/>
  <c r="DL236" i="23" l="1"/>
  <c r="DL237" i="23" l="1"/>
  <c r="DL238" i="23" s="1"/>
  <c r="DM234" i="23" s="1"/>
  <c r="DM236" i="23" l="1"/>
  <c r="DM237" i="23" l="1"/>
  <c r="DM238" i="23" s="1"/>
  <c r="DN234" i="23" s="1"/>
  <c r="DN236" i="23" l="1"/>
  <c r="DN237" i="23" l="1"/>
  <c r="DN238" i="23" l="1"/>
  <c r="DO234" i="23" s="1"/>
  <c r="DO236" i="23" l="1"/>
  <c r="DO237" i="23" l="1"/>
  <c r="DO238" i="23" s="1"/>
  <c r="DP234" i="23" s="1"/>
  <c r="DP236" i="23" l="1"/>
  <c r="DP237" i="23" l="1"/>
  <c r="DP238" i="23" s="1"/>
  <c r="DQ234" i="23" s="1"/>
  <c r="DQ236" i="23" l="1"/>
  <c r="DQ237" i="23" l="1"/>
  <c r="DQ238" i="23" s="1"/>
  <c r="DR234" i="23" s="1"/>
  <c r="DR236" i="23" l="1"/>
  <c r="DR237" i="23" l="1"/>
  <c r="DR238" i="23" l="1"/>
  <c r="DS234" i="23" s="1"/>
  <c r="DS236" i="23" l="1"/>
  <c r="DS237" i="23" s="1"/>
  <c r="DS238" i="23" l="1"/>
  <c r="DT234" i="23" s="1"/>
  <c r="DT236" i="23" s="1"/>
  <c r="DT237" i="23" l="1"/>
  <c r="DT238" i="23" s="1"/>
  <c r="DU234" i="23" s="1"/>
  <c r="DU236" i="23" l="1"/>
  <c r="DU237" i="23" l="1"/>
  <c r="DU238" i="23" s="1"/>
  <c r="DV234" i="23" s="1"/>
  <c r="DV236" i="23" l="1"/>
  <c r="DV237" i="23" l="1"/>
  <c r="DV238" i="23" s="1"/>
  <c r="DW234" i="23" s="1"/>
  <c r="DW236" i="23" l="1"/>
  <c r="DW237" i="23" l="1"/>
  <c r="DW238" i="23" l="1"/>
  <c r="DX234" i="23" s="1"/>
  <c r="DX236" i="23" l="1"/>
  <c r="DX237" i="23" l="1"/>
  <c r="DX238" i="23" s="1"/>
  <c r="DY234" i="23" s="1"/>
  <c r="DY236" i="23" l="1"/>
  <c r="DY237" i="23" l="1"/>
  <c r="DY238" i="23" s="1"/>
  <c r="DZ234" i="23" s="1"/>
  <c r="DZ236" i="23" l="1"/>
  <c r="DZ237" i="23" l="1"/>
  <c r="DZ238" i="23" l="1"/>
  <c r="EA234" i="23" s="1"/>
  <c r="EA236" i="23" l="1"/>
  <c r="EA237" i="23" l="1"/>
  <c r="EA238" i="23" s="1"/>
  <c r="EB234" i="23" s="1"/>
  <c r="EB236" i="23" l="1"/>
  <c r="EB237" i="23" l="1"/>
  <c r="EB238" i="23" l="1"/>
  <c r="EC234" i="23" s="1"/>
  <c r="EC236" i="23" l="1"/>
  <c r="EC237" i="23" l="1"/>
  <c r="EC238" i="23" l="1"/>
  <c r="ED234" i="23" s="1"/>
  <c r="ED236" i="23" l="1"/>
  <c r="ED237" i="23" l="1"/>
  <c r="ED238" i="23" s="1"/>
  <c r="EE234" i="23" s="1"/>
  <c r="EE236" i="23" l="1"/>
  <c r="EE237" i="23" l="1"/>
  <c r="EE238" i="23" l="1"/>
  <c r="EF234" i="23" s="1"/>
  <c r="EF236" i="23" l="1"/>
  <c r="EF237" i="23" l="1"/>
  <c r="EF238" i="23" l="1"/>
  <c r="EG234" i="23" s="1"/>
  <c r="EG236" i="23" l="1"/>
  <c r="EG237" i="23" l="1"/>
  <c r="EG238" i="23" s="1"/>
  <c r="EH234" i="23" s="1"/>
  <c r="EH236" i="23" l="1"/>
  <c r="EH237" i="23" l="1"/>
  <c r="EH238" i="23" l="1"/>
  <c r="EI234" i="23" s="1"/>
  <c r="EI236" i="23" l="1"/>
  <c r="E236" i="23" l="1"/>
  <c r="F236" i="23"/>
  <c r="G236" i="23"/>
  <c r="H236" i="23"/>
  <c r="I236" i="23"/>
  <c r="J236" i="23"/>
  <c r="K236" i="23"/>
  <c r="L236" i="23"/>
  <c r="M236" i="23"/>
  <c r="N236" i="23"/>
  <c r="EI237" i="23"/>
  <c r="E237" i="23" l="1"/>
  <c r="E238" i="23" s="1"/>
  <c r="F234" i="23" s="1"/>
  <c r="F237" i="23"/>
  <c r="G237" i="23"/>
  <c r="H237" i="23"/>
  <c r="I237" i="23"/>
  <c r="J237" i="23"/>
  <c r="K237" i="23"/>
  <c r="L237" i="23"/>
  <c r="M237" i="23"/>
  <c r="N237" i="23"/>
  <c r="O236" i="23"/>
  <c r="EI238" i="23"/>
  <c r="F238" i="23" l="1"/>
  <c r="G234" i="23" s="1"/>
  <c r="G238" i="23" s="1"/>
  <c r="H234" i="23" s="1"/>
  <c r="H238" i="23" s="1"/>
  <c r="I234" i="23" s="1"/>
  <c r="I238" i="23" s="1"/>
  <c r="J234" i="23" s="1"/>
  <c r="J238" i="23" s="1"/>
  <c r="K234" i="23" s="1"/>
  <c r="K238" i="23" s="1"/>
  <c r="L234" i="23" s="1"/>
  <c r="L238" i="23" s="1"/>
  <c r="M234" i="23" s="1"/>
  <c r="M238" i="23" s="1"/>
  <c r="N234" i="23" s="1"/>
  <c r="N238" i="23" s="1"/>
  <c r="O237" i="23"/>
  <c r="O238" i="23" s="1"/>
  <c r="G143" i="16" l="1"/>
  <c r="F52" i="18" l="1"/>
  <c r="G52" i="18" s="1"/>
  <c r="G58" i="18" s="1"/>
  <c r="G66" i="18" s="1"/>
  <c r="F32" i="16" s="1"/>
  <c r="AP37" i="25" s="1"/>
  <c r="AR37" i="25" s="1"/>
  <c r="AR43" i="25" s="1"/>
  <c r="AP33" i="25" s="1" a="1"/>
  <c r="AP33" i="25" s="1"/>
  <c r="AD171" i="28"/>
  <c r="AD175" i="28" s="1"/>
  <c r="AD177" i="28" s="1"/>
  <c r="H143" i="16"/>
  <c r="D102" i="22" s="1"/>
  <c r="D108" i="22" s="1"/>
  <c r="C102" i="22"/>
  <c r="X102" i="22" s="1"/>
  <c r="C42" i="11" l="1"/>
  <c r="C47" i="11" s="1"/>
  <c r="C92" i="11" s="1"/>
  <c r="B201" i="16"/>
  <c r="F58" i="18"/>
  <c r="F63" i="18" s="1"/>
  <c r="AQ20" i="25" a="1"/>
  <c r="AQ20" i="25" s="1"/>
  <c r="D64" i="10"/>
  <c r="H52" i="18"/>
  <c r="H58" i="18" s="1"/>
  <c r="H66" i="18" s="1"/>
  <c r="D143" i="16"/>
  <c r="AZ5" i="25"/>
  <c r="A1" i="27" s="1"/>
  <c r="V35" i="16"/>
  <c r="D64" i="9"/>
  <c r="AC33" i="16"/>
  <c r="P64" i="9"/>
  <c r="Z249" i="16"/>
  <c r="G64" i="9"/>
  <c r="B22" i="19"/>
  <c r="S10" i="23"/>
  <c r="D10" i="23" s="1"/>
  <c r="AC37" i="16"/>
  <c r="H200" i="16"/>
  <c r="L200" i="16"/>
  <c r="V33" i="16"/>
  <c r="V32" i="16"/>
  <c r="AC32" i="16"/>
  <c r="AZ6" i="25"/>
  <c r="A2" i="27" s="1"/>
  <c r="J200" i="16"/>
  <c r="AD31" i="16"/>
  <c r="AL20" i="25"/>
  <c r="V31" i="16"/>
  <c r="AC34" i="16"/>
  <c r="M64" i="9"/>
  <c r="AP20" i="25" a="1"/>
  <c r="AP20" i="25" s="1"/>
  <c r="D127" i="16"/>
  <c r="AN20" i="25"/>
  <c r="V36" i="16"/>
  <c r="AO20" i="25" a="1"/>
  <c r="AO20" i="25" s="1"/>
  <c r="V37" i="16"/>
  <c r="AD35" i="16"/>
  <c r="Q249" i="16"/>
  <c r="J64" i="9"/>
  <c r="C93" i="11"/>
  <c r="C95" i="11" s="1"/>
  <c r="AZ10" i="25"/>
  <c r="D161" i="16"/>
  <c r="D163" i="16" s="1"/>
  <c r="F37" i="16"/>
  <c r="AC36" i="16"/>
  <c r="AM20" i="25"/>
  <c r="F36" i="16"/>
  <c r="G63" i="18"/>
  <c r="G45" i="10"/>
  <c r="H45" i="10" s="1"/>
  <c r="H63" i="18"/>
  <c r="C52" i="11"/>
  <c r="C55" i="11" s="1"/>
  <c r="AH102" i="22"/>
  <c r="AJ49" i="23" s="1"/>
  <c r="AD102" i="22"/>
  <c r="AD108" i="22" s="1"/>
  <c r="AO102" i="22"/>
  <c r="AO129" i="22" s="1"/>
  <c r="AO136" i="22" s="1"/>
  <c r="AK102" i="22"/>
  <c r="AK129" i="22" s="1"/>
  <c r="AK136" i="22" s="1"/>
  <c r="AG102" i="22"/>
  <c r="AG129" i="22" s="1"/>
  <c r="AG136" i="22" s="1"/>
  <c r="AN102" i="22"/>
  <c r="AN108" i="22" s="1"/>
  <c r="E42" i="11"/>
  <c r="AJ102" i="22"/>
  <c r="AL49" i="23" s="1"/>
  <c r="AF102" i="22"/>
  <c r="AH49" i="23" s="1"/>
  <c r="AM102" i="22"/>
  <c r="AM129" i="22" s="1"/>
  <c r="AM136" i="22" s="1"/>
  <c r="AI102" i="22"/>
  <c r="AI129" i="22" s="1"/>
  <c r="AI136" i="22" s="1"/>
  <c r="AE102" i="22"/>
  <c r="AE108" i="22" s="1"/>
  <c r="F49" i="23"/>
  <c r="D129" i="22"/>
  <c r="D136" i="22" s="1"/>
  <c r="D80" i="22" s="1"/>
  <c r="I143" i="16"/>
  <c r="E102" i="22" s="1"/>
  <c r="AB102" i="22"/>
  <c r="AB108" i="22" s="1"/>
  <c r="R102" i="22"/>
  <c r="T49" i="23" s="1"/>
  <c r="V102" i="22"/>
  <c r="X49" i="23" s="1"/>
  <c r="F66" i="18"/>
  <c r="AL102" i="22"/>
  <c r="AL129" i="22" s="1"/>
  <c r="AL136" i="22" s="1"/>
  <c r="T102" i="22"/>
  <c r="C108" i="22"/>
  <c r="S102" i="22"/>
  <c r="E49" i="23"/>
  <c r="D42" i="11"/>
  <c r="U102" i="22"/>
  <c r="C129" i="22"/>
  <c r="C136" i="22" s="1"/>
  <c r="K45" i="10"/>
  <c r="W102" i="22"/>
  <c r="Y102" i="22"/>
  <c r="Z102" i="22"/>
  <c r="AA102" i="22"/>
  <c r="AC102" i="22"/>
  <c r="T45" i="9"/>
  <c r="X129" i="22"/>
  <c r="X136" i="22" s="1"/>
  <c r="Z49" i="23"/>
  <c r="X108" i="22"/>
  <c r="G51" i="10" l="1"/>
  <c r="G56" i="10" s="1"/>
  <c r="F39" i="16"/>
  <c r="S11" i="23" s="1"/>
  <c r="W39" i="16"/>
  <c r="V39" i="16" s="1"/>
  <c r="S325" i="23"/>
  <c r="I45" i="10"/>
  <c r="C94" i="11"/>
  <c r="AH108" i="22"/>
  <c r="AH129" i="22"/>
  <c r="AH136" i="22" s="1"/>
  <c r="AH80" i="22" s="1"/>
  <c r="AH83" i="22" s="1"/>
  <c r="AM49" i="23"/>
  <c r="AD129" i="22"/>
  <c r="AD136" i="22" s="1"/>
  <c r="AD80" i="22" s="1"/>
  <c r="AD83" i="22" s="1"/>
  <c r="AF49" i="23"/>
  <c r="AP49" i="23"/>
  <c r="AG108" i="22"/>
  <c r="AI49" i="23"/>
  <c r="AK108" i="22"/>
  <c r="AN129" i="22"/>
  <c r="AN136" i="22" s="1"/>
  <c r="AN80" i="22" s="1"/>
  <c r="AN83" i="22" s="1"/>
  <c r="AO108" i="22"/>
  <c r="AQ49" i="23"/>
  <c r="AN49" i="23"/>
  <c r="AL108" i="22"/>
  <c r="AK49" i="23"/>
  <c r="AG49" i="23"/>
  <c r="AE129" i="22"/>
  <c r="AE136" i="22" s="1"/>
  <c r="AG29" i="23" s="1"/>
  <c r="AO49" i="23"/>
  <c r="AI108" i="22"/>
  <c r="AM108" i="22"/>
  <c r="H120" i="16"/>
  <c r="AF108" i="22"/>
  <c r="AF129" i="22"/>
  <c r="AF136" i="22" s="1"/>
  <c r="AH29" i="23" s="1"/>
  <c r="AH52" i="23" s="1"/>
  <c r="AH54" i="23" s="1"/>
  <c r="AH329" i="23" s="1"/>
  <c r="AJ108" i="22"/>
  <c r="AJ129" i="22"/>
  <c r="AJ136" i="22" s="1"/>
  <c r="AJ80" i="22" s="1"/>
  <c r="AJ83" i="22" s="1"/>
  <c r="V129" i="22"/>
  <c r="V136" i="22" s="1"/>
  <c r="V80" i="22" s="1"/>
  <c r="V83" i="22" s="1"/>
  <c r="AB129" i="22"/>
  <c r="AB136" i="22" s="1"/>
  <c r="AD29" i="23" s="1"/>
  <c r="AD49" i="23"/>
  <c r="R108" i="22"/>
  <c r="R129" i="22"/>
  <c r="R136" i="22" s="1"/>
  <c r="T29" i="23" s="1"/>
  <c r="J143" i="16"/>
  <c r="K143" i="16" s="1"/>
  <c r="V108" i="22"/>
  <c r="J52" i="18"/>
  <c r="U45" i="9"/>
  <c r="AC129" i="22"/>
  <c r="AC136" i="22" s="1"/>
  <c r="AC108" i="22"/>
  <c r="AE49" i="23"/>
  <c r="AA108" i="22"/>
  <c r="AA129" i="22"/>
  <c r="AA136" i="22" s="1"/>
  <c r="AC49" i="23"/>
  <c r="Z108" i="22"/>
  <c r="Z129" i="22"/>
  <c r="Z136" i="22" s="1"/>
  <c r="AB49" i="23"/>
  <c r="Y129" i="22"/>
  <c r="Y136" i="22" s="1"/>
  <c r="AA49" i="23"/>
  <c r="Y108" i="22"/>
  <c r="W108" i="22"/>
  <c r="W129" i="22"/>
  <c r="W136" i="22" s="1"/>
  <c r="Y49" i="23"/>
  <c r="N45" i="10"/>
  <c r="L45" i="10"/>
  <c r="C80" i="22"/>
  <c r="J29" i="18" s="1"/>
  <c r="G120" i="16"/>
  <c r="U129" i="22"/>
  <c r="U136" i="22" s="1"/>
  <c r="U108" i="22"/>
  <c r="W49" i="23"/>
  <c r="AT102" i="22"/>
  <c r="AX102" i="22"/>
  <c r="F42" i="11"/>
  <c r="G49" i="23"/>
  <c r="E129" i="22"/>
  <c r="E136" i="22" s="1"/>
  <c r="AP102" i="22"/>
  <c r="E108" i="22"/>
  <c r="BA102" i="22"/>
  <c r="AW102" i="22"/>
  <c r="AQ102" i="22"/>
  <c r="AY102" i="22"/>
  <c r="AS102" i="22"/>
  <c r="AU102" i="22"/>
  <c r="AR102" i="22"/>
  <c r="AV102" i="22"/>
  <c r="AZ102" i="22"/>
  <c r="S108" i="22"/>
  <c r="U49" i="23"/>
  <c r="S129" i="22"/>
  <c r="S136" i="22" s="1"/>
  <c r="D83" i="22"/>
  <c r="E22" i="11"/>
  <c r="T108" i="22"/>
  <c r="V49" i="23"/>
  <c r="T129" i="22"/>
  <c r="T136" i="22" s="1"/>
  <c r="AI29" i="23"/>
  <c r="AG80" i="22"/>
  <c r="AG83" i="22" s="1"/>
  <c r="AO29" i="23"/>
  <c r="AO52" i="23" s="1"/>
  <c r="AM80" i="22"/>
  <c r="AM83" i="22" s="1"/>
  <c r="T222" i="23"/>
  <c r="AM29" i="23"/>
  <c r="AK80" i="22"/>
  <c r="AK83" i="22" s="1"/>
  <c r="Z29" i="23"/>
  <c r="Z52" i="23" s="1"/>
  <c r="Z54" i="23" s="1"/>
  <c r="Z329" i="23" s="1"/>
  <c r="X80" i="22"/>
  <c r="X83" i="22" s="1"/>
  <c r="AK29" i="23"/>
  <c r="AK52" i="23" s="1"/>
  <c r="AI80" i="22"/>
  <c r="AI83" i="22" s="1"/>
  <c r="D11" i="23"/>
  <c r="D13" i="23" s="1"/>
  <c r="S326" i="23"/>
  <c r="AQ29" i="23"/>
  <c r="AO80" i="22"/>
  <c r="AO83" i="22" s="1"/>
  <c r="AN29" i="23"/>
  <c r="AN52" i="23" s="1"/>
  <c r="AL80" i="22"/>
  <c r="AL83" i="22" s="1"/>
  <c r="D325" i="23"/>
  <c r="O10" i="23"/>
  <c r="D10" i="12"/>
  <c r="G21" i="7"/>
  <c r="AJ29" i="23"/>
  <c r="S13" i="23"/>
  <c r="S86" i="23" s="1"/>
  <c r="S242" i="23" s="1"/>
  <c r="H51" i="10" l="1"/>
  <c r="I51" i="10"/>
  <c r="G59" i="10"/>
  <c r="I59" i="10" s="1"/>
  <c r="AF29" i="23"/>
  <c r="AF52" i="23" s="1"/>
  <c r="AF54" i="23" s="1"/>
  <c r="AF329" i="23" s="1"/>
  <c r="AP29" i="23"/>
  <c r="AP52" i="23" s="1"/>
  <c r="AP54" i="23" s="1"/>
  <c r="AP329" i="23" s="1"/>
  <c r="AN54" i="23"/>
  <c r="AN329" i="23" s="1"/>
  <c r="AE80" i="22"/>
  <c r="AE83" i="22" s="1"/>
  <c r="AK54" i="23"/>
  <c r="AK329" i="23" s="1"/>
  <c r="AO54" i="23"/>
  <c r="AO329" i="23" s="1"/>
  <c r="I29" i="18"/>
  <c r="K29" i="18"/>
  <c r="L29" i="18" s="1"/>
  <c r="M29" i="18" s="1"/>
  <c r="AB80" i="22"/>
  <c r="AB83" i="22" s="1"/>
  <c r="AF80" i="22"/>
  <c r="AF83" i="22" s="1"/>
  <c r="X29" i="23"/>
  <c r="X52" i="23" s="1"/>
  <c r="X54" i="23" s="1"/>
  <c r="X329" i="23" s="1"/>
  <c r="AL29" i="23"/>
  <c r="AL52" i="23" s="1"/>
  <c r="AL54" i="23" s="1"/>
  <c r="AL329" i="23" s="1"/>
  <c r="F102" i="22"/>
  <c r="G42" i="11" s="1"/>
  <c r="R80" i="22"/>
  <c r="R83" i="22" s="1"/>
  <c r="I56" i="10"/>
  <c r="H56" i="10"/>
  <c r="AX108" i="22"/>
  <c r="AX129" i="22"/>
  <c r="AX136" i="22" s="1"/>
  <c r="AZ49" i="23"/>
  <c r="AT108" i="22"/>
  <c r="AV49" i="23"/>
  <c r="AT129" i="22"/>
  <c r="AT136" i="22" s="1"/>
  <c r="BB49" i="23"/>
  <c r="AZ108" i="22"/>
  <c r="AZ129" i="22"/>
  <c r="AZ136" i="22" s="1"/>
  <c r="AX49" i="23"/>
  <c r="AV129" i="22"/>
  <c r="AV136" i="22" s="1"/>
  <c r="AV108" i="22"/>
  <c r="L143" i="16"/>
  <c r="G102" i="22"/>
  <c r="Y80" i="22"/>
  <c r="Y83" i="22" s="1"/>
  <c r="AA29" i="23"/>
  <c r="AR108" i="22"/>
  <c r="AR129" i="22"/>
  <c r="AR136" i="22" s="1"/>
  <c r="AT49" i="23"/>
  <c r="AU129" i="22"/>
  <c r="AU136" i="22" s="1"/>
  <c r="AW49" i="23"/>
  <c r="AU108" i="22"/>
  <c r="Z80" i="22"/>
  <c r="Z83" i="22" s="1"/>
  <c r="AB29" i="23"/>
  <c r="AB52" i="23" s="1"/>
  <c r="AB54" i="23" s="1"/>
  <c r="AB329" i="23" s="1"/>
  <c r="AS129" i="22"/>
  <c r="AS136" i="22" s="1"/>
  <c r="AS108" i="22"/>
  <c r="AU49" i="23"/>
  <c r="U80" i="22"/>
  <c r="U83" i="22" s="1"/>
  <c r="W29" i="23"/>
  <c r="W52" i="23" s="1"/>
  <c r="W54" i="23" s="1"/>
  <c r="W329" i="23" s="1"/>
  <c r="AY108" i="22"/>
  <c r="AY129" i="22"/>
  <c r="AY136" i="22" s="1"/>
  <c r="BA49" i="23"/>
  <c r="AQ129" i="22"/>
  <c r="AQ136" i="22" s="1"/>
  <c r="AS49" i="23"/>
  <c r="AQ108" i="22"/>
  <c r="AC29" i="23"/>
  <c r="AC52" i="23" s="1"/>
  <c r="AC54" i="23" s="1"/>
  <c r="AC329" i="23" s="1"/>
  <c r="AA80" i="22"/>
  <c r="AA83" i="22" s="1"/>
  <c r="AY49" i="23"/>
  <c r="AW129" i="22"/>
  <c r="AW136" i="22" s="1"/>
  <c r="AW108" i="22"/>
  <c r="V29" i="23"/>
  <c r="T80" i="22"/>
  <c r="T83" i="22" s="1"/>
  <c r="BA129" i="22"/>
  <c r="BA136" i="22" s="1"/>
  <c r="BC49" i="23"/>
  <c r="BA108" i="22"/>
  <c r="T21" i="9"/>
  <c r="C83" i="22"/>
  <c r="D22" i="11"/>
  <c r="K21" i="10"/>
  <c r="AP108" i="22"/>
  <c r="AR49" i="23"/>
  <c r="AP129" i="22"/>
  <c r="AP136" i="22" s="1"/>
  <c r="AC80" i="22"/>
  <c r="AC83" i="22" s="1"/>
  <c r="AE29" i="23"/>
  <c r="AE52" i="23" s="1"/>
  <c r="AE54" i="23" s="1"/>
  <c r="AE329" i="23" s="1"/>
  <c r="E25" i="11"/>
  <c r="E27" i="11" s="1"/>
  <c r="E45" i="11"/>
  <c r="E47" i="11" s="1"/>
  <c r="I120" i="16"/>
  <c r="E80" i="22"/>
  <c r="U29" i="23"/>
  <c r="S80" i="22"/>
  <c r="S83" i="22" s="1"/>
  <c r="W80" i="22"/>
  <c r="W83" i="22" s="1"/>
  <c r="Y29" i="23"/>
  <c r="Y52" i="23" s="1"/>
  <c r="Y54" i="23" s="1"/>
  <c r="Y329" i="23" s="1"/>
  <c r="K52" i="18"/>
  <c r="I52" i="18"/>
  <c r="S100" i="23"/>
  <c r="S246" i="23"/>
  <c r="D246" i="23" s="1"/>
  <c r="D242" i="23"/>
  <c r="S338" i="23"/>
  <c r="S334" i="23" s="1"/>
  <c r="AG32" i="23"/>
  <c r="AG34" i="23" s="1"/>
  <c r="AG373" i="23" s="1"/>
  <c r="AJ32" i="23"/>
  <c r="AJ34" i="23" s="1"/>
  <c r="AJ373" i="23" s="1"/>
  <c r="O325" i="23"/>
  <c r="H29" i="14" s="1"/>
  <c r="H10" i="14"/>
  <c r="D114" i="23"/>
  <c r="D115" i="23"/>
  <c r="AP32" i="23"/>
  <c r="AP34" i="23" s="1"/>
  <c r="AP373" i="23" s="1"/>
  <c r="D86" i="23"/>
  <c r="AM32" i="23"/>
  <c r="AM34" i="23" s="1"/>
  <c r="AM373" i="23" s="1"/>
  <c r="T223" i="23"/>
  <c r="T224" i="23" s="1"/>
  <c r="U220" i="23" s="1"/>
  <c r="AH32" i="23"/>
  <c r="AH34" i="23" s="1"/>
  <c r="AH373" i="23" s="1"/>
  <c r="I21" i="7"/>
  <c r="M21" i="7"/>
  <c r="N21" i="7"/>
  <c r="J21" i="7"/>
  <c r="AG52" i="23"/>
  <c r="AG54" i="23" s="1"/>
  <c r="AG329" i="23" s="1"/>
  <c r="Z32" i="23"/>
  <c r="Z34" i="23" s="1"/>
  <c r="Z373" i="23" s="1"/>
  <c r="D326" i="23"/>
  <c r="O11" i="23"/>
  <c r="AP39" i="25" s="1"/>
  <c r="D11" i="12"/>
  <c r="O11" i="12" s="1"/>
  <c r="AI32" i="23"/>
  <c r="AI34" i="23" s="1"/>
  <c r="AI52" i="23"/>
  <c r="AI54" i="23" s="1"/>
  <c r="AI329" i="23" s="1"/>
  <c r="AO32" i="23"/>
  <c r="AO34" i="23" s="1"/>
  <c r="O10" i="12"/>
  <c r="AD32" i="23"/>
  <c r="AD34" i="23" s="1"/>
  <c r="AD52" i="23"/>
  <c r="AD54" i="23" s="1"/>
  <c r="AD329" i="23" s="1"/>
  <c r="S114" i="23"/>
  <c r="S115" i="23"/>
  <c r="AN32" i="23"/>
  <c r="AK32" i="23"/>
  <c r="AK34" i="23" s="1"/>
  <c r="AK373" i="23" s="1"/>
  <c r="AQ32" i="23"/>
  <c r="AQ34" i="23" s="1"/>
  <c r="AQ373" i="23" s="1"/>
  <c r="AF32" i="23"/>
  <c r="AJ52" i="23"/>
  <c r="AJ54" i="23" s="1"/>
  <c r="AJ329" i="23" s="1"/>
  <c r="AQ52" i="23"/>
  <c r="AQ54" i="23" s="1"/>
  <c r="AQ329" i="23" s="1"/>
  <c r="T32" i="23"/>
  <c r="T34" i="23" s="1"/>
  <c r="T373" i="23" s="1"/>
  <c r="AM52" i="23"/>
  <c r="AM54" i="23" s="1"/>
  <c r="AM329" i="23" s="1"/>
  <c r="T52" i="23"/>
  <c r="T54" i="23" s="1"/>
  <c r="T329" i="23" s="1"/>
  <c r="G64" i="10" l="1"/>
  <c r="H59" i="10"/>
  <c r="G65" i="10"/>
  <c r="X32" i="23"/>
  <c r="X34" i="23" s="1"/>
  <c r="X373" i="23" s="1"/>
  <c r="AL32" i="23"/>
  <c r="AL34" i="23" s="1"/>
  <c r="AL373" i="23" s="1"/>
  <c r="F29" i="23"/>
  <c r="F52" i="23" s="1"/>
  <c r="F54" i="23" s="1"/>
  <c r="O13" i="23"/>
  <c r="H49" i="23"/>
  <c r="BH49" i="23" s="1"/>
  <c r="F129" i="22"/>
  <c r="F136" i="22" s="1"/>
  <c r="BD29" i="23" s="1"/>
  <c r="F108" i="22"/>
  <c r="AK59" i="23"/>
  <c r="AK62" i="23" s="1"/>
  <c r="S247" i="23"/>
  <c r="T241" i="23" s="1"/>
  <c r="E92" i="11"/>
  <c r="E52" i="11"/>
  <c r="E55" i="11" s="1"/>
  <c r="E69" i="11" s="1"/>
  <c r="L52" i="18"/>
  <c r="AB32" i="23"/>
  <c r="AB34" i="23" s="1"/>
  <c r="AB373" i="23" s="1"/>
  <c r="AV80" i="22"/>
  <c r="AV83" i="22" s="1"/>
  <c r="AX29" i="23"/>
  <c r="AX32" i="23" s="1"/>
  <c r="AX34" i="23" s="1"/>
  <c r="AX373" i="23" s="1"/>
  <c r="AR29" i="23"/>
  <c r="AP80" i="22"/>
  <c r="AP83" i="22" s="1"/>
  <c r="AC32" i="23"/>
  <c r="AC34" i="23" s="1"/>
  <c r="I24" i="18"/>
  <c r="K24" i="18"/>
  <c r="J31" i="18"/>
  <c r="I31" i="18" s="1"/>
  <c r="U52" i="23"/>
  <c r="U54" i="23" s="1"/>
  <c r="U329" i="23" s="1"/>
  <c r="U32" i="23"/>
  <c r="U34" i="23" s="1"/>
  <c r="U373" i="23" s="1"/>
  <c r="K24" i="10"/>
  <c r="K26" i="10" s="1"/>
  <c r="M21" i="10"/>
  <c r="N21" i="10"/>
  <c r="L21" i="10"/>
  <c r="AW29" i="23"/>
  <c r="AU80" i="22"/>
  <c r="AU83" i="22" s="1"/>
  <c r="AN34" i="23"/>
  <c r="AN373" i="23" s="1"/>
  <c r="D25" i="11"/>
  <c r="D27" i="11" s="1"/>
  <c r="D45" i="11"/>
  <c r="D47" i="11" s="1"/>
  <c r="E84" i="11" s="1"/>
  <c r="AS29" i="23"/>
  <c r="AQ80" i="22"/>
  <c r="AQ83" i="22" s="1"/>
  <c r="E83" i="22"/>
  <c r="F22" i="11"/>
  <c r="BB29" i="23"/>
  <c r="AZ80" i="22"/>
  <c r="AZ83" i="22" s="1"/>
  <c r="Z59" i="23"/>
  <c r="Z62" i="23" s="1"/>
  <c r="Z125" i="23" s="1"/>
  <c r="T49" i="9"/>
  <c r="V21" i="9"/>
  <c r="U21" i="9"/>
  <c r="T24" i="9"/>
  <c r="T26" i="9" s="1"/>
  <c r="K49" i="10"/>
  <c r="BA29" i="23"/>
  <c r="BA52" i="23" s="1"/>
  <c r="BA54" i="23" s="1"/>
  <c r="BA329" i="23" s="1"/>
  <c r="AY80" i="22"/>
  <c r="AY83" i="22" s="1"/>
  <c r="AR80" i="22"/>
  <c r="AR83" i="22" s="1"/>
  <c r="AT29" i="23"/>
  <c r="AT52" i="23" s="1"/>
  <c r="AT54" i="23" s="1"/>
  <c r="AT329" i="23" s="1"/>
  <c r="Y32" i="23"/>
  <c r="AA32" i="23"/>
  <c r="AA34" i="23" s="1"/>
  <c r="AA373" i="23" s="1"/>
  <c r="AV29" i="23"/>
  <c r="AT80" i="22"/>
  <c r="AT83" i="22" s="1"/>
  <c r="BC29" i="23"/>
  <c r="BA80" i="22"/>
  <c r="BA83" i="22" s="1"/>
  <c r="W32" i="23"/>
  <c r="W34" i="23" s="1"/>
  <c r="W373" i="23" s="1"/>
  <c r="AA52" i="23"/>
  <c r="AA54" i="23" s="1"/>
  <c r="AA329" i="23" s="1"/>
  <c r="AQ59" i="23"/>
  <c r="AQ62" i="23" s="1"/>
  <c r="V52" i="23"/>
  <c r="V54" i="23" s="1"/>
  <c r="V329" i="23" s="1"/>
  <c r="V32" i="23"/>
  <c r="I49" i="23"/>
  <c r="H42" i="11"/>
  <c r="G129" i="22"/>
  <c r="G136" i="22" s="1"/>
  <c r="G108" i="22"/>
  <c r="E29" i="23"/>
  <c r="E32" i="23" s="1"/>
  <c r="E34" i="23" s="1"/>
  <c r="M143" i="16"/>
  <c r="H102" i="22"/>
  <c r="AZ29" i="23"/>
  <c r="AX80" i="22"/>
  <c r="AX83" i="22" s="1"/>
  <c r="AE32" i="23"/>
  <c r="AE34" i="23" s="1"/>
  <c r="AE373" i="23" s="1"/>
  <c r="AY29" i="23"/>
  <c r="AY52" i="23" s="1"/>
  <c r="AY54" i="23" s="1"/>
  <c r="AY329" i="23" s="1"/>
  <c r="AW80" i="22"/>
  <c r="AW83" i="22" s="1"/>
  <c r="AU29" i="23"/>
  <c r="AS80" i="22"/>
  <c r="AS83" i="22" s="1"/>
  <c r="AI373" i="23"/>
  <c r="AI59" i="23"/>
  <c r="AI62" i="23" s="1"/>
  <c r="U222" i="23"/>
  <c r="AO373" i="23"/>
  <c r="AO59" i="23"/>
  <c r="AO62" i="23" s="1"/>
  <c r="AD373" i="23"/>
  <c r="AH59" i="23"/>
  <c r="AH62" i="23" s="1"/>
  <c r="D100" i="23"/>
  <c r="S104" i="23"/>
  <c r="S108" i="23" s="1"/>
  <c r="I10" i="14"/>
  <c r="AM59" i="23"/>
  <c r="AM62" i="23" s="1"/>
  <c r="AG59" i="23"/>
  <c r="I29" i="14"/>
  <c r="T59" i="23"/>
  <c r="T115" i="23" s="1"/>
  <c r="AD59" i="23"/>
  <c r="AD62" i="23" s="1"/>
  <c r="AP59" i="23"/>
  <c r="AJ59" i="23"/>
  <c r="AJ62" i="23" s="1"/>
  <c r="F32" i="23"/>
  <c r="F34" i="23" s="1"/>
  <c r="D13" i="12"/>
  <c r="O13" i="12" s="1"/>
  <c r="O326" i="23"/>
  <c r="H30" i="14" s="1"/>
  <c r="I30" i="14" s="1"/>
  <c r="H11" i="14"/>
  <c r="I11" i="14" s="1"/>
  <c r="D338" i="23"/>
  <c r="D247" i="23"/>
  <c r="E241" i="23" s="1"/>
  <c r="AF34" i="23"/>
  <c r="AL59" i="23" l="1"/>
  <c r="AL62" i="23" s="1"/>
  <c r="AL125" i="23" s="1"/>
  <c r="BI49" i="23"/>
  <c r="J120" i="16"/>
  <c r="BE29" i="23"/>
  <c r="BE32" i="23" s="1"/>
  <c r="BE34" i="23" s="1"/>
  <c r="BE373" i="23" s="1"/>
  <c r="BG29" i="23"/>
  <c r="BG32" i="23" s="1"/>
  <c r="BG34" i="23" s="1"/>
  <c r="BG373" i="23" s="1"/>
  <c r="BK29" i="23"/>
  <c r="BF29" i="23"/>
  <c r="BF32" i="23" s="1"/>
  <c r="BF34" i="23" s="1"/>
  <c r="BF373" i="23" s="1"/>
  <c r="BO29" i="23"/>
  <c r="BO32" i="23" s="1"/>
  <c r="BO34" i="23" s="1"/>
  <c r="BO373" i="23" s="1"/>
  <c r="F80" i="22"/>
  <c r="BM80" i="22" s="1"/>
  <c r="BM83" i="22" s="1"/>
  <c r="BM29" i="23"/>
  <c r="BM32" i="23" s="1"/>
  <c r="BM34" i="23" s="1"/>
  <c r="BM373" i="23" s="1"/>
  <c r="BN49" i="23"/>
  <c r="BM49" i="23"/>
  <c r="AB59" i="23"/>
  <c r="AB62" i="23" s="1"/>
  <c r="AB125" i="23" s="1"/>
  <c r="BK49" i="23"/>
  <c r="F59" i="23"/>
  <c r="F62" i="23" s="1"/>
  <c r="BE49" i="23"/>
  <c r="BG49" i="23"/>
  <c r="BD49" i="23"/>
  <c r="BL49" i="23"/>
  <c r="BH29" i="23"/>
  <c r="BH32" i="23" s="1"/>
  <c r="BH34" i="23" s="1"/>
  <c r="BH373" i="23" s="1"/>
  <c r="BN29" i="23"/>
  <c r="BN32" i="23" s="1"/>
  <c r="BN34" i="23" s="1"/>
  <c r="BN373" i="23" s="1"/>
  <c r="BO49" i="23"/>
  <c r="BJ29" i="23"/>
  <c r="BJ32" i="23" s="1"/>
  <c r="BJ34" i="23" s="1"/>
  <c r="BJ373" i="23" s="1"/>
  <c r="BI29" i="23"/>
  <c r="BI32" i="23" s="1"/>
  <c r="BI34" i="23" s="1"/>
  <c r="BI373" i="23" s="1"/>
  <c r="E52" i="23"/>
  <c r="E54" i="23" s="1"/>
  <c r="BL29" i="23"/>
  <c r="BL32" i="23" s="1"/>
  <c r="BL34" i="23" s="1"/>
  <c r="BL373" i="23" s="1"/>
  <c r="BJ49" i="23"/>
  <c r="BF49" i="23"/>
  <c r="W59" i="23"/>
  <c r="W62" i="23" s="1"/>
  <c r="W257" i="23" s="1"/>
  <c r="AC373" i="23"/>
  <c r="AC59" i="23"/>
  <c r="AC62" i="23" s="1"/>
  <c r="AK257" i="23"/>
  <c r="AK76" i="23"/>
  <c r="AK86" i="23" s="1"/>
  <c r="AK125" i="23"/>
  <c r="J33" i="18"/>
  <c r="I33" i="18" s="1"/>
  <c r="AI76" i="23"/>
  <c r="AI86" i="23" s="1"/>
  <c r="D92" i="11"/>
  <c r="E83" i="11"/>
  <c r="AU52" i="23"/>
  <c r="AU54" i="23" s="1"/>
  <c r="AU329" i="23" s="1"/>
  <c r="AU32" i="23"/>
  <c r="AU34" i="23" s="1"/>
  <c r="AU373" i="23" s="1"/>
  <c r="BY49" i="23"/>
  <c r="BT49" i="23"/>
  <c r="BW49" i="23"/>
  <c r="BR49" i="23"/>
  <c r="BZ49" i="23"/>
  <c r="CA49" i="23"/>
  <c r="BP49" i="23"/>
  <c r="BU49" i="23"/>
  <c r="BX49" i="23"/>
  <c r="BS49" i="23"/>
  <c r="BV49" i="23"/>
  <c r="BQ49" i="23"/>
  <c r="AA59" i="23"/>
  <c r="AA62" i="23" s="1"/>
  <c r="BK32" i="23"/>
  <c r="BK34" i="23" s="1"/>
  <c r="BK373" i="23" s="1"/>
  <c r="AR32" i="23"/>
  <c r="AR34" i="23" s="1"/>
  <c r="AR373" i="23" s="1"/>
  <c r="G29" i="23"/>
  <c r="AY32" i="23"/>
  <c r="AY34" i="23" s="1"/>
  <c r="J56" i="18"/>
  <c r="U49" i="9"/>
  <c r="T51" i="9"/>
  <c r="U51" i="9" s="1"/>
  <c r="AX52" i="23"/>
  <c r="V34" i="23"/>
  <c r="V373" i="23" s="1"/>
  <c r="AW32" i="23"/>
  <c r="AW34" i="23" s="1"/>
  <c r="AW52" i="23"/>
  <c r="AW54" i="23" s="1"/>
  <c r="AW329" i="23" s="1"/>
  <c r="AM76" i="23"/>
  <c r="AM86" i="23" s="1"/>
  <c r="BB52" i="23"/>
  <c r="BB54" i="23" s="1"/>
  <c r="BB329" i="23" s="1"/>
  <c r="BB32" i="23"/>
  <c r="M46" i="10"/>
  <c r="M57" i="10"/>
  <c r="M32" i="10"/>
  <c r="L26" i="10"/>
  <c r="M41" i="10"/>
  <c r="M38" i="10"/>
  <c r="M33" i="10"/>
  <c r="M45" i="10"/>
  <c r="M44" i="10"/>
  <c r="M39" i="10"/>
  <c r="M26" i="10"/>
  <c r="M31" i="10"/>
  <c r="M47" i="10"/>
  <c r="N26" i="10"/>
  <c r="M42" i="10"/>
  <c r="M43" i="10"/>
  <c r="M37" i="10"/>
  <c r="M36" i="10"/>
  <c r="M34" i="10"/>
  <c r="M48" i="10"/>
  <c r="M49" i="10"/>
  <c r="M35" i="10"/>
  <c r="M40" i="10"/>
  <c r="AE59" i="23"/>
  <c r="AE62" i="23" s="1"/>
  <c r="Y34" i="23"/>
  <c r="F25" i="11"/>
  <c r="F27" i="11" s="1"/>
  <c r="F45" i="11"/>
  <c r="F47" i="11" s="1"/>
  <c r="F84" i="11" s="1"/>
  <c r="BD32" i="23"/>
  <c r="BD34" i="23" s="1"/>
  <c r="BD373" i="23" s="1"/>
  <c r="AZ52" i="23"/>
  <c r="AZ54" i="23" s="1"/>
  <c r="AZ329" i="23" s="1"/>
  <c r="AZ32" i="23"/>
  <c r="AZ34" i="23" s="1"/>
  <c r="AZ373" i="23" s="1"/>
  <c r="AT32" i="23"/>
  <c r="AT34" i="23" s="1"/>
  <c r="AT373" i="23" s="1"/>
  <c r="H129" i="22"/>
  <c r="H136" i="22" s="1"/>
  <c r="J49" i="23"/>
  <c r="I42" i="11"/>
  <c r="H108" i="22"/>
  <c r="N24" i="10"/>
  <c r="L24" i="10"/>
  <c r="M24" i="10"/>
  <c r="N143" i="16"/>
  <c r="I102" i="22"/>
  <c r="BA32" i="23"/>
  <c r="BA34" i="23" s="1"/>
  <c r="AS32" i="23"/>
  <c r="AS34" i="23" s="1"/>
  <c r="AS52" i="23"/>
  <c r="AS54" i="23" s="1"/>
  <c r="AS329" i="23" s="1"/>
  <c r="U59" i="23"/>
  <c r="AN59" i="23"/>
  <c r="AN62" i="23" s="1"/>
  <c r="Z76" i="23"/>
  <c r="Z86" i="23" s="1"/>
  <c r="BC32" i="23"/>
  <c r="BC34" i="23" s="1"/>
  <c r="BC373" i="23" s="1"/>
  <c r="Z257" i="23"/>
  <c r="BC52" i="23"/>
  <c r="BC54" i="23" s="1"/>
  <c r="BC329" i="23" s="1"/>
  <c r="L49" i="10"/>
  <c r="K51" i="10"/>
  <c r="K59" i="10" s="1"/>
  <c r="D52" i="11"/>
  <c r="BV29" i="23"/>
  <c r="BW29" i="23"/>
  <c r="BW32" i="23" s="1"/>
  <c r="BW34" i="23" s="1"/>
  <c r="BW373" i="23" s="1"/>
  <c r="BU29" i="23"/>
  <c r="BX29" i="23"/>
  <c r="BP29" i="23"/>
  <c r="BY29" i="23"/>
  <c r="BZ29" i="23"/>
  <c r="BZ32" i="23" s="1"/>
  <c r="BZ34" i="23" s="1"/>
  <c r="BZ373" i="23" s="1"/>
  <c r="K120" i="16"/>
  <c r="BR29" i="23"/>
  <c r="BS29" i="23"/>
  <c r="CA29" i="23"/>
  <c r="G80" i="22"/>
  <c r="BT29" i="23"/>
  <c r="BQ29" i="23"/>
  <c r="BQ32" i="23" s="1"/>
  <c r="BQ34" i="23" s="1"/>
  <c r="BQ373" i="23" s="1"/>
  <c r="V41" i="9"/>
  <c r="V44" i="9"/>
  <c r="V49" i="9"/>
  <c r="V26" i="9"/>
  <c r="V47" i="9"/>
  <c r="V40" i="9"/>
  <c r="V39" i="9"/>
  <c r="V35" i="9"/>
  <c r="V43" i="9"/>
  <c r="V46" i="9"/>
  <c r="V48" i="9"/>
  <c r="V45" i="9"/>
  <c r="U26" i="9"/>
  <c r="V38" i="9"/>
  <c r="V57" i="9"/>
  <c r="V34" i="9"/>
  <c r="V31" i="9"/>
  <c r="V37" i="9"/>
  <c r="V32" i="9"/>
  <c r="V33" i="9"/>
  <c r="V36" i="9"/>
  <c r="V42" i="9"/>
  <c r="K31" i="18"/>
  <c r="L31" i="18" s="1"/>
  <c r="M31" i="18" s="1"/>
  <c r="L24" i="18"/>
  <c r="M24" i="18" s="1"/>
  <c r="AR52" i="23"/>
  <c r="AR54" i="23" s="1"/>
  <c r="AR329" i="23" s="1"/>
  <c r="AV52" i="23"/>
  <c r="AV54" i="23" s="1"/>
  <c r="AV329" i="23" s="1"/>
  <c r="AV32" i="23"/>
  <c r="V24" i="9"/>
  <c r="U24" i="9"/>
  <c r="AD125" i="23"/>
  <c r="AD257" i="23"/>
  <c r="AD76" i="23"/>
  <c r="AD86" i="23" s="1"/>
  <c r="H31" i="14"/>
  <c r="AJ125" i="23"/>
  <c r="AJ257" i="23"/>
  <c r="AO125" i="23"/>
  <c r="AO257" i="23"/>
  <c r="AM125" i="23"/>
  <c r="AM257" i="23"/>
  <c r="F373" i="23"/>
  <c r="F18" i="12"/>
  <c r="AP62" i="23"/>
  <c r="AG62" i="23"/>
  <c r="U223" i="23"/>
  <c r="D36" i="12"/>
  <c r="D334" i="23"/>
  <c r="AQ125" i="23"/>
  <c r="AQ257" i="23"/>
  <c r="S360" i="23"/>
  <c r="H13" i="14"/>
  <c r="I13" i="14" s="1"/>
  <c r="D104" i="23"/>
  <c r="D108" i="23" s="1"/>
  <c r="D50" i="12"/>
  <c r="AF373" i="23"/>
  <c r="AF59" i="23"/>
  <c r="AF62" i="23" s="1"/>
  <c r="AF76" i="23" s="1"/>
  <c r="AJ76" i="23"/>
  <c r="AJ86" i="23" s="1"/>
  <c r="AL257" i="23"/>
  <c r="X59" i="23"/>
  <c r="AH125" i="23"/>
  <c r="AH257" i="23"/>
  <c r="AO76" i="23"/>
  <c r="AO86" i="23" s="1"/>
  <c r="E373" i="23"/>
  <c r="P21" i="7"/>
  <c r="E18" i="12"/>
  <c r="T62" i="23"/>
  <c r="AH76" i="23"/>
  <c r="AH86" i="23" s="1"/>
  <c r="AL76" i="23"/>
  <c r="AI125" i="23"/>
  <c r="AI257" i="23"/>
  <c r="F329" i="23"/>
  <c r="F19" i="12"/>
  <c r="AQ76" i="23"/>
  <c r="BK80" i="22" l="1"/>
  <c r="BK83" i="22" s="1"/>
  <c r="BH80" i="22"/>
  <c r="BH83" i="22" s="1"/>
  <c r="BJ80" i="22"/>
  <c r="BJ83" i="22" s="1"/>
  <c r="BL80" i="22"/>
  <c r="BL83" i="22" s="1"/>
  <c r="BF80" i="22"/>
  <c r="BF83" i="22" s="1"/>
  <c r="BD80" i="22"/>
  <c r="BD83" i="22" s="1"/>
  <c r="BG80" i="22"/>
  <c r="BG83" i="22" s="1"/>
  <c r="F83" i="22"/>
  <c r="BC80" i="22"/>
  <c r="BC83" i="22" s="1"/>
  <c r="G22" i="11"/>
  <c r="G25" i="11" s="1"/>
  <c r="BI80" i="22"/>
  <c r="BI83" i="22" s="1"/>
  <c r="BB80" i="22"/>
  <c r="BB83" i="22" s="1"/>
  <c r="BE80" i="22"/>
  <c r="BE83" i="22" s="1"/>
  <c r="AB76" i="23"/>
  <c r="AB86" i="23" s="1"/>
  <c r="AB257" i="23"/>
  <c r="H29" i="23"/>
  <c r="H52" i="23" s="1"/>
  <c r="V51" i="9"/>
  <c r="T59" i="9"/>
  <c r="T64" i="9" s="1"/>
  <c r="W76" i="23"/>
  <c r="W86" i="23" s="1"/>
  <c r="T56" i="9"/>
  <c r="U56" i="9" s="1"/>
  <c r="W125" i="23"/>
  <c r="AY373" i="23"/>
  <c r="AY59" i="23"/>
  <c r="AY62" i="23" s="1"/>
  <c r="K56" i="10"/>
  <c r="L56" i="10" s="1"/>
  <c r="K33" i="18"/>
  <c r="L33" i="18" s="1"/>
  <c r="AC76" i="23"/>
  <c r="AC86" i="23" s="1"/>
  <c r="AC125" i="23"/>
  <c r="AC257" i="23"/>
  <c r="AA76" i="23"/>
  <c r="AA86" i="23" s="1"/>
  <c r="V59" i="23"/>
  <c r="V62" i="23" s="1"/>
  <c r="V76" i="23" s="1"/>
  <c r="AS373" i="23"/>
  <c r="AS59" i="23"/>
  <c r="AS62" i="23" s="1"/>
  <c r="AW373" i="23"/>
  <c r="AW59" i="23"/>
  <c r="AW62" i="23" s="1"/>
  <c r="BA373" i="23"/>
  <c r="BA59" i="23"/>
  <c r="N59" i="10"/>
  <c r="K64" i="10"/>
  <c r="L59" i="10"/>
  <c r="M59" i="10"/>
  <c r="F92" i="11"/>
  <c r="F83" i="11"/>
  <c r="F52" i="11"/>
  <c r="F55" i="11" s="1"/>
  <c r="F69" i="11" s="1"/>
  <c r="BY32" i="23"/>
  <c r="BY34" i="23" s="1"/>
  <c r="BY373" i="23" s="1"/>
  <c r="AE125" i="23"/>
  <c r="AE257" i="23"/>
  <c r="I29" i="23"/>
  <c r="BP32" i="23"/>
  <c r="BP34" i="23" s="1"/>
  <c r="BP373" i="23" s="1"/>
  <c r="BC59" i="23"/>
  <c r="BC62" i="23" s="1"/>
  <c r="K56" i="18"/>
  <c r="J58" i="18"/>
  <c r="AF86" i="23"/>
  <c r="BX32" i="23"/>
  <c r="BX34" i="23" s="1"/>
  <c r="BX373" i="23" s="1"/>
  <c r="BB34" i="23"/>
  <c r="BB59" i="23" s="1"/>
  <c r="BU32" i="23"/>
  <c r="BU34" i="23" s="1"/>
  <c r="BU373" i="23" s="1"/>
  <c r="AN125" i="23"/>
  <c r="AN257" i="23"/>
  <c r="AV34" i="23"/>
  <c r="AV373" i="23" s="1"/>
  <c r="U62" i="23"/>
  <c r="U76" i="23" s="1"/>
  <c r="BV32" i="23"/>
  <c r="BV34" i="23" s="1"/>
  <c r="BV373" i="23" s="1"/>
  <c r="AN76" i="23"/>
  <c r="AN86" i="23" s="1"/>
  <c r="G32" i="23"/>
  <c r="G52" i="23"/>
  <c r="G54" i="23" s="1"/>
  <c r="D93" i="11"/>
  <c r="AR59" i="23"/>
  <c r="L51" i="10"/>
  <c r="N51" i="10"/>
  <c r="CM49" i="23"/>
  <c r="CG49" i="23"/>
  <c r="CH49" i="23"/>
  <c r="CC49" i="23"/>
  <c r="CF49" i="23"/>
  <c r="CK49" i="23"/>
  <c r="CI49" i="23"/>
  <c r="CD49" i="23"/>
  <c r="CL49" i="23"/>
  <c r="CB49" i="23"/>
  <c r="CJ49" i="23"/>
  <c r="CE49" i="23"/>
  <c r="BT32" i="23"/>
  <c r="BT34" i="23" s="1"/>
  <c r="BT373" i="23" s="1"/>
  <c r="CM29" i="23"/>
  <c r="H80" i="22"/>
  <c r="L120" i="16"/>
  <c r="CC29" i="23"/>
  <c r="CH29" i="23"/>
  <c r="CB29" i="23"/>
  <c r="CD29" i="23"/>
  <c r="CD32" i="23" s="1"/>
  <c r="CD34" i="23" s="1"/>
  <c r="CD373" i="23" s="1"/>
  <c r="CE29" i="23"/>
  <c r="CF29" i="23"/>
  <c r="CG29" i="23"/>
  <c r="CG32" i="23" s="1"/>
  <c r="CG34" i="23" s="1"/>
  <c r="CG373" i="23" s="1"/>
  <c r="CI29" i="23"/>
  <c r="CI32" i="23" s="1"/>
  <c r="CI34" i="23" s="1"/>
  <c r="CI373" i="23" s="1"/>
  <c r="CJ29" i="23"/>
  <c r="CK29" i="23"/>
  <c r="CL29" i="23"/>
  <c r="CL32" i="23" s="1"/>
  <c r="CL34" i="23" s="1"/>
  <c r="CL373" i="23" s="1"/>
  <c r="BR80" i="22"/>
  <c r="BR83" i="22" s="1"/>
  <c r="BY80" i="22"/>
  <c r="BY83" i="22" s="1"/>
  <c r="BU80" i="22"/>
  <c r="BU83" i="22" s="1"/>
  <c r="BN80" i="22"/>
  <c r="BN83" i="22" s="1"/>
  <c r="BW80" i="22"/>
  <c r="BW83" i="22" s="1"/>
  <c r="BP80" i="22"/>
  <c r="BP83" i="22" s="1"/>
  <c r="BO80" i="22"/>
  <c r="BO83" i="22" s="1"/>
  <c r="H22" i="11"/>
  <c r="BT80" i="22"/>
  <c r="BT83" i="22" s="1"/>
  <c r="BQ80" i="22"/>
  <c r="BQ83" i="22" s="1"/>
  <c r="BV80" i="22"/>
  <c r="BV83" i="22" s="1"/>
  <c r="BS80" i="22"/>
  <c r="BS83" i="22" s="1"/>
  <c r="G83" i="22"/>
  <c r="BX80" i="22"/>
  <c r="BX83" i="22" s="1"/>
  <c r="AA125" i="23"/>
  <c r="AA257" i="23"/>
  <c r="CA32" i="23"/>
  <c r="CA34" i="23" s="1"/>
  <c r="CA373" i="23" s="1"/>
  <c r="D55" i="11"/>
  <c r="D69" i="11" s="1"/>
  <c r="BS32" i="23"/>
  <c r="BS34" i="23" s="1"/>
  <c r="U115" i="23"/>
  <c r="AX54" i="23"/>
  <c r="AX59" i="23" s="1"/>
  <c r="AX62" i="23" s="1"/>
  <c r="BR32" i="23"/>
  <c r="BR34" i="23" s="1"/>
  <c r="BR373" i="23" s="1"/>
  <c r="AU59" i="23"/>
  <c r="M51" i="10"/>
  <c r="I129" i="22"/>
  <c r="I136" i="22" s="1"/>
  <c r="K49" i="23"/>
  <c r="J42" i="11"/>
  <c r="I108" i="22"/>
  <c r="AT59" i="23"/>
  <c r="Y373" i="23"/>
  <c r="J102" i="22"/>
  <c r="O143" i="16"/>
  <c r="AZ59" i="23"/>
  <c r="AZ62" i="23" s="1"/>
  <c r="AE76" i="23"/>
  <c r="Y59" i="23"/>
  <c r="Y62" i="23" s="1"/>
  <c r="F21" i="12"/>
  <c r="U224" i="23"/>
  <c r="V220" i="23" s="1"/>
  <c r="AG125" i="23"/>
  <c r="AG257" i="23"/>
  <c r="AG76" i="23"/>
  <c r="AG86" i="23" s="1"/>
  <c r="AF125" i="23"/>
  <c r="AF257" i="23"/>
  <c r="X62" i="23"/>
  <c r="X76" i="23" s="1"/>
  <c r="X86" i="23" s="1"/>
  <c r="F112" i="23"/>
  <c r="E329" i="23"/>
  <c r="E19" i="12"/>
  <c r="E59" i="23"/>
  <c r="E62" i="23" s="1"/>
  <c r="S382" i="23"/>
  <c r="AL86" i="23"/>
  <c r="I31" i="14"/>
  <c r="T125" i="23"/>
  <c r="T257" i="23"/>
  <c r="T76" i="23"/>
  <c r="T86" i="23" s="1"/>
  <c r="D53" i="12"/>
  <c r="D57" i="12" s="1"/>
  <c r="F76" i="23"/>
  <c r="D360" i="23"/>
  <c r="H17" i="14"/>
  <c r="AP125" i="23"/>
  <c r="AP257" i="23"/>
  <c r="AP76" i="23"/>
  <c r="V59" i="9" l="1"/>
  <c r="G45" i="11"/>
  <c r="G47" i="11" s="1"/>
  <c r="G84" i="11" s="1"/>
  <c r="U59" i="9"/>
  <c r="V56" i="9"/>
  <c r="H32" i="23"/>
  <c r="H34" i="23" s="1"/>
  <c r="H373" i="23" s="1"/>
  <c r="V115" i="23"/>
  <c r="W115" i="23" s="1"/>
  <c r="X115" i="23" s="1"/>
  <c r="Y115" i="23" s="1"/>
  <c r="Z115" i="23" s="1"/>
  <c r="AA115" i="23" s="1"/>
  <c r="AB115" i="23" s="1"/>
  <c r="AC115" i="23" s="1"/>
  <c r="AD115" i="23" s="1"/>
  <c r="AE115" i="23" s="1"/>
  <c r="AF115" i="23" s="1"/>
  <c r="AG115" i="23" s="1"/>
  <c r="AH115" i="23" s="1"/>
  <c r="AI115" i="23" s="1"/>
  <c r="AJ115" i="23" s="1"/>
  <c r="AK115" i="23" s="1"/>
  <c r="AL115" i="23" s="1"/>
  <c r="AM115" i="23" s="1"/>
  <c r="AN115" i="23" s="1"/>
  <c r="AO115" i="23" s="1"/>
  <c r="AP115" i="23" s="1"/>
  <c r="AQ115" i="23" s="1"/>
  <c r="AR115" i="23" s="1"/>
  <c r="AS115" i="23" s="1"/>
  <c r="AT115" i="23" s="1"/>
  <c r="AU115" i="23" s="1"/>
  <c r="N56" i="10"/>
  <c r="M56" i="10"/>
  <c r="AY125" i="23"/>
  <c r="AY257" i="23"/>
  <c r="AY76" i="23"/>
  <c r="AY86" i="23" s="1"/>
  <c r="U86" i="23"/>
  <c r="BB62" i="23"/>
  <c r="BB125" i="23" s="1"/>
  <c r="AS76" i="23"/>
  <c r="AS86" i="23" s="1"/>
  <c r="BA62" i="23"/>
  <c r="BA257" i="23" s="1"/>
  <c r="BC125" i="23"/>
  <c r="BC257" i="23"/>
  <c r="BC76" i="23"/>
  <c r="BS373" i="23"/>
  <c r="AW125" i="23"/>
  <c r="AW257" i="23"/>
  <c r="AW76" i="23"/>
  <c r="AW86" i="23" s="1"/>
  <c r="AU62" i="23"/>
  <c r="AU76" i="23" s="1"/>
  <c r="CC32" i="23"/>
  <c r="CC34" i="23" s="1"/>
  <c r="CC373" i="23" s="1"/>
  <c r="CE80" i="22"/>
  <c r="CE83" i="22" s="1"/>
  <c r="CC80" i="22"/>
  <c r="CC83" i="22" s="1"/>
  <c r="CK80" i="22"/>
  <c r="CK83" i="22" s="1"/>
  <c r="CF80" i="22"/>
  <c r="CF83" i="22" s="1"/>
  <c r="CG80" i="22"/>
  <c r="CG83" i="22" s="1"/>
  <c r="CH80" i="22"/>
  <c r="CH83" i="22" s="1"/>
  <c r="CJ80" i="22"/>
  <c r="CJ83" i="22" s="1"/>
  <c r="CD80" i="22"/>
  <c r="CD83" i="22" s="1"/>
  <c r="CB80" i="22"/>
  <c r="CB83" i="22" s="1"/>
  <c r="CA80" i="22"/>
  <c r="CA83" i="22" s="1"/>
  <c r="CI80" i="22"/>
  <c r="CI83" i="22" s="1"/>
  <c r="BZ80" i="22"/>
  <c r="BZ83" i="22" s="1"/>
  <c r="I22" i="11"/>
  <c r="H83" i="22"/>
  <c r="AS125" i="23"/>
  <c r="AS257" i="23"/>
  <c r="BE52" i="23"/>
  <c r="BE54" i="23" s="1"/>
  <c r="BE329" i="23" s="1"/>
  <c r="BO52" i="23"/>
  <c r="BH52" i="23"/>
  <c r="BF52" i="23"/>
  <c r="BI52" i="23"/>
  <c r="BI54" i="23" s="1"/>
  <c r="BI329" i="23" s="1"/>
  <c r="BM52" i="23"/>
  <c r="BL52" i="23"/>
  <c r="BL54" i="23" s="1"/>
  <c r="BL329" i="23" s="1"/>
  <c r="BK52" i="23"/>
  <c r="BN52" i="23"/>
  <c r="BD52" i="23"/>
  <c r="H54" i="23"/>
  <c r="BG52" i="23"/>
  <c r="BJ52" i="23"/>
  <c r="I58" i="18"/>
  <c r="J63" i="18"/>
  <c r="I63" i="18" s="1"/>
  <c r="J66" i="18"/>
  <c r="AZ125" i="23"/>
  <c r="AZ257" i="23"/>
  <c r="M46" i="18"/>
  <c r="M64" i="18"/>
  <c r="M53" i="18"/>
  <c r="M45" i="18"/>
  <c r="M41" i="18"/>
  <c r="M48" i="18"/>
  <c r="M49" i="18"/>
  <c r="M54" i="18"/>
  <c r="M43" i="18"/>
  <c r="M39" i="18"/>
  <c r="M52" i="18"/>
  <c r="M33" i="18"/>
  <c r="M40" i="18"/>
  <c r="M42" i="18"/>
  <c r="M55" i="18"/>
  <c r="M47" i="18"/>
  <c r="M44" i="18"/>
  <c r="M50" i="18"/>
  <c r="M51" i="18"/>
  <c r="M38" i="18"/>
  <c r="CM32" i="23"/>
  <c r="CM34" i="23" s="1"/>
  <c r="CM373" i="23" s="1"/>
  <c r="L56" i="18"/>
  <c r="M56" i="18" s="1"/>
  <c r="K58" i="18"/>
  <c r="K102" i="22"/>
  <c r="P143" i="16"/>
  <c r="V125" i="23"/>
  <c r="V257" i="23"/>
  <c r="K42" i="11"/>
  <c r="J108" i="22"/>
  <c r="J129" i="22"/>
  <c r="J136" i="22" s="1"/>
  <c r="L49" i="23"/>
  <c r="AR62" i="23"/>
  <c r="AR76" i="23" s="1"/>
  <c r="AR86" i="23" s="1"/>
  <c r="U257" i="23"/>
  <c r="U125" i="23"/>
  <c r="Y125" i="23"/>
  <c r="Y257" i="23"/>
  <c r="D94" i="11"/>
  <c r="E93" i="11"/>
  <c r="D95" i="11"/>
  <c r="Y76" i="23"/>
  <c r="Y86" i="23" s="1"/>
  <c r="AX125" i="23"/>
  <c r="AX257" i="23"/>
  <c r="CK32" i="23"/>
  <c r="CK34" i="23" s="1"/>
  <c r="CK373" i="23" s="1"/>
  <c r="AZ76" i="23"/>
  <c r="AZ86" i="23" s="1"/>
  <c r="AX329" i="23"/>
  <c r="AX76" i="23"/>
  <c r="AX86" i="23" s="1"/>
  <c r="CJ32" i="23"/>
  <c r="CJ34" i="23" s="1"/>
  <c r="CJ373" i="23" s="1"/>
  <c r="G19" i="12"/>
  <c r="G329" i="23"/>
  <c r="AT62" i="23"/>
  <c r="CF32" i="23"/>
  <c r="CF34" i="23" s="1"/>
  <c r="CF373" i="23" s="1"/>
  <c r="G34" i="23"/>
  <c r="G59" i="23" s="1"/>
  <c r="F85" i="11"/>
  <c r="CW49" i="23"/>
  <c r="CT49" i="23"/>
  <c r="CO49" i="23"/>
  <c r="CR49" i="23"/>
  <c r="CU49" i="23"/>
  <c r="CP49" i="23"/>
  <c r="CX49" i="23"/>
  <c r="CN49" i="23"/>
  <c r="CS49" i="23"/>
  <c r="CQ49" i="23"/>
  <c r="CV49" i="23"/>
  <c r="CY49" i="23"/>
  <c r="CE32" i="23"/>
  <c r="CE34" i="23" s="1"/>
  <c r="CE373" i="23" s="1"/>
  <c r="AV59" i="23"/>
  <c r="AV62" i="23" s="1"/>
  <c r="I52" i="23"/>
  <c r="I32" i="23"/>
  <c r="I34" i="23" s="1"/>
  <c r="CO29" i="23"/>
  <c r="CP29" i="23"/>
  <c r="CU29" i="23"/>
  <c r="CQ29" i="23"/>
  <c r="CR29" i="23"/>
  <c r="CS29" i="23"/>
  <c r="CT29" i="23"/>
  <c r="CV29" i="23"/>
  <c r="CW29" i="23"/>
  <c r="CX29" i="23"/>
  <c r="CY29" i="23"/>
  <c r="I80" i="22"/>
  <c r="M120" i="16"/>
  <c r="CN29" i="23"/>
  <c r="E85" i="11"/>
  <c r="C96" i="11"/>
  <c r="C97" i="11"/>
  <c r="H25" i="11"/>
  <c r="H45" i="11"/>
  <c r="H47" i="11" s="1"/>
  <c r="H84" i="11" s="1"/>
  <c r="CB32" i="23"/>
  <c r="CB34" i="23" s="1"/>
  <c r="CB373" i="23" s="1"/>
  <c r="J29" i="23"/>
  <c r="BB373" i="23"/>
  <c r="V86" i="23"/>
  <c r="CH32" i="23"/>
  <c r="CH34" i="23" s="1"/>
  <c r="CH373" i="23" s="1"/>
  <c r="G27" i="11"/>
  <c r="T114" i="23"/>
  <c r="T242" i="23"/>
  <c r="AP86" i="23"/>
  <c r="E115" i="23"/>
  <c r="F115" i="23" s="1"/>
  <c r="E76" i="23"/>
  <c r="F257" i="23"/>
  <c r="V222" i="23"/>
  <c r="F25" i="12"/>
  <c r="F125" i="23"/>
  <c r="F63" i="12" s="1"/>
  <c r="E21" i="12"/>
  <c r="E25" i="12" s="1"/>
  <c r="E112" i="23"/>
  <c r="O21" i="7"/>
  <c r="D382" i="23"/>
  <c r="H18" i="14"/>
  <c r="I18" i="14" s="1"/>
  <c r="I17" i="14"/>
  <c r="S362" i="23"/>
  <c r="X125" i="23"/>
  <c r="X257" i="23"/>
  <c r="F113" i="23"/>
  <c r="BE59" i="23" l="1"/>
  <c r="BE62" i="23" s="1"/>
  <c r="BE125" i="23" s="1"/>
  <c r="G52" i="11"/>
  <c r="U114" i="23"/>
  <c r="V114" i="23" s="1"/>
  <c r="W114" i="23" s="1"/>
  <c r="X114" i="23" s="1"/>
  <c r="Y114" i="23" s="1"/>
  <c r="Z114" i="23" s="1"/>
  <c r="AA114" i="23" s="1"/>
  <c r="AB114" i="23" s="1"/>
  <c r="AC114" i="23" s="1"/>
  <c r="AD114" i="23" s="1"/>
  <c r="BA125" i="23"/>
  <c r="H18" i="12"/>
  <c r="BL59" i="23"/>
  <c r="BL62" i="23" s="1"/>
  <c r="BB76" i="23"/>
  <c r="BB86" i="23" s="1"/>
  <c r="BI59" i="23"/>
  <c r="BI62" i="23" s="1"/>
  <c r="BI257" i="23" s="1"/>
  <c r="F117" i="23"/>
  <c r="BB257" i="23"/>
  <c r="E257" i="23"/>
  <c r="E125" i="23"/>
  <c r="E63" i="12" s="1"/>
  <c r="BA76" i="23"/>
  <c r="BA86" i="23" s="1"/>
  <c r="AV76" i="23"/>
  <c r="AV86" i="23" s="1"/>
  <c r="AV257" i="23"/>
  <c r="AV125" i="23"/>
  <c r="CP32" i="23"/>
  <c r="CP34" i="23" s="1"/>
  <c r="CP373" i="23" s="1"/>
  <c r="E95" i="11"/>
  <c r="F93" i="11"/>
  <c r="E94" i="11"/>
  <c r="BG54" i="23"/>
  <c r="BG59" i="23" s="1"/>
  <c r="AU86" i="23"/>
  <c r="AU125" i="23"/>
  <c r="AU257" i="23"/>
  <c r="H329" i="23"/>
  <c r="H19" i="12"/>
  <c r="BD54" i="23"/>
  <c r="BN54" i="23"/>
  <c r="BN59" i="23" s="1"/>
  <c r="CN32" i="23"/>
  <c r="CN34" i="23" s="1"/>
  <c r="CN373" i="23" s="1"/>
  <c r="K29" i="23"/>
  <c r="I373" i="23"/>
  <c r="I18" i="12"/>
  <c r="BK54" i="23"/>
  <c r="BK59" i="23" s="1"/>
  <c r="BK62" i="23" s="1"/>
  <c r="H59" i="23"/>
  <c r="AT125" i="23"/>
  <c r="AT257" i="23"/>
  <c r="AT76" i="23"/>
  <c r="AT86" i="23" s="1"/>
  <c r="CO32" i="23"/>
  <c r="CO34" i="23" s="1"/>
  <c r="CO373" i="23" s="1"/>
  <c r="CW80" i="22"/>
  <c r="CW83" i="22" s="1"/>
  <c r="CN80" i="22"/>
  <c r="CN83" i="22" s="1"/>
  <c r="CV80" i="22"/>
  <c r="CV83" i="22" s="1"/>
  <c r="CS80" i="22"/>
  <c r="CS83" i="22" s="1"/>
  <c r="CU80" i="22"/>
  <c r="CU83" i="22" s="1"/>
  <c r="I83" i="22"/>
  <c r="CL80" i="22"/>
  <c r="CL83" i="22" s="1"/>
  <c r="J22" i="11"/>
  <c r="CT80" i="22"/>
  <c r="CT83" i="22" s="1"/>
  <c r="CP80" i="22"/>
  <c r="CP83" i="22" s="1"/>
  <c r="CO80" i="22"/>
  <c r="CO83" i="22" s="1"/>
  <c r="CQ80" i="22"/>
  <c r="CQ83" i="22" s="1"/>
  <c r="CM80" i="22"/>
  <c r="CM83" i="22" s="1"/>
  <c r="CR80" i="22"/>
  <c r="CR83" i="22" s="1"/>
  <c r="BU52" i="23"/>
  <c r="BV52" i="23"/>
  <c r="BS52" i="23"/>
  <c r="BQ52" i="23"/>
  <c r="BY52" i="23"/>
  <c r="BZ52" i="23"/>
  <c r="BT52" i="23"/>
  <c r="BW52" i="23"/>
  <c r="BR52" i="23"/>
  <c r="BP52" i="23"/>
  <c r="BX52" i="23"/>
  <c r="CA52" i="23"/>
  <c r="I54" i="23"/>
  <c r="I59" i="23" s="1"/>
  <c r="BM54" i="23"/>
  <c r="BM59" i="23" s="1"/>
  <c r="BM62" i="23" s="1"/>
  <c r="CY32" i="23"/>
  <c r="CY34" i="23" s="1"/>
  <c r="CY373" i="23" s="1"/>
  <c r="J32" i="23"/>
  <c r="J34" i="23" s="1"/>
  <c r="J52" i="23"/>
  <c r="CX32" i="23"/>
  <c r="CX34" i="23" s="1"/>
  <c r="AR257" i="23"/>
  <c r="AR125" i="23"/>
  <c r="BF54" i="23"/>
  <c r="BF59" i="23" s="1"/>
  <c r="DF49" i="23"/>
  <c r="DA49" i="23"/>
  <c r="DE49" i="23"/>
  <c r="DI49" i="23"/>
  <c r="DD49" i="23"/>
  <c r="DJ49" i="23"/>
  <c r="DG49" i="23"/>
  <c r="CZ49" i="23"/>
  <c r="DB49" i="23"/>
  <c r="DH49" i="23"/>
  <c r="DK49" i="23"/>
  <c r="DC49" i="23"/>
  <c r="BH54" i="23"/>
  <c r="BH59" i="23" s="1"/>
  <c r="BH62" i="23" s="1"/>
  <c r="CV32" i="23"/>
  <c r="DC29" i="23"/>
  <c r="DD29" i="23"/>
  <c r="DK29" i="23"/>
  <c r="J80" i="22"/>
  <c r="DE29" i="23"/>
  <c r="N120" i="16"/>
  <c r="DF29" i="23"/>
  <c r="DA29" i="23"/>
  <c r="DG29" i="23"/>
  <c r="DI29" i="23"/>
  <c r="DH29" i="23"/>
  <c r="DJ29" i="23"/>
  <c r="CZ29" i="23"/>
  <c r="DB29" i="23"/>
  <c r="BO54" i="23"/>
  <c r="BO59" i="23" s="1"/>
  <c r="BO62" i="23" s="1"/>
  <c r="CT32" i="23"/>
  <c r="CT34" i="23" s="1"/>
  <c r="CS32" i="23"/>
  <c r="CS34" i="23" s="1"/>
  <c r="CS373" i="23" s="1"/>
  <c r="Q143" i="16"/>
  <c r="S130" i="16" s="1"/>
  <c r="O89" i="22" s="1"/>
  <c r="L102" i="22"/>
  <c r="AL33" i="25"/>
  <c r="AL36" i="25" s="1"/>
  <c r="AL37" i="25" s="1"/>
  <c r="I66" i="18"/>
  <c r="G373" i="23"/>
  <c r="G18" i="12"/>
  <c r="CR32" i="23"/>
  <c r="CR34" i="23" s="1"/>
  <c r="G62" i="23"/>
  <c r="G112" i="23" s="1"/>
  <c r="AV115" i="23"/>
  <c r="AW115" i="23" s="1"/>
  <c r="AX115" i="23" s="1"/>
  <c r="AY115" i="23" s="1"/>
  <c r="AZ115" i="23" s="1"/>
  <c r="BA115" i="23" s="1"/>
  <c r="BB115" i="23" s="1"/>
  <c r="BC115" i="23" s="1"/>
  <c r="K129" i="22"/>
  <c r="K136" i="22" s="1"/>
  <c r="M49" i="23"/>
  <c r="L42" i="11"/>
  <c r="K108" i="22"/>
  <c r="G92" i="11"/>
  <c r="G83" i="11"/>
  <c r="G55" i="11"/>
  <c r="CQ32" i="23"/>
  <c r="CQ34" i="23" s="1"/>
  <c r="CQ373" i="23" s="1"/>
  <c r="L58" i="18"/>
  <c r="M58" i="18" s="1"/>
  <c r="K63" i="18"/>
  <c r="L63" i="18" s="1"/>
  <c r="M63" i="18" s="1"/>
  <c r="K66" i="18"/>
  <c r="L66" i="18" s="1"/>
  <c r="M66" i="18" s="1"/>
  <c r="CW32" i="23"/>
  <c r="CW34" i="23" s="1"/>
  <c r="CW373" i="23" s="1"/>
  <c r="H27" i="11"/>
  <c r="H52" i="11" s="1"/>
  <c r="CU32" i="23"/>
  <c r="BJ54" i="23"/>
  <c r="BJ59" i="23" s="1"/>
  <c r="I25" i="11"/>
  <c r="I27" i="11" s="1"/>
  <c r="I45" i="11"/>
  <c r="I47" i="11" s="1"/>
  <c r="I84" i="11" s="1"/>
  <c r="G115" i="23"/>
  <c r="F116" i="23"/>
  <c r="BE76" i="23"/>
  <c r="BE86" i="23" s="1"/>
  <c r="D362" i="23"/>
  <c r="T101" i="23"/>
  <c r="T100" i="23" s="1"/>
  <c r="T338" i="23"/>
  <c r="T334" i="23" s="1"/>
  <c r="T244" i="23"/>
  <c r="H20" i="14"/>
  <c r="E116" i="23"/>
  <c r="AZ11" i="25"/>
  <c r="A4" i="27" s="1"/>
  <c r="V223" i="23"/>
  <c r="V224" i="23" s="1"/>
  <c r="W220" i="23" s="1"/>
  <c r="S385" i="23"/>
  <c r="E117" i="23"/>
  <c r="E113" i="23"/>
  <c r="BE257" i="23" l="1"/>
  <c r="BI76" i="23"/>
  <c r="BI86" i="23" s="1"/>
  <c r="BI125" i="23"/>
  <c r="K65" i="10"/>
  <c r="T65" i="9"/>
  <c r="S146" i="16"/>
  <c r="O105" i="22" s="1"/>
  <c r="O132" i="22" s="1"/>
  <c r="S134" i="16"/>
  <c r="O93" i="22" s="1"/>
  <c r="O120" i="22" s="1"/>
  <c r="H21" i="12"/>
  <c r="H25" i="12" s="1"/>
  <c r="H83" i="11"/>
  <c r="G76" i="23"/>
  <c r="G113" i="23" s="1"/>
  <c r="G125" i="23"/>
  <c r="G63" i="12" s="1"/>
  <c r="G257" i="23"/>
  <c r="S147" i="16"/>
  <c r="O106" i="22" s="1"/>
  <c r="O133" i="22" s="1"/>
  <c r="S142" i="16"/>
  <c r="O101" i="22" s="1"/>
  <c r="O128" i="22" s="1"/>
  <c r="I92" i="11"/>
  <c r="BK125" i="23"/>
  <c r="BK257" i="23"/>
  <c r="CR373" i="23"/>
  <c r="CT373" i="23"/>
  <c r="CX373" i="23"/>
  <c r="BO329" i="23"/>
  <c r="BO76" i="23"/>
  <c r="CV34" i="23"/>
  <c r="CV373" i="23" s="1"/>
  <c r="BX54" i="23"/>
  <c r="BX59" i="23" s="1"/>
  <c r="BO125" i="23"/>
  <c r="BO257" i="23"/>
  <c r="BF329" i="23"/>
  <c r="BF62" i="23"/>
  <c r="BF76" i="23" s="1"/>
  <c r="BF86" i="23" s="1"/>
  <c r="BP54" i="23"/>
  <c r="BP59" i="23" s="1"/>
  <c r="J25" i="11"/>
  <c r="J27" i="11" s="1"/>
  <c r="J45" i="11"/>
  <c r="J47" i="11" s="1"/>
  <c r="I52" i="11"/>
  <c r="I55" i="11" s="1"/>
  <c r="DB32" i="23"/>
  <c r="DB34" i="23" s="1"/>
  <c r="DB373" i="23" s="1"/>
  <c r="BH257" i="23"/>
  <c r="BH125" i="23"/>
  <c r="BR54" i="23"/>
  <c r="BR59" i="23" s="1"/>
  <c r="BK329" i="23"/>
  <c r="BK76" i="23"/>
  <c r="BK86" i="23" s="1"/>
  <c r="G85" i="11"/>
  <c r="CZ32" i="23"/>
  <c r="CZ34" i="23" s="1"/>
  <c r="CZ373" i="23" s="1"/>
  <c r="L29" i="23"/>
  <c r="BH329" i="23"/>
  <c r="BH76" i="23"/>
  <c r="BH86" i="23" s="1"/>
  <c r="BW54" i="23"/>
  <c r="BW329" i="23" s="1"/>
  <c r="BG329" i="23"/>
  <c r="BG62" i="23"/>
  <c r="DJ32" i="23"/>
  <c r="DJ34" i="23" s="1"/>
  <c r="DJ373" i="23" s="1"/>
  <c r="BT54" i="23"/>
  <c r="BT59" i="23" s="1"/>
  <c r="DH32" i="23"/>
  <c r="DH34" i="23" s="1"/>
  <c r="DH373" i="23" s="1"/>
  <c r="BZ54" i="23"/>
  <c r="BZ59" i="23" s="1"/>
  <c r="BZ62" i="23" s="1"/>
  <c r="BZ76" i="23" s="1"/>
  <c r="G93" i="11"/>
  <c r="F95" i="11"/>
  <c r="F94" i="11"/>
  <c r="DI32" i="23"/>
  <c r="DI34" i="23" s="1"/>
  <c r="DI373" i="23" s="1"/>
  <c r="BY54" i="23"/>
  <c r="BY59" i="23" s="1"/>
  <c r="K32" i="23"/>
  <c r="K52" i="23"/>
  <c r="BJ329" i="23"/>
  <c r="BJ62" i="23"/>
  <c r="Q40" i="23"/>
  <c r="O116" i="22"/>
  <c r="P33" i="11"/>
  <c r="DG32" i="23"/>
  <c r="DG34" i="23" s="1"/>
  <c r="CE52" i="23"/>
  <c r="CH52" i="23"/>
  <c r="CM52" i="23"/>
  <c r="CB52" i="23"/>
  <c r="J54" i="23"/>
  <c r="CC52" i="23"/>
  <c r="CK52" i="23"/>
  <c r="CF52" i="23"/>
  <c r="CI52" i="23"/>
  <c r="CL52" i="23"/>
  <c r="CD52" i="23"/>
  <c r="CG52" i="23"/>
  <c r="CJ52" i="23"/>
  <c r="BQ54" i="23"/>
  <c r="BQ59" i="23" s="1"/>
  <c r="DA32" i="23"/>
  <c r="DA34" i="23" s="1"/>
  <c r="DA373" i="23" s="1"/>
  <c r="J373" i="23"/>
  <c r="J18" i="12"/>
  <c r="BS54" i="23"/>
  <c r="BS329" i="23" s="1"/>
  <c r="BN329" i="23"/>
  <c r="DF32" i="23"/>
  <c r="DF34" i="23" s="1"/>
  <c r="DF373" i="23" s="1"/>
  <c r="BV54" i="23"/>
  <c r="BV329" i="23" s="1"/>
  <c r="H55" i="11"/>
  <c r="H85" i="11" s="1"/>
  <c r="H92" i="11"/>
  <c r="I83" i="11"/>
  <c r="DV29" i="23"/>
  <c r="DW29" i="23"/>
  <c r="K80" i="22"/>
  <c r="O120" i="16"/>
  <c r="DL29" i="23"/>
  <c r="DM29" i="23"/>
  <c r="DT29" i="23"/>
  <c r="DN29" i="23"/>
  <c r="DN32" i="23" s="1"/>
  <c r="DN34" i="23" s="1"/>
  <c r="DN373" i="23" s="1"/>
  <c r="DO29" i="23"/>
  <c r="DP29" i="23"/>
  <c r="DP32" i="23" s="1"/>
  <c r="DP34" i="23" s="1"/>
  <c r="DP373" i="23" s="1"/>
  <c r="DQ29" i="23"/>
  <c r="DR29" i="23"/>
  <c r="DS29" i="23"/>
  <c r="DU29" i="23"/>
  <c r="N49" i="23"/>
  <c r="O49" i="23" s="1"/>
  <c r="M42" i="11"/>
  <c r="L108" i="22"/>
  <c r="L129" i="22"/>
  <c r="L136" i="22" s="1"/>
  <c r="BU54" i="23"/>
  <c r="BU329" i="23" s="1"/>
  <c r="BN62" i="23"/>
  <c r="G21" i="12"/>
  <c r="G25" i="12" s="1"/>
  <c r="M102" i="22"/>
  <c r="S145" i="16"/>
  <c r="O104" i="22" s="1"/>
  <c r="S140" i="16"/>
  <c r="O99" i="22" s="1"/>
  <c r="O126" i="22" s="1"/>
  <c r="S136" i="16"/>
  <c r="O95" i="22" s="1"/>
  <c r="S135" i="16"/>
  <c r="O94" i="22" s="1"/>
  <c r="O121" i="22" s="1"/>
  <c r="S131" i="16"/>
  <c r="O90" i="22" s="1"/>
  <c r="S148" i="16"/>
  <c r="O107" i="22" s="1"/>
  <c r="O134" i="22" s="1"/>
  <c r="S129" i="16"/>
  <c r="O88" i="22" s="1"/>
  <c r="S143" i="16"/>
  <c r="O102" i="22" s="1"/>
  <c r="S141" i="16"/>
  <c r="O100" i="22" s="1"/>
  <c r="O127" i="22" s="1"/>
  <c r="S132" i="16"/>
  <c r="O91" i="22" s="1"/>
  <c r="S144" i="16"/>
  <c r="O103" i="22" s="1"/>
  <c r="O130" i="22" s="1"/>
  <c r="S139" i="16"/>
  <c r="O98" i="22" s="1"/>
  <c r="O125" i="22" s="1"/>
  <c r="S137" i="16"/>
  <c r="O96" i="22" s="1"/>
  <c r="S133" i="16"/>
  <c r="O92" i="22" s="1"/>
  <c r="S138" i="16"/>
  <c r="O97" i="22" s="1"/>
  <c r="DE32" i="23"/>
  <c r="BD329" i="23"/>
  <c r="CX80" i="22"/>
  <c r="CX83" i="22" s="1"/>
  <c r="CY80" i="22"/>
  <c r="CY83" i="22" s="1"/>
  <c r="CZ80" i="22"/>
  <c r="CZ83" i="22" s="1"/>
  <c r="K22" i="11"/>
  <c r="J83" i="22"/>
  <c r="DI80" i="22"/>
  <c r="DI83" i="22" s="1"/>
  <c r="DD80" i="22"/>
  <c r="DD83" i="22" s="1"/>
  <c r="DA80" i="22"/>
  <c r="DA83" i="22" s="1"/>
  <c r="DF80" i="22"/>
  <c r="DF83" i="22" s="1"/>
  <c r="DE80" i="22"/>
  <c r="DE83" i="22" s="1"/>
  <c r="DH80" i="22"/>
  <c r="DH83" i="22" s="1"/>
  <c r="DB80" i="22"/>
  <c r="DB83" i="22" s="1"/>
  <c r="DC80" i="22"/>
  <c r="DC83" i="22" s="1"/>
  <c r="DG80" i="22"/>
  <c r="DG83" i="22" s="1"/>
  <c r="BM125" i="23"/>
  <c r="BM257" i="23"/>
  <c r="BD59" i="23"/>
  <c r="BD115" i="23" s="1"/>
  <c r="BE115" i="23" s="1"/>
  <c r="BF115" i="23" s="1"/>
  <c r="BG115" i="23" s="1"/>
  <c r="BH115" i="23" s="1"/>
  <c r="BI115" i="23" s="1"/>
  <c r="BJ115" i="23" s="1"/>
  <c r="BK115" i="23" s="1"/>
  <c r="BL115" i="23" s="1"/>
  <c r="BM115" i="23" s="1"/>
  <c r="BN115" i="23" s="1"/>
  <c r="BO115" i="23" s="1"/>
  <c r="CU34" i="23"/>
  <c r="CU373" i="23" s="1"/>
  <c r="DK32" i="23"/>
  <c r="DK34" i="23" s="1"/>
  <c r="DK373" i="23" s="1"/>
  <c r="BM329" i="23"/>
  <c r="BM76" i="23"/>
  <c r="BM86" i="23" s="1"/>
  <c r="DD32" i="23"/>
  <c r="DD34" i="23" s="1"/>
  <c r="DD373" i="23" s="1"/>
  <c r="I329" i="23"/>
  <c r="I19" i="12"/>
  <c r="I21" i="12" s="1"/>
  <c r="I62" i="23"/>
  <c r="DV49" i="23"/>
  <c r="DM49" i="23"/>
  <c r="DQ49" i="23"/>
  <c r="DT49" i="23"/>
  <c r="DW49" i="23"/>
  <c r="DN49" i="23"/>
  <c r="DO49" i="23"/>
  <c r="DU49" i="23"/>
  <c r="DP49" i="23"/>
  <c r="DL49" i="23"/>
  <c r="DS49" i="23"/>
  <c r="DR49" i="23"/>
  <c r="DC32" i="23"/>
  <c r="DC34" i="23" s="1"/>
  <c r="CA54" i="23"/>
  <c r="CA59" i="23" s="1"/>
  <c r="H62" i="23"/>
  <c r="H112" i="23" s="1"/>
  <c r="G69" i="11"/>
  <c r="BL125" i="23"/>
  <c r="BL257" i="23"/>
  <c r="BL76" i="23"/>
  <c r="K225" i="16"/>
  <c r="S363" i="23"/>
  <c r="J11" i="14"/>
  <c r="J10" i="14"/>
  <c r="J16" i="14"/>
  <c r="J18" i="14"/>
  <c r="J13" i="14"/>
  <c r="J17" i="14"/>
  <c r="J12" i="14"/>
  <c r="I20" i="14"/>
  <c r="J20" i="14"/>
  <c r="T374" i="23"/>
  <c r="T245" i="23"/>
  <c r="W222" i="23"/>
  <c r="W223" i="23" s="1"/>
  <c r="D385" i="23"/>
  <c r="H115" i="23"/>
  <c r="G116" i="23"/>
  <c r="G117" i="23" l="1"/>
  <c r="H69" i="11"/>
  <c r="H76" i="23"/>
  <c r="H113" i="23" s="1"/>
  <c r="P41" i="11"/>
  <c r="BS59" i="23"/>
  <c r="BS62" i="23" s="1"/>
  <c r="BW59" i="23"/>
  <c r="BW62" i="23" s="1"/>
  <c r="Q48" i="23"/>
  <c r="BP115" i="23"/>
  <c r="BQ115" i="23" s="1"/>
  <c r="BR115" i="23" s="1"/>
  <c r="DC373" i="23"/>
  <c r="DG373" i="23"/>
  <c r="DE34" i="23"/>
  <c r="DE373" i="23" s="1"/>
  <c r="O131" i="22"/>
  <c r="Q50" i="23"/>
  <c r="P43" i="11"/>
  <c r="DS32" i="23"/>
  <c r="DS34" i="23" s="1"/>
  <c r="DS373" i="23" s="1"/>
  <c r="CC54" i="23"/>
  <c r="M129" i="22"/>
  <c r="M136" i="22" s="1"/>
  <c r="M108" i="22"/>
  <c r="N42" i="11"/>
  <c r="DR32" i="23"/>
  <c r="DR34" i="23" s="1"/>
  <c r="J329" i="23"/>
  <c r="J19" i="12"/>
  <c r="J21" i="12" s="1"/>
  <c r="J25" i="12" s="1"/>
  <c r="I69" i="11"/>
  <c r="O124" i="22"/>
  <c r="Q47" i="23"/>
  <c r="P40" i="11"/>
  <c r="DQ32" i="23"/>
  <c r="DQ34" i="23" s="1"/>
  <c r="DQ373" i="23" s="1"/>
  <c r="CB54" i="23"/>
  <c r="CB59" i="23" s="1"/>
  <c r="BY329" i="23"/>
  <c r="BY62" i="23"/>
  <c r="L52" i="23"/>
  <c r="L32" i="23"/>
  <c r="L34" i="23" s="1"/>
  <c r="O119" i="22"/>
  <c r="Q44" i="23"/>
  <c r="P37" i="11"/>
  <c r="CM54" i="23"/>
  <c r="CM59" i="23" s="1"/>
  <c r="CM62" i="23" s="1"/>
  <c r="BT329" i="23"/>
  <c r="BT62" i="23"/>
  <c r="J52" i="11"/>
  <c r="J55" i="11" s="1"/>
  <c r="J85" i="11" s="1"/>
  <c r="J92" i="11"/>
  <c r="O123" i="22"/>
  <c r="P35" i="11"/>
  <c r="Q42" i="23"/>
  <c r="DO32" i="23"/>
  <c r="DO34" i="23" s="1"/>
  <c r="DO373" i="23" s="1"/>
  <c r="Q51" i="23"/>
  <c r="CH54" i="23"/>
  <c r="CH329" i="23" s="1"/>
  <c r="BN76" i="23"/>
  <c r="BN86" i="23" s="1"/>
  <c r="BN125" i="23"/>
  <c r="BN257" i="23"/>
  <c r="BV59" i="23"/>
  <c r="CE54" i="23"/>
  <c r="CE59" i="23" s="1"/>
  <c r="DT32" i="23"/>
  <c r="DT34" i="23" s="1"/>
  <c r="DT373" i="23" s="1"/>
  <c r="P44" i="11"/>
  <c r="BG125" i="23"/>
  <c r="BG257" i="23"/>
  <c r="BG76" i="23"/>
  <c r="BG86" i="23" s="1"/>
  <c r="J84" i="11"/>
  <c r="BP329" i="23"/>
  <c r="BP62" i="23"/>
  <c r="O118" i="22"/>
  <c r="Q43" i="23"/>
  <c r="P36" i="11"/>
  <c r="DM32" i="23"/>
  <c r="DM34" i="23" s="1"/>
  <c r="BF257" i="23"/>
  <c r="BF125" i="23"/>
  <c r="K25" i="11"/>
  <c r="K27" i="11" s="1"/>
  <c r="K45" i="11"/>
  <c r="K47" i="11" s="1"/>
  <c r="K84" i="11" s="1"/>
  <c r="DL32" i="23"/>
  <c r="M29" i="23"/>
  <c r="P38" i="11"/>
  <c r="BQ329" i="23"/>
  <c r="BQ62" i="23"/>
  <c r="I25" i="12"/>
  <c r="P42" i="11"/>
  <c r="Q49" i="23"/>
  <c r="O129" i="22"/>
  <c r="CJ54" i="23"/>
  <c r="CJ59" i="23" s="1"/>
  <c r="CA329" i="23"/>
  <c r="CA62" i="23"/>
  <c r="Q39" i="23"/>
  <c r="O115" i="22"/>
  <c r="P32" i="11"/>
  <c r="O108" i="22"/>
  <c r="BU59" i="23"/>
  <c r="DN80" i="22"/>
  <c r="DN83" i="22" s="1"/>
  <c r="DT80" i="22"/>
  <c r="DT83" i="22" s="1"/>
  <c r="DK80" i="22"/>
  <c r="DK83" i="22" s="1"/>
  <c r="DJ80" i="22"/>
  <c r="DJ83" i="22" s="1"/>
  <c r="DS80" i="22"/>
  <c r="DS83" i="22" s="1"/>
  <c r="L22" i="11"/>
  <c r="K83" i="22"/>
  <c r="DM80" i="22"/>
  <c r="DM83" i="22" s="1"/>
  <c r="DU80" i="22"/>
  <c r="DU83" i="22" s="1"/>
  <c r="DR80" i="22"/>
  <c r="DR83" i="22" s="1"/>
  <c r="DQ80" i="22"/>
  <c r="DQ83" i="22" s="1"/>
  <c r="DO80" i="22"/>
  <c r="DO83" i="22" s="1"/>
  <c r="DL80" i="22"/>
  <c r="DL83" i="22" s="1"/>
  <c r="DP80" i="22"/>
  <c r="DP83" i="22" s="1"/>
  <c r="Q45" i="23"/>
  <c r="CG54" i="23"/>
  <c r="CG329" i="23" s="1"/>
  <c r="H93" i="11"/>
  <c r="G94" i="11"/>
  <c r="G95" i="11"/>
  <c r="DY29" i="23"/>
  <c r="DZ29" i="23"/>
  <c r="EA29" i="23"/>
  <c r="EC29" i="23"/>
  <c r="EB29" i="23"/>
  <c r="EF29" i="23"/>
  <c r="EF32" i="23" s="1"/>
  <c r="EF34" i="23" s="1"/>
  <c r="EF373" i="23" s="1"/>
  <c r="ED29" i="23"/>
  <c r="ED32" i="23" s="1"/>
  <c r="ED34" i="23" s="1"/>
  <c r="ED373" i="23" s="1"/>
  <c r="EE29" i="23"/>
  <c r="EG29" i="23"/>
  <c r="EH29" i="23"/>
  <c r="EI29" i="23"/>
  <c r="L80" i="22"/>
  <c r="P120" i="16"/>
  <c r="DX29" i="23"/>
  <c r="DW32" i="23"/>
  <c r="DW34" i="23" s="1"/>
  <c r="DW373" i="23" s="1"/>
  <c r="CD54" i="23"/>
  <c r="CD329" i="23" s="1"/>
  <c r="BJ257" i="23"/>
  <c r="BJ76" i="23"/>
  <c r="BJ86" i="23" s="1"/>
  <c r="BJ125" i="23"/>
  <c r="BR329" i="23"/>
  <c r="BR62" i="23"/>
  <c r="BR76" i="23" s="1"/>
  <c r="BR86" i="23" s="1"/>
  <c r="I76" i="23"/>
  <c r="I113" i="23" s="1"/>
  <c r="I112" i="23"/>
  <c r="Q41" i="23"/>
  <c r="O117" i="22"/>
  <c r="P34" i="11"/>
  <c r="DV32" i="23"/>
  <c r="DV34" i="23" s="1"/>
  <c r="DV373" i="23" s="1"/>
  <c r="CL54" i="23"/>
  <c r="CL59" i="23" s="1"/>
  <c r="CL62" i="23" s="1"/>
  <c r="BZ125" i="23"/>
  <c r="BZ257" i="23"/>
  <c r="BX329" i="23"/>
  <c r="BX62" i="23"/>
  <c r="BD62" i="23"/>
  <c r="BD76" i="23" s="1"/>
  <c r="CI54" i="23"/>
  <c r="CI59" i="23" s="1"/>
  <c r="CI62" i="23" s="1"/>
  <c r="J83" i="11"/>
  <c r="P39" i="11"/>
  <c r="O122" i="22"/>
  <c r="Q46" i="23"/>
  <c r="EA49" i="23"/>
  <c r="EB49" i="23"/>
  <c r="ED49" i="23"/>
  <c r="DY49" i="23"/>
  <c r="EG49" i="23"/>
  <c r="EI49" i="23"/>
  <c r="EE49" i="23"/>
  <c r="DZ49" i="23"/>
  <c r="EH49" i="23"/>
  <c r="DX49" i="23"/>
  <c r="EC49" i="23"/>
  <c r="EF49" i="23"/>
  <c r="BS125" i="23"/>
  <c r="BS257" i="23"/>
  <c r="CF54" i="23"/>
  <c r="CF59" i="23" s="1"/>
  <c r="CF62" i="23" s="1"/>
  <c r="CT52" i="23"/>
  <c r="CO52" i="23"/>
  <c r="CW52" i="23"/>
  <c r="CR52" i="23"/>
  <c r="CU52" i="23"/>
  <c r="CX52" i="23"/>
  <c r="CP52" i="23"/>
  <c r="CS52" i="23"/>
  <c r="CN52" i="23"/>
  <c r="CV52" i="23"/>
  <c r="CQ52" i="23"/>
  <c r="CY52" i="23"/>
  <c r="K54" i="23"/>
  <c r="BZ329" i="23"/>
  <c r="BZ86" i="23"/>
  <c r="DU32" i="23"/>
  <c r="DU34" i="23" s="1"/>
  <c r="I85" i="11"/>
  <c r="CK54" i="23"/>
  <c r="CK59" i="23" s="1"/>
  <c r="K34" i="23"/>
  <c r="J59" i="23"/>
  <c r="J62" i="23" s="1"/>
  <c r="J112" i="23" s="1"/>
  <c r="T375" i="23"/>
  <c r="T340" i="23" s="1"/>
  <c r="T330" i="23"/>
  <c r="S390" i="23"/>
  <c r="T243" i="23"/>
  <c r="BL86" i="23"/>
  <c r="D363" i="23"/>
  <c r="I115" i="23"/>
  <c r="H116" i="23"/>
  <c r="H117" i="23"/>
  <c r="W224" i="23"/>
  <c r="X220" i="23" s="1"/>
  <c r="BS76" i="23" l="1"/>
  <c r="BS86" i="23" s="1"/>
  <c r="BS115" i="23"/>
  <c r="BT115" i="23" s="1"/>
  <c r="BU115" i="23" s="1"/>
  <c r="BW257" i="23"/>
  <c r="BW125" i="23"/>
  <c r="BW76" i="23"/>
  <c r="BW86" i="23" s="1"/>
  <c r="K52" i="11"/>
  <c r="K55" i="11" s="1"/>
  <c r="K85" i="11" s="1"/>
  <c r="O136" i="22"/>
  <c r="B154" i="16" s="1"/>
  <c r="CH59" i="23"/>
  <c r="CH62" i="23" s="1"/>
  <c r="CG59" i="23"/>
  <c r="CG62" i="23" s="1"/>
  <c r="CG257" i="23" s="1"/>
  <c r="BU62" i="23"/>
  <c r="BU76" i="23" s="1"/>
  <c r="BD86" i="23"/>
  <c r="F161" i="16"/>
  <c r="F163" i="16" s="1"/>
  <c r="DU373" i="23"/>
  <c r="CI257" i="23"/>
  <c r="CI125" i="23"/>
  <c r="DR373" i="23"/>
  <c r="CF125" i="23"/>
  <c r="CF257" i="23"/>
  <c r="CL257" i="23"/>
  <c r="CL125" i="23"/>
  <c r="CM257" i="23"/>
  <c r="CM125" i="23"/>
  <c r="DM373" i="23"/>
  <c r="CY54" i="23"/>
  <c r="CY59" i="23" s="1"/>
  <c r="CY62" i="23" s="1"/>
  <c r="EA32" i="23"/>
  <c r="EA34" i="23" s="1"/>
  <c r="EA373" i="23" s="1"/>
  <c r="CC329" i="23"/>
  <c r="CM329" i="23"/>
  <c r="CM76" i="23"/>
  <c r="DY32" i="23"/>
  <c r="DY34" i="23" s="1"/>
  <c r="DZ32" i="23"/>
  <c r="DZ34" i="23" s="1"/>
  <c r="DZ373" i="23" s="1"/>
  <c r="CN54" i="23"/>
  <c r="CN329" i="23" s="1"/>
  <c r="CS54" i="23"/>
  <c r="CS59" i="23" s="1"/>
  <c r="CI329" i="23"/>
  <c r="CI76" i="23"/>
  <c r="CI86" i="23" s="1"/>
  <c r="BR125" i="23"/>
  <c r="BR257" i="23"/>
  <c r="N29" i="23"/>
  <c r="O29" i="23" s="1"/>
  <c r="DX32" i="23"/>
  <c r="DX34" i="23" s="1"/>
  <c r="DX373" i="23" s="1"/>
  <c r="CJ329" i="23"/>
  <c r="CJ62" i="23"/>
  <c r="K92" i="11"/>
  <c r="CP54" i="23"/>
  <c r="CP59" i="23" s="1"/>
  <c r="CX54" i="23"/>
  <c r="CX329" i="23" s="1"/>
  <c r="BX257" i="23"/>
  <c r="BX76" i="23"/>
  <c r="BX86" i="23" s="1"/>
  <c r="BX125" i="23"/>
  <c r="L45" i="11"/>
  <c r="L47" i="11" s="1"/>
  <c r="L25" i="11"/>
  <c r="L27" i="11" s="1"/>
  <c r="L83" i="11" s="1"/>
  <c r="J76" i="23"/>
  <c r="J113" i="23" s="1"/>
  <c r="CQ54" i="23"/>
  <c r="CQ329" i="23" s="1"/>
  <c r="BD125" i="23"/>
  <c r="H125" i="23" s="1"/>
  <c r="H63" i="12" s="1"/>
  <c r="BD257" i="23"/>
  <c r="H257" i="23" s="1"/>
  <c r="K373" i="23"/>
  <c r="K18" i="12"/>
  <c r="CU54" i="23"/>
  <c r="M22" i="11"/>
  <c r="L83" i="22"/>
  <c r="EE80" i="22"/>
  <c r="EE83" i="22" s="1"/>
  <c r="DV80" i="22"/>
  <c r="DV83" i="22" s="1"/>
  <c r="DY80" i="22"/>
  <c r="DY83" i="22" s="1"/>
  <c r="EC80" i="22"/>
  <c r="EC83" i="22" s="1"/>
  <c r="EG80" i="22"/>
  <c r="EG83" i="22" s="1"/>
  <c r="EA80" i="22"/>
  <c r="EA83" i="22" s="1"/>
  <c r="EB80" i="22"/>
  <c r="EB83" i="22" s="1"/>
  <c r="DX80" i="22"/>
  <c r="DX83" i="22" s="1"/>
  <c r="DW80" i="22"/>
  <c r="DW83" i="22" s="1"/>
  <c r="EF80" i="22"/>
  <c r="EF83" i="22" s="1"/>
  <c r="ED80" i="22"/>
  <c r="ED83" i="22" s="1"/>
  <c r="DZ80" i="22"/>
  <c r="DZ83" i="22" s="1"/>
  <c r="H95" i="11"/>
  <c r="H94" i="11"/>
  <c r="I93" i="11"/>
  <c r="L373" i="23"/>
  <c r="L18" i="12"/>
  <c r="CR54" i="23"/>
  <c r="CR329" i="23" s="1"/>
  <c r="EI32" i="23"/>
  <c r="EI34" i="23" s="1"/>
  <c r="EI373" i="23" s="1"/>
  <c r="EH32" i="23"/>
  <c r="EH34" i="23" s="1"/>
  <c r="EH373" i="23" s="1"/>
  <c r="L54" i="23"/>
  <c r="DF52" i="23"/>
  <c r="DD52" i="23"/>
  <c r="DG52" i="23"/>
  <c r="DJ52" i="23"/>
  <c r="DI52" i="23"/>
  <c r="DH52" i="23"/>
  <c r="DB52" i="23"/>
  <c r="DA52" i="23"/>
  <c r="DE52" i="23"/>
  <c r="CZ52" i="23"/>
  <c r="DC52" i="23"/>
  <c r="DK52" i="23"/>
  <c r="CO54" i="23"/>
  <c r="CO59" i="23" s="1"/>
  <c r="EG32" i="23"/>
  <c r="EG34" i="23" s="1"/>
  <c r="EG373" i="23" s="1"/>
  <c r="CE329" i="23"/>
  <c r="CE62" i="23"/>
  <c r="BY76" i="23"/>
  <c r="BY86" i="23" s="1"/>
  <c r="BY125" i="23"/>
  <c r="BY257" i="23"/>
  <c r="CA125" i="23"/>
  <c r="CA257" i="23"/>
  <c r="CT54" i="23"/>
  <c r="CT329" i="23" s="1"/>
  <c r="CL329" i="23"/>
  <c r="CL76" i="23"/>
  <c r="CL86" i="23" s="1"/>
  <c r="EE32" i="23"/>
  <c r="EE34" i="23" s="1"/>
  <c r="EE373" i="23" s="1"/>
  <c r="BQ76" i="23"/>
  <c r="BQ86" i="23" s="1"/>
  <c r="BQ125" i="23"/>
  <c r="BQ257" i="23"/>
  <c r="BV62" i="23"/>
  <c r="K83" i="11"/>
  <c r="CA76" i="23"/>
  <c r="T376" i="23"/>
  <c r="T361" i="23" s="1"/>
  <c r="CW54" i="23"/>
  <c r="CW329" i="23" s="1"/>
  <c r="CB329" i="23"/>
  <c r="CB62" i="23"/>
  <c r="M80" i="22"/>
  <c r="Q120" i="16"/>
  <c r="D120" i="16" s="1"/>
  <c r="CF329" i="23"/>
  <c r="CF76" i="23"/>
  <c r="CF86" i="23" s="1"/>
  <c r="EB32" i="23"/>
  <c r="EB34" i="23" s="1"/>
  <c r="EB373" i="23" s="1"/>
  <c r="DL34" i="23"/>
  <c r="BP125" i="23"/>
  <c r="BP76" i="23"/>
  <c r="BP86" i="23" s="1"/>
  <c r="BP257" i="23"/>
  <c r="BT125" i="23"/>
  <c r="BT257" i="23"/>
  <c r="BT76" i="23"/>
  <c r="BT86" i="23" s="1"/>
  <c r="K59" i="23"/>
  <c r="K62" i="23" s="1"/>
  <c r="CV54" i="23"/>
  <c r="CV329" i="23" s="1"/>
  <c r="CK329" i="23"/>
  <c r="CK62" i="23"/>
  <c r="K329" i="23"/>
  <c r="K19" i="12"/>
  <c r="CD59" i="23"/>
  <c r="CD62" i="23" s="1"/>
  <c r="EC32" i="23"/>
  <c r="EC34" i="23" s="1"/>
  <c r="EC373" i="23" s="1"/>
  <c r="M52" i="23"/>
  <c r="M32" i="23"/>
  <c r="M34" i="23" s="1"/>
  <c r="J69" i="11"/>
  <c r="CC59" i="23"/>
  <c r="J115" i="23"/>
  <c r="S364" i="23"/>
  <c r="X222" i="23"/>
  <c r="X223" i="23" s="1"/>
  <c r="D390" i="23"/>
  <c r="T102" i="23"/>
  <c r="T246" i="23"/>
  <c r="T247" i="23" s="1"/>
  <c r="U241" i="23" s="1"/>
  <c r="BV115" i="23" l="1"/>
  <c r="BW115" i="23" s="1"/>
  <c r="BX115" i="23" s="1"/>
  <c r="BY115" i="23" s="1"/>
  <c r="BZ115" i="23" s="1"/>
  <c r="CA115" i="23" s="1"/>
  <c r="CB115" i="23" s="1"/>
  <c r="CC115" i="23" s="1"/>
  <c r="CD115" i="23" s="1"/>
  <c r="CE115" i="23" s="1"/>
  <c r="CF115" i="23" s="1"/>
  <c r="CG115" i="23" s="1"/>
  <c r="CH115" i="23" s="1"/>
  <c r="CI115" i="23" s="1"/>
  <c r="CJ115" i="23" s="1"/>
  <c r="CK115" i="23" s="1"/>
  <c r="CL115" i="23" s="1"/>
  <c r="CM115" i="23" s="1"/>
  <c r="K69" i="11"/>
  <c r="CG76" i="23"/>
  <c r="CG86" i="23" s="1"/>
  <c r="O80" i="22"/>
  <c r="O83" i="22" s="1"/>
  <c r="BU125" i="23"/>
  <c r="BU257" i="23"/>
  <c r="Q29" i="23"/>
  <c r="Q52" i="23" s="1"/>
  <c r="Q54" i="23" s="1"/>
  <c r="BU86" i="23"/>
  <c r="CG125" i="23"/>
  <c r="CW59" i="23"/>
  <c r="CW62" i="23" s="1"/>
  <c r="CW257" i="23" s="1"/>
  <c r="CQ59" i="23"/>
  <c r="CQ62" i="23" s="1"/>
  <c r="CQ257" i="23" s="1"/>
  <c r="CV59" i="23"/>
  <c r="CV62" i="23" s="1"/>
  <c r="CN59" i="23"/>
  <c r="CN62" i="23" s="1"/>
  <c r="CR59" i="23"/>
  <c r="CR62" i="23" s="1"/>
  <c r="CR125" i="23" s="1"/>
  <c r="DY373" i="23"/>
  <c r="K76" i="23"/>
  <c r="K113" i="23" s="1"/>
  <c r="O113" i="23" s="1"/>
  <c r="K112" i="23"/>
  <c r="O112" i="23" s="1"/>
  <c r="CO62" i="23"/>
  <c r="CB257" i="23"/>
  <c r="CB125" i="23"/>
  <c r="DA54" i="23"/>
  <c r="DA59" i="23" s="1"/>
  <c r="CS329" i="23"/>
  <c r="CS62" i="23"/>
  <c r="CH257" i="23"/>
  <c r="CH125" i="23"/>
  <c r="CB76" i="23"/>
  <c r="CB86" i="23" s="1"/>
  <c r="DH54" i="23"/>
  <c r="DH59" i="23" s="1"/>
  <c r="DH62" i="23" s="1"/>
  <c r="CE76" i="23"/>
  <c r="CE86" i="23" s="1"/>
  <c r="CE257" i="23"/>
  <c r="CE125" i="23"/>
  <c r="DI54" i="23"/>
  <c r="DI59" i="23" s="1"/>
  <c r="DI62" i="23" s="1"/>
  <c r="DJ54" i="23"/>
  <c r="DJ59" i="23" s="1"/>
  <c r="CP329" i="23"/>
  <c r="CP62" i="23"/>
  <c r="CY125" i="23"/>
  <c r="CY257" i="23"/>
  <c r="DO52" i="23"/>
  <c r="DW52" i="23"/>
  <c r="DL52" i="23"/>
  <c r="DS52" i="23"/>
  <c r="DR52" i="23"/>
  <c r="DU52" i="23"/>
  <c r="DP52" i="23"/>
  <c r="DN52" i="23"/>
  <c r="DV52" i="23"/>
  <c r="DQ52" i="23"/>
  <c r="DT52" i="23"/>
  <c r="M54" i="23"/>
  <c r="DM52" i="23"/>
  <c r="CD257" i="23"/>
  <c r="CD125" i="23"/>
  <c r="CD76" i="23"/>
  <c r="CD86" i="23" s="1"/>
  <c r="DG54" i="23"/>
  <c r="DG59" i="23" s="1"/>
  <c r="CY329" i="23"/>
  <c r="CY76" i="23"/>
  <c r="DD54" i="23"/>
  <c r="DD59" i="23" s="1"/>
  <c r="DF54" i="23"/>
  <c r="DF59" i="23" s="1"/>
  <c r="L52" i="11"/>
  <c r="L55" i="11" s="1"/>
  <c r="CJ76" i="23"/>
  <c r="CJ86" i="23" s="1"/>
  <c r="CJ257" i="23"/>
  <c r="CJ125" i="23"/>
  <c r="DL373" i="23"/>
  <c r="L19" i="12"/>
  <c r="L21" i="12" s="1"/>
  <c r="L329" i="23"/>
  <c r="I94" i="11"/>
  <c r="J93" i="11"/>
  <c r="I95" i="11"/>
  <c r="M45" i="11"/>
  <c r="M47" i="11" s="1"/>
  <c r="M84" i="11" s="1"/>
  <c r="M25" i="11"/>
  <c r="M27" i="11" s="1"/>
  <c r="CO329" i="23"/>
  <c r="L92" i="11"/>
  <c r="CH76" i="23"/>
  <c r="CH86" i="23" s="1"/>
  <c r="CK257" i="23"/>
  <c r="CK125" i="23"/>
  <c r="L84" i="11"/>
  <c r="N52" i="23"/>
  <c r="O52" i="23" s="1"/>
  <c r="O54" i="23" s="1"/>
  <c r="N32" i="23"/>
  <c r="N34" i="23" s="1"/>
  <c r="CT59" i="23"/>
  <c r="L59" i="23"/>
  <c r="L62" i="23" s="1"/>
  <c r="L112" i="23" s="1"/>
  <c r="CU329" i="23"/>
  <c r="CU59" i="23"/>
  <c r="DK54" i="23"/>
  <c r="DK59" i="23" s="1"/>
  <c r="DC54" i="23"/>
  <c r="DC59" i="23" s="1"/>
  <c r="DC62" i="23" s="1"/>
  <c r="K21" i="12"/>
  <c r="K25" i="12" s="1"/>
  <c r="DB54" i="23"/>
  <c r="DB329" i="23" s="1"/>
  <c r="CZ54" i="23"/>
  <c r="CZ59" i="23" s="1"/>
  <c r="CC62" i="23"/>
  <c r="CC76" i="23" s="1"/>
  <c r="CC86" i="23" s="1"/>
  <c r="CK76" i="23"/>
  <c r="CK86" i="23" s="1"/>
  <c r="M373" i="23"/>
  <c r="M18" i="12"/>
  <c r="O32" i="23"/>
  <c r="O34" i="23" s="1"/>
  <c r="EO80" i="22"/>
  <c r="EO83" i="22" s="1"/>
  <c r="EN80" i="22"/>
  <c r="EN83" i="22" s="1"/>
  <c r="EP80" i="22"/>
  <c r="EP83" i="22" s="1"/>
  <c r="EI80" i="22"/>
  <c r="EI83" i="22" s="1"/>
  <c r="EJ80" i="22"/>
  <c r="EJ83" i="22" s="1"/>
  <c r="M83" i="22"/>
  <c r="EK80" i="22"/>
  <c r="EK83" i="22" s="1"/>
  <c r="ES80" i="22"/>
  <c r="ES83" i="22" s="1"/>
  <c r="EH80" i="22"/>
  <c r="EH83" i="22" s="1"/>
  <c r="EM80" i="22"/>
  <c r="EM83" i="22" s="1"/>
  <c r="ER80" i="22"/>
  <c r="ER83" i="22" s="1"/>
  <c r="EQ80" i="22"/>
  <c r="EQ83" i="22" s="1"/>
  <c r="EL80" i="22"/>
  <c r="EL83" i="22" s="1"/>
  <c r="N22" i="11"/>
  <c r="BV257" i="23"/>
  <c r="I257" i="23" s="1"/>
  <c r="BV125" i="23"/>
  <c r="I125" i="23" s="1"/>
  <c r="I63" i="12" s="1"/>
  <c r="BV76" i="23"/>
  <c r="BV86" i="23" s="1"/>
  <c r="DE54" i="23"/>
  <c r="CX59" i="23"/>
  <c r="CX62" i="23" s="1"/>
  <c r="K115" i="23"/>
  <c r="U242" i="23"/>
  <c r="U244" i="23" s="1"/>
  <c r="D364" i="23"/>
  <c r="T103" i="23"/>
  <c r="T104" i="23" s="1"/>
  <c r="T108" i="23" s="1"/>
  <c r="T407" i="23"/>
  <c r="T405" i="23" s="1"/>
  <c r="X224" i="23"/>
  <c r="Y220" i="23" s="1"/>
  <c r="S395" i="23"/>
  <c r="P22" i="11" l="1"/>
  <c r="P25" i="11" s="1"/>
  <c r="P27" i="11" s="1"/>
  <c r="P28" i="11" s="1"/>
  <c r="I117" i="23"/>
  <c r="I116" i="23"/>
  <c r="Q32" i="23"/>
  <c r="Q34" i="23" s="1"/>
  <c r="CQ76" i="23"/>
  <c r="CQ86" i="23" s="1"/>
  <c r="CW76" i="23"/>
  <c r="CW86" i="23" s="1"/>
  <c r="CR76" i="23"/>
  <c r="CR86" i="23" s="1"/>
  <c r="CW125" i="23"/>
  <c r="CQ125" i="23"/>
  <c r="CN115" i="23"/>
  <c r="CO115" i="23" s="1"/>
  <c r="CP115" i="23" s="1"/>
  <c r="CQ115" i="23" s="1"/>
  <c r="CR115" i="23" s="1"/>
  <c r="CS115" i="23" s="1"/>
  <c r="CT115" i="23" s="1"/>
  <c r="CU115" i="23" s="1"/>
  <c r="CV115" i="23" s="1"/>
  <c r="CW115" i="23" s="1"/>
  <c r="CX115" i="23" s="1"/>
  <c r="CY115" i="23" s="1"/>
  <c r="CZ115" i="23" s="1"/>
  <c r="DA115" i="23" s="1"/>
  <c r="CR257" i="23"/>
  <c r="CN125" i="23"/>
  <c r="CN257" i="23"/>
  <c r="CN76" i="23"/>
  <c r="CN86" i="23" s="1"/>
  <c r="O59" i="23"/>
  <c r="O62" i="23" s="1"/>
  <c r="O76" i="23" s="1"/>
  <c r="DC76" i="23"/>
  <c r="DC86" i="23" s="1"/>
  <c r="M52" i="11"/>
  <c r="M55" i="11" s="1"/>
  <c r="M92" i="11"/>
  <c r="M83" i="11"/>
  <c r="DI257" i="23"/>
  <c r="DI125" i="23"/>
  <c r="L69" i="11"/>
  <c r="L85" i="11"/>
  <c r="CT62" i="23"/>
  <c r="CT76" i="23" s="1"/>
  <c r="CT86" i="23" s="1"/>
  <c r="DF329" i="23"/>
  <c r="DF62" i="23"/>
  <c r="DM54" i="23"/>
  <c r="DM329" i="23" s="1"/>
  <c r="M329" i="23"/>
  <c r="M19" i="12"/>
  <c r="M21" i="12" s="1"/>
  <c r="Q59" i="23"/>
  <c r="Q62" i="23" s="1"/>
  <c r="L32" i="16" s="1"/>
  <c r="DT54" i="23"/>
  <c r="DT329" i="23" s="1"/>
  <c r="CP76" i="23"/>
  <c r="CP86" i="23" s="1"/>
  <c r="CP125" i="23"/>
  <c r="CP257" i="23"/>
  <c r="DH125" i="23"/>
  <c r="DH257" i="23"/>
  <c r="DC257" i="23"/>
  <c r="DC125" i="23"/>
  <c r="DD329" i="23"/>
  <c r="DD62" i="23"/>
  <c r="DQ54" i="23"/>
  <c r="DQ329" i="23" s="1"/>
  <c r="DH329" i="23"/>
  <c r="DH76" i="23"/>
  <c r="DH86" i="23" s="1"/>
  <c r="N25" i="11"/>
  <c r="N27" i="11" s="1"/>
  <c r="N45" i="11"/>
  <c r="N47" i="11" s="1"/>
  <c r="N84" i="11" s="1"/>
  <c r="DC329" i="23"/>
  <c r="EE52" i="23"/>
  <c r="N54" i="23"/>
  <c r="DZ52" i="23"/>
  <c r="EH52" i="23"/>
  <c r="DY52" i="23"/>
  <c r="EC52" i="23"/>
  <c r="EG52" i="23"/>
  <c r="DX52" i="23"/>
  <c r="EF52" i="23"/>
  <c r="EI52" i="23"/>
  <c r="ED52" i="23"/>
  <c r="EA52" i="23"/>
  <c r="EB52" i="23"/>
  <c r="DV54" i="23"/>
  <c r="DV59" i="23" s="1"/>
  <c r="CO125" i="23"/>
  <c r="CO257" i="23"/>
  <c r="CC257" i="23"/>
  <c r="J257" i="23" s="1"/>
  <c r="CC125" i="23"/>
  <c r="J125" i="23" s="1"/>
  <c r="J63" i="12" s="1"/>
  <c r="K93" i="11"/>
  <c r="J94" i="11"/>
  <c r="J95" i="11"/>
  <c r="DN54" i="23"/>
  <c r="DN59" i="23" s="1"/>
  <c r="DJ329" i="23"/>
  <c r="DJ62" i="23"/>
  <c r="DJ76" i="23" s="1"/>
  <c r="CX76" i="23"/>
  <c r="CX86" i="23" s="1"/>
  <c r="CX125" i="23"/>
  <c r="CX257" i="23"/>
  <c r="L76" i="23"/>
  <c r="L113" i="23" s="1"/>
  <c r="DP54" i="23"/>
  <c r="DP329" i="23" s="1"/>
  <c r="L25" i="12"/>
  <c r="DU54" i="23"/>
  <c r="DU329" i="23" s="1"/>
  <c r="CS125" i="23"/>
  <c r="CS257" i="23"/>
  <c r="DK329" i="23"/>
  <c r="DK62" i="23"/>
  <c r="DR54" i="23"/>
  <c r="DR59" i="23" s="1"/>
  <c r="DR62" i="23" s="1"/>
  <c r="CV257" i="23"/>
  <c r="CV125" i="23"/>
  <c r="CV76" i="23"/>
  <c r="CV86" i="23" s="1"/>
  <c r="DG62" i="23"/>
  <c r="DG76" i="23" s="1"/>
  <c r="DG86" i="23" s="1"/>
  <c r="DS54" i="23"/>
  <c r="DL54" i="23"/>
  <c r="DG329" i="23"/>
  <c r="DW54" i="23"/>
  <c r="DW59" i="23" s="1"/>
  <c r="DW62" i="23" s="1"/>
  <c r="CZ329" i="23"/>
  <c r="CZ62" i="23"/>
  <c r="J117" i="23"/>
  <c r="M59" i="23"/>
  <c r="M62" i="23" s="1"/>
  <c r="CO76" i="23"/>
  <c r="CO86" i="23" s="1"/>
  <c r="DO54" i="23"/>
  <c r="DO329" i="23" s="1"/>
  <c r="DI329" i="23"/>
  <c r="DI76" i="23"/>
  <c r="DI86" i="23" s="1"/>
  <c r="DA329" i="23"/>
  <c r="DA62" i="23"/>
  <c r="CS76" i="23"/>
  <c r="CS86" i="23" s="1"/>
  <c r="N18" i="12"/>
  <c r="O18" i="12" s="1"/>
  <c r="N373" i="23"/>
  <c r="O373" i="23" s="1"/>
  <c r="J116" i="23"/>
  <c r="CU62" i="23"/>
  <c r="DE329" i="23"/>
  <c r="DE59" i="23"/>
  <c r="DB59" i="23"/>
  <c r="DB62" i="23" s="1"/>
  <c r="DB76" i="23" s="1"/>
  <c r="DB86" i="23" s="1"/>
  <c r="T360" i="23"/>
  <c r="U374" i="23"/>
  <c r="U245" i="23"/>
  <c r="U243" i="23" s="1"/>
  <c r="L115" i="23"/>
  <c r="O115" i="23"/>
  <c r="G22" i="7" s="1"/>
  <c r="D395" i="23"/>
  <c r="T408" i="23"/>
  <c r="U101" i="23"/>
  <c r="U100" i="23" s="1"/>
  <c r="U338" i="23"/>
  <c r="U334" i="23" s="1"/>
  <c r="S365" i="23"/>
  <c r="S400" i="23" s="1"/>
  <c r="S366" i="23" s="1"/>
  <c r="Y222" i="23"/>
  <c r="Y223" i="23" s="1"/>
  <c r="P45" i="11" l="1"/>
  <c r="P47" i="11" s="1"/>
  <c r="DM59" i="23"/>
  <c r="DM62" i="23" s="1"/>
  <c r="DM76" i="23" s="1"/>
  <c r="DM86" i="23" s="1"/>
  <c r="DU59" i="23"/>
  <c r="DU62" i="23" s="1"/>
  <c r="DU76" i="23" s="1"/>
  <c r="DU86" i="23" s="1"/>
  <c r="DT59" i="23"/>
  <c r="DT62" i="23" s="1"/>
  <c r="DT76" i="23" s="1"/>
  <c r="DT86" i="23" s="1"/>
  <c r="K117" i="23"/>
  <c r="K116" i="23"/>
  <c r="CZ76" i="23"/>
  <c r="CZ86" i="23" s="1"/>
  <c r="M25" i="12"/>
  <c r="M69" i="11"/>
  <c r="M85" i="11"/>
  <c r="DV62" i="23"/>
  <c r="DV125" i="23" s="1"/>
  <c r="S308" i="23"/>
  <c r="S309" i="23" s="1"/>
  <c r="DO59" i="23"/>
  <c r="DO62" i="23" s="1"/>
  <c r="DO125" i="23" s="1"/>
  <c r="N92" i="11"/>
  <c r="N83" i="11"/>
  <c r="N52" i="11"/>
  <c r="N55" i="11" s="1"/>
  <c r="N85" i="11" s="1"/>
  <c r="F80" i="23"/>
  <c r="BB10" i="25"/>
  <c r="E80" i="23"/>
  <c r="G23" i="7"/>
  <c r="J80" i="23"/>
  <c r="L36" i="16"/>
  <c r="P23" i="7"/>
  <c r="O23" i="7"/>
  <c r="I80" i="23"/>
  <c r="K80" i="23"/>
  <c r="H80" i="23"/>
  <c r="AZ9" i="25"/>
  <c r="M23" i="7"/>
  <c r="L80" i="23"/>
  <c r="L37" i="16"/>
  <c r="M80" i="23"/>
  <c r="N80" i="23"/>
  <c r="G80" i="23"/>
  <c r="N23" i="7"/>
  <c r="M225" i="16"/>
  <c r="AZ8" i="25"/>
  <c r="A3" i="27" s="1"/>
  <c r="AZ15" i="25"/>
  <c r="DW125" i="23"/>
  <c r="DW257" i="23"/>
  <c r="M76" i="23"/>
  <c r="M113" i="23" s="1"/>
  <c r="M112" i="23"/>
  <c r="DN329" i="23"/>
  <c r="EF54" i="23"/>
  <c r="EF59" i="23" s="1"/>
  <c r="EF62" i="23" s="1"/>
  <c r="DX54" i="23"/>
  <c r="DX329" i="23" s="1"/>
  <c r="EG54" i="23"/>
  <c r="EG329" i="23" s="1"/>
  <c r="EC54" i="23"/>
  <c r="EC329" i="23" s="1"/>
  <c r="K94" i="11"/>
  <c r="L93" i="11"/>
  <c r="K95" i="11"/>
  <c r="DY54" i="23"/>
  <c r="DY329" i="23" s="1"/>
  <c r="DQ59" i="23"/>
  <c r="DR257" i="23"/>
  <c r="DR125" i="23"/>
  <c r="EH54" i="23"/>
  <c r="EH329" i="23" s="1"/>
  <c r="DD125" i="23"/>
  <c r="DD257" i="23"/>
  <c r="DD76" i="23"/>
  <c r="DD86" i="23" s="1"/>
  <c r="DR329" i="23"/>
  <c r="DR76" i="23"/>
  <c r="DR86" i="23" s="1"/>
  <c r="DP59" i="23"/>
  <c r="DZ54" i="23"/>
  <c r="DZ59" i="23" s="1"/>
  <c r="DE62" i="23"/>
  <c r="DL329" i="23"/>
  <c r="DL59" i="23"/>
  <c r="DL62" i="23" s="1"/>
  <c r="N329" i="23"/>
  <c r="O329" i="23" s="1"/>
  <c r="N19" i="12"/>
  <c r="N21" i="12" s="1"/>
  <c r="O21" i="12" s="1"/>
  <c r="N59" i="23"/>
  <c r="N62" i="23" s="1"/>
  <c r="N112" i="23" s="1"/>
  <c r="CU125" i="23"/>
  <c r="CU257" i="23"/>
  <c r="EE54" i="23"/>
  <c r="DB115" i="23"/>
  <c r="DC115" i="23" s="1"/>
  <c r="DD115" i="23" s="1"/>
  <c r="DE115" i="23" s="1"/>
  <c r="DF115" i="23" s="1"/>
  <c r="DG115" i="23" s="1"/>
  <c r="DH115" i="23" s="1"/>
  <c r="DI115" i="23" s="1"/>
  <c r="DJ115" i="23" s="1"/>
  <c r="DK115" i="23" s="1"/>
  <c r="DS329" i="23"/>
  <c r="CZ125" i="23"/>
  <c r="CZ257" i="23"/>
  <c r="DV329" i="23"/>
  <c r="CU76" i="23"/>
  <c r="CU86" i="23" s="1"/>
  <c r="DB257" i="23"/>
  <c r="DB125" i="23"/>
  <c r="DS59" i="23"/>
  <c r="DS62" i="23" s="1"/>
  <c r="DK76" i="23"/>
  <c r="DK125" i="23"/>
  <c r="DK257" i="23"/>
  <c r="DG125" i="23"/>
  <c r="DG257" i="23"/>
  <c r="DJ125" i="23"/>
  <c r="DJ257" i="23"/>
  <c r="DJ86" i="23"/>
  <c r="EB54" i="23"/>
  <c r="EB59" i="23" s="1"/>
  <c r="DF76" i="23"/>
  <c r="DF86" i="23" s="1"/>
  <c r="DF257" i="23"/>
  <c r="DF125" i="23"/>
  <c r="DW329" i="23"/>
  <c r="DW76" i="23"/>
  <c r="EA54" i="23"/>
  <c r="EA329" i="23" s="1"/>
  <c r="DA76" i="23"/>
  <c r="DA86" i="23" s="1"/>
  <c r="DA125" i="23"/>
  <c r="DA257" i="23"/>
  <c r="DN62" i="23"/>
  <c r="ED54" i="23"/>
  <c r="ED59" i="23" s="1"/>
  <c r="P52" i="11"/>
  <c r="P55" i="11" s="1"/>
  <c r="EI54" i="23"/>
  <c r="EI59" i="23" s="1"/>
  <c r="EI62" i="23" s="1"/>
  <c r="CT125" i="23"/>
  <c r="CT257" i="23"/>
  <c r="U330" i="23"/>
  <c r="U102" i="23"/>
  <c r="U246" i="23"/>
  <c r="U247" i="23" s="1"/>
  <c r="V241" i="23" s="1"/>
  <c r="S367" i="23"/>
  <c r="S368" i="23"/>
  <c r="N22" i="7"/>
  <c r="J22" i="7"/>
  <c r="M22" i="7"/>
  <c r="O22" i="7"/>
  <c r="I22" i="7"/>
  <c r="P22" i="7"/>
  <c r="M115" i="23"/>
  <c r="L117" i="23"/>
  <c r="L116" i="23"/>
  <c r="T382" i="23"/>
  <c r="Y224" i="23"/>
  <c r="Z220" i="23" s="1"/>
  <c r="D365" i="23"/>
  <c r="U375" i="23"/>
  <c r="U340" i="23" s="1"/>
  <c r="DU125" i="23" l="1"/>
  <c r="DV257" i="23"/>
  <c r="DM125" i="23"/>
  <c r="DM257" i="23"/>
  <c r="DU257" i="23"/>
  <c r="S316" i="23"/>
  <c r="DT125" i="23"/>
  <c r="DT257" i="23"/>
  <c r="DL115" i="23"/>
  <c r="DM115" i="23" s="1"/>
  <c r="DN115" i="23" s="1"/>
  <c r="DO115" i="23" s="1"/>
  <c r="DP115" i="23" s="1"/>
  <c r="DQ115" i="23" s="1"/>
  <c r="DR115" i="23" s="1"/>
  <c r="DS115" i="23" s="1"/>
  <c r="DT115" i="23" s="1"/>
  <c r="DU115" i="23" s="1"/>
  <c r="DV115" i="23" s="1"/>
  <c r="DW115" i="23" s="1"/>
  <c r="EH59" i="23"/>
  <c r="EH62" i="23" s="1"/>
  <c r="DV76" i="23"/>
  <c r="DV86" i="23" s="1"/>
  <c r="DO76" i="23"/>
  <c r="DO86" i="23" s="1"/>
  <c r="DO257" i="23"/>
  <c r="DY59" i="23"/>
  <c r="DY62" i="23" s="1"/>
  <c r="DY257" i="23" s="1"/>
  <c r="EA59" i="23"/>
  <c r="EA62" i="23" s="1"/>
  <c r="EA76" i="23" s="1"/>
  <c r="EA86" i="23" s="1"/>
  <c r="EB62" i="23"/>
  <c r="EB125" i="23" s="1"/>
  <c r="EC59" i="23"/>
  <c r="EC62" i="23" s="1"/>
  <c r="DX59" i="23"/>
  <c r="N69" i="11"/>
  <c r="K257" i="23"/>
  <c r="K125" i="23"/>
  <c r="K63" i="12" s="1"/>
  <c r="EI257" i="23"/>
  <c r="EI125" i="23"/>
  <c r="DS257" i="23"/>
  <c r="DS125" i="23"/>
  <c r="CM80" i="23"/>
  <c r="J30" i="12"/>
  <c r="DQ62" i="23"/>
  <c r="J23" i="7"/>
  <c r="I23" i="7"/>
  <c r="EF76" i="23"/>
  <c r="EF86" i="23" s="1"/>
  <c r="AE80" i="23"/>
  <c r="E30" i="12"/>
  <c r="O80" i="23"/>
  <c r="EF125" i="23"/>
  <c r="EF257" i="23"/>
  <c r="BC80" i="23"/>
  <c r="G30" i="12"/>
  <c r="EB329" i="23"/>
  <c r="DZ62" i="23"/>
  <c r="DZ76" i="23" s="1"/>
  <c r="DZ86" i="23" s="1"/>
  <c r="EF329" i="23"/>
  <c r="EI80" i="23"/>
  <c r="N30" i="12"/>
  <c r="AQ80" i="23"/>
  <c r="F30" i="12"/>
  <c r="DW80" i="23"/>
  <c r="M30" i="12"/>
  <c r="DN125" i="23"/>
  <c r="DN257" i="23"/>
  <c r="EE329" i="23"/>
  <c r="DE257" i="23"/>
  <c r="L257" i="23" s="1"/>
  <c r="DE125" i="23"/>
  <c r="L125" i="23" s="1"/>
  <c r="L63" i="12" s="1"/>
  <c r="EE59" i="23"/>
  <c r="DK80" i="23"/>
  <c r="L30" i="12"/>
  <c r="DZ329" i="23"/>
  <c r="L94" i="11"/>
  <c r="L95" i="11"/>
  <c r="M93" i="11"/>
  <c r="DL125" i="23"/>
  <c r="DL257" i="23"/>
  <c r="EI329" i="23"/>
  <c r="EI76" i="23"/>
  <c r="DS76" i="23"/>
  <c r="DS86" i="23" s="1"/>
  <c r="ED329" i="23"/>
  <c r="ED62" i="23"/>
  <c r="ED76" i="23" s="1"/>
  <c r="DP62" i="23"/>
  <c r="DP76" i="23" s="1"/>
  <c r="BO80" i="23"/>
  <c r="H30" i="12"/>
  <c r="CY80" i="23"/>
  <c r="K30" i="12"/>
  <c r="DE76" i="23"/>
  <c r="DE86" i="23" s="1"/>
  <c r="O19" i="12"/>
  <c r="N25" i="12"/>
  <c r="O25" i="12" s="1"/>
  <c r="I30" i="12"/>
  <c r="CA80" i="23"/>
  <c r="DN76" i="23"/>
  <c r="DN86" i="23" s="1"/>
  <c r="EG59" i="23"/>
  <c r="EG62" i="23" s="1"/>
  <c r="DL76" i="23"/>
  <c r="DL86" i="23" s="1"/>
  <c r="L39" i="16"/>
  <c r="N76" i="23"/>
  <c r="N113" i="23" s="1"/>
  <c r="T362" i="23"/>
  <c r="U103" i="23"/>
  <c r="U376" i="23"/>
  <c r="U361" i="23" s="1"/>
  <c r="V242" i="23"/>
  <c r="V244" i="23" s="1"/>
  <c r="N115" i="23"/>
  <c r="M116" i="23"/>
  <c r="M117" i="23"/>
  <c r="Z222" i="23"/>
  <c r="S317" i="23"/>
  <c r="S403" i="23"/>
  <c r="S310" i="23"/>
  <c r="T307" i="23" s="1"/>
  <c r="D400" i="23"/>
  <c r="U407" i="23"/>
  <c r="U405" i="23" s="1"/>
  <c r="DY125" i="23" l="1"/>
  <c r="EA257" i="23"/>
  <c r="EA125" i="23"/>
  <c r="DX115" i="23"/>
  <c r="DY115" i="23" s="1"/>
  <c r="DZ115" i="23" s="1"/>
  <c r="EA115" i="23" s="1"/>
  <c r="EB115" i="23" s="1"/>
  <c r="EC115" i="23" s="1"/>
  <c r="ED115" i="23" s="1"/>
  <c r="EE115" i="23" s="1"/>
  <c r="EF115" i="23" s="1"/>
  <c r="EG115" i="23" s="1"/>
  <c r="EH115" i="23" s="1"/>
  <c r="EI115" i="23" s="1"/>
  <c r="DY76" i="23"/>
  <c r="DY86" i="23" s="1"/>
  <c r="DX62" i="23"/>
  <c r="DX257" i="23" s="1"/>
  <c r="O125" i="23"/>
  <c r="O63" i="12" s="1"/>
  <c r="EB257" i="23"/>
  <c r="EB76" i="23"/>
  <c r="EB86" i="23" s="1"/>
  <c r="DP86" i="23"/>
  <c r="EC125" i="23"/>
  <c r="EC76" i="23"/>
  <c r="EC86" i="23" s="1"/>
  <c r="EC257" i="23"/>
  <c r="EH125" i="23"/>
  <c r="EH257" i="23"/>
  <c r="EH76" i="23"/>
  <c r="EH86" i="23" s="1"/>
  <c r="DQ125" i="23"/>
  <c r="DQ257" i="23"/>
  <c r="DQ76" i="23"/>
  <c r="DQ86" i="23" s="1"/>
  <c r="EG76" i="23"/>
  <c r="EG86" i="23" s="1"/>
  <c r="J81" i="23"/>
  <c r="F81" i="23"/>
  <c r="L81" i="23"/>
  <c r="G81" i="23"/>
  <c r="I81" i="23"/>
  <c r="E81" i="23"/>
  <c r="M81" i="23"/>
  <c r="K81" i="23"/>
  <c r="H81" i="23"/>
  <c r="N81" i="23"/>
  <c r="N93" i="11"/>
  <c r="M94" i="11"/>
  <c r="M95" i="11"/>
  <c r="EE62" i="23"/>
  <c r="EE76" i="23" s="1"/>
  <c r="EG125" i="23"/>
  <c r="EG257" i="23"/>
  <c r="O30" i="12"/>
  <c r="DZ125" i="23"/>
  <c r="DZ257" i="23"/>
  <c r="DP257" i="23"/>
  <c r="DP125" i="23"/>
  <c r="ED125" i="23"/>
  <c r="ED86" i="23"/>
  <c r="ED257" i="23"/>
  <c r="V101" i="23"/>
  <c r="V100" i="23" s="1"/>
  <c r="V338" i="23"/>
  <c r="V334" i="23" s="1"/>
  <c r="Z223" i="23"/>
  <c r="Z224" i="23" s="1"/>
  <c r="AA220" i="23" s="1"/>
  <c r="U408" i="23"/>
  <c r="D366" i="23"/>
  <c r="D308" i="23"/>
  <c r="S318" i="23"/>
  <c r="S404" i="23" s="1"/>
  <c r="T385" i="23"/>
  <c r="V374" i="23"/>
  <c r="V245" i="23"/>
  <c r="N116" i="23"/>
  <c r="O116" i="23" s="1"/>
  <c r="N117" i="23"/>
  <c r="O117" i="23" s="1"/>
  <c r="U104" i="23"/>
  <c r="U108" i="23" s="1"/>
  <c r="DX76" i="23" l="1"/>
  <c r="DX86" i="23" s="1"/>
  <c r="DX125" i="23"/>
  <c r="M125" i="23"/>
  <c r="M63" i="12" s="1"/>
  <c r="I82" i="23"/>
  <c r="I377" i="23" s="1"/>
  <c r="CA81" i="23"/>
  <c r="I31" i="12"/>
  <c r="L82" i="23"/>
  <c r="L377" i="23" s="1"/>
  <c r="DK81" i="23"/>
  <c r="L31" i="12"/>
  <c r="L32" i="12" s="1"/>
  <c r="L36" i="12" s="1"/>
  <c r="EE257" i="23"/>
  <c r="N257" i="23" s="1"/>
  <c r="EE125" i="23"/>
  <c r="N125" i="23" s="1"/>
  <c r="N63" i="12" s="1"/>
  <c r="N95" i="11"/>
  <c r="N94" i="11"/>
  <c r="EI81" i="23"/>
  <c r="N31" i="12"/>
  <c r="N82" i="23"/>
  <c r="N377" i="23" s="1"/>
  <c r="M257" i="23"/>
  <c r="H82" i="23"/>
  <c r="H377" i="23" s="1"/>
  <c r="BO81" i="23"/>
  <c r="H31" i="12"/>
  <c r="EE86" i="23"/>
  <c r="G31" i="12"/>
  <c r="G32" i="12" s="1"/>
  <c r="G36" i="12" s="1"/>
  <c r="BC81" i="23"/>
  <c r="G82" i="23"/>
  <c r="G377" i="23" s="1"/>
  <c r="CY81" i="23"/>
  <c r="K31" i="12"/>
  <c r="K32" i="12" s="1"/>
  <c r="K36" i="12" s="1"/>
  <c r="K82" i="23"/>
  <c r="K377" i="23" s="1"/>
  <c r="CM81" i="23"/>
  <c r="J31" i="12"/>
  <c r="J82" i="23"/>
  <c r="J377" i="23" s="1"/>
  <c r="DW81" i="23"/>
  <c r="M82" i="23"/>
  <c r="M377" i="23" s="1"/>
  <c r="M31" i="12"/>
  <c r="M32" i="12" s="1"/>
  <c r="M36" i="12" s="1"/>
  <c r="F31" i="12"/>
  <c r="F32" i="12" s="1"/>
  <c r="F36" i="12" s="1"/>
  <c r="AQ81" i="23"/>
  <c r="F82" i="23"/>
  <c r="F377" i="23" s="1"/>
  <c r="AE81" i="23"/>
  <c r="O81" i="23"/>
  <c r="O82" i="23" s="1"/>
  <c r="O86" i="23" s="1"/>
  <c r="E31" i="12"/>
  <c r="E82" i="23"/>
  <c r="E377" i="23" s="1"/>
  <c r="T363" i="23"/>
  <c r="D367" i="23"/>
  <c r="D368" i="23"/>
  <c r="U360" i="23"/>
  <c r="S122" i="23"/>
  <c r="S402" i="23"/>
  <c r="S401" i="23" s="1"/>
  <c r="V375" i="23"/>
  <c r="V340" i="23" s="1"/>
  <c r="AA222" i="23"/>
  <c r="S319" i="23"/>
  <c r="T315" i="23" s="1"/>
  <c r="D309" i="23"/>
  <c r="D310" i="23" s="1"/>
  <c r="E307" i="23" s="1"/>
  <c r="C17" i="14"/>
  <c r="C18" i="14" s="1"/>
  <c r="D316" i="23"/>
  <c r="V330" i="23"/>
  <c r="V243" i="23"/>
  <c r="K86" i="23" l="1"/>
  <c r="G86" i="23"/>
  <c r="I86" i="23"/>
  <c r="F86" i="23"/>
  <c r="L86" i="23"/>
  <c r="H86" i="23"/>
  <c r="M86" i="23"/>
  <c r="N86" i="23"/>
  <c r="BC82" i="23"/>
  <c r="BC377" i="23" s="1"/>
  <c r="EI82" i="23"/>
  <c r="EI377" i="23" s="1"/>
  <c r="O31" i="12"/>
  <c r="E32" i="12"/>
  <c r="E36" i="12" s="1"/>
  <c r="DK82" i="23"/>
  <c r="DK377" i="23" s="1"/>
  <c r="K378" i="23"/>
  <c r="K346" i="23" s="1"/>
  <c r="M381" i="23"/>
  <c r="M358" i="23" s="1"/>
  <c r="M379" i="23"/>
  <c r="M350" i="23" s="1"/>
  <c r="M378" i="23"/>
  <c r="M346" i="23" s="1"/>
  <c r="M380" i="23"/>
  <c r="M354" i="23" s="1"/>
  <c r="H32" i="12"/>
  <c r="H36" i="12" s="1"/>
  <c r="L380" i="23"/>
  <c r="L354" i="23" s="1"/>
  <c r="L381" i="23"/>
  <c r="L358" i="23" s="1"/>
  <c r="L379" i="23"/>
  <c r="L350" i="23" s="1"/>
  <c r="L378" i="23"/>
  <c r="L346" i="23" s="1"/>
  <c r="F380" i="23"/>
  <c r="F354" i="23" s="1"/>
  <c r="F379" i="23"/>
  <c r="F350" i="23" s="1"/>
  <c r="F381" i="23"/>
  <c r="F358" i="23" s="1"/>
  <c r="F378" i="23"/>
  <c r="F346" i="23" s="1"/>
  <c r="V376" i="23"/>
  <c r="V361" i="23" s="1"/>
  <c r="DW82" i="23"/>
  <c r="DW377" i="23" s="1"/>
  <c r="BO82" i="23"/>
  <c r="BO377" i="23" s="1"/>
  <c r="E378" i="23"/>
  <c r="E380" i="23"/>
  <c r="O377" i="23"/>
  <c r="E379" i="23"/>
  <c r="E381" i="23"/>
  <c r="E358" i="23" s="1"/>
  <c r="J86" i="23"/>
  <c r="H379" i="23"/>
  <c r="H350" i="23" s="1"/>
  <c r="H378" i="23"/>
  <c r="H346" i="23" s="1"/>
  <c r="H380" i="23"/>
  <c r="H354" i="23" s="1"/>
  <c r="H381" i="23"/>
  <c r="H358" i="23" s="1"/>
  <c r="I32" i="12"/>
  <c r="I36" i="12" s="1"/>
  <c r="AE82" i="23"/>
  <c r="AE377" i="23" s="1"/>
  <c r="AQ82" i="23"/>
  <c r="AQ377" i="23" s="1"/>
  <c r="CA82" i="23"/>
  <c r="CA377" i="23" s="1"/>
  <c r="N32" i="12"/>
  <c r="N36" i="12" s="1"/>
  <c r="CY82" i="23"/>
  <c r="CY377" i="23" s="1"/>
  <c r="J380" i="23"/>
  <c r="J354" i="23" s="1"/>
  <c r="J379" i="23"/>
  <c r="J350" i="23" s="1"/>
  <c r="J378" i="23"/>
  <c r="J346" i="23" s="1"/>
  <c r="J381" i="23"/>
  <c r="J358" i="23" s="1"/>
  <c r="J32" i="12"/>
  <c r="J36" i="12" s="1"/>
  <c r="I379" i="23"/>
  <c r="I350" i="23" s="1"/>
  <c r="I378" i="23"/>
  <c r="I346" i="23" s="1"/>
  <c r="I380" i="23"/>
  <c r="I354" i="23" s="1"/>
  <c r="I381" i="23"/>
  <c r="I358" i="23" s="1"/>
  <c r="G380" i="23"/>
  <c r="G354" i="23" s="1"/>
  <c r="G381" i="23"/>
  <c r="G358" i="23" s="1"/>
  <c r="G379" i="23"/>
  <c r="G350" i="23" s="1"/>
  <c r="G378" i="23"/>
  <c r="G346" i="23" s="1"/>
  <c r="E86" i="23"/>
  <c r="CM82" i="23"/>
  <c r="CM377" i="23" s="1"/>
  <c r="N378" i="23"/>
  <c r="N346" i="23" s="1"/>
  <c r="N381" i="23"/>
  <c r="N358" i="23" s="1"/>
  <c r="N380" i="23"/>
  <c r="N354" i="23" s="1"/>
  <c r="N379" i="23"/>
  <c r="N350" i="23" s="1"/>
  <c r="S410" i="23"/>
  <c r="S409" i="23"/>
  <c r="D317" i="23"/>
  <c r="D403" i="23"/>
  <c r="U382" i="23"/>
  <c r="AA223" i="23"/>
  <c r="V102" i="23"/>
  <c r="V246" i="23"/>
  <c r="V247" i="23" s="1"/>
  <c r="W241" i="23" s="1"/>
  <c r="T390" i="23"/>
  <c r="DW86" i="23" l="1"/>
  <c r="AQ86" i="23"/>
  <c r="BO86" i="23"/>
  <c r="AE86" i="23"/>
  <c r="AE114" i="23" s="1"/>
  <c r="AF114" i="23" s="1"/>
  <c r="AG114" i="23" s="1"/>
  <c r="AH114" i="23" s="1"/>
  <c r="AI114" i="23" s="1"/>
  <c r="AJ114" i="23" s="1"/>
  <c r="AK114" i="23" s="1"/>
  <c r="AL114" i="23" s="1"/>
  <c r="AM114" i="23" s="1"/>
  <c r="AN114" i="23" s="1"/>
  <c r="AO114" i="23" s="1"/>
  <c r="AP114" i="23" s="1"/>
  <c r="DK86" i="23"/>
  <c r="BC86" i="23"/>
  <c r="CM86" i="23"/>
  <c r="CY86" i="23"/>
  <c r="EI86" i="23"/>
  <c r="K379" i="23"/>
  <c r="O379" i="23" s="1"/>
  <c r="CA86" i="23"/>
  <c r="DK381" i="23"/>
  <c r="DK358" i="23" s="1"/>
  <c r="DK379" i="23"/>
  <c r="DK350" i="23" s="1"/>
  <c r="DK380" i="23"/>
  <c r="DK354" i="23" s="1"/>
  <c r="DK378" i="23"/>
  <c r="DK346" i="23" s="1"/>
  <c r="O36" i="12"/>
  <c r="E346" i="23"/>
  <c r="O346" i="23" s="1"/>
  <c r="O378" i="23"/>
  <c r="AE380" i="23"/>
  <c r="AE354" i="23" s="1"/>
  <c r="AE381" i="23"/>
  <c r="AE358" i="23" s="1"/>
  <c r="AE378" i="23"/>
  <c r="AE346" i="23" s="1"/>
  <c r="AE379" i="23"/>
  <c r="AE350" i="23" s="1"/>
  <c r="DW380" i="23"/>
  <c r="DW354" i="23" s="1"/>
  <c r="DW381" i="23"/>
  <c r="DW358" i="23" s="1"/>
  <c r="DW378" i="23"/>
  <c r="DW346" i="23" s="1"/>
  <c r="DW379" i="23"/>
  <c r="DW350" i="23" s="1"/>
  <c r="O32" i="12"/>
  <c r="CM378" i="23"/>
  <c r="CM346" i="23" s="1"/>
  <c r="CM379" i="23"/>
  <c r="CM350" i="23" s="1"/>
  <c r="CM381" i="23"/>
  <c r="CM358" i="23" s="1"/>
  <c r="CM380" i="23"/>
  <c r="CM354" i="23" s="1"/>
  <c r="AQ378" i="23"/>
  <c r="AQ346" i="23" s="1"/>
  <c r="AQ379" i="23"/>
  <c r="AQ350" i="23" s="1"/>
  <c r="AQ380" i="23"/>
  <c r="AQ354" i="23" s="1"/>
  <c r="AQ381" i="23"/>
  <c r="AQ358" i="23" s="1"/>
  <c r="EI379" i="23"/>
  <c r="EI350" i="23" s="1"/>
  <c r="EI378" i="23"/>
  <c r="EI346" i="23" s="1"/>
  <c r="EI380" i="23"/>
  <c r="EI354" i="23" s="1"/>
  <c r="EI381" i="23"/>
  <c r="EI358" i="23" s="1"/>
  <c r="CY378" i="23"/>
  <c r="CY346" i="23" s="1"/>
  <c r="E350" i="23"/>
  <c r="BO380" i="23"/>
  <c r="BO354" i="23" s="1"/>
  <c r="BO381" i="23"/>
  <c r="BO358" i="23" s="1"/>
  <c r="BO379" i="23"/>
  <c r="BO350" i="23" s="1"/>
  <c r="BO378" i="23"/>
  <c r="BO346" i="23" s="1"/>
  <c r="M7" i="7"/>
  <c r="A124" i="25"/>
  <c r="A125" i="25" s="1"/>
  <c r="E114" i="23"/>
  <c r="F114" i="23" s="1"/>
  <c r="G114" i="23" s="1"/>
  <c r="H114" i="23" s="1"/>
  <c r="I114" i="23" s="1"/>
  <c r="J114" i="23" s="1"/>
  <c r="K114" i="23" s="1"/>
  <c r="C86" i="23"/>
  <c r="CA381" i="23"/>
  <c r="CA358" i="23" s="1"/>
  <c r="CA380" i="23"/>
  <c r="CA354" i="23" s="1"/>
  <c r="CA378" i="23"/>
  <c r="CA346" i="23" s="1"/>
  <c r="CA379" i="23"/>
  <c r="CA350" i="23" s="1"/>
  <c r="E354" i="23"/>
  <c r="BC378" i="23"/>
  <c r="BC346" i="23" s="1"/>
  <c r="BC379" i="23"/>
  <c r="BC350" i="23" s="1"/>
  <c r="BC380" i="23"/>
  <c r="BC354" i="23" s="1"/>
  <c r="BC381" i="23"/>
  <c r="BC358" i="23" s="1"/>
  <c r="V103" i="23"/>
  <c r="V104" i="23" s="1"/>
  <c r="V108" i="23" s="1"/>
  <c r="T364" i="23"/>
  <c r="D318" i="23"/>
  <c r="U362" i="23"/>
  <c r="V407" i="23"/>
  <c r="V405" i="23" s="1"/>
  <c r="W242" i="23"/>
  <c r="W244" i="23" s="1"/>
  <c r="AA224" i="23"/>
  <c r="AB220" i="23" s="1"/>
  <c r="AQ114" i="23" l="1"/>
  <c r="AR114" i="23" s="1"/>
  <c r="AS114" i="23" s="1"/>
  <c r="AT114" i="23" s="1"/>
  <c r="AU114" i="23" s="1"/>
  <c r="AV114" i="23" s="1"/>
  <c r="AW114" i="23" s="1"/>
  <c r="AX114" i="23" s="1"/>
  <c r="AY114" i="23" s="1"/>
  <c r="AZ114" i="23" s="1"/>
  <c r="BA114" i="23" s="1"/>
  <c r="BB114" i="23" s="1"/>
  <c r="BC114" i="23" s="1"/>
  <c r="BD114" i="23" s="1"/>
  <c r="BE114" i="23" s="1"/>
  <c r="BF114" i="23" s="1"/>
  <c r="BG114" i="23" s="1"/>
  <c r="BH114" i="23" s="1"/>
  <c r="BI114" i="23" s="1"/>
  <c r="BJ114" i="23" s="1"/>
  <c r="BK114" i="23" s="1"/>
  <c r="BL114" i="23" s="1"/>
  <c r="BM114" i="23" s="1"/>
  <c r="BN114" i="23" s="1"/>
  <c r="BO114" i="23" s="1"/>
  <c r="BP114" i="23" s="1"/>
  <c r="BQ114" i="23" s="1"/>
  <c r="BR114" i="23" s="1"/>
  <c r="BS114" i="23" s="1"/>
  <c r="BT114" i="23" s="1"/>
  <c r="BU114" i="23" s="1"/>
  <c r="BV114" i="23" s="1"/>
  <c r="BW114" i="23" s="1"/>
  <c r="BX114" i="23" s="1"/>
  <c r="BY114" i="23" s="1"/>
  <c r="BZ114" i="23" s="1"/>
  <c r="CA114" i="23" s="1"/>
  <c r="CB114" i="23" s="1"/>
  <c r="CC114" i="23" s="1"/>
  <c r="CD114" i="23" s="1"/>
  <c r="CE114" i="23" s="1"/>
  <c r="CF114" i="23" s="1"/>
  <c r="CG114" i="23" s="1"/>
  <c r="CH114" i="23" s="1"/>
  <c r="CI114" i="23" s="1"/>
  <c r="CJ114" i="23" s="1"/>
  <c r="CK114" i="23" s="1"/>
  <c r="CL114" i="23" s="1"/>
  <c r="CM114" i="23" s="1"/>
  <c r="CN114" i="23" s="1"/>
  <c r="CO114" i="23" s="1"/>
  <c r="CP114" i="23" s="1"/>
  <c r="CQ114" i="23" s="1"/>
  <c r="CR114" i="23" s="1"/>
  <c r="CS114" i="23" s="1"/>
  <c r="CT114" i="23" s="1"/>
  <c r="CU114" i="23" s="1"/>
  <c r="CV114" i="23" s="1"/>
  <c r="CW114" i="23" s="1"/>
  <c r="CX114" i="23" s="1"/>
  <c r="CY114" i="23" s="1"/>
  <c r="CZ114" i="23" s="1"/>
  <c r="DA114" i="23" s="1"/>
  <c r="DB114" i="23" s="1"/>
  <c r="DC114" i="23" s="1"/>
  <c r="DD114" i="23" s="1"/>
  <c r="DE114" i="23" s="1"/>
  <c r="DF114" i="23" s="1"/>
  <c r="DG114" i="23" s="1"/>
  <c r="DH114" i="23" s="1"/>
  <c r="DI114" i="23" s="1"/>
  <c r="DJ114" i="23" s="1"/>
  <c r="DK114" i="23" s="1"/>
  <c r="DL114" i="23" s="1"/>
  <c r="DM114" i="23" s="1"/>
  <c r="DN114" i="23" s="1"/>
  <c r="DO114" i="23" s="1"/>
  <c r="DP114" i="23" s="1"/>
  <c r="DQ114" i="23" s="1"/>
  <c r="DR114" i="23" s="1"/>
  <c r="DS114" i="23" s="1"/>
  <c r="DT114" i="23" s="1"/>
  <c r="DU114" i="23" s="1"/>
  <c r="DV114" i="23" s="1"/>
  <c r="DW114" i="23" s="1"/>
  <c r="DX114" i="23" s="1"/>
  <c r="DY114" i="23" s="1"/>
  <c r="DZ114" i="23" s="1"/>
  <c r="EA114" i="23" s="1"/>
  <c r="EB114" i="23" s="1"/>
  <c r="EC114" i="23" s="1"/>
  <c r="ED114" i="23" s="1"/>
  <c r="EE114" i="23" s="1"/>
  <c r="EF114" i="23" s="1"/>
  <c r="EG114" i="23" s="1"/>
  <c r="EH114" i="23" s="1"/>
  <c r="EI114" i="23" s="1"/>
  <c r="CY379" i="23"/>
  <c r="CY350" i="23" s="1"/>
  <c r="K350" i="23"/>
  <c r="O350" i="23" s="1"/>
  <c r="K380" i="23"/>
  <c r="C36" i="12"/>
  <c r="Q252" i="16"/>
  <c r="Z252" i="16" s="1"/>
  <c r="AZ17" i="25"/>
  <c r="Q226" i="16"/>
  <c r="N23" i="13" s="1"/>
  <c r="H225" i="16"/>
  <c r="P7" i="7"/>
  <c r="O7" i="7"/>
  <c r="L114" i="23"/>
  <c r="M114" i="23" s="1"/>
  <c r="N114" i="23" s="1"/>
  <c r="O114" i="23"/>
  <c r="Q237" i="16" s="1"/>
  <c r="N24" i="13" s="1"/>
  <c r="W374" i="23"/>
  <c r="W245" i="23"/>
  <c r="V360" i="23"/>
  <c r="U385" i="23"/>
  <c r="T395" i="23"/>
  <c r="D402" i="23"/>
  <c r="D122" i="23"/>
  <c r="AB222" i="23"/>
  <c r="AB223" i="23" s="1"/>
  <c r="W101" i="23"/>
  <c r="W100" i="23" s="1"/>
  <c r="W338" i="23"/>
  <c r="W334" i="23" s="1"/>
  <c r="D404" i="23"/>
  <c r="D319" i="23"/>
  <c r="E315" i="23" s="1"/>
  <c r="V408" i="23"/>
  <c r="CY380" i="23" l="1"/>
  <c r="CY354" i="23" s="1"/>
  <c r="K354" i="23"/>
  <c r="O354" i="23" s="1"/>
  <c r="O380" i="23"/>
  <c r="K381" i="23"/>
  <c r="T365" i="23"/>
  <c r="T400" i="23" s="1"/>
  <c r="T366" i="23" s="1"/>
  <c r="W375" i="23"/>
  <c r="W340" i="23" s="1"/>
  <c r="U363" i="23"/>
  <c r="AB224" i="23"/>
  <c r="AC220" i="23" s="1"/>
  <c r="V382" i="23"/>
  <c r="D61" i="12"/>
  <c r="W330" i="23"/>
  <c r="D401" i="23"/>
  <c r="D410" i="23" s="1"/>
  <c r="C9" i="14"/>
  <c r="C20" i="14" s="1"/>
  <c r="W243" i="23"/>
  <c r="CY381" i="23" l="1"/>
  <c r="CY358" i="23" s="1"/>
  <c r="T308" i="23"/>
  <c r="T316" i="23" s="1"/>
  <c r="K358" i="23"/>
  <c r="O358" i="23" s="1"/>
  <c r="H47" i="14" s="1"/>
  <c r="I47" i="14" s="1"/>
  <c r="O381" i="23"/>
  <c r="D409" i="23"/>
  <c r="W102" i="23"/>
  <c r="W246" i="23"/>
  <c r="W247" i="23" s="1"/>
  <c r="X241" i="23" s="1"/>
  <c r="AC222" i="23"/>
  <c r="T368" i="23"/>
  <c r="T367" i="23"/>
  <c r="W376" i="23"/>
  <c r="V362" i="23"/>
  <c r="E14" i="14"/>
  <c r="E20" i="14"/>
  <c r="E15" i="14"/>
  <c r="E12" i="14"/>
  <c r="E13" i="14"/>
  <c r="E9" i="14"/>
  <c r="E18" i="14"/>
  <c r="BB14" i="25" s="1"/>
  <c r="U390" i="23"/>
  <c r="T309" i="23" l="1"/>
  <c r="T310" i="23" s="1"/>
  <c r="U307" i="23" s="1"/>
  <c r="X242" i="23"/>
  <c r="X244" i="23" s="1"/>
  <c r="W361" i="23"/>
  <c r="U364" i="23"/>
  <c r="W103" i="23"/>
  <c r="W407" i="23"/>
  <c r="W405" i="23" s="1"/>
  <c r="AC223" i="23"/>
  <c r="AC224" i="23" s="1"/>
  <c r="AD220" i="23" s="1"/>
  <c r="V385" i="23"/>
  <c r="T403" i="23" l="1"/>
  <c r="T317" i="23"/>
  <c r="T318" i="23" s="1"/>
  <c r="T319" i="23" s="1"/>
  <c r="U315" i="23" s="1"/>
  <c r="W408" i="23"/>
  <c r="AD222" i="23"/>
  <c r="U395" i="23"/>
  <c r="V363" i="23"/>
  <c r="W104" i="23"/>
  <c r="W108" i="23" s="1"/>
  <c r="X374" i="23"/>
  <c r="X245" i="23"/>
  <c r="X101" i="23"/>
  <c r="X100" i="23" s="1"/>
  <c r="X338" i="23"/>
  <c r="X334" i="23" s="1"/>
  <c r="T404" i="23" l="1"/>
  <c r="T122" i="23"/>
  <c r="T123" i="23" s="1"/>
  <c r="T402" i="23"/>
  <c r="U365" i="23"/>
  <c r="U400" i="23" s="1"/>
  <c r="U366" i="23" s="1"/>
  <c r="W360" i="23"/>
  <c r="V390" i="23"/>
  <c r="AD223" i="23"/>
  <c r="X375" i="23"/>
  <c r="X340" i="23" s="1"/>
  <c r="X330" i="23"/>
  <c r="X243" i="23"/>
  <c r="T401" i="23" l="1"/>
  <c r="T410" i="23" s="1"/>
  <c r="X376" i="23"/>
  <c r="X361" i="23" s="1"/>
  <c r="X102" i="23"/>
  <c r="X246" i="23"/>
  <c r="U367" i="23"/>
  <c r="U368" i="23"/>
  <c r="V364" i="23"/>
  <c r="W382" i="23"/>
  <c r="T409" i="23"/>
  <c r="U308" i="23"/>
  <c r="AD224" i="23"/>
  <c r="AE220" i="23" s="1"/>
  <c r="V395" i="23" l="1"/>
  <c r="X103" i="23"/>
  <c r="X104" i="23" s="1"/>
  <c r="X108" i="23" s="1"/>
  <c r="U316" i="23"/>
  <c r="U309" i="23"/>
  <c r="X407" i="23"/>
  <c r="X405" i="23" s="1"/>
  <c r="W362" i="23"/>
  <c r="AE222" i="23"/>
  <c r="AE223" i="23" s="1"/>
  <c r="X247" i="23"/>
  <c r="Y241" i="23" s="1"/>
  <c r="X360" i="23" l="1"/>
  <c r="U403" i="23"/>
  <c r="U317" i="23"/>
  <c r="U318" i="23" s="1"/>
  <c r="U310" i="23"/>
  <c r="V307" i="23" s="1"/>
  <c r="AE224" i="23"/>
  <c r="AF220" i="23" s="1"/>
  <c r="W385" i="23"/>
  <c r="X408" i="23"/>
  <c r="Y242" i="23"/>
  <c r="V365" i="23"/>
  <c r="V400" i="23" s="1"/>
  <c r="V366" i="23" s="1"/>
  <c r="W363" i="23" l="1"/>
  <c r="V367" i="23"/>
  <c r="V368" i="23"/>
  <c r="U404" i="23"/>
  <c r="AF222" i="23"/>
  <c r="V308" i="23"/>
  <c r="V316" i="23" s="1"/>
  <c r="Y101" i="23"/>
  <c r="Y100" i="23" s="1"/>
  <c r="Y338" i="23"/>
  <c r="Y334" i="23" s="1"/>
  <c r="U402" i="23"/>
  <c r="U122" i="23"/>
  <c r="U319" i="23"/>
  <c r="V315" i="23" s="1"/>
  <c r="Y244" i="23"/>
  <c r="X382" i="23"/>
  <c r="X362" i="23" l="1"/>
  <c r="Y374" i="23"/>
  <c r="Y245" i="23"/>
  <c r="W390" i="23"/>
  <c r="AF223" i="23"/>
  <c r="AF224" i="23" s="1"/>
  <c r="AG220" i="23" s="1"/>
  <c r="V309" i="23"/>
  <c r="V310" i="23" s="1"/>
  <c r="W307" i="23" s="1"/>
  <c r="U123" i="23"/>
  <c r="U401" i="23"/>
  <c r="U410" i="23" s="1"/>
  <c r="Y375" i="23" l="1"/>
  <c r="Y340" i="23" s="1"/>
  <c r="U409" i="23"/>
  <c r="AG222" i="23"/>
  <c r="X385" i="23"/>
  <c r="Y330" i="23"/>
  <c r="Y376" i="23"/>
  <c r="Y361" i="23" s="1"/>
  <c r="Y243" i="23"/>
  <c r="V403" i="23"/>
  <c r="V317" i="23"/>
  <c r="W364" i="23"/>
  <c r="W395" i="23" l="1"/>
  <c r="Y102" i="23"/>
  <c r="Y246" i="23"/>
  <c r="Y103" i="23" s="1"/>
  <c r="Y408" i="23" s="1"/>
  <c r="V318" i="23"/>
  <c r="V319" i="23" s="1"/>
  <c r="W315" i="23" s="1"/>
  <c r="X363" i="23"/>
  <c r="AG223" i="23"/>
  <c r="X390" i="23" l="1"/>
  <c r="V402" i="23"/>
  <c r="V122" i="23"/>
  <c r="V404" i="23"/>
  <c r="Y407" i="23"/>
  <c r="Y405" i="23" s="1"/>
  <c r="Y104" i="23"/>
  <c r="Y108" i="23" s="1"/>
  <c r="W365" i="23"/>
  <c r="W400" i="23" s="1"/>
  <c r="W366" i="23" s="1"/>
  <c r="Y247" i="23"/>
  <c r="Z241" i="23" s="1"/>
  <c r="AG224" i="23"/>
  <c r="AH220" i="23" s="1"/>
  <c r="Y360" i="23" l="1"/>
  <c r="V401" i="23"/>
  <c r="W308" i="23"/>
  <c r="V123" i="23"/>
  <c r="AH222" i="23"/>
  <c r="W367" i="23"/>
  <c r="W368" i="23"/>
  <c r="V409" i="23"/>
  <c r="V410" i="23"/>
  <c r="X364" i="23"/>
  <c r="Z242" i="23"/>
  <c r="Z244" i="23" s="1"/>
  <c r="X395" i="23" l="1"/>
  <c r="W316" i="23"/>
  <c r="W309" i="23"/>
  <c r="W310" i="23" s="1"/>
  <c r="X307" i="23" s="1"/>
  <c r="AH223" i="23"/>
  <c r="AH224" i="23" s="1"/>
  <c r="AI220" i="23" s="1"/>
  <c r="Z374" i="23"/>
  <c r="Z245" i="23"/>
  <c r="Z101" i="23"/>
  <c r="Z100" i="23" s="1"/>
  <c r="Z338" i="23"/>
  <c r="Z334" i="23" s="1"/>
  <c r="Y382" i="23"/>
  <c r="Z375" i="23" l="1"/>
  <c r="Z340" i="23" s="1"/>
  <c r="AI222" i="23"/>
  <c r="Z330" i="23"/>
  <c r="Z243" i="23"/>
  <c r="Y362" i="23"/>
  <c r="W317" i="23"/>
  <c r="W403" i="23"/>
  <c r="X365" i="23"/>
  <c r="X400" i="23" s="1"/>
  <c r="X366" i="23" s="1"/>
  <c r="Z376" i="23" l="1"/>
  <c r="Z361" i="23" s="1"/>
  <c r="X308" i="23"/>
  <c r="X316" i="23" s="1"/>
  <c r="Z102" i="23"/>
  <c r="Z246" i="23"/>
  <c r="Z103" i="23" s="1"/>
  <c r="Z408" i="23" s="1"/>
  <c r="X367" i="23"/>
  <c r="X368" i="23"/>
  <c r="W318" i="23"/>
  <c r="W319" i="23" s="1"/>
  <c r="X315" i="23" s="1"/>
  <c r="Y385" i="23"/>
  <c r="AI223" i="23"/>
  <c r="AI224" i="23" s="1"/>
  <c r="AJ220" i="23" s="1"/>
  <c r="X309" i="23" l="1"/>
  <c r="X310" i="23" s="1"/>
  <c r="Y307" i="23" s="1"/>
  <c r="AJ222" i="23"/>
  <c r="W402" i="23"/>
  <c r="W122" i="23"/>
  <c r="Y363" i="23"/>
  <c r="Z247" i="23"/>
  <c r="AA241" i="23" s="1"/>
  <c r="Z407" i="23"/>
  <c r="Z405" i="23" s="1"/>
  <c r="Z104" i="23"/>
  <c r="Z108" i="23" s="1"/>
  <c r="W404" i="23"/>
  <c r="X403" i="23" l="1"/>
  <c r="X317" i="23"/>
  <c r="X318" i="23" s="1"/>
  <c r="X402" i="23" s="1"/>
  <c r="W401" i="23"/>
  <c r="Y390" i="23"/>
  <c r="W123" i="23"/>
  <c r="W409" i="23"/>
  <c r="W410" i="23"/>
  <c r="Z360" i="23"/>
  <c r="AA242" i="23"/>
  <c r="AA244" i="23" s="1"/>
  <c r="AJ223" i="23"/>
  <c r="X404" i="23" l="1"/>
  <c r="X401" i="23" s="1"/>
  <c r="X410" i="23" s="1"/>
  <c r="X122" i="23"/>
  <c r="X123" i="23" s="1"/>
  <c r="X319" i="23"/>
  <c r="Y315" i="23" s="1"/>
  <c r="AA374" i="23"/>
  <c r="AA245" i="23"/>
  <c r="AJ224" i="23"/>
  <c r="AK220" i="23" s="1"/>
  <c r="Z382" i="23"/>
  <c r="AA101" i="23"/>
  <c r="AA100" i="23" s="1"/>
  <c r="AA338" i="23"/>
  <c r="AA334" i="23" s="1"/>
  <c r="Y364" i="23"/>
  <c r="AA375" i="23" l="1"/>
  <c r="AA340" i="23" s="1"/>
  <c r="X409" i="23"/>
  <c r="Z362" i="23"/>
  <c r="Y395" i="23"/>
  <c r="AK222" i="23"/>
  <c r="AA330" i="23"/>
  <c r="AA243" i="23"/>
  <c r="AA376" i="23" l="1"/>
  <c r="AA361" i="23" s="1"/>
  <c r="Y365" i="23"/>
  <c r="Y400" i="23" s="1"/>
  <c r="Y366" i="23" s="1"/>
  <c r="AA102" i="23"/>
  <c r="AA246" i="23"/>
  <c r="AA103" i="23" s="1"/>
  <c r="AA408" i="23" s="1"/>
  <c r="AK223" i="23"/>
  <c r="Z385" i="23"/>
  <c r="Y367" i="23" l="1"/>
  <c r="Y368" i="23"/>
  <c r="AA247" i="23"/>
  <c r="AB241" i="23" s="1"/>
  <c r="Y308" i="23"/>
  <c r="Z363" i="23"/>
  <c r="AK224" i="23"/>
  <c r="AL220" i="23" s="1"/>
  <c r="AA407" i="23"/>
  <c r="AA405" i="23" s="1"/>
  <c r="AA104" i="23"/>
  <c r="AA108" i="23" s="1"/>
  <c r="Y316" i="23" l="1"/>
  <c r="Y309" i="23"/>
  <c r="Y310" i="23" s="1"/>
  <c r="Z307" i="23" s="1"/>
  <c r="AA360" i="23"/>
  <c r="AL222" i="23"/>
  <c r="Z390" i="23"/>
  <c r="AB242" i="23"/>
  <c r="AB101" i="23" l="1"/>
  <c r="AB100" i="23" s="1"/>
  <c r="AB338" i="23"/>
  <c r="AB334" i="23" s="1"/>
  <c r="Y403" i="23"/>
  <c r="Y317" i="23"/>
  <c r="Y318" i="23" s="1"/>
  <c r="Y319" i="23" s="1"/>
  <c r="Z315" i="23" s="1"/>
  <c r="Z364" i="23"/>
  <c r="AL223" i="23"/>
  <c r="AA382" i="23"/>
  <c r="AB244" i="23"/>
  <c r="Z395" i="23" l="1"/>
  <c r="Y404" i="23"/>
  <c r="Y402" i="23"/>
  <c r="Y122" i="23"/>
  <c r="AB374" i="23"/>
  <c r="AB245" i="23"/>
  <c r="AA362" i="23"/>
  <c r="AL224" i="23"/>
  <c r="AM220" i="23" s="1"/>
  <c r="AB375" i="23" l="1"/>
  <c r="AB340" i="23" s="1"/>
  <c r="Y401" i="23"/>
  <c r="Y410" i="23" s="1"/>
  <c r="Y123" i="23"/>
  <c r="AA385" i="23"/>
  <c r="AB330" i="23"/>
  <c r="AB243" i="23"/>
  <c r="AM222" i="23"/>
  <c r="AM223" i="23" s="1"/>
  <c r="Z365" i="23"/>
  <c r="Z400" i="23" s="1"/>
  <c r="Z366" i="23" s="1"/>
  <c r="AB376" i="23" l="1"/>
  <c r="AB361" i="23" s="1"/>
  <c r="Y409" i="23"/>
  <c r="Z308" i="23"/>
  <c r="Z316" i="23" s="1"/>
  <c r="AB102" i="23"/>
  <c r="AB246" i="23"/>
  <c r="AB103" i="23" s="1"/>
  <c r="AB408" i="23" s="1"/>
  <c r="AA363" i="23"/>
  <c r="Z368" i="23"/>
  <c r="Z367" i="23"/>
  <c r="AM224" i="23"/>
  <c r="AN220" i="23" s="1"/>
  <c r="Z309" i="23" l="1"/>
  <c r="Z310" i="23" s="1"/>
  <c r="AA307" i="23" s="1"/>
  <c r="AB247" i="23"/>
  <c r="AC241" i="23" s="1"/>
  <c r="AC242" i="23" s="1"/>
  <c r="AN222" i="23"/>
  <c r="AA390" i="23"/>
  <c r="AB407" i="23"/>
  <c r="AB405" i="23" s="1"/>
  <c r="AB104" i="23"/>
  <c r="AB108" i="23" s="1"/>
  <c r="Z317" i="23" l="1"/>
  <c r="Z318" i="23" s="1"/>
  <c r="Z319" i="23" s="1"/>
  <c r="AA315" i="23" s="1"/>
  <c r="Z403" i="23"/>
  <c r="AC101" i="23"/>
  <c r="AC100" i="23" s="1"/>
  <c r="AC338" i="23"/>
  <c r="AC334" i="23" s="1"/>
  <c r="AA364" i="23"/>
  <c r="AN223" i="23"/>
  <c r="AB360" i="23"/>
  <c r="AC244" i="23"/>
  <c r="Z122" i="23" l="1"/>
  <c r="Z123" i="23" s="1"/>
  <c r="Z402" i="23"/>
  <c r="Z404" i="23"/>
  <c r="AN224" i="23"/>
  <c r="AO220" i="23" s="1"/>
  <c r="AC374" i="23"/>
  <c r="AC245" i="23"/>
  <c r="AB382" i="23"/>
  <c r="AA395" i="23"/>
  <c r="AC375" i="23" l="1"/>
  <c r="AC340" i="23" s="1"/>
  <c r="Z401" i="23"/>
  <c r="Z409" i="23" s="1"/>
  <c r="AO222" i="23"/>
  <c r="AA365" i="23"/>
  <c r="AA400" i="23" s="1"/>
  <c r="AA366" i="23" s="1"/>
  <c r="AB362" i="23"/>
  <c r="AC330" i="23"/>
  <c r="AC243" i="23"/>
  <c r="AC376" i="23" l="1"/>
  <c r="AC361" i="23" s="1"/>
  <c r="Z410" i="23"/>
  <c r="AB385" i="23"/>
  <c r="AA308" i="23"/>
  <c r="AC102" i="23"/>
  <c r="AC246" i="23"/>
  <c r="AC103" i="23" s="1"/>
  <c r="AC408" i="23" s="1"/>
  <c r="AA368" i="23"/>
  <c r="AA367" i="23"/>
  <c r="AO223" i="23"/>
  <c r="AC247" i="23" l="1"/>
  <c r="AD241" i="23" s="1"/>
  <c r="AD242" i="23" s="1"/>
  <c r="AD244" i="23" s="1"/>
  <c r="AA316" i="23"/>
  <c r="AA309" i="23"/>
  <c r="AB363" i="23"/>
  <c r="AC407" i="23"/>
  <c r="AC405" i="23" s="1"/>
  <c r="AC104" i="23"/>
  <c r="AC108" i="23" s="1"/>
  <c r="AO224" i="23"/>
  <c r="AP220" i="23" s="1"/>
  <c r="AC360" i="23" l="1"/>
  <c r="AP222" i="23"/>
  <c r="AP223" i="23" s="1"/>
  <c r="AA317" i="23"/>
  <c r="AA403" i="23"/>
  <c r="AD374" i="23"/>
  <c r="AD245" i="23"/>
  <c r="AB390" i="23"/>
  <c r="AA310" i="23"/>
  <c r="AB307" i="23" s="1"/>
  <c r="AD101" i="23"/>
  <c r="AD100" i="23" s="1"/>
  <c r="AD338" i="23"/>
  <c r="AD334" i="23" s="1"/>
  <c r="AD375" i="23" l="1"/>
  <c r="AD340" i="23" s="1"/>
  <c r="AD243" i="23"/>
  <c r="AP224" i="23"/>
  <c r="AQ220" i="23" s="1"/>
  <c r="AD330" i="23"/>
  <c r="AA318" i="23"/>
  <c r="AA319" i="23" s="1"/>
  <c r="AB315" i="23" s="1"/>
  <c r="AB364" i="23"/>
  <c r="AC382" i="23"/>
  <c r="AD376" i="23" l="1"/>
  <c r="AD361" i="23" s="1"/>
  <c r="AQ222" i="23"/>
  <c r="AC362" i="23"/>
  <c r="AA402" i="23"/>
  <c r="AA122" i="23"/>
  <c r="AD102" i="23"/>
  <c r="AD246" i="23"/>
  <c r="AD103" i="23" s="1"/>
  <c r="AD408" i="23" s="1"/>
  <c r="AB395" i="23"/>
  <c r="AA404" i="23"/>
  <c r="AD247" i="23" l="1"/>
  <c r="AE241" i="23" s="1"/>
  <c r="AE242" i="23" s="1"/>
  <c r="AE244" i="23" s="1"/>
  <c r="AA401" i="23"/>
  <c r="AA410" i="23" s="1"/>
  <c r="AD407" i="23"/>
  <c r="AD405" i="23" s="1"/>
  <c r="AD104" i="23"/>
  <c r="AD108" i="23" s="1"/>
  <c r="AA123" i="23"/>
  <c r="AA409" i="23"/>
  <c r="AB365" i="23"/>
  <c r="AB400" i="23" s="1"/>
  <c r="AB366" i="23" s="1"/>
  <c r="AC385" i="23"/>
  <c r="AQ223" i="23"/>
  <c r="AB308" i="23" l="1"/>
  <c r="AB316" i="23" s="1"/>
  <c r="AD360" i="23"/>
  <c r="AB368" i="23"/>
  <c r="AB367" i="23"/>
  <c r="AC363" i="23"/>
  <c r="AQ224" i="23"/>
  <c r="AR220" i="23" s="1"/>
  <c r="AE374" i="23"/>
  <c r="AE245" i="23"/>
  <c r="AE101" i="23"/>
  <c r="AE100" i="23" s="1"/>
  <c r="AE338" i="23"/>
  <c r="AE334" i="23" s="1"/>
  <c r="AE375" i="23" l="1"/>
  <c r="AE340" i="23" s="1"/>
  <c r="AB309" i="23"/>
  <c r="AB317" i="23" s="1"/>
  <c r="AB318" i="23" s="1"/>
  <c r="AR222" i="23"/>
  <c r="AC390" i="23"/>
  <c r="AD382" i="23"/>
  <c r="AE330" i="23"/>
  <c r="AE243" i="23"/>
  <c r="AE376" i="23" l="1"/>
  <c r="AE361" i="23" s="1"/>
  <c r="AB310" i="23"/>
  <c r="AC307" i="23" s="1"/>
  <c r="AB403" i="23"/>
  <c r="AB402" i="23"/>
  <c r="AB122" i="23"/>
  <c r="AB319" i="23"/>
  <c r="AC315" i="23" s="1"/>
  <c r="AD362" i="23"/>
  <c r="AE102" i="23"/>
  <c r="AE246" i="23"/>
  <c r="AE103" i="23" s="1"/>
  <c r="AE408" i="23" s="1"/>
  <c r="AC364" i="23"/>
  <c r="AR223" i="23"/>
  <c r="AR224" i="23" s="1"/>
  <c r="AS220" i="23" s="1"/>
  <c r="AB404" i="23"/>
  <c r="AE247" i="23" l="1"/>
  <c r="AF241" i="23" s="1"/>
  <c r="AF242" i="23" s="1"/>
  <c r="AS222" i="23"/>
  <c r="AE407" i="23"/>
  <c r="AE405" i="23" s="1"/>
  <c r="AE104" i="23"/>
  <c r="AE108" i="23" s="1"/>
  <c r="AB123" i="23"/>
  <c r="AD385" i="23"/>
  <c r="AC395" i="23"/>
  <c r="AB401" i="23"/>
  <c r="AB409" i="23" s="1"/>
  <c r="AB410" i="23" l="1"/>
  <c r="AF101" i="23"/>
  <c r="AF100" i="23" s="1"/>
  <c r="AF338" i="23"/>
  <c r="AF334" i="23" s="1"/>
  <c r="AF244" i="23"/>
  <c r="AE360" i="23"/>
  <c r="AD363" i="23"/>
  <c r="AC365" i="23"/>
  <c r="AC400" i="23" s="1"/>
  <c r="AC366" i="23" s="1"/>
  <c r="AS223" i="23"/>
  <c r="AC308" i="23" l="1"/>
  <c r="AC316" i="23" s="1"/>
  <c r="AF374" i="23"/>
  <c r="AF245" i="23"/>
  <c r="AD390" i="23"/>
  <c r="AE382" i="23"/>
  <c r="AC367" i="23"/>
  <c r="AC368" i="23"/>
  <c r="AS224" i="23"/>
  <c r="AT220" i="23" s="1"/>
  <c r="AC309" i="23" l="1"/>
  <c r="AC310" i="23" s="1"/>
  <c r="AD307" i="23" s="1"/>
  <c r="AD364" i="23"/>
  <c r="AT222" i="23"/>
  <c r="AT223" i="23" s="1"/>
  <c r="AF375" i="23"/>
  <c r="AF340" i="23" s="1"/>
  <c r="AF330" i="23"/>
  <c r="AE362" i="23"/>
  <c r="AF243" i="23"/>
  <c r="AC403" i="23" l="1"/>
  <c r="AC317" i="23"/>
  <c r="AC318" i="23" s="1"/>
  <c r="AC404" i="23" s="1"/>
  <c r="AF102" i="23"/>
  <c r="AF246" i="23"/>
  <c r="AF247" i="23" s="1"/>
  <c r="AG241" i="23" s="1"/>
  <c r="AD395" i="23"/>
  <c r="AT224" i="23"/>
  <c r="AU220" i="23" s="1"/>
  <c r="AE385" i="23"/>
  <c r="AF376" i="23"/>
  <c r="AC319" i="23" l="1"/>
  <c r="AD315" i="23" s="1"/>
  <c r="AG242" i="23"/>
  <c r="AG244" i="23" s="1"/>
  <c r="AF361" i="23"/>
  <c r="AD365" i="23"/>
  <c r="AD400" i="23" s="1"/>
  <c r="AD366" i="23" s="1"/>
  <c r="AC402" i="23"/>
  <c r="AC401" i="23" s="1"/>
  <c r="AC410" i="23" s="1"/>
  <c r="AC122" i="23"/>
  <c r="AF103" i="23"/>
  <c r="AF407" i="23"/>
  <c r="AF405" i="23" s="1"/>
  <c r="AE363" i="23"/>
  <c r="AU222" i="23"/>
  <c r="AU223" i="23" s="1"/>
  <c r="AC409" i="23" l="1"/>
  <c r="AD308" i="23"/>
  <c r="AD316" i="23" s="1"/>
  <c r="AU224" i="23"/>
  <c r="AV220" i="23" s="1"/>
  <c r="AF408" i="23"/>
  <c r="AC123" i="23"/>
  <c r="AG374" i="23"/>
  <c r="AG245" i="23"/>
  <c r="AF104" i="23"/>
  <c r="AF108" i="23" s="1"/>
  <c r="AD367" i="23"/>
  <c r="AD368" i="23"/>
  <c r="AE390" i="23"/>
  <c r="AG101" i="23"/>
  <c r="AG338" i="23"/>
  <c r="AG334" i="23" s="1"/>
  <c r="AD309" i="23" l="1"/>
  <c r="AD310" i="23" s="1"/>
  <c r="AE307" i="23" s="1"/>
  <c r="AF360" i="23"/>
  <c r="AG330" i="23"/>
  <c r="AG100" i="23"/>
  <c r="AE364" i="23"/>
  <c r="AV222" i="23"/>
  <c r="AG375" i="23"/>
  <c r="AG340" i="23" s="1"/>
  <c r="AG243" i="23"/>
  <c r="AD403" i="23" l="1"/>
  <c r="AD317" i="23"/>
  <c r="AD318" i="23" s="1"/>
  <c r="AD319" i="23" s="1"/>
  <c r="AE315" i="23" s="1"/>
  <c r="AG376" i="23"/>
  <c r="AG361" i="23" s="1"/>
  <c r="AE395" i="23"/>
  <c r="AG102" i="23"/>
  <c r="AG246" i="23"/>
  <c r="AG247" i="23" s="1"/>
  <c r="AH241" i="23" s="1"/>
  <c r="AV223" i="23"/>
  <c r="AF382" i="23"/>
  <c r="AD402" i="23" l="1"/>
  <c r="AD122" i="23"/>
  <c r="AD123" i="23" s="1"/>
  <c r="AD404" i="23"/>
  <c r="AE365" i="23"/>
  <c r="AE400" i="23" s="1"/>
  <c r="AE366" i="23" s="1"/>
  <c r="AF362" i="23"/>
  <c r="AH242" i="23"/>
  <c r="AG407" i="23"/>
  <c r="AG405" i="23" s="1"/>
  <c r="AV224" i="23"/>
  <c r="AW220" i="23" s="1"/>
  <c r="AG103" i="23"/>
  <c r="AD401" i="23" l="1"/>
  <c r="AD410" i="23" s="1"/>
  <c r="AE308" i="23"/>
  <c r="AE316" i="23" s="1"/>
  <c r="AG408" i="23"/>
  <c r="AH101" i="23"/>
  <c r="AH100" i="23" s="1"/>
  <c r="AH338" i="23"/>
  <c r="AH334" i="23" s="1"/>
  <c r="AW222" i="23"/>
  <c r="AH244" i="23"/>
  <c r="AF385" i="23"/>
  <c r="AG104" i="23"/>
  <c r="AG108" i="23" s="1"/>
  <c r="AE368" i="23"/>
  <c r="AE367" i="23"/>
  <c r="AD409" i="23" l="1"/>
  <c r="AE309" i="23"/>
  <c r="AE317" i="23" s="1"/>
  <c r="AF363" i="23"/>
  <c r="AG360" i="23"/>
  <c r="AH374" i="23"/>
  <c r="AH245" i="23"/>
  <c r="AW223" i="23"/>
  <c r="AE310" i="23" l="1"/>
  <c r="AF307" i="23" s="1"/>
  <c r="AE403" i="23"/>
  <c r="AH330" i="23"/>
  <c r="AH375" i="23"/>
  <c r="AH340" i="23" s="1"/>
  <c r="AG382" i="23"/>
  <c r="AE318" i="23"/>
  <c r="AE404" i="23" s="1"/>
  <c r="AF390" i="23"/>
  <c r="AW224" i="23"/>
  <c r="AX220" i="23" s="1"/>
  <c r="AH243" i="23"/>
  <c r="AG362" i="23" l="1"/>
  <c r="AH102" i="23"/>
  <c r="AH246" i="23"/>
  <c r="AX222" i="23"/>
  <c r="AH376" i="23"/>
  <c r="AH361" i="23" s="1"/>
  <c r="AE402" i="23"/>
  <c r="AE401" i="23" s="1"/>
  <c r="AE409" i="23" s="1"/>
  <c r="AE122" i="23"/>
  <c r="AF364" i="23"/>
  <c r="AE319" i="23"/>
  <c r="AF315" i="23" s="1"/>
  <c r="AE410" i="23" l="1"/>
  <c r="AH103" i="23"/>
  <c r="AH104" i="23" s="1"/>
  <c r="AH108" i="23" s="1"/>
  <c r="AX223" i="23"/>
  <c r="AH247" i="23"/>
  <c r="AI241" i="23" s="1"/>
  <c r="AE123" i="23"/>
  <c r="AH407" i="23"/>
  <c r="AH405" i="23" s="1"/>
  <c r="AF395" i="23"/>
  <c r="AG385" i="23"/>
  <c r="AH360" i="23" l="1"/>
  <c r="AF365" i="23"/>
  <c r="AF400" i="23" s="1"/>
  <c r="AF366" i="23" s="1"/>
  <c r="AG363" i="23"/>
  <c r="AI242" i="23"/>
  <c r="AX224" i="23"/>
  <c r="AY220" i="23" s="1"/>
  <c r="AH408" i="23"/>
  <c r="AF308" i="23" l="1"/>
  <c r="AF316" i="23" s="1"/>
  <c r="AY222" i="23"/>
  <c r="AI101" i="23"/>
  <c r="AI100" i="23" s="1"/>
  <c r="AI338" i="23"/>
  <c r="AI334" i="23" s="1"/>
  <c r="AI244" i="23"/>
  <c r="AG390" i="23"/>
  <c r="AF367" i="23"/>
  <c r="AF368" i="23"/>
  <c r="AH382" i="23"/>
  <c r="AF309" i="23" l="1"/>
  <c r="AF403" i="23" s="1"/>
  <c r="AG364" i="23"/>
  <c r="AI374" i="23"/>
  <c r="AI245" i="23"/>
  <c r="AH362" i="23"/>
  <c r="AY223" i="23"/>
  <c r="AF310" i="23" l="1"/>
  <c r="AG307" i="23" s="1"/>
  <c r="AF317" i="23"/>
  <c r="AF318" i="23" s="1"/>
  <c r="AF404" i="23" s="1"/>
  <c r="AH385" i="23"/>
  <c r="AI375" i="23"/>
  <c r="AI340" i="23" s="1"/>
  <c r="AI243" i="23"/>
  <c r="AI330" i="23"/>
  <c r="AG395" i="23"/>
  <c r="AY224" i="23"/>
  <c r="AZ220" i="23" s="1"/>
  <c r="AI376" i="23" l="1"/>
  <c r="AI361" i="23" s="1"/>
  <c r="AF319" i="23"/>
  <c r="AG315" i="23" s="1"/>
  <c r="AI102" i="23"/>
  <c r="AI246" i="23"/>
  <c r="AI247" i="23" s="1"/>
  <c r="AJ241" i="23" s="1"/>
  <c r="AZ222" i="23"/>
  <c r="AZ223" i="23" s="1"/>
  <c r="AF402" i="23"/>
  <c r="AF401" i="23" s="1"/>
  <c r="AF409" i="23" s="1"/>
  <c r="AF122" i="23"/>
  <c r="AG365" i="23"/>
  <c r="AG400" i="23" s="1"/>
  <c r="AG366" i="23" s="1"/>
  <c r="AH363" i="23"/>
  <c r="AJ242" i="23" l="1"/>
  <c r="AJ244" i="23" s="1"/>
  <c r="AZ224" i="23"/>
  <c r="BA220" i="23" s="1"/>
  <c r="AH390" i="23"/>
  <c r="AI103" i="23"/>
  <c r="AI407" i="23"/>
  <c r="AI405" i="23" s="1"/>
  <c r="AG308" i="23"/>
  <c r="AF410" i="23"/>
  <c r="AF123" i="23"/>
  <c r="AG367" i="23"/>
  <c r="AG368" i="23"/>
  <c r="AI408" i="23" l="1"/>
  <c r="AH364" i="23"/>
  <c r="AJ374" i="23"/>
  <c r="AJ245" i="23"/>
  <c r="AJ101" i="23"/>
  <c r="AJ100" i="23" s="1"/>
  <c r="AJ338" i="23"/>
  <c r="AJ334" i="23" s="1"/>
  <c r="AG316" i="23"/>
  <c r="AG309" i="23"/>
  <c r="AI104" i="23"/>
  <c r="AI108" i="23" s="1"/>
  <c r="BA222" i="23"/>
  <c r="AG403" i="23" l="1"/>
  <c r="AG317" i="23"/>
  <c r="AG318" i="23" s="1"/>
  <c r="AG319" i="23" s="1"/>
  <c r="AH315" i="23" s="1"/>
  <c r="AJ375" i="23"/>
  <c r="AJ340" i="23" s="1"/>
  <c r="BA223" i="23"/>
  <c r="AH395" i="23"/>
  <c r="AI360" i="23"/>
  <c r="AJ330" i="23"/>
  <c r="AG310" i="23"/>
  <c r="AH307" i="23" s="1"/>
  <c r="AJ243" i="23"/>
  <c r="AJ376" i="23" l="1"/>
  <c r="AJ361" i="23" s="1"/>
  <c r="AI382" i="23"/>
  <c r="BA224" i="23"/>
  <c r="BB220" i="23" s="1"/>
  <c r="AH365" i="23"/>
  <c r="AH400" i="23" s="1"/>
  <c r="AH366" i="23" s="1"/>
  <c r="AJ102" i="23"/>
  <c r="AJ246" i="23"/>
  <c r="AG402" i="23"/>
  <c r="AG122" i="23"/>
  <c r="AG404" i="23"/>
  <c r="AJ407" i="23" l="1"/>
  <c r="AJ405" i="23" s="1"/>
  <c r="AJ103" i="23"/>
  <c r="BB222" i="23"/>
  <c r="BB223" i="23" s="1"/>
  <c r="AG123" i="23"/>
  <c r="AJ247" i="23"/>
  <c r="AK241" i="23" s="1"/>
  <c r="AH308" i="23"/>
  <c r="AI362" i="23"/>
  <c r="AH368" i="23"/>
  <c r="AH367" i="23"/>
  <c r="AG401" i="23"/>
  <c r="AG410" i="23" s="1"/>
  <c r="AG409" i="23" l="1"/>
  <c r="AI385" i="23"/>
  <c r="AJ408" i="23"/>
  <c r="AJ104" i="23"/>
  <c r="AJ108" i="23" s="1"/>
  <c r="AH316" i="23"/>
  <c r="AH309" i="23"/>
  <c r="AH310" i="23" s="1"/>
  <c r="AI307" i="23" s="1"/>
  <c r="AK242" i="23"/>
  <c r="BB224" i="23"/>
  <c r="BC220" i="23" s="1"/>
  <c r="AH317" i="23" l="1"/>
  <c r="AH318" i="23" s="1"/>
  <c r="AH403" i="23"/>
  <c r="AK101" i="23"/>
  <c r="AK100" i="23" s="1"/>
  <c r="AK338" i="23"/>
  <c r="AK334" i="23" s="1"/>
  <c r="AI363" i="23"/>
  <c r="AJ360" i="23"/>
  <c r="BC222" i="23"/>
  <c r="AK244" i="23"/>
  <c r="AH319" i="23" l="1"/>
  <c r="AI315" i="23" s="1"/>
  <c r="AJ382" i="23"/>
  <c r="AH402" i="23"/>
  <c r="AH122" i="23"/>
  <c r="BC223" i="23"/>
  <c r="BC224" i="23" s="1"/>
  <c r="BD220" i="23" s="1"/>
  <c r="AH404" i="23"/>
  <c r="AI390" i="23"/>
  <c r="AK374" i="23"/>
  <c r="AK245" i="23"/>
  <c r="AK375" i="23" l="1"/>
  <c r="AK340" i="23" s="1"/>
  <c r="AH401" i="23"/>
  <c r="AH409" i="23" s="1"/>
  <c r="BD222" i="23"/>
  <c r="AK330" i="23"/>
  <c r="AI364" i="23"/>
  <c r="AJ362" i="23"/>
  <c r="AH123" i="23"/>
  <c r="AK243" i="23"/>
  <c r="AK376" i="23" l="1"/>
  <c r="AK361" i="23" s="1"/>
  <c r="AH410" i="23"/>
  <c r="AJ385" i="23"/>
  <c r="AI395" i="23"/>
  <c r="AK102" i="23"/>
  <c r="AK246" i="23"/>
  <c r="AK103" i="23" s="1"/>
  <c r="AK408" i="23" s="1"/>
  <c r="BD223" i="23"/>
  <c r="BD224" i="23" s="1"/>
  <c r="BE220" i="23" s="1"/>
  <c r="BE222" i="23" l="1"/>
  <c r="AK407" i="23"/>
  <c r="AK405" i="23" s="1"/>
  <c r="AK104" i="23"/>
  <c r="AK108" i="23" s="1"/>
  <c r="AI365" i="23"/>
  <c r="AI400" i="23" s="1"/>
  <c r="AI366" i="23" s="1"/>
  <c r="AJ363" i="23"/>
  <c r="AK247" i="23"/>
  <c r="AL241" i="23" s="1"/>
  <c r="AJ390" i="23" l="1"/>
  <c r="AI308" i="23"/>
  <c r="AL242" i="23"/>
  <c r="AI368" i="23"/>
  <c r="AI367" i="23"/>
  <c r="BE223" i="23"/>
  <c r="BE224" i="23" s="1"/>
  <c r="BF220" i="23" s="1"/>
  <c r="AK360" i="23"/>
  <c r="AL244" i="23" l="1"/>
  <c r="BF222" i="23"/>
  <c r="AI316" i="23"/>
  <c r="AI309" i="23"/>
  <c r="AI310" i="23" s="1"/>
  <c r="AJ307" i="23" s="1"/>
  <c r="AL101" i="23"/>
  <c r="AL100" i="23" s="1"/>
  <c r="AL338" i="23"/>
  <c r="AL334" i="23" s="1"/>
  <c r="AK382" i="23"/>
  <c r="AJ364" i="23"/>
  <c r="AK362" i="23" l="1"/>
  <c r="AI403" i="23"/>
  <c r="AI317" i="23"/>
  <c r="AI318" i="23" s="1"/>
  <c r="AI319" i="23" s="1"/>
  <c r="AJ315" i="23" s="1"/>
  <c r="AJ395" i="23"/>
  <c r="BF223" i="23"/>
  <c r="BF224" i="23" s="1"/>
  <c r="BG220" i="23" s="1"/>
  <c r="AL374" i="23"/>
  <c r="AL245" i="23"/>
  <c r="AL375" i="23" l="1"/>
  <c r="AL340" i="23" s="1"/>
  <c r="BG222" i="23"/>
  <c r="AI402" i="23"/>
  <c r="AI122" i="23"/>
  <c r="AI404" i="23"/>
  <c r="AL330" i="23"/>
  <c r="AK385" i="23"/>
  <c r="AL243" i="23"/>
  <c r="AJ365" i="23"/>
  <c r="AJ400" i="23" s="1"/>
  <c r="AJ366" i="23" s="1"/>
  <c r="AL376" i="23" l="1"/>
  <c r="AL361" i="23" s="1"/>
  <c r="AJ308" i="23"/>
  <c r="AJ316" i="23" s="1"/>
  <c r="AI123" i="23"/>
  <c r="AK363" i="23"/>
  <c r="AJ367" i="23"/>
  <c r="AJ368" i="23"/>
  <c r="AI401" i="23"/>
  <c r="AI410" i="23" s="1"/>
  <c r="BG223" i="23"/>
  <c r="BG224" i="23" s="1"/>
  <c r="BH220" i="23" s="1"/>
  <c r="AL102" i="23"/>
  <c r="AL246" i="23"/>
  <c r="AL103" i="23" s="1"/>
  <c r="AL408" i="23" s="1"/>
  <c r="AJ309" i="23" l="1"/>
  <c r="AJ317" i="23" s="1"/>
  <c r="AL247" i="23"/>
  <c r="AM241" i="23" s="1"/>
  <c r="AM242" i="23" s="1"/>
  <c r="AI409" i="23"/>
  <c r="BH222" i="23"/>
  <c r="AK390" i="23"/>
  <c r="AL407" i="23"/>
  <c r="AL405" i="23" s="1"/>
  <c r="AL104" i="23"/>
  <c r="AL108" i="23" s="1"/>
  <c r="AJ310" i="23" l="1"/>
  <c r="AK307" i="23" s="1"/>
  <c r="AJ403" i="23"/>
  <c r="AK364" i="23"/>
  <c r="AM101" i="23"/>
  <c r="AM100" i="23" s="1"/>
  <c r="AM338" i="23"/>
  <c r="AM334" i="23" s="1"/>
  <c r="AM244" i="23"/>
  <c r="AL360" i="23"/>
  <c r="BH223" i="23"/>
  <c r="BH224" i="23" s="1"/>
  <c r="BI220" i="23" s="1"/>
  <c r="AJ318" i="23"/>
  <c r="AJ404" i="23" s="1"/>
  <c r="BI222" i="23" l="1"/>
  <c r="AM374" i="23"/>
  <c r="AM245" i="23"/>
  <c r="AJ402" i="23"/>
  <c r="AJ401" i="23" s="1"/>
  <c r="AJ410" i="23" s="1"/>
  <c r="AJ122" i="23"/>
  <c r="AJ319" i="23"/>
  <c r="AK315" i="23" s="1"/>
  <c r="AK395" i="23"/>
  <c r="AL382" i="23"/>
  <c r="AM375" i="23" l="1"/>
  <c r="AM340" i="23" s="1"/>
  <c r="AM330" i="23"/>
  <c r="AM243" i="23"/>
  <c r="BI223" i="23"/>
  <c r="AJ409" i="23"/>
  <c r="AJ123" i="23"/>
  <c r="AL362" i="23"/>
  <c r="AK365" i="23"/>
  <c r="AK400" i="23" s="1"/>
  <c r="AK366" i="23" s="1"/>
  <c r="AM376" i="23" l="1"/>
  <c r="AM361" i="23" s="1"/>
  <c r="AK308" i="23"/>
  <c r="AK316" i="23" s="1"/>
  <c r="AL385" i="23"/>
  <c r="AM102" i="23"/>
  <c r="AM246" i="23"/>
  <c r="AM103" i="23" s="1"/>
  <c r="AM408" i="23" s="1"/>
  <c r="BI224" i="23"/>
  <c r="BJ220" i="23" s="1"/>
  <c r="AK368" i="23"/>
  <c r="AK367" i="23"/>
  <c r="AK309" i="23" l="1"/>
  <c r="AK310" i="23" s="1"/>
  <c r="AL307" i="23" s="1"/>
  <c r="AM247" i="23"/>
  <c r="AN241" i="23" s="1"/>
  <c r="BJ222" i="23"/>
  <c r="AM407" i="23"/>
  <c r="AM405" i="23" s="1"/>
  <c r="AM104" i="23"/>
  <c r="AM108" i="23"/>
  <c r="AL363" i="23"/>
  <c r="AK403" i="23" l="1"/>
  <c r="AK317" i="23"/>
  <c r="AK318" i="23" s="1"/>
  <c r="AK402" i="23" s="1"/>
  <c r="AL390" i="23"/>
  <c r="AM360" i="23"/>
  <c r="BJ223" i="23"/>
  <c r="AN242" i="23"/>
  <c r="AN244" i="23" s="1"/>
  <c r="AK404" i="23" l="1"/>
  <c r="AK401" i="23" s="1"/>
  <c r="AK410" i="23" s="1"/>
  <c r="AK319" i="23"/>
  <c r="AL315" i="23" s="1"/>
  <c r="AK122" i="23"/>
  <c r="AK123" i="23" s="1"/>
  <c r="AN374" i="23"/>
  <c r="AN245" i="23"/>
  <c r="AM382" i="23"/>
  <c r="BJ224" i="23"/>
  <c r="BK220" i="23" s="1"/>
  <c r="AN101" i="23"/>
  <c r="AN100" i="23" s="1"/>
  <c r="AN338" i="23"/>
  <c r="AN334" i="23" s="1"/>
  <c r="AL364" i="23"/>
  <c r="AK409" i="23" l="1"/>
  <c r="AN375" i="23"/>
  <c r="AN340" i="23" s="1"/>
  <c r="BK222" i="23"/>
  <c r="AN330" i="23"/>
  <c r="AM362" i="23"/>
  <c r="AL395" i="23"/>
  <c r="AN243" i="23"/>
  <c r="AN376" i="23" l="1"/>
  <c r="AN361" i="23" s="1"/>
  <c r="AN102" i="23"/>
  <c r="AN246" i="23"/>
  <c r="AN103" i="23" s="1"/>
  <c r="AN408" i="23" s="1"/>
  <c r="AL365" i="23"/>
  <c r="AL400" i="23" s="1"/>
  <c r="AL366" i="23" s="1"/>
  <c r="AM385" i="23"/>
  <c r="BK223" i="23"/>
  <c r="AL368" i="23" l="1"/>
  <c r="AL367" i="23"/>
  <c r="AN247" i="23"/>
  <c r="AO241" i="23" s="1"/>
  <c r="AM363" i="23"/>
  <c r="AN407" i="23"/>
  <c r="AN405" i="23" s="1"/>
  <c r="AN104" i="23"/>
  <c r="AN108" i="23" s="1"/>
  <c r="BK224" i="23"/>
  <c r="BL220" i="23" s="1"/>
  <c r="AL308" i="23"/>
  <c r="AN360" i="23" l="1"/>
  <c r="AM390" i="23"/>
  <c r="AL316" i="23"/>
  <c r="AL309" i="23"/>
  <c r="BL222" i="23"/>
  <c r="AO242" i="23"/>
  <c r="AO244" i="23" s="1"/>
  <c r="BL223" i="23" l="1"/>
  <c r="BL224" i="23" s="1"/>
  <c r="BM220" i="23" s="1"/>
  <c r="AO374" i="23"/>
  <c r="AO245" i="23"/>
  <c r="AN382" i="23"/>
  <c r="AL317" i="23"/>
  <c r="AL403" i="23"/>
  <c r="AL310" i="23"/>
  <c r="AM307" i="23" s="1"/>
  <c r="AM364" i="23"/>
  <c r="AO101" i="23"/>
  <c r="AO100" i="23" s="1"/>
  <c r="AO338" i="23"/>
  <c r="AO334" i="23" s="1"/>
  <c r="AO375" i="23" l="1"/>
  <c r="AO340" i="23" s="1"/>
  <c r="BM222" i="23"/>
  <c r="AO330" i="23"/>
  <c r="AN362" i="23"/>
  <c r="AL318" i="23"/>
  <c r="AL404" i="23" s="1"/>
  <c r="AO243" i="23"/>
  <c r="AM395" i="23"/>
  <c r="AO376" i="23" l="1"/>
  <c r="AO361" i="23" s="1"/>
  <c r="AL319" i="23"/>
  <c r="AM315" i="23" s="1"/>
  <c r="AM365" i="23"/>
  <c r="AM400" i="23" s="1"/>
  <c r="AM366" i="23" s="1"/>
  <c r="AL402" i="23"/>
  <c r="AL401" i="23" s="1"/>
  <c r="AL409" i="23" s="1"/>
  <c r="AL122" i="23"/>
  <c r="AN385" i="23"/>
  <c r="AO102" i="23"/>
  <c r="AO246" i="23"/>
  <c r="AO103" i="23" s="1"/>
  <c r="AO408" i="23" s="1"/>
  <c r="BM223" i="23"/>
  <c r="AM308" i="23" l="1"/>
  <c r="AM316" i="23" s="1"/>
  <c r="AM367" i="23"/>
  <c r="AM368" i="23"/>
  <c r="AL123" i="23"/>
  <c r="AO247" i="23"/>
  <c r="AP241" i="23" s="1"/>
  <c r="BM224" i="23"/>
  <c r="BN220" i="23" s="1"/>
  <c r="AN363" i="23"/>
  <c r="AL410" i="23"/>
  <c r="AO407" i="23"/>
  <c r="AO405" i="23" s="1"/>
  <c r="AO104" i="23"/>
  <c r="AO108" i="23" s="1"/>
  <c r="AM309" i="23" l="1"/>
  <c r="AM403" i="23" s="1"/>
  <c r="BN222" i="23"/>
  <c r="AN390" i="23"/>
  <c r="AP242" i="23"/>
  <c r="AO360" i="23"/>
  <c r="AM310" i="23" l="1"/>
  <c r="AN307" i="23" s="1"/>
  <c r="AM317" i="23"/>
  <c r="AM318" i="23" s="1"/>
  <c r="AM319" i="23" s="1"/>
  <c r="AN315" i="23" s="1"/>
  <c r="AP244" i="23"/>
  <c r="AO382" i="23"/>
  <c r="AP101" i="23"/>
  <c r="AP100" i="23" s="1"/>
  <c r="AP338" i="23"/>
  <c r="AP334" i="23" s="1"/>
  <c r="AN364" i="23"/>
  <c r="BN223" i="23"/>
  <c r="BN224" i="23" s="1"/>
  <c r="BO220" i="23" s="1"/>
  <c r="AM404" i="23" l="1"/>
  <c r="BO222" i="23"/>
  <c r="AN395" i="23"/>
  <c r="AO362" i="23"/>
  <c r="AM402" i="23"/>
  <c r="AM122" i="23"/>
  <c r="AP374" i="23"/>
  <c r="AP245" i="23"/>
  <c r="AP375" i="23" l="1"/>
  <c r="AP340" i="23" s="1"/>
  <c r="AM401" i="23"/>
  <c r="AM410" i="23" s="1"/>
  <c r="AP243" i="23"/>
  <c r="AP246" i="23" s="1"/>
  <c r="AP103" i="23" s="1"/>
  <c r="AP408" i="23" s="1"/>
  <c r="AO385" i="23"/>
  <c r="AN365" i="23"/>
  <c r="AN400" i="23" s="1"/>
  <c r="AN366" i="23" s="1"/>
  <c r="AM123" i="23"/>
  <c r="AP330" i="23"/>
  <c r="BO223" i="23"/>
  <c r="AP376" i="23" l="1"/>
  <c r="AP361" i="23" s="1"/>
  <c r="AP102" i="23"/>
  <c r="AM409" i="23"/>
  <c r="AP247" i="23"/>
  <c r="AQ241" i="23" s="1"/>
  <c r="AQ242" i="23" s="1"/>
  <c r="AQ244" i="23" s="1"/>
  <c r="AN308" i="23"/>
  <c r="AP407" i="23"/>
  <c r="AP405" i="23" s="1"/>
  <c r="AP104" i="23"/>
  <c r="AP108" i="23" s="1"/>
  <c r="AN368" i="23"/>
  <c r="AN367" i="23"/>
  <c r="BO224" i="23"/>
  <c r="BP220" i="23" s="1"/>
  <c r="AO363" i="23"/>
  <c r="AQ374" i="23" l="1"/>
  <c r="AQ245" i="23"/>
  <c r="AP360" i="23"/>
  <c r="AQ101" i="23"/>
  <c r="AQ100" i="23" s="1"/>
  <c r="AQ338" i="23"/>
  <c r="AQ334" i="23" s="1"/>
  <c r="AN316" i="23"/>
  <c r="AN309" i="23"/>
  <c r="AO390" i="23"/>
  <c r="BP222" i="23"/>
  <c r="AQ375" i="23" l="1"/>
  <c r="AQ340" i="23" s="1"/>
  <c r="AO364" i="23"/>
  <c r="AN317" i="23"/>
  <c r="AN403" i="23"/>
  <c r="BP223" i="23"/>
  <c r="AQ330" i="23"/>
  <c r="AN310" i="23"/>
  <c r="AO307" i="23" s="1"/>
  <c r="AP382" i="23"/>
  <c r="AQ243" i="23"/>
  <c r="AQ376" i="23" l="1"/>
  <c r="AQ361" i="23" s="1"/>
  <c r="AQ102" i="23"/>
  <c r="AQ246" i="23"/>
  <c r="AQ103" i="23" s="1"/>
  <c r="AQ408" i="23" s="1"/>
  <c r="AO395" i="23"/>
  <c r="BP224" i="23"/>
  <c r="BQ220" i="23" s="1"/>
  <c r="AP362" i="23"/>
  <c r="AN318" i="23"/>
  <c r="AN404" i="23" s="1"/>
  <c r="AQ247" i="23" l="1"/>
  <c r="AR241" i="23" s="1"/>
  <c r="AR242" i="23" s="1"/>
  <c r="BQ222" i="23"/>
  <c r="AO365" i="23"/>
  <c r="AO400" i="23" s="1"/>
  <c r="AO366" i="23" s="1"/>
  <c r="AN402" i="23"/>
  <c r="AN401" i="23" s="1"/>
  <c r="AN410" i="23" s="1"/>
  <c r="AN122" i="23"/>
  <c r="AN319" i="23"/>
  <c r="AO315" i="23" s="1"/>
  <c r="AP385" i="23"/>
  <c r="AQ407" i="23"/>
  <c r="AQ405" i="23" s="1"/>
  <c r="AQ104" i="23"/>
  <c r="AQ108" i="23" s="1"/>
  <c r="AO368" i="23" l="1"/>
  <c r="AO367" i="23"/>
  <c r="AR244" i="23"/>
  <c r="BQ223" i="23"/>
  <c r="AQ360" i="23"/>
  <c r="AN409" i="23"/>
  <c r="AP363" i="23"/>
  <c r="AN123" i="23"/>
  <c r="AO308" i="23"/>
  <c r="AR101" i="23"/>
  <c r="AR100" i="23" s="1"/>
  <c r="AR338" i="23"/>
  <c r="AR334" i="23" s="1"/>
  <c r="AR374" i="23" l="1"/>
  <c r="AR245" i="23"/>
  <c r="AQ382" i="23"/>
  <c r="BQ224" i="23"/>
  <c r="BR220" i="23" s="1"/>
  <c r="AO316" i="23"/>
  <c r="AO309" i="23"/>
  <c r="AO310" i="23" s="1"/>
  <c r="AP307" i="23" s="1"/>
  <c r="AP390" i="23"/>
  <c r="AQ362" i="23" l="1"/>
  <c r="AR375" i="23"/>
  <c r="AR340" i="23" s="1"/>
  <c r="AP364" i="23"/>
  <c r="AR330" i="23"/>
  <c r="AO317" i="23"/>
  <c r="AO403" i="23"/>
  <c r="BR222" i="23"/>
  <c r="AR243" i="23"/>
  <c r="AR376" i="23" l="1"/>
  <c r="AR361" i="23" s="1"/>
  <c r="AR102" i="23"/>
  <c r="AR246" i="23"/>
  <c r="AP395" i="23"/>
  <c r="BR223" i="23"/>
  <c r="BR224" i="23" s="1"/>
  <c r="BS220" i="23" s="1"/>
  <c r="AO318" i="23"/>
  <c r="AO404" i="23" s="1"/>
  <c r="AQ385" i="23"/>
  <c r="AO319" i="23" l="1"/>
  <c r="AP315" i="23" s="1"/>
  <c r="BS222" i="23"/>
  <c r="AR103" i="23"/>
  <c r="AQ363" i="23"/>
  <c r="AR247" i="23"/>
  <c r="AS241" i="23" s="1"/>
  <c r="AP365" i="23"/>
  <c r="AP400" i="23" s="1"/>
  <c r="AP366" i="23" s="1"/>
  <c r="AO402" i="23"/>
  <c r="AO401" i="23" s="1"/>
  <c r="AO409" i="23" s="1"/>
  <c r="AO122" i="23"/>
  <c r="AR407" i="23"/>
  <c r="AR405" i="23" s="1"/>
  <c r="AO410" i="23" l="1"/>
  <c r="AP367" i="23"/>
  <c r="AP368" i="23"/>
  <c r="AP308" i="23"/>
  <c r="AS242" i="23"/>
  <c r="AQ390" i="23"/>
  <c r="AR408" i="23"/>
  <c r="AR104" i="23"/>
  <c r="AR108" i="23" s="1"/>
  <c r="AO123" i="23"/>
  <c r="BS223" i="23"/>
  <c r="AQ364" i="23" l="1"/>
  <c r="BS224" i="23"/>
  <c r="BT220" i="23" s="1"/>
  <c r="AS101" i="23"/>
  <c r="AS100" i="23" s="1"/>
  <c r="AS338" i="23"/>
  <c r="AS334" i="23" s="1"/>
  <c r="AR360" i="23"/>
  <c r="AS244" i="23"/>
  <c r="AP316" i="23"/>
  <c r="AP309" i="23"/>
  <c r="AS374" i="23" l="1"/>
  <c r="AS245" i="23"/>
  <c r="AR382" i="23"/>
  <c r="BT222" i="23"/>
  <c r="AP317" i="23"/>
  <c r="AP318" i="23" s="1"/>
  <c r="AP319" i="23" s="1"/>
  <c r="AQ315" i="23" s="1"/>
  <c r="AP403" i="23"/>
  <c r="AP310" i="23"/>
  <c r="AQ307" i="23" s="1"/>
  <c r="AQ395" i="23"/>
  <c r="BT223" i="23" l="1"/>
  <c r="AQ365" i="23"/>
  <c r="AQ400" i="23" s="1"/>
  <c r="AQ366" i="23" s="1"/>
  <c r="AP402" i="23"/>
  <c r="AP122" i="23"/>
  <c r="AR362" i="23"/>
  <c r="AS375" i="23"/>
  <c r="AS340" i="23" s="1"/>
  <c r="AS330" i="23"/>
  <c r="AS243" i="23"/>
  <c r="AP404" i="23"/>
  <c r="AP401" i="23" l="1"/>
  <c r="AP409" i="23" s="1"/>
  <c r="AQ368" i="23"/>
  <c r="AQ367" i="23"/>
  <c r="AP123" i="23"/>
  <c r="AR385" i="23"/>
  <c r="AQ308" i="23"/>
  <c r="AS102" i="23"/>
  <c r="AS246" i="23"/>
  <c r="BT224" i="23"/>
  <c r="BU220" i="23" s="1"/>
  <c r="AS376" i="23"/>
  <c r="AS361" i="23" s="1"/>
  <c r="AP410" i="23" l="1"/>
  <c r="AR363" i="23"/>
  <c r="AQ316" i="23"/>
  <c r="AQ309" i="23"/>
  <c r="AS103" i="23"/>
  <c r="AS104" i="23" s="1"/>
  <c r="AS108" i="23" s="1"/>
  <c r="AS247" i="23"/>
  <c r="AT241" i="23" s="1"/>
  <c r="BU222" i="23"/>
  <c r="AS407" i="23"/>
  <c r="AS405" i="23" s="1"/>
  <c r="BU223" i="23" l="1"/>
  <c r="AQ403" i="23"/>
  <c r="AQ317" i="23"/>
  <c r="AQ318" i="23" s="1"/>
  <c r="AT242" i="23"/>
  <c r="AS360" i="23"/>
  <c r="AS408" i="23"/>
  <c r="AQ310" i="23"/>
  <c r="AR307" i="23" s="1"/>
  <c r="AR390" i="23"/>
  <c r="AQ402" i="23" l="1"/>
  <c r="AQ122" i="23"/>
  <c r="AT101" i="23"/>
  <c r="AT100" i="23" s="1"/>
  <c r="AT338" i="23"/>
  <c r="AT334" i="23" s="1"/>
  <c r="AT244" i="23"/>
  <c r="AS382" i="23"/>
  <c r="BU224" i="23"/>
  <c r="BV220" i="23" s="1"/>
  <c r="AQ404" i="23"/>
  <c r="AR364" i="23"/>
  <c r="AQ319" i="23"/>
  <c r="AR315" i="23" s="1"/>
  <c r="AS362" i="23" l="1"/>
  <c r="AT374" i="23"/>
  <c r="AT245" i="23"/>
  <c r="AR395" i="23"/>
  <c r="AQ123" i="23"/>
  <c r="BV222" i="23"/>
  <c r="AQ401" i="23"/>
  <c r="AQ410" i="23" s="1"/>
  <c r="AQ409" i="23" l="1"/>
  <c r="AR365" i="23"/>
  <c r="AR400" i="23" s="1"/>
  <c r="AR366" i="23" s="1"/>
  <c r="AT375" i="23"/>
  <c r="AT340" i="23" s="1"/>
  <c r="AT330" i="23"/>
  <c r="BV223" i="23"/>
  <c r="AT243" i="23"/>
  <c r="AS385" i="23"/>
  <c r="AT376" i="23" l="1"/>
  <c r="AT361" i="23" s="1"/>
  <c r="AR308" i="23"/>
  <c r="AR316" i="23" s="1"/>
  <c r="AT102" i="23"/>
  <c r="AT246" i="23"/>
  <c r="BV224" i="23"/>
  <c r="BW220" i="23" s="1"/>
  <c r="AR367" i="23"/>
  <c r="AR368" i="23"/>
  <c r="AS363" i="23"/>
  <c r="AR309" i="23" l="1"/>
  <c r="AR317" i="23" s="1"/>
  <c r="AT103" i="23"/>
  <c r="AT104" i="23" s="1"/>
  <c r="AT108" i="23" s="1"/>
  <c r="AT247" i="23"/>
  <c r="AU241" i="23" s="1"/>
  <c r="BW222" i="23"/>
  <c r="AT407" i="23"/>
  <c r="AT405" i="23" s="1"/>
  <c r="AS390" i="23"/>
  <c r="AR310" i="23" l="1"/>
  <c r="AS307" i="23" s="1"/>
  <c r="AR403" i="23"/>
  <c r="BW223" i="23"/>
  <c r="AS364" i="23"/>
  <c r="AT360" i="23"/>
  <c r="AU242" i="23"/>
  <c r="AT408" i="23"/>
  <c r="AR318" i="23"/>
  <c r="AR319" i="23" s="1"/>
  <c r="AS315" i="23" s="1"/>
  <c r="AT382" i="23" l="1"/>
  <c r="AR402" i="23"/>
  <c r="AR122" i="23"/>
  <c r="AS395" i="23"/>
  <c r="AU101" i="23"/>
  <c r="AU100" i="23" s="1"/>
  <c r="AU338" i="23"/>
  <c r="AU334" i="23" s="1"/>
  <c r="AR404" i="23"/>
  <c r="AU244" i="23"/>
  <c r="BW224" i="23"/>
  <c r="BX220" i="23" s="1"/>
  <c r="AR401" i="23" l="1"/>
  <c r="AR410" i="23" s="1"/>
  <c r="AR123" i="23"/>
  <c r="AT362" i="23"/>
  <c r="BX222" i="23"/>
  <c r="AS365" i="23"/>
  <c r="AS400" i="23" s="1"/>
  <c r="AS366" i="23" s="1"/>
  <c r="AU374" i="23"/>
  <c r="AU245" i="23"/>
  <c r="AR409" i="23" l="1"/>
  <c r="AU375" i="23"/>
  <c r="AU340" i="23" s="1"/>
  <c r="AS308" i="23"/>
  <c r="AT385" i="23"/>
  <c r="AU330" i="23"/>
  <c r="BX223" i="23"/>
  <c r="AS367" i="23"/>
  <c r="AS368" i="23"/>
  <c r="AU243" i="23"/>
  <c r="AU376" i="23" l="1"/>
  <c r="AU361" i="23" s="1"/>
  <c r="AT363" i="23"/>
  <c r="AU102" i="23"/>
  <c r="AU246" i="23"/>
  <c r="AU247" i="23" s="1"/>
  <c r="AV241" i="23" s="1"/>
  <c r="AS316" i="23"/>
  <c r="AS309" i="23"/>
  <c r="BX224" i="23"/>
  <c r="BY220" i="23" s="1"/>
  <c r="AS403" i="23" l="1"/>
  <c r="AS317" i="23"/>
  <c r="AS318" i="23" s="1"/>
  <c r="AS319" i="23" s="1"/>
  <c r="AT315" i="23" s="1"/>
  <c r="BY222" i="23"/>
  <c r="AS310" i="23"/>
  <c r="AT307" i="23" s="1"/>
  <c r="AV242" i="23"/>
  <c r="AU103" i="23"/>
  <c r="AU407" i="23"/>
  <c r="AU405" i="23" s="1"/>
  <c r="AT390" i="23"/>
  <c r="AU408" i="23" l="1"/>
  <c r="AV101" i="23"/>
  <c r="AV100" i="23" s="1"/>
  <c r="AV338" i="23"/>
  <c r="AV334" i="23" s="1"/>
  <c r="AS402" i="23"/>
  <c r="AS122" i="23"/>
  <c r="AV244" i="23"/>
  <c r="AT364" i="23"/>
  <c r="BY223" i="23"/>
  <c r="AS404" i="23"/>
  <c r="AU104" i="23"/>
  <c r="AU108" i="23" s="1"/>
  <c r="AS401" i="23" l="1"/>
  <c r="AS410" i="23" s="1"/>
  <c r="AS123" i="23"/>
  <c r="AU360" i="23"/>
  <c r="AV374" i="23"/>
  <c r="AV245" i="23"/>
  <c r="AT395" i="23"/>
  <c r="BY224" i="23"/>
  <c r="BZ220" i="23" s="1"/>
  <c r="AS409" i="23" l="1"/>
  <c r="AV375" i="23"/>
  <c r="AV340" i="23" s="1"/>
  <c r="AV330" i="23"/>
  <c r="AV243" i="23"/>
  <c r="BZ222" i="23"/>
  <c r="AU382" i="23"/>
  <c r="AT365" i="23"/>
  <c r="AT400" i="23" s="1"/>
  <c r="AT366" i="23" s="1"/>
  <c r="AV376" i="23" l="1"/>
  <c r="AV361" i="23" s="1"/>
  <c r="AT308" i="23"/>
  <c r="AT316" i="23" s="1"/>
  <c r="AU362" i="23"/>
  <c r="BZ223" i="23"/>
  <c r="AV102" i="23"/>
  <c r="AV246" i="23"/>
  <c r="AV247" i="23" s="1"/>
  <c r="AW241" i="23" s="1"/>
  <c r="AT367" i="23"/>
  <c r="AT368" i="23"/>
  <c r="AT309" i="23" l="1"/>
  <c r="AT317" i="23" s="1"/>
  <c r="AT318" i="23" s="1"/>
  <c r="AT319" i="23" s="1"/>
  <c r="AU315" i="23" s="1"/>
  <c r="AV407" i="23"/>
  <c r="AV405" i="23" s="1"/>
  <c r="AW242" i="23"/>
  <c r="AW244" i="23" s="1"/>
  <c r="AU385" i="23"/>
  <c r="AV103" i="23"/>
  <c r="BZ224" i="23"/>
  <c r="CA220" i="23" s="1"/>
  <c r="AT403" i="23" l="1"/>
  <c r="AT310" i="23"/>
  <c r="AU307" i="23" s="1"/>
  <c r="AW101" i="23"/>
  <c r="AW100" i="23" s="1"/>
  <c r="AW338" i="23"/>
  <c r="AW334" i="23" s="1"/>
  <c r="AT402" i="23"/>
  <c r="AT122" i="23"/>
  <c r="AV408" i="23"/>
  <c r="AV104" i="23"/>
  <c r="AV108" i="23" s="1"/>
  <c r="AW374" i="23"/>
  <c r="AW245" i="23"/>
  <c r="CA222" i="23"/>
  <c r="AT404" i="23"/>
  <c r="AU363" i="23"/>
  <c r="AW375" i="23" l="1"/>
  <c r="AW340" i="23" s="1"/>
  <c r="AV360" i="23"/>
  <c r="AU390" i="23"/>
  <c r="AT401" i="23"/>
  <c r="AT409" i="23" s="1"/>
  <c r="AW330" i="23"/>
  <c r="AW243" i="23"/>
  <c r="AT123" i="23"/>
  <c r="CA223" i="23"/>
  <c r="AW376" i="23" l="1"/>
  <c r="AW361" i="23" s="1"/>
  <c r="AT410" i="23"/>
  <c r="AU364" i="23"/>
  <c r="AV382" i="23"/>
  <c r="AW102" i="23"/>
  <c r="AW246" i="23"/>
  <c r="AW103" i="23" s="1"/>
  <c r="AW408" i="23" s="1"/>
  <c r="CA224" i="23"/>
  <c r="CB220" i="23" s="1"/>
  <c r="AW247" i="23" l="1"/>
  <c r="AX241" i="23" s="1"/>
  <c r="AX242" i="23" s="1"/>
  <c r="AW407" i="23"/>
  <c r="AW405" i="23" s="1"/>
  <c r="AW104" i="23"/>
  <c r="AW108" i="23" s="1"/>
  <c r="AV362" i="23"/>
  <c r="AU395" i="23"/>
  <c r="CB222" i="23"/>
  <c r="CB223" i="23" l="1"/>
  <c r="AV385" i="23"/>
  <c r="AW360" i="23"/>
  <c r="AX244" i="23"/>
  <c r="AU365" i="23"/>
  <c r="AU400" i="23" s="1"/>
  <c r="AU366" i="23" s="1"/>
  <c r="AX101" i="23"/>
  <c r="AX100" i="23" s="1"/>
  <c r="AX338" i="23"/>
  <c r="AX334" i="23" s="1"/>
  <c r="AW382" i="23" l="1"/>
  <c r="AV363" i="23"/>
  <c r="AU368" i="23"/>
  <c r="AU367" i="23"/>
  <c r="AU308" i="23"/>
  <c r="CB224" i="23"/>
  <c r="CC220" i="23" s="1"/>
  <c r="AX374" i="23"/>
  <c r="AX245" i="23"/>
  <c r="AX375" i="23" l="1"/>
  <c r="AX340" i="23" s="1"/>
  <c r="AU316" i="23"/>
  <c r="AU309" i="23"/>
  <c r="AX330" i="23"/>
  <c r="AV390" i="23"/>
  <c r="AW362" i="23"/>
  <c r="AX243" i="23"/>
  <c r="CC222" i="23"/>
  <c r="AX376" i="23" l="1"/>
  <c r="AX361" i="23" s="1"/>
  <c r="AX102" i="23"/>
  <c r="AX246" i="23"/>
  <c r="AX103" i="23" s="1"/>
  <c r="AX408" i="23" s="1"/>
  <c r="AV364" i="23"/>
  <c r="AW385" i="23"/>
  <c r="AU317" i="23"/>
  <c r="AU318" i="23" s="1"/>
  <c r="AU319" i="23" s="1"/>
  <c r="AV315" i="23" s="1"/>
  <c r="AU403" i="23"/>
  <c r="AU310" i="23"/>
  <c r="AV307" i="23" s="1"/>
  <c r="CC223" i="23"/>
  <c r="AW363" i="23" l="1"/>
  <c r="AU402" i="23"/>
  <c r="AU122" i="23"/>
  <c r="CC224" i="23"/>
  <c r="CD220" i="23" s="1"/>
  <c r="AU404" i="23"/>
  <c r="AV395" i="23"/>
  <c r="AX247" i="23"/>
  <c r="AY241" i="23" s="1"/>
  <c r="AX407" i="23"/>
  <c r="AX405" i="23" s="1"/>
  <c r="AX104" i="23"/>
  <c r="AX108" i="23" s="1"/>
  <c r="CD222" i="23" l="1"/>
  <c r="AU123" i="23"/>
  <c r="AU401" i="23"/>
  <c r="AU409" i="23" s="1"/>
  <c r="AX360" i="23"/>
  <c r="AW390" i="23"/>
  <c r="AV365" i="23"/>
  <c r="AV400" i="23" s="1"/>
  <c r="AV366" i="23" s="1"/>
  <c r="AY242" i="23"/>
  <c r="AY244" i="23" s="1"/>
  <c r="AV308" i="23" l="1"/>
  <c r="AV309" i="23" s="1"/>
  <c r="AY374" i="23"/>
  <c r="AY245" i="23"/>
  <c r="AW364" i="23"/>
  <c r="AX382" i="23"/>
  <c r="AY101" i="23"/>
  <c r="AY100" i="23" s="1"/>
  <c r="AY338" i="23"/>
  <c r="AY334" i="23" s="1"/>
  <c r="AU410" i="23"/>
  <c r="AV367" i="23"/>
  <c r="AV368" i="23"/>
  <c r="CD223" i="23"/>
  <c r="AV316" i="23" l="1"/>
  <c r="AV317" i="23"/>
  <c r="AV403" i="23"/>
  <c r="AV310" i="23"/>
  <c r="AW307" i="23" s="1"/>
  <c r="AW395" i="23"/>
  <c r="AY375" i="23"/>
  <c r="AY340" i="23" s="1"/>
  <c r="CD224" i="23"/>
  <c r="CE220" i="23" s="1"/>
  <c r="AX362" i="23"/>
  <c r="AY330" i="23"/>
  <c r="AY243" i="23"/>
  <c r="AV318" i="23" l="1"/>
  <c r="AV402" i="23" s="1"/>
  <c r="AW365" i="23"/>
  <c r="AW400" i="23" s="1"/>
  <c r="AW366" i="23" s="1"/>
  <c r="AX385" i="23"/>
  <c r="CE222" i="23"/>
  <c r="AY376" i="23"/>
  <c r="AY361" i="23" s="1"/>
  <c r="AY102" i="23"/>
  <c r="AY246" i="23"/>
  <c r="AY103" i="23" s="1"/>
  <c r="AY408" i="23" s="1"/>
  <c r="AV404" i="23" l="1"/>
  <c r="AV401" i="23" s="1"/>
  <c r="AV409" i="23" s="1"/>
  <c r="AV319" i="23"/>
  <c r="AW315" i="23" s="1"/>
  <c r="AV122" i="23"/>
  <c r="AV123" i="23" s="1"/>
  <c r="AW308" i="23"/>
  <c r="AW316" i="23" s="1"/>
  <c r="AY247" i="23"/>
  <c r="AZ241" i="23" s="1"/>
  <c r="CE223" i="23"/>
  <c r="AX363" i="23"/>
  <c r="AY407" i="23"/>
  <c r="AY405" i="23" s="1"/>
  <c r="AY104" i="23"/>
  <c r="AY108" i="23" s="1"/>
  <c r="AW367" i="23"/>
  <c r="AW368" i="23"/>
  <c r="AW309" i="23"/>
  <c r="AV410" i="23" l="1"/>
  <c r="AW317" i="23"/>
  <c r="AW403" i="23"/>
  <c r="AW310" i="23"/>
  <c r="AX307" i="23" s="1"/>
  <c r="AX390" i="23"/>
  <c r="AZ242" i="23"/>
  <c r="AY360" i="23"/>
  <c r="CE224" i="23"/>
  <c r="CF220" i="23" s="1"/>
  <c r="AZ101" i="23" l="1"/>
  <c r="AZ100" i="23" s="1"/>
  <c r="AZ338" i="23"/>
  <c r="AZ334" i="23" s="1"/>
  <c r="AZ244" i="23"/>
  <c r="AX364" i="23"/>
  <c r="CF222" i="23"/>
  <c r="AY382" i="23"/>
  <c r="AW318" i="23"/>
  <c r="AW404" i="23" s="1"/>
  <c r="AY362" i="23" l="1"/>
  <c r="AW319" i="23"/>
  <c r="AX315" i="23" s="1"/>
  <c r="CF223" i="23"/>
  <c r="AX395" i="23"/>
  <c r="AW402" i="23"/>
  <c r="AW401" i="23" s="1"/>
  <c r="AW410" i="23" s="1"/>
  <c r="AW122" i="23"/>
  <c r="AZ374" i="23"/>
  <c r="AZ245" i="23"/>
  <c r="AZ375" i="23" l="1"/>
  <c r="AZ340" i="23" s="1"/>
  <c r="AW123" i="23"/>
  <c r="AZ330" i="23"/>
  <c r="AZ243" i="23"/>
  <c r="AY385" i="23"/>
  <c r="AW409" i="23"/>
  <c r="AX365" i="23"/>
  <c r="AX400" i="23" s="1"/>
  <c r="AX366" i="23" s="1"/>
  <c r="CF224" i="23"/>
  <c r="CG220" i="23" s="1"/>
  <c r="AZ376" i="23" l="1"/>
  <c r="AZ361" i="23" s="1"/>
  <c r="AX308" i="23"/>
  <c r="AX368" i="23"/>
  <c r="AX367" i="23"/>
  <c r="AZ102" i="23"/>
  <c r="AZ246" i="23"/>
  <c r="AZ103" i="23" s="1"/>
  <c r="AZ408" i="23" s="1"/>
  <c r="CG222" i="23"/>
  <c r="AY363" i="23"/>
  <c r="AZ247" i="23" l="1"/>
  <c r="BA241" i="23" s="1"/>
  <c r="BA242" i="23" s="1"/>
  <c r="BA244" i="23" s="1"/>
  <c r="AY390" i="23"/>
  <c r="CG223" i="23"/>
  <c r="CG224" i="23" s="1"/>
  <c r="CH220" i="23" s="1"/>
  <c r="AX316" i="23"/>
  <c r="AX309" i="23"/>
  <c r="AZ407" i="23"/>
  <c r="AZ405" i="23" s="1"/>
  <c r="AZ104" i="23"/>
  <c r="AZ108" i="23" s="1"/>
  <c r="CH222" i="23" l="1"/>
  <c r="BA374" i="23"/>
  <c r="BA245" i="23"/>
  <c r="AX317" i="23"/>
  <c r="AX318" i="23" s="1"/>
  <c r="AX319" i="23" s="1"/>
  <c r="AY315" i="23" s="1"/>
  <c r="AX403" i="23"/>
  <c r="AZ360" i="23"/>
  <c r="AY364" i="23"/>
  <c r="BA101" i="23"/>
  <c r="BA100" i="23" s="1"/>
  <c r="BA338" i="23"/>
  <c r="BA334" i="23" s="1"/>
  <c r="AX310" i="23"/>
  <c r="AY307" i="23" s="1"/>
  <c r="BA375" i="23" l="1"/>
  <c r="BA340" i="23" s="1"/>
  <c r="AZ382" i="23"/>
  <c r="AX402" i="23"/>
  <c r="AX122" i="23"/>
  <c r="AX404" i="23"/>
  <c r="AY395" i="23"/>
  <c r="BA330" i="23"/>
  <c r="BA243" i="23"/>
  <c r="CH223" i="23"/>
  <c r="BA376" i="23" l="1"/>
  <c r="BA361" i="23" s="1"/>
  <c r="BA102" i="23"/>
  <c r="BA246" i="23"/>
  <c r="BA103" i="23" s="1"/>
  <c r="BA408" i="23" s="1"/>
  <c r="AX401" i="23"/>
  <c r="AZ362" i="23"/>
  <c r="CH224" i="23"/>
  <c r="CI220" i="23" s="1"/>
  <c r="AX410" i="23"/>
  <c r="AX409" i="23"/>
  <c r="AX123" i="23"/>
  <c r="AY365" i="23"/>
  <c r="AY400" i="23" s="1"/>
  <c r="AY366" i="23" s="1"/>
  <c r="BA247" i="23" l="1"/>
  <c r="BB241" i="23" s="1"/>
  <c r="BB242" i="23" s="1"/>
  <c r="AY368" i="23"/>
  <c r="AY367" i="23"/>
  <c r="BA407" i="23"/>
  <c r="BA405" i="23" s="1"/>
  <c r="BA104" i="23"/>
  <c r="BA108" i="23" s="1"/>
  <c r="CI222" i="23"/>
  <c r="AZ385" i="23"/>
  <c r="AY308" i="23"/>
  <c r="CI223" i="23" l="1"/>
  <c r="BB244" i="23"/>
  <c r="AZ363" i="23"/>
  <c r="BB101" i="23"/>
  <c r="BB100" i="23" s="1"/>
  <c r="BB338" i="23"/>
  <c r="BB334" i="23" s="1"/>
  <c r="BA360" i="23"/>
  <c r="AY316" i="23"/>
  <c r="AY309" i="23"/>
  <c r="AY310" i="23" s="1"/>
  <c r="AZ307" i="23" s="1"/>
  <c r="AZ390" i="23" l="1"/>
  <c r="BA382" i="23"/>
  <c r="AY403" i="23"/>
  <c r="AY317" i="23"/>
  <c r="AY318" i="23" s="1"/>
  <c r="AY319" i="23" s="1"/>
  <c r="AZ315" i="23" s="1"/>
  <c r="BB374" i="23"/>
  <c r="BB245" i="23"/>
  <c r="CI224" i="23"/>
  <c r="CJ220" i="23" s="1"/>
  <c r="BB375" i="23" l="1"/>
  <c r="BB340" i="23" s="1"/>
  <c r="AY402" i="23"/>
  <c r="AY122" i="23"/>
  <c r="AY404" i="23"/>
  <c r="CJ222" i="23"/>
  <c r="BA362" i="23"/>
  <c r="AZ364" i="23"/>
  <c r="BB330" i="23"/>
  <c r="BB243" i="23"/>
  <c r="BB376" i="23" l="1"/>
  <c r="BB361" i="23" s="1"/>
  <c r="AY123" i="23"/>
  <c r="BA385" i="23"/>
  <c r="AY401" i="23"/>
  <c r="AY409" i="23" s="1"/>
  <c r="BB102" i="23"/>
  <c r="BB246" i="23"/>
  <c r="BB103" i="23" s="1"/>
  <c r="BB408" i="23" s="1"/>
  <c r="AZ395" i="23"/>
  <c r="CJ223" i="23"/>
  <c r="BB247" i="23" l="1"/>
  <c r="BC241" i="23" s="1"/>
  <c r="BC242" i="23" s="1"/>
  <c r="AY410" i="23"/>
  <c r="BB407" i="23"/>
  <c r="BB405" i="23" s="1"/>
  <c r="BB104" i="23"/>
  <c r="BB108" i="23"/>
  <c r="AZ365" i="23"/>
  <c r="AZ400" i="23" s="1"/>
  <c r="AZ366" i="23" s="1"/>
  <c r="BA363" i="23"/>
  <c r="CJ224" i="23"/>
  <c r="CK220" i="23" s="1"/>
  <c r="AZ308" i="23" l="1"/>
  <c r="AZ316" i="23" s="1"/>
  <c r="BA390" i="23"/>
  <c r="BC244" i="23"/>
  <c r="CK222" i="23"/>
  <c r="BC101" i="23"/>
  <c r="BC100" i="23" s="1"/>
  <c r="BC338" i="23"/>
  <c r="BC334" i="23" s="1"/>
  <c r="AZ367" i="23"/>
  <c r="AZ368" i="23"/>
  <c r="BB360" i="23"/>
  <c r="AZ309" i="23" l="1"/>
  <c r="AZ310" i="23" s="1"/>
  <c r="BA307" i="23" s="1"/>
  <c r="CK223" i="23"/>
  <c r="BB382" i="23"/>
  <c r="BC374" i="23"/>
  <c r="BC245" i="23"/>
  <c r="BA364" i="23"/>
  <c r="BC375" i="23" l="1"/>
  <c r="BC340" i="23" s="1"/>
  <c r="AZ403" i="23"/>
  <c r="AZ317" i="23"/>
  <c r="AZ318" i="23" s="1"/>
  <c r="BB362" i="23"/>
  <c r="BA395" i="23"/>
  <c r="BC330" i="23"/>
  <c r="BC243" i="23"/>
  <c r="CK224" i="23"/>
  <c r="CL220" i="23" s="1"/>
  <c r="BC376" i="23" l="1"/>
  <c r="BC361" i="23" s="1"/>
  <c r="CL222" i="23"/>
  <c r="AZ402" i="23"/>
  <c r="AZ122" i="23"/>
  <c r="BA365" i="23"/>
  <c r="BA400" i="23" s="1"/>
  <c r="BA366" i="23" s="1"/>
  <c r="AZ319" i="23"/>
  <c r="BA315" i="23" s="1"/>
  <c r="BC102" i="23"/>
  <c r="BC246" i="23"/>
  <c r="BC103" i="23" s="1"/>
  <c r="BC408" i="23" s="1"/>
  <c r="AZ404" i="23"/>
  <c r="BB385" i="23"/>
  <c r="BA308" i="23" l="1"/>
  <c r="BA316" i="23" s="1"/>
  <c r="BC247" i="23"/>
  <c r="BD241" i="23" s="1"/>
  <c r="AZ123" i="23"/>
  <c r="BC407" i="23"/>
  <c r="BC405" i="23" s="1"/>
  <c r="BC104" i="23"/>
  <c r="BC108" i="23" s="1"/>
  <c r="BA367" i="23"/>
  <c r="BA368" i="23"/>
  <c r="AZ401" i="23"/>
  <c r="AZ410" i="23" s="1"/>
  <c r="BB363" i="23"/>
  <c r="CL223" i="23"/>
  <c r="BA309" i="23" l="1"/>
  <c r="BA317" i="23" s="1"/>
  <c r="BC360" i="23"/>
  <c r="BD242" i="23"/>
  <c r="CL224" i="23"/>
  <c r="CM220" i="23" s="1"/>
  <c r="AZ409" i="23"/>
  <c r="BB390" i="23"/>
  <c r="BA403" i="23" l="1"/>
  <c r="BA310" i="23"/>
  <c r="BB307" i="23" s="1"/>
  <c r="BB364" i="23"/>
  <c r="CM222" i="23"/>
  <c r="CM223" i="23" s="1"/>
  <c r="BD101" i="23"/>
  <c r="BD100" i="23" s="1"/>
  <c r="BD338" i="23"/>
  <c r="BD334" i="23" s="1"/>
  <c r="BC382" i="23"/>
  <c r="BD244" i="23"/>
  <c r="BA318" i="23"/>
  <c r="BA319" i="23" s="1"/>
  <c r="BB315" i="23" s="1"/>
  <c r="BA402" i="23" l="1"/>
  <c r="BA122" i="23"/>
  <c r="BA404" i="23"/>
  <c r="CM224" i="23"/>
  <c r="CN220" i="23" s="1"/>
  <c r="BB395" i="23"/>
  <c r="BD374" i="23"/>
  <c r="BD245" i="23"/>
  <c r="BD243" i="23" s="1"/>
  <c r="BC362" i="23"/>
  <c r="BD102" i="23" l="1"/>
  <c r="BD246" i="23"/>
  <c r="BD247" i="23" s="1"/>
  <c r="BE241" i="23" s="1"/>
  <c r="BA123" i="23"/>
  <c r="BC385" i="23"/>
  <c r="BB365" i="23"/>
  <c r="BB400" i="23" s="1"/>
  <c r="BB366" i="23" s="1"/>
  <c r="CN222" i="23"/>
  <c r="BD375" i="23"/>
  <c r="BD340" i="23" s="1"/>
  <c r="BD330" i="23"/>
  <c r="BA401" i="23"/>
  <c r="BA410" i="23" s="1"/>
  <c r="BD376" i="23" l="1"/>
  <c r="BD361" i="23" s="1"/>
  <c r="BA409" i="23"/>
  <c r="BB367" i="23"/>
  <c r="BB368" i="23"/>
  <c r="CN223" i="23"/>
  <c r="CN224" i="23" s="1"/>
  <c r="CO220" i="23" s="1"/>
  <c r="BB308" i="23"/>
  <c r="BC363" i="23"/>
  <c r="BE242" i="23"/>
  <c r="BE244" i="23" s="1"/>
  <c r="BD103" i="23"/>
  <c r="BD104" i="23" s="1"/>
  <c r="BD108" i="23" s="1"/>
  <c r="BD407" i="23"/>
  <c r="BD405" i="23" s="1"/>
  <c r="BE374" i="23" l="1"/>
  <c r="BE245" i="23"/>
  <c r="CO222" i="23"/>
  <c r="BD408" i="23"/>
  <c r="BE101" i="23"/>
  <c r="BE100" i="23" s="1"/>
  <c r="BE338" i="23"/>
  <c r="BE334" i="23" s="1"/>
  <c r="BC390" i="23"/>
  <c r="BB316" i="23"/>
  <c r="BB309" i="23"/>
  <c r="BB310" i="23" s="1"/>
  <c r="BC307" i="23" s="1"/>
  <c r="BD360" i="23"/>
  <c r="BE375" i="23" l="1"/>
  <c r="BE340" i="23" s="1"/>
  <c r="BC364" i="23"/>
  <c r="CO223" i="23"/>
  <c r="BB317" i="23"/>
  <c r="BB318" i="23" s="1"/>
  <c r="BB403" i="23"/>
  <c r="BE330" i="23"/>
  <c r="BD382" i="23"/>
  <c r="BE243" i="23"/>
  <c r="BB402" i="23" l="1"/>
  <c r="BB122" i="23"/>
  <c r="BE102" i="23"/>
  <c r="BE246" i="23"/>
  <c r="BE247" i="23" s="1"/>
  <c r="BF241" i="23" s="1"/>
  <c r="BB319" i="23"/>
  <c r="BC315" i="23" s="1"/>
  <c r="BC395" i="23"/>
  <c r="BB404" i="23"/>
  <c r="BD362" i="23"/>
  <c r="BE376" i="23"/>
  <c r="BE361" i="23" s="1"/>
  <c r="CO224" i="23"/>
  <c r="CP220" i="23" s="1"/>
  <c r="BC365" i="23" l="1"/>
  <c r="BC400" i="23" s="1"/>
  <c r="BC366" i="23" s="1"/>
  <c r="BF242" i="23"/>
  <c r="BF244" i="23" s="1"/>
  <c r="BE103" i="23"/>
  <c r="BE104" i="23" s="1"/>
  <c r="BE108" i="23" s="1"/>
  <c r="CP222" i="23"/>
  <c r="CP223" i="23" s="1"/>
  <c r="BB123" i="23"/>
  <c r="BD385" i="23"/>
  <c r="BE407" i="23"/>
  <c r="BE405" i="23" s="1"/>
  <c r="BB401" i="23"/>
  <c r="BB409" i="23" s="1"/>
  <c r="BC308" i="23" l="1"/>
  <c r="BC316" i="23" s="1"/>
  <c r="BE360" i="23"/>
  <c r="BE408" i="23"/>
  <c r="BF101" i="23"/>
  <c r="BF100" i="23" s="1"/>
  <c r="BF338" i="23"/>
  <c r="BF334" i="23" s="1"/>
  <c r="BD363" i="23"/>
  <c r="BC367" i="23"/>
  <c r="BC368" i="23"/>
  <c r="CP224" i="23"/>
  <c r="CQ220" i="23" s="1"/>
  <c r="BF374" i="23"/>
  <c r="BF245" i="23"/>
  <c r="BB410" i="23"/>
  <c r="BC309" i="23" l="1"/>
  <c r="BC317" i="23" s="1"/>
  <c r="BC318" i="23" s="1"/>
  <c r="BF375" i="23"/>
  <c r="BF340" i="23" s="1"/>
  <c r="BF330" i="23"/>
  <c r="BF243" i="23"/>
  <c r="BE382" i="23"/>
  <c r="BD390" i="23"/>
  <c r="CQ222" i="23"/>
  <c r="BF376" i="23" l="1"/>
  <c r="BF361" i="23" s="1"/>
  <c r="BC310" i="23"/>
  <c r="BD307" i="23" s="1"/>
  <c r="BC403" i="23"/>
  <c r="BC402" i="23"/>
  <c r="BC122" i="23"/>
  <c r="BE362" i="23"/>
  <c r="BC319" i="23"/>
  <c r="BD315" i="23" s="1"/>
  <c r="BC404" i="23"/>
  <c r="BD364" i="23"/>
  <c r="CQ223" i="23"/>
  <c r="BF102" i="23"/>
  <c r="BF246" i="23"/>
  <c r="BF247" i="23" s="1"/>
  <c r="BG241" i="23" s="1"/>
  <c r="BF407" i="23" l="1"/>
  <c r="BF405" i="23" s="1"/>
  <c r="CQ224" i="23"/>
  <c r="CR220" i="23" s="1"/>
  <c r="BD395" i="23"/>
  <c r="BG242" i="23"/>
  <c r="BE385" i="23"/>
  <c r="BC123" i="23"/>
  <c r="BF103" i="23"/>
  <c r="BC401" i="23"/>
  <c r="BC409" i="23" s="1"/>
  <c r="BC410" i="23" l="1"/>
  <c r="BD365" i="23"/>
  <c r="BD400" i="23" s="1"/>
  <c r="BD366" i="23" s="1"/>
  <c r="BG101" i="23"/>
  <c r="BG100" i="23" s="1"/>
  <c r="BG338" i="23"/>
  <c r="BG334" i="23" s="1"/>
  <c r="BF408" i="23"/>
  <c r="CR222" i="23"/>
  <c r="BF104" i="23"/>
  <c r="BF108" i="23" s="1"/>
  <c r="BG244" i="23"/>
  <c r="BE363" i="23"/>
  <c r="BD308" i="23" l="1"/>
  <c r="BD316" i="23" s="1"/>
  <c r="BE390" i="23"/>
  <c r="CR223" i="23"/>
  <c r="CR224" i="23" s="1"/>
  <c r="CS220" i="23" s="1"/>
  <c r="BF360" i="23"/>
  <c r="BG374" i="23"/>
  <c r="BG245" i="23"/>
  <c r="BG243" i="23" s="1"/>
  <c r="BD367" i="23"/>
  <c r="BD368" i="23"/>
  <c r="BD309" i="23" l="1"/>
  <c r="BD403" i="23" s="1"/>
  <c r="BG102" i="23"/>
  <c r="BG246" i="23"/>
  <c r="CS222" i="23"/>
  <c r="BF382" i="23"/>
  <c r="BE364" i="23"/>
  <c r="BG330" i="23"/>
  <c r="BG375" i="23"/>
  <c r="BG340" i="23" s="1"/>
  <c r="BD310" i="23" l="1"/>
  <c r="BE307" i="23" s="1"/>
  <c r="BD317" i="23"/>
  <c r="BD318" i="23" s="1"/>
  <c r="BD319" i="23" s="1"/>
  <c r="BE315" i="23" s="1"/>
  <c r="BG103" i="23"/>
  <c r="BG104" i="23" s="1"/>
  <c r="BG108" i="23" s="1"/>
  <c r="BF362" i="23"/>
  <c r="BG247" i="23"/>
  <c r="BH241" i="23" s="1"/>
  <c r="BG376" i="23"/>
  <c r="BG361" i="23" s="1"/>
  <c r="CS223" i="23"/>
  <c r="CS224" i="23" s="1"/>
  <c r="CT220" i="23" s="1"/>
  <c r="BE395" i="23"/>
  <c r="BG407" i="23"/>
  <c r="BG405" i="23" s="1"/>
  <c r="BD404" i="23" l="1"/>
  <c r="BD122" i="23"/>
  <c r="BD123" i="23" s="1"/>
  <c r="BD402" i="23"/>
  <c r="CT222" i="23"/>
  <c r="BE365" i="23"/>
  <c r="BE400" i="23" s="1"/>
  <c r="BE366" i="23" s="1"/>
  <c r="BF385" i="23"/>
  <c r="BH242" i="23"/>
  <c r="BG360" i="23"/>
  <c r="BG408" i="23"/>
  <c r="BD401" i="23" l="1"/>
  <c r="BD409" i="23" s="1"/>
  <c r="BE308" i="23"/>
  <c r="BE316" i="23" s="1"/>
  <c r="BF363" i="23"/>
  <c r="BE367" i="23"/>
  <c r="BE368" i="23"/>
  <c r="BH101" i="23"/>
  <c r="BH100" i="23" s="1"/>
  <c r="BH338" i="23"/>
  <c r="BH334" i="23" s="1"/>
  <c r="BG382" i="23"/>
  <c r="BH244" i="23"/>
  <c r="CT223" i="23"/>
  <c r="CT224" i="23" s="1"/>
  <c r="CU220" i="23" s="1"/>
  <c r="BD410" i="23" l="1"/>
  <c r="BE309" i="23"/>
  <c r="BE310" i="23" s="1"/>
  <c r="BF307" i="23" s="1"/>
  <c r="CU222" i="23"/>
  <c r="BH374" i="23"/>
  <c r="BH245" i="23"/>
  <c r="BG362" i="23"/>
  <c r="BF390" i="23"/>
  <c r="BE403" i="23" l="1"/>
  <c r="BE317" i="23"/>
  <c r="BE318" i="23" s="1"/>
  <c r="BF364" i="23"/>
  <c r="BH330" i="23"/>
  <c r="BH375" i="23"/>
  <c r="BH340" i="23" s="1"/>
  <c r="BH243" i="23"/>
  <c r="BG385" i="23"/>
  <c r="CU223" i="23"/>
  <c r="BE402" i="23" l="1"/>
  <c r="BE122" i="23"/>
  <c r="BG363" i="23"/>
  <c r="CU224" i="23"/>
  <c r="CV220" i="23" s="1"/>
  <c r="BH102" i="23"/>
  <c r="BH246" i="23"/>
  <c r="BH247" i="23" s="1"/>
  <c r="BI241" i="23" s="1"/>
  <c r="BH376" i="23"/>
  <c r="BH361" i="23" s="1"/>
  <c r="BF395" i="23"/>
  <c r="BE404" i="23"/>
  <c r="BE319" i="23"/>
  <c r="BF315" i="23" s="1"/>
  <c r="BE401" i="23" l="1"/>
  <c r="BF365" i="23"/>
  <c r="BF400" i="23" s="1"/>
  <c r="BF366" i="23" s="1"/>
  <c r="CV222" i="23"/>
  <c r="BH103" i="23"/>
  <c r="BH104" i="23" s="1"/>
  <c r="BH108" i="23" s="1"/>
  <c r="BI242" i="23"/>
  <c r="BH407" i="23"/>
  <c r="BH405" i="23" s="1"/>
  <c r="BG390" i="23"/>
  <c r="BE123" i="23"/>
  <c r="BE410" i="23"/>
  <c r="BE409" i="23"/>
  <c r="BF308" i="23" l="1"/>
  <c r="BF316" i="23" s="1"/>
  <c r="BI101" i="23"/>
  <c r="BI100" i="23" s="1"/>
  <c r="BI338" i="23"/>
  <c r="BI334" i="23" s="1"/>
  <c r="BH408" i="23"/>
  <c r="BH360" i="23"/>
  <c r="BI244" i="23"/>
  <c r="BG364" i="23"/>
  <c r="CV223" i="23"/>
  <c r="BF368" i="23"/>
  <c r="BF367" i="23"/>
  <c r="BF309" i="23" l="1"/>
  <c r="BF310" i="23" s="1"/>
  <c r="BG307" i="23" s="1"/>
  <c r="BI374" i="23"/>
  <c r="BI245" i="23"/>
  <c r="BH382" i="23"/>
  <c r="CV224" i="23"/>
  <c r="CW220" i="23" s="1"/>
  <c r="BG395" i="23"/>
  <c r="BI375" i="23" l="1"/>
  <c r="BI340" i="23" s="1"/>
  <c r="BF403" i="23"/>
  <c r="BF317" i="23"/>
  <c r="BF318" i="23" s="1"/>
  <c r="BI330" i="23"/>
  <c r="BI243" i="23"/>
  <c r="BH362" i="23"/>
  <c r="BG365" i="23"/>
  <c r="BG400" i="23" s="1"/>
  <c r="BG366" i="23" s="1"/>
  <c r="CW222" i="23"/>
  <c r="BI376" i="23" l="1"/>
  <c r="BI361" i="23" s="1"/>
  <c r="BG308" i="23"/>
  <c r="BG316" i="23" s="1"/>
  <c r="BF402" i="23"/>
  <c r="BF122" i="23"/>
  <c r="BI102" i="23"/>
  <c r="BI246" i="23"/>
  <c r="BI103" i="23" s="1"/>
  <c r="BI408" i="23" s="1"/>
  <c r="CW223" i="23"/>
  <c r="CW224" i="23" s="1"/>
  <c r="CX220" i="23" s="1"/>
  <c r="BG368" i="23"/>
  <c r="BG367" i="23"/>
  <c r="BF404" i="23"/>
  <c r="BH385" i="23"/>
  <c r="BF319" i="23"/>
  <c r="BG315" i="23" s="1"/>
  <c r="BG309" i="23" l="1"/>
  <c r="BG317" i="23" s="1"/>
  <c r="BG318" i="23" s="1"/>
  <c r="CX222" i="23"/>
  <c r="BI247" i="23"/>
  <c r="BJ241" i="23" s="1"/>
  <c r="BF401" i="23"/>
  <c r="BF410" i="23" s="1"/>
  <c r="BI407" i="23"/>
  <c r="BI405" i="23" s="1"/>
  <c r="BI104" i="23"/>
  <c r="BI108" i="23" s="1"/>
  <c r="BF123" i="23"/>
  <c r="BH363" i="23"/>
  <c r="BG310" i="23" l="1"/>
  <c r="BH307" i="23" s="1"/>
  <c r="BG403" i="23"/>
  <c r="BF409" i="23"/>
  <c r="BG402" i="23"/>
  <c r="BG122" i="23"/>
  <c r="BG319" i="23"/>
  <c r="BH315" i="23" s="1"/>
  <c r="BJ242" i="23"/>
  <c r="BJ244" i="23" s="1"/>
  <c r="BG404" i="23"/>
  <c r="BI360" i="23"/>
  <c r="BH390" i="23"/>
  <c r="CX223" i="23"/>
  <c r="CX224" i="23" s="1"/>
  <c r="CY220" i="23" s="1"/>
  <c r="CY222" i="23" l="1"/>
  <c r="BJ374" i="23"/>
  <c r="BJ245" i="23"/>
  <c r="BI382" i="23"/>
  <c r="BJ101" i="23"/>
  <c r="BJ100" i="23" s="1"/>
  <c r="BJ338" i="23"/>
  <c r="BJ334" i="23" s="1"/>
  <c r="BG123" i="23"/>
  <c r="BH364" i="23"/>
  <c r="BG401" i="23"/>
  <c r="BG409" i="23" s="1"/>
  <c r="BJ375" i="23" l="1"/>
  <c r="BJ340" i="23" s="1"/>
  <c r="BG410" i="23"/>
  <c r="BI362" i="23"/>
  <c r="BH395" i="23"/>
  <c r="BJ330" i="23"/>
  <c r="BJ243" i="23"/>
  <c r="CY223" i="23"/>
  <c r="BJ376" i="23" l="1"/>
  <c r="BJ361" i="23" s="1"/>
  <c r="CY224" i="23"/>
  <c r="CZ220" i="23" s="1"/>
  <c r="BJ102" i="23"/>
  <c r="BJ246" i="23"/>
  <c r="BJ103" i="23" s="1"/>
  <c r="BJ408" i="23" s="1"/>
  <c r="BH365" i="23"/>
  <c r="BH400" i="23" s="1"/>
  <c r="BH366" i="23" s="1"/>
  <c r="BI385" i="23"/>
  <c r="BH308" i="23" l="1"/>
  <c r="BH316" i="23" s="1"/>
  <c r="BI363" i="23"/>
  <c r="BH368" i="23"/>
  <c r="BH367" i="23"/>
  <c r="BJ247" i="23"/>
  <c r="BK241" i="23" s="1"/>
  <c r="CZ222" i="23"/>
  <c r="BJ407" i="23"/>
  <c r="BJ405" i="23" s="1"/>
  <c r="BJ104" i="23"/>
  <c r="BJ108" i="23" s="1"/>
  <c r="BH309" i="23" l="1"/>
  <c r="BH310" i="23" s="1"/>
  <c r="BI307" i="23" s="1"/>
  <c r="BJ360" i="23"/>
  <c r="BK242" i="23"/>
  <c r="BK244" i="23" s="1"/>
  <c r="CZ223" i="23"/>
  <c r="BI390" i="23"/>
  <c r="BH403" i="23" l="1"/>
  <c r="BH317" i="23"/>
  <c r="BH318" i="23" s="1"/>
  <c r="BK374" i="23"/>
  <c r="BK245" i="23"/>
  <c r="BI364" i="23"/>
  <c r="BK101" i="23"/>
  <c r="BK100" i="23" s="1"/>
  <c r="BK338" i="23"/>
  <c r="BK334" i="23" s="1"/>
  <c r="BJ382" i="23"/>
  <c r="CZ224" i="23"/>
  <c r="DA220" i="23" s="1"/>
  <c r="BK375" i="23" l="1"/>
  <c r="BK340" i="23" s="1"/>
  <c r="BJ362" i="23"/>
  <c r="DA222" i="23"/>
  <c r="BH402" i="23"/>
  <c r="BH122" i="23"/>
  <c r="BK330" i="23"/>
  <c r="BI395" i="23"/>
  <c r="BH319" i="23"/>
  <c r="BI315" i="23" s="1"/>
  <c r="BH404" i="23"/>
  <c r="BK243" i="23"/>
  <c r="BK376" i="23" l="1"/>
  <c r="BK361" i="23" s="1"/>
  <c r="BH401" i="23"/>
  <c r="BI365" i="23"/>
  <c r="BI400" i="23" s="1"/>
  <c r="BI366" i="23" s="1"/>
  <c r="BH123" i="23"/>
  <c r="DA223" i="23"/>
  <c r="BK102" i="23"/>
  <c r="BK246" i="23"/>
  <c r="BK103" i="23" s="1"/>
  <c r="BK408" i="23" s="1"/>
  <c r="BJ385" i="23"/>
  <c r="BH409" i="23"/>
  <c r="BH410" i="23"/>
  <c r="BI308" i="23" l="1"/>
  <c r="BI316" i="23" s="1"/>
  <c r="BJ363" i="23"/>
  <c r="BK247" i="23"/>
  <c r="BL241" i="23" s="1"/>
  <c r="BK407" i="23"/>
  <c r="BK405" i="23" s="1"/>
  <c r="BK104" i="23"/>
  <c r="BK108" i="23" s="1"/>
  <c r="DA224" i="23"/>
  <c r="DB220" i="23" s="1"/>
  <c r="BI367" i="23"/>
  <c r="BI368" i="23"/>
  <c r="BI309" i="23" l="1"/>
  <c r="BI310" i="23" s="1"/>
  <c r="BJ307" i="23" s="1"/>
  <c r="BK360" i="23"/>
  <c r="BL242" i="23"/>
  <c r="BJ390" i="23"/>
  <c r="DB222" i="23"/>
  <c r="BI317" i="23" l="1"/>
  <c r="BI318" i="23" s="1"/>
  <c r="BI122" i="23" s="1"/>
  <c r="BI403" i="23"/>
  <c r="BL101" i="23"/>
  <c r="BL100" i="23" s="1"/>
  <c r="BL338" i="23"/>
  <c r="BL334" i="23" s="1"/>
  <c r="BK382" i="23"/>
  <c r="BL244" i="23"/>
  <c r="DB223" i="23"/>
  <c r="BJ364" i="23"/>
  <c r="BI402" i="23" l="1"/>
  <c r="BI319" i="23"/>
  <c r="BJ315" i="23" s="1"/>
  <c r="BI404" i="23"/>
  <c r="BL374" i="23"/>
  <c r="BL245" i="23"/>
  <c r="BI123" i="23"/>
  <c r="BK362" i="23"/>
  <c r="DB224" i="23"/>
  <c r="DC220" i="23" s="1"/>
  <c r="BJ395" i="23"/>
  <c r="BL375" i="23" l="1"/>
  <c r="BL340" i="23" s="1"/>
  <c r="BI401" i="23"/>
  <c r="BI409" i="23" s="1"/>
  <c r="BJ365" i="23"/>
  <c r="BJ400" i="23" s="1"/>
  <c r="BJ366" i="23" s="1"/>
  <c r="DC222" i="23"/>
  <c r="DC223" i="23" s="1"/>
  <c r="BK385" i="23"/>
  <c r="BL330" i="23"/>
  <c r="BL243" i="23"/>
  <c r="BL376" i="23" l="1"/>
  <c r="BL361" i="23" s="1"/>
  <c r="BI410" i="23"/>
  <c r="BJ308" i="23"/>
  <c r="BJ316" i="23" s="1"/>
  <c r="BL102" i="23"/>
  <c r="BL246" i="23"/>
  <c r="BL103" i="23" s="1"/>
  <c r="BL408" i="23" s="1"/>
  <c r="BK363" i="23"/>
  <c r="DC224" i="23"/>
  <c r="DD220" i="23" s="1"/>
  <c r="BJ367" i="23"/>
  <c r="BJ368" i="23"/>
  <c r="BJ309" i="23" l="1"/>
  <c r="BJ317" i="23" s="1"/>
  <c r="BJ318" i="23" s="1"/>
  <c r="BL407" i="23"/>
  <c r="BL405" i="23" s="1"/>
  <c r="BL104" i="23"/>
  <c r="BL108" i="23" s="1"/>
  <c r="BK390" i="23"/>
  <c r="BL247" i="23"/>
  <c r="BM241" i="23" s="1"/>
  <c r="DD222" i="23"/>
  <c r="DD223" i="23" s="1"/>
  <c r="BJ310" i="23" l="1"/>
  <c r="BK307" i="23" s="1"/>
  <c r="BJ403" i="23"/>
  <c r="BK364" i="23"/>
  <c r="DD224" i="23"/>
  <c r="DE220" i="23" s="1"/>
  <c r="BM242" i="23"/>
  <c r="BL360" i="23"/>
  <c r="BJ402" i="23"/>
  <c r="BJ122" i="23"/>
  <c r="BJ319" i="23"/>
  <c r="BK315" i="23" s="1"/>
  <c r="BJ404" i="23"/>
  <c r="BM244" i="23" l="1"/>
  <c r="BM101" i="23"/>
  <c r="BM100" i="23" s="1"/>
  <c r="BM338" i="23"/>
  <c r="BM334" i="23" s="1"/>
  <c r="BJ123" i="23"/>
  <c r="BJ401" i="23"/>
  <c r="BL382" i="23"/>
  <c r="DE222" i="23"/>
  <c r="BK395" i="23"/>
  <c r="BJ410" i="23"/>
  <c r="BJ409" i="23"/>
  <c r="BK365" i="23" l="1"/>
  <c r="BK400" i="23" s="1"/>
  <c r="BK366" i="23" s="1"/>
  <c r="BM374" i="23"/>
  <c r="BM245" i="23"/>
  <c r="BL362" i="23"/>
  <c r="DE223" i="23"/>
  <c r="BM375" i="23" l="1"/>
  <c r="BM340" i="23" s="1"/>
  <c r="BK308" i="23"/>
  <c r="BK316" i="23" s="1"/>
  <c r="BL385" i="23"/>
  <c r="BM243" i="23"/>
  <c r="DE224" i="23"/>
  <c r="DF220" i="23" s="1"/>
  <c r="BM330" i="23"/>
  <c r="BK368" i="23"/>
  <c r="BK367" i="23"/>
  <c r="BM376" i="23" l="1"/>
  <c r="BM361" i="23" s="1"/>
  <c r="BK309" i="23"/>
  <c r="BK310" i="23" s="1"/>
  <c r="BL307" i="23" s="1"/>
  <c r="BM102" i="23"/>
  <c r="BM246" i="23"/>
  <c r="BM103" i="23" s="1"/>
  <c r="BM408" i="23" s="1"/>
  <c r="BL363" i="23"/>
  <c r="DF222" i="23"/>
  <c r="BM247" i="23" l="1"/>
  <c r="BN241" i="23" s="1"/>
  <c r="BN242" i="23" s="1"/>
  <c r="BN244" i="23" s="1"/>
  <c r="BK317" i="23"/>
  <c r="BK318" i="23" s="1"/>
  <c r="BK402" i="23" s="1"/>
  <c r="BK403" i="23"/>
  <c r="BM407" i="23"/>
  <c r="BM405" i="23" s="1"/>
  <c r="BM104" i="23"/>
  <c r="BM108" i="23" s="1"/>
  <c r="BL390" i="23"/>
  <c r="DF223" i="23"/>
  <c r="DF224" i="23" s="1"/>
  <c r="DG220" i="23" s="1"/>
  <c r="BK319" i="23" l="1"/>
  <c r="BL315" i="23" s="1"/>
  <c r="BK404" i="23"/>
  <c r="BK122" i="23"/>
  <c r="BK123" i="23" s="1"/>
  <c r="DG222" i="23"/>
  <c r="BN374" i="23"/>
  <c r="BN245" i="23"/>
  <c r="BM360" i="23"/>
  <c r="BK401" i="23"/>
  <c r="BK409" i="23" s="1"/>
  <c r="BN101" i="23"/>
  <c r="BN100" i="23" s="1"/>
  <c r="BN338" i="23"/>
  <c r="BN334" i="23" s="1"/>
  <c r="BL364" i="23"/>
  <c r="BK410" i="23" l="1"/>
  <c r="BN375" i="23"/>
  <c r="BN340" i="23" s="1"/>
  <c r="BN330" i="23"/>
  <c r="BL395" i="23"/>
  <c r="BM382" i="23"/>
  <c r="BN243" i="23"/>
  <c r="DG223" i="23"/>
  <c r="BN376" i="23" l="1"/>
  <c r="BN361" i="23" s="1"/>
  <c r="BN102" i="23"/>
  <c r="BN246" i="23"/>
  <c r="BN103" i="23" s="1"/>
  <c r="BN408" i="23" s="1"/>
  <c r="BM362" i="23"/>
  <c r="BL365" i="23"/>
  <c r="BL400" i="23" s="1"/>
  <c r="BL366" i="23" s="1"/>
  <c r="DG224" i="23"/>
  <c r="DH220" i="23" s="1"/>
  <c r="BL308" i="23" l="1"/>
  <c r="BM385" i="23"/>
  <c r="DH222" i="23"/>
  <c r="BL367" i="23"/>
  <c r="BL368" i="23"/>
  <c r="BN247" i="23"/>
  <c r="BO241" i="23" s="1"/>
  <c r="BN407" i="23"/>
  <c r="BN405" i="23" s="1"/>
  <c r="BN104" i="23"/>
  <c r="BN108" i="23" s="1"/>
  <c r="DH223" i="23" l="1"/>
  <c r="BN360" i="23"/>
  <c r="BO242" i="23"/>
  <c r="BO244" i="23" s="1"/>
  <c r="BM363" i="23"/>
  <c r="BL316" i="23"/>
  <c r="BL309" i="23"/>
  <c r="BL310" i="23" s="1"/>
  <c r="BM307" i="23" s="1"/>
  <c r="BO374" i="23" l="1"/>
  <c r="BO245" i="23"/>
  <c r="BO101" i="23"/>
  <c r="BO100" i="23" s="1"/>
  <c r="BO338" i="23"/>
  <c r="BO334" i="23" s="1"/>
  <c r="BM390" i="23"/>
  <c r="BN382" i="23"/>
  <c r="BL317" i="23"/>
  <c r="BL403" i="23"/>
  <c r="DH224" i="23"/>
  <c r="DI220" i="23" s="1"/>
  <c r="BO375" i="23" l="1"/>
  <c r="BO340" i="23" s="1"/>
  <c r="BM364" i="23"/>
  <c r="DI222" i="23"/>
  <c r="BO330" i="23"/>
  <c r="BL318" i="23"/>
  <c r="BL404" i="23" s="1"/>
  <c r="BN362" i="23"/>
  <c r="BO243" i="23"/>
  <c r="BO376" i="23" l="1"/>
  <c r="BO361" i="23" s="1"/>
  <c r="BN385" i="23"/>
  <c r="BL319" i="23"/>
  <c r="BM315" i="23" s="1"/>
  <c r="BL402" i="23"/>
  <c r="BL401" i="23" s="1"/>
  <c r="BL410" i="23" s="1"/>
  <c r="BL122" i="23"/>
  <c r="DI223" i="23"/>
  <c r="BO102" i="23"/>
  <c r="BO246" i="23"/>
  <c r="BO103" i="23" s="1"/>
  <c r="BO408" i="23" s="1"/>
  <c r="BM395" i="23"/>
  <c r="BO247" i="23" l="1"/>
  <c r="BP241" i="23" s="1"/>
  <c r="BP242" i="23" s="1"/>
  <c r="DI224" i="23"/>
  <c r="DJ220" i="23" s="1"/>
  <c r="BN363" i="23"/>
  <c r="BL123" i="23"/>
  <c r="BO407" i="23"/>
  <c r="BO405" i="23" s="1"/>
  <c r="BO104" i="23"/>
  <c r="BO108" i="23" s="1"/>
  <c r="BL409" i="23"/>
  <c r="BM365" i="23"/>
  <c r="BM400" i="23" s="1"/>
  <c r="BM366" i="23" s="1"/>
  <c r="BP101" i="23" l="1"/>
  <c r="BP100" i="23" s="1"/>
  <c r="BP338" i="23"/>
  <c r="BP334" i="23" s="1"/>
  <c r="BM367" i="23"/>
  <c r="BM368" i="23"/>
  <c r="DJ222" i="23"/>
  <c r="DJ223" i="23" s="1"/>
  <c r="BO360" i="23"/>
  <c r="BP244" i="23"/>
  <c r="BN390" i="23"/>
  <c r="BM308" i="23"/>
  <c r="BO382" i="23" l="1"/>
  <c r="DJ224" i="23"/>
  <c r="DK220" i="23" s="1"/>
  <c r="BP374" i="23"/>
  <c r="BP245" i="23"/>
  <c r="BN364" i="23"/>
  <c r="BM316" i="23"/>
  <c r="BM309" i="23"/>
  <c r="BP375" i="23" l="1"/>
  <c r="BP340" i="23" s="1"/>
  <c r="DK222" i="23"/>
  <c r="BN395" i="23"/>
  <c r="BM317" i="23"/>
  <c r="BM318" i="23" s="1"/>
  <c r="BM319" i="23" s="1"/>
  <c r="BN315" i="23" s="1"/>
  <c r="BM403" i="23"/>
  <c r="BP330" i="23"/>
  <c r="BP243" i="23"/>
  <c r="BM310" i="23"/>
  <c r="BN307" i="23" s="1"/>
  <c r="BO362" i="23"/>
  <c r="BP376" i="23" l="1"/>
  <c r="BP361" i="23" s="1"/>
  <c r="BP102" i="23"/>
  <c r="BP246" i="23"/>
  <c r="BP247" i="23" s="1"/>
  <c r="BQ241" i="23" s="1"/>
  <c r="BM404" i="23"/>
  <c r="DK223" i="23"/>
  <c r="BO385" i="23"/>
  <c r="BM402" i="23"/>
  <c r="BM122" i="23"/>
  <c r="BN365" i="23"/>
  <c r="BN400" i="23" s="1"/>
  <c r="BN366" i="23" s="1"/>
  <c r="BQ242" i="23" l="1"/>
  <c r="BN368" i="23"/>
  <c r="BN367" i="23"/>
  <c r="BO363" i="23"/>
  <c r="DK224" i="23"/>
  <c r="DL220" i="23" s="1"/>
  <c r="BN308" i="23"/>
  <c r="BM123" i="23"/>
  <c r="BM401" i="23"/>
  <c r="BM410" i="23" s="1"/>
  <c r="BP103" i="23"/>
  <c r="BP104" i="23" s="1"/>
  <c r="BP108" i="23" s="1"/>
  <c r="BP407" i="23"/>
  <c r="BP405" i="23" s="1"/>
  <c r="BM409" i="23" l="1"/>
  <c r="DL222" i="23"/>
  <c r="BP360" i="23"/>
  <c r="BO390" i="23"/>
  <c r="BQ101" i="23"/>
  <c r="BQ100" i="23" s="1"/>
  <c r="BQ338" i="23"/>
  <c r="BQ334" i="23" s="1"/>
  <c r="BN316" i="23"/>
  <c r="BN309" i="23"/>
  <c r="BP408" i="23"/>
  <c r="BQ244" i="23"/>
  <c r="BO364" i="23" l="1"/>
  <c r="BQ374" i="23"/>
  <c r="BQ245" i="23"/>
  <c r="BP382" i="23"/>
  <c r="BN317" i="23"/>
  <c r="BN318" i="23" s="1"/>
  <c r="BN319" i="23" s="1"/>
  <c r="BO315" i="23" s="1"/>
  <c r="BN403" i="23"/>
  <c r="BN310" i="23"/>
  <c r="BO307" i="23" s="1"/>
  <c r="DL223" i="23"/>
  <c r="BQ330" i="23" l="1"/>
  <c r="BP362" i="23"/>
  <c r="BQ375" i="23"/>
  <c r="BQ340" i="23" s="1"/>
  <c r="BQ243" i="23"/>
  <c r="DL224" i="23"/>
  <c r="DM220" i="23" s="1"/>
  <c r="BN402" i="23"/>
  <c r="BN122" i="23"/>
  <c r="BN404" i="23"/>
  <c r="BO395" i="23"/>
  <c r="BN401" i="23" l="1"/>
  <c r="BN409" i="23" s="1"/>
  <c r="BO365" i="23"/>
  <c r="BO400" i="23" s="1"/>
  <c r="BO366" i="23" s="1"/>
  <c r="DM222" i="23"/>
  <c r="BQ102" i="23"/>
  <c r="BQ246" i="23"/>
  <c r="BQ247" i="23" s="1"/>
  <c r="BR241" i="23" s="1"/>
  <c r="BP385" i="23"/>
  <c r="BQ376" i="23"/>
  <c r="BQ361" i="23" s="1"/>
  <c r="BN123" i="23"/>
  <c r="BN410" i="23" l="1"/>
  <c r="BO308" i="23"/>
  <c r="BO316" i="23" s="1"/>
  <c r="BR242" i="23"/>
  <c r="BQ407" i="23"/>
  <c r="BQ405" i="23" s="1"/>
  <c r="BP363" i="23"/>
  <c r="BQ103" i="23"/>
  <c r="BQ104" i="23" s="1"/>
  <c r="BQ108" i="23" s="1"/>
  <c r="DM223" i="23"/>
  <c r="DM224" i="23" s="1"/>
  <c r="DN220" i="23" s="1"/>
  <c r="BO367" i="23"/>
  <c r="BO368" i="23"/>
  <c r="BO309" i="23" l="1"/>
  <c r="BO310" i="23" s="1"/>
  <c r="BP307" i="23" s="1"/>
  <c r="DN222" i="23"/>
  <c r="BQ360" i="23"/>
  <c r="BQ408" i="23"/>
  <c r="BR244" i="23"/>
  <c r="BR101" i="23"/>
  <c r="BR100" i="23" s="1"/>
  <c r="BR338" i="23"/>
  <c r="BR334" i="23" s="1"/>
  <c r="BP390" i="23"/>
  <c r="BO317" i="23" l="1"/>
  <c r="BO318" i="23" s="1"/>
  <c r="BO404" i="23" s="1"/>
  <c r="BO403" i="23"/>
  <c r="BR374" i="23"/>
  <c r="BR245" i="23"/>
  <c r="BQ382" i="23"/>
  <c r="BP364" i="23"/>
  <c r="DN223" i="23"/>
  <c r="BO122" i="23" l="1"/>
  <c r="BO123" i="23" s="1"/>
  <c r="BO402" i="23"/>
  <c r="BO401" i="23" s="1"/>
  <c r="BO410" i="23" s="1"/>
  <c r="BO319" i="23"/>
  <c r="BP315" i="23" s="1"/>
  <c r="BQ362" i="23"/>
  <c r="BP395" i="23"/>
  <c r="DN224" i="23"/>
  <c r="DO220" i="23" s="1"/>
  <c r="BR330" i="23"/>
  <c r="BR375" i="23"/>
  <c r="BR340" i="23" s="1"/>
  <c r="BR243" i="23"/>
  <c r="BO409" i="23" l="1"/>
  <c r="BR376" i="23"/>
  <c r="BR361" i="23" s="1"/>
  <c r="BP365" i="23"/>
  <c r="BP400" i="23" s="1"/>
  <c r="BP366" i="23" s="1"/>
  <c r="DO222" i="23"/>
  <c r="BQ385" i="23"/>
  <c r="BR102" i="23"/>
  <c r="BR246" i="23"/>
  <c r="BP308" i="23" l="1"/>
  <c r="BP309" i="23" s="1"/>
  <c r="BP310" i="23" s="1"/>
  <c r="BQ307" i="23" s="1"/>
  <c r="BR407" i="23"/>
  <c r="BR405" i="23" s="1"/>
  <c r="BQ363" i="23"/>
  <c r="DO223" i="23"/>
  <c r="DO224" i="23" s="1"/>
  <c r="DP220" i="23" s="1"/>
  <c r="BR103" i="23"/>
  <c r="BR247" i="23"/>
  <c r="BS241" i="23" s="1"/>
  <c r="BP368" i="23"/>
  <c r="BP367" i="23"/>
  <c r="BP316" i="23" l="1"/>
  <c r="BR408" i="23"/>
  <c r="BQ390" i="23"/>
  <c r="BP403" i="23"/>
  <c r="BP317" i="23"/>
  <c r="DP222" i="23"/>
  <c r="DP223" i="23" s="1"/>
  <c r="BR104" i="23"/>
  <c r="BR108" i="23" s="1"/>
  <c r="BS242" i="23"/>
  <c r="BS244" i="23" s="1"/>
  <c r="BP318" i="23" l="1"/>
  <c r="BP319" i="23" s="1"/>
  <c r="BQ315" i="23" s="1"/>
  <c r="BS374" i="23"/>
  <c r="BS245" i="23"/>
  <c r="BQ364" i="23"/>
  <c r="BS101" i="23"/>
  <c r="BS100" i="23" s="1"/>
  <c r="BS338" i="23"/>
  <c r="BS334" i="23" s="1"/>
  <c r="BR360" i="23"/>
  <c r="DP224" i="23"/>
  <c r="DQ220" i="23" s="1"/>
  <c r="BP122" i="23" l="1"/>
  <c r="BP123" i="23" s="1"/>
  <c r="BP402" i="23"/>
  <c r="BP404" i="23"/>
  <c r="DQ222" i="23"/>
  <c r="BR382" i="23"/>
  <c r="BQ395" i="23"/>
  <c r="BS375" i="23"/>
  <c r="BS340" i="23" s="1"/>
  <c r="BS330" i="23"/>
  <c r="BS243" i="23"/>
  <c r="BP401" i="23" l="1"/>
  <c r="BP410" i="23" s="1"/>
  <c r="BS376" i="23"/>
  <c r="BS361" i="23" s="1"/>
  <c r="DQ223" i="23"/>
  <c r="DQ224" i="23" s="1"/>
  <c r="DR220" i="23" s="1"/>
  <c r="BS102" i="23"/>
  <c r="BS246" i="23"/>
  <c r="BS247" i="23" s="1"/>
  <c r="BT241" i="23" s="1"/>
  <c r="BR362" i="23"/>
  <c r="BQ365" i="23"/>
  <c r="BQ400" i="23" s="1"/>
  <c r="BQ366" i="23" s="1"/>
  <c r="BP409" i="23" l="1"/>
  <c r="BR385" i="23"/>
  <c r="BS103" i="23"/>
  <c r="BS104" i="23" s="1"/>
  <c r="BS108" i="23" s="1"/>
  <c r="BS407" i="23"/>
  <c r="BS405" i="23" s="1"/>
  <c r="BQ367" i="23"/>
  <c r="BQ368" i="23"/>
  <c r="DR222" i="23"/>
  <c r="BT242" i="23"/>
  <c r="BT244" i="23" s="1"/>
  <c r="BQ308" i="23"/>
  <c r="BT374" i="23" l="1"/>
  <c r="BT245" i="23"/>
  <c r="DR223" i="23"/>
  <c r="DR224" i="23" s="1"/>
  <c r="DS220" i="23" s="1"/>
  <c r="BS360" i="23"/>
  <c r="BR363" i="23"/>
  <c r="BS408" i="23"/>
  <c r="BQ316" i="23"/>
  <c r="BQ309" i="23"/>
  <c r="BT101" i="23"/>
  <c r="BT100" i="23" s="1"/>
  <c r="BT338" i="23"/>
  <c r="BT334" i="23" s="1"/>
  <c r="DS222" i="23" l="1"/>
  <c r="BR390" i="23"/>
  <c r="BQ317" i="23"/>
  <c r="BQ318" i="23" s="1"/>
  <c r="BQ319" i="23" s="1"/>
  <c r="BR315" i="23" s="1"/>
  <c r="BQ403" i="23"/>
  <c r="BQ310" i="23"/>
  <c r="BR307" i="23" s="1"/>
  <c r="BT375" i="23"/>
  <c r="BT340" i="23" s="1"/>
  <c r="BT330" i="23"/>
  <c r="BS382" i="23"/>
  <c r="BT243" i="23"/>
  <c r="BT102" i="23" l="1"/>
  <c r="BT246" i="23"/>
  <c r="BT247" i="23" s="1"/>
  <c r="BU241" i="23" s="1"/>
  <c r="BQ402" i="23"/>
  <c r="BQ122" i="23"/>
  <c r="BQ404" i="23"/>
  <c r="BR364" i="23"/>
  <c r="BS362" i="23"/>
  <c r="BT376" i="23"/>
  <c r="BT361" i="23" s="1"/>
  <c r="DS223" i="23"/>
  <c r="BQ123" i="23" l="1"/>
  <c r="BS385" i="23"/>
  <c r="BQ401" i="23"/>
  <c r="BQ409" i="23" s="1"/>
  <c r="BR395" i="23"/>
  <c r="BU242" i="23"/>
  <c r="BU244" i="23" s="1"/>
  <c r="DS224" i="23"/>
  <c r="DT220" i="23" s="1"/>
  <c r="BT103" i="23"/>
  <c r="BT104" i="23" s="1"/>
  <c r="BT108" i="23" s="1"/>
  <c r="BT407" i="23"/>
  <c r="BT405" i="23" s="1"/>
  <c r="BQ410" i="23" l="1"/>
  <c r="BR365" i="23"/>
  <c r="BR400" i="23" s="1"/>
  <c r="BR366" i="23" s="1"/>
  <c r="BT408" i="23"/>
  <c r="BT360" i="23"/>
  <c r="BU374" i="23"/>
  <c r="BU245" i="23"/>
  <c r="DT222" i="23"/>
  <c r="DT223" i="23" s="1"/>
  <c r="BS363" i="23"/>
  <c r="BU101" i="23"/>
  <c r="BU100" i="23" s="1"/>
  <c r="BU338" i="23"/>
  <c r="BU334" i="23" s="1"/>
  <c r="BU375" i="23" l="1"/>
  <c r="BU340" i="23" s="1"/>
  <c r="BR308" i="23"/>
  <c r="BR309" i="23" s="1"/>
  <c r="BR310" i="23" s="1"/>
  <c r="BS307" i="23" s="1"/>
  <c r="BU243" i="23"/>
  <c r="BT382" i="23"/>
  <c r="BS390" i="23"/>
  <c r="DT224" i="23"/>
  <c r="DU220" i="23" s="1"/>
  <c r="BU330" i="23"/>
  <c r="BR367" i="23"/>
  <c r="BR368" i="23"/>
  <c r="BU376" i="23" l="1"/>
  <c r="BU361" i="23" s="1"/>
  <c r="BR316" i="23"/>
  <c r="BS364" i="23"/>
  <c r="DU222" i="23"/>
  <c r="BT362" i="23"/>
  <c r="BR317" i="23"/>
  <c r="BR403" i="23"/>
  <c r="BU102" i="23"/>
  <c r="BU246" i="23"/>
  <c r="BU103" i="23" s="1"/>
  <c r="BU408" i="23" s="1"/>
  <c r="BT385" i="23" l="1"/>
  <c r="DU223" i="23"/>
  <c r="BR318" i="23"/>
  <c r="BR319" i="23" s="1"/>
  <c r="BS315" i="23" s="1"/>
  <c r="BU247" i="23"/>
  <c r="BV241" i="23" s="1"/>
  <c r="BU407" i="23"/>
  <c r="BU405" i="23" s="1"/>
  <c r="BU104" i="23"/>
  <c r="BU108" i="23" s="1"/>
  <c r="BS395" i="23"/>
  <c r="BV242" i="23" l="1"/>
  <c r="BV244" i="23" s="1"/>
  <c r="BR402" i="23"/>
  <c r="BR122" i="23"/>
  <c r="DU224" i="23"/>
  <c r="DV220" i="23" s="1"/>
  <c r="BR404" i="23"/>
  <c r="BS365" i="23"/>
  <c r="BS400" i="23" s="1"/>
  <c r="BS366" i="23" s="1"/>
  <c r="BU360" i="23"/>
  <c r="BT363" i="23"/>
  <c r="BV374" i="23" l="1"/>
  <c r="BV245" i="23"/>
  <c r="BR123" i="23"/>
  <c r="BU382" i="23"/>
  <c r="BS308" i="23"/>
  <c r="BR401" i="23"/>
  <c r="BR410" i="23" s="1"/>
  <c r="BS367" i="23"/>
  <c r="BS368" i="23"/>
  <c r="DV222" i="23"/>
  <c r="DV223" i="23" s="1"/>
  <c r="BV101" i="23"/>
  <c r="BV100" i="23" s="1"/>
  <c r="BV338" i="23"/>
  <c r="BV334" i="23" s="1"/>
  <c r="BT390" i="23"/>
  <c r="BV375" i="23" l="1"/>
  <c r="BV340" i="23" s="1"/>
  <c r="BR409" i="23"/>
  <c r="BU362" i="23"/>
  <c r="BT364" i="23"/>
  <c r="BV330" i="23"/>
  <c r="BS316" i="23"/>
  <c r="BS309" i="23"/>
  <c r="DV224" i="23"/>
  <c r="DW220" i="23" s="1"/>
  <c r="BV243" i="23"/>
  <c r="BV376" i="23" l="1"/>
  <c r="BV361" i="23" s="1"/>
  <c r="BV102" i="23"/>
  <c r="BV246" i="23"/>
  <c r="BV103" i="23" s="1"/>
  <c r="BV408" i="23" s="1"/>
  <c r="DW222" i="23"/>
  <c r="BT395" i="23"/>
  <c r="BS403" i="23"/>
  <c r="BS317" i="23"/>
  <c r="BU385" i="23"/>
  <c r="BS310" i="23"/>
  <c r="BT307" i="23" s="1"/>
  <c r="BU363" i="23" l="1"/>
  <c r="BT365" i="23"/>
  <c r="BT400" i="23" s="1"/>
  <c r="BT366" i="23" s="1"/>
  <c r="BV407" i="23"/>
  <c r="BV405" i="23" s="1"/>
  <c r="BV104" i="23"/>
  <c r="BV108" i="23" s="1"/>
  <c r="BS318" i="23"/>
  <c r="BS404" i="23" s="1"/>
  <c r="DW223" i="23"/>
  <c r="BV247" i="23"/>
  <c r="BW241" i="23" s="1"/>
  <c r="BT308" i="23" l="1"/>
  <c r="BT316" i="23" s="1"/>
  <c r="BV360" i="23"/>
  <c r="BS319" i="23"/>
  <c r="BT315" i="23" s="1"/>
  <c r="BT367" i="23"/>
  <c r="BT368" i="23"/>
  <c r="BW242" i="23"/>
  <c r="BS402" i="23"/>
  <c r="BS401" i="23" s="1"/>
  <c r="BS409" i="23" s="1"/>
  <c r="BS122" i="23"/>
  <c r="BU390" i="23"/>
  <c r="DW224" i="23"/>
  <c r="DX220" i="23" s="1"/>
  <c r="BT309" i="23" l="1"/>
  <c r="BT310" i="23" s="1"/>
  <c r="BU307" i="23" s="1"/>
  <c r="BW244" i="23"/>
  <c r="DX222" i="23"/>
  <c r="DX223" i="23" s="1"/>
  <c r="BW101" i="23"/>
  <c r="BW100" i="23" s="1"/>
  <c r="BW338" i="23"/>
  <c r="BW334" i="23" s="1"/>
  <c r="BV382" i="23"/>
  <c r="BS410" i="23"/>
  <c r="BS123" i="23"/>
  <c r="BU364" i="23"/>
  <c r="BT317" i="23" l="1"/>
  <c r="BT318" i="23" s="1"/>
  <c r="BT404" i="23" s="1"/>
  <c r="BT403" i="23"/>
  <c r="DX224" i="23"/>
  <c r="DY220" i="23" s="1"/>
  <c r="BW374" i="23"/>
  <c r="BW245" i="23"/>
  <c r="BU395" i="23"/>
  <c r="BV362" i="23"/>
  <c r="BW375" i="23" l="1"/>
  <c r="BW340" i="23" s="1"/>
  <c r="BT319" i="23"/>
  <c r="BU315" i="23" s="1"/>
  <c r="BU365" i="23"/>
  <c r="BU400" i="23" s="1"/>
  <c r="BU366" i="23" s="1"/>
  <c r="DY222" i="23"/>
  <c r="BW330" i="23"/>
  <c r="BW243" i="23"/>
  <c r="BV385" i="23"/>
  <c r="BT402" i="23"/>
  <c r="BT401" i="23" s="1"/>
  <c r="BT410" i="23" s="1"/>
  <c r="BT122" i="23"/>
  <c r="BW376" i="23" l="1"/>
  <c r="BW361" i="23" s="1"/>
  <c r="BT409" i="23"/>
  <c r="BU308" i="23"/>
  <c r="BU316" i="23" s="1"/>
  <c r="BT123" i="23"/>
  <c r="BW102" i="23"/>
  <c r="BW246" i="23"/>
  <c r="BW103" i="23" s="1"/>
  <c r="BW408" i="23" s="1"/>
  <c r="DY223" i="23"/>
  <c r="DY224" i="23" s="1"/>
  <c r="DZ220" i="23" s="1"/>
  <c r="BV363" i="23"/>
  <c r="BU367" i="23"/>
  <c r="BU368" i="23"/>
  <c r="BU309" i="23" l="1"/>
  <c r="BU403" i="23" s="1"/>
  <c r="BW247" i="23"/>
  <c r="BX241" i="23" s="1"/>
  <c r="BX242" i="23" s="1"/>
  <c r="DZ222" i="23"/>
  <c r="DZ223" i="23" s="1"/>
  <c r="BW407" i="23"/>
  <c r="BW405" i="23" s="1"/>
  <c r="BW104" i="23"/>
  <c r="BW108" i="23" s="1"/>
  <c r="BV390" i="23"/>
  <c r="BU310" i="23" l="1"/>
  <c r="BV307" i="23" s="1"/>
  <c r="BU317" i="23"/>
  <c r="BU318" i="23" s="1"/>
  <c r="BU319" i="23" s="1"/>
  <c r="BV315" i="23" s="1"/>
  <c r="BW360" i="23"/>
  <c r="DZ224" i="23"/>
  <c r="EA220" i="23" s="1"/>
  <c r="BV364" i="23"/>
  <c r="BX244" i="23"/>
  <c r="BX101" i="23"/>
  <c r="BX100" i="23" s="1"/>
  <c r="BX338" i="23"/>
  <c r="BX334" i="23" s="1"/>
  <c r="BU122" i="23" l="1"/>
  <c r="BU123" i="23" s="1"/>
  <c r="BU404" i="23"/>
  <c r="BU402" i="23"/>
  <c r="BV395" i="23"/>
  <c r="EA222" i="23"/>
  <c r="BX374" i="23"/>
  <c r="BX245" i="23"/>
  <c r="BW382" i="23"/>
  <c r="BU401" i="23" l="1"/>
  <c r="BU409" i="23" s="1"/>
  <c r="BX375" i="23"/>
  <c r="BX340" i="23" s="1"/>
  <c r="BW362" i="23"/>
  <c r="BX243" i="23"/>
  <c r="BX330" i="23"/>
  <c r="EA223" i="23"/>
  <c r="BV365" i="23"/>
  <c r="BV400" i="23" s="1"/>
  <c r="BV366" i="23" s="1"/>
  <c r="BU410" i="23" l="1"/>
  <c r="BX376" i="23"/>
  <c r="BX361" i="23" s="1"/>
  <c r="BV308" i="23"/>
  <c r="EA224" i="23"/>
  <c r="EB220" i="23" s="1"/>
  <c r="BV368" i="23"/>
  <c r="BV367" i="23"/>
  <c r="BX102" i="23"/>
  <c r="BX246" i="23"/>
  <c r="BX103" i="23" s="1"/>
  <c r="BX408" i="23" s="1"/>
  <c r="BW385" i="23"/>
  <c r="BW363" i="23" l="1"/>
  <c r="BX247" i="23"/>
  <c r="BY241" i="23" s="1"/>
  <c r="EB222" i="23"/>
  <c r="EB223" i="23" s="1"/>
  <c r="BX407" i="23"/>
  <c r="BX405" i="23" s="1"/>
  <c r="BX104" i="23"/>
  <c r="BX108" i="23" s="1"/>
  <c r="BV316" i="23"/>
  <c r="BV309" i="23"/>
  <c r="BV310" i="23" s="1"/>
  <c r="BW307" i="23" s="1"/>
  <c r="BX360" i="23" l="1"/>
  <c r="BV403" i="23"/>
  <c r="BV317" i="23"/>
  <c r="BV318" i="23" s="1"/>
  <c r="BV319" i="23" s="1"/>
  <c r="BW315" i="23" s="1"/>
  <c r="EB224" i="23"/>
  <c r="EC220" i="23" s="1"/>
  <c r="BY242" i="23"/>
  <c r="BY244" i="23" s="1"/>
  <c r="BW390" i="23"/>
  <c r="BV404" i="23" l="1"/>
  <c r="BY374" i="23"/>
  <c r="BY245" i="23"/>
  <c r="BX382" i="23"/>
  <c r="BW364" i="23"/>
  <c r="BV402" i="23"/>
  <c r="BV122" i="23"/>
  <c r="BY101" i="23"/>
  <c r="BY100" i="23" s="1"/>
  <c r="BY338" i="23"/>
  <c r="BY334" i="23" s="1"/>
  <c r="EC222" i="23"/>
  <c r="BY375" i="23" l="1"/>
  <c r="BY340" i="23" s="1"/>
  <c r="BV401" i="23"/>
  <c r="BV409" i="23" s="1"/>
  <c r="BW395" i="23"/>
  <c r="BY330" i="23"/>
  <c r="BX362" i="23"/>
  <c r="EC223" i="23"/>
  <c r="BY243" i="23"/>
  <c r="BV123" i="23"/>
  <c r="BY376" i="23" l="1"/>
  <c r="BY361" i="23" s="1"/>
  <c r="BV410" i="23"/>
  <c r="BY102" i="23"/>
  <c r="BY246" i="23"/>
  <c r="BY103" i="23" s="1"/>
  <c r="BY408" i="23" s="1"/>
  <c r="BX385" i="23"/>
  <c r="EC224" i="23"/>
  <c r="ED220" i="23" s="1"/>
  <c r="BW365" i="23"/>
  <c r="BW400" i="23" s="1"/>
  <c r="BW366" i="23" s="1"/>
  <c r="ED222" i="23" l="1"/>
  <c r="BW368" i="23"/>
  <c r="BW367" i="23"/>
  <c r="BX363" i="23"/>
  <c r="BY247" i="23"/>
  <c r="BZ241" i="23" s="1"/>
  <c r="BW308" i="23"/>
  <c r="BY407" i="23"/>
  <c r="BY405" i="23" s="1"/>
  <c r="BY104" i="23"/>
  <c r="BY108" i="23" s="1"/>
  <c r="BW316" i="23" l="1"/>
  <c r="BW309" i="23"/>
  <c r="BZ242" i="23"/>
  <c r="BX390" i="23"/>
  <c r="BY360" i="23"/>
  <c r="ED223" i="23"/>
  <c r="BX364" i="23" l="1"/>
  <c r="BZ244" i="23"/>
  <c r="ED224" i="23"/>
  <c r="EE220" i="23" s="1"/>
  <c r="BY382" i="23"/>
  <c r="BZ101" i="23"/>
  <c r="BZ100" i="23" s="1"/>
  <c r="BZ338" i="23"/>
  <c r="BZ334" i="23" s="1"/>
  <c r="BW317" i="23"/>
  <c r="BW318" i="23" s="1"/>
  <c r="BW403" i="23"/>
  <c r="BW310" i="23"/>
  <c r="BX307" i="23" s="1"/>
  <c r="BY362" i="23" l="1"/>
  <c r="EE222" i="23"/>
  <c r="BZ374" i="23"/>
  <c r="BZ245" i="23"/>
  <c r="BW402" i="23"/>
  <c r="BW122" i="23"/>
  <c r="BW319" i="23"/>
  <c r="BX315" i="23" s="1"/>
  <c r="BW404" i="23"/>
  <c r="BX395" i="23"/>
  <c r="BZ375" i="23" l="1"/>
  <c r="BZ340" i="23" s="1"/>
  <c r="BW123" i="23"/>
  <c r="BZ330" i="23"/>
  <c r="BW401" i="23"/>
  <c r="BW409" i="23" s="1"/>
  <c r="BZ243" i="23"/>
  <c r="BY385" i="23"/>
  <c r="EE223" i="23"/>
  <c r="EE224" i="23" s="1"/>
  <c r="EF220" i="23" s="1"/>
  <c r="BX365" i="23"/>
  <c r="BX400" i="23" s="1"/>
  <c r="BX366" i="23" s="1"/>
  <c r="BZ376" i="23" l="1"/>
  <c r="BZ361" i="23" s="1"/>
  <c r="BX308" i="23"/>
  <c r="BX316" i="23" s="1"/>
  <c r="EF222" i="23"/>
  <c r="BZ102" i="23"/>
  <c r="BZ246" i="23"/>
  <c r="BZ103" i="23" s="1"/>
  <c r="BZ408" i="23" s="1"/>
  <c r="BY363" i="23"/>
  <c r="BX368" i="23"/>
  <c r="BX367" i="23"/>
  <c r="BW410" i="23"/>
  <c r="BX309" i="23" l="1"/>
  <c r="BX317" i="23" s="1"/>
  <c r="BX318" i="23" s="1"/>
  <c r="BX319" i="23" s="1"/>
  <c r="BY315" i="23" s="1"/>
  <c r="BZ247" i="23"/>
  <c r="CA241" i="23" s="1"/>
  <c r="CA242" i="23" s="1"/>
  <c r="CA244" i="23" s="1"/>
  <c r="BY390" i="23"/>
  <c r="BZ407" i="23"/>
  <c r="BZ405" i="23" s="1"/>
  <c r="BZ104" i="23"/>
  <c r="BZ108" i="23" s="1"/>
  <c r="EF223" i="23"/>
  <c r="EF224" i="23" s="1"/>
  <c r="EG220" i="23" s="1"/>
  <c r="BX310" i="23" l="1"/>
  <c r="BY307" i="23" s="1"/>
  <c r="BX403" i="23"/>
  <c r="BZ360" i="23"/>
  <c r="BX404" i="23"/>
  <c r="CA374" i="23"/>
  <c r="CA245" i="23"/>
  <c r="EG222" i="23"/>
  <c r="BX402" i="23"/>
  <c r="BX122" i="23"/>
  <c r="BY364" i="23"/>
  <c r="CA101" i="23"/>
  <c r="CA100" i="23" s="1"/>
  <c r="CA338" i="23"/>
  <c r="CA334" i="23" s="1"/>
  <c r="CA375" i="23" l="1"/>
  <c r="CA340" i="23" s="1"/>
  <c r="BX401" i="23"/>
  <c r="BX409" i="23" s="1"/>
  <c r="CA243" i="23"/>
  <c r="EG223" i="23"/>
  <c r="CA330" i="23"/>
  <c r="BY395" i="23"/>
  <c r="BZ382" i="23"/>
  <c r="BX123" i="23"/>
  <c r="CA376" i="23" l="1"/>
  <c r="CA361" i="23" s="1"/>
  <c r="BX410" i="23"/>
  <c r="CA102" i="23"/>
  <c r="CA246" i="23"/>
  <c r="CA103" i="23" s="1"/>
  <c r="CA408" i="23" s="1"/>
  <c r="BZ362" i="23"/>
  <c r="BY365" i="23"/>
  <c r="BY400" i="23" s="1"/>
  <c r="BY366" i="23" s="1"/>
  <c r="EG224" i="23"/>
  <c r="EH220" i="23" s="1"/>
  <c r="CA247" i="23" l="1"/>
  <c r="CB241" i="23" s="1"/>
  <c r="CB242" i="23" s="1"/>
  <c r="BY308" i="23"/>
  <c r="BY309" i="23" s="1"/>
  <c r="EH222" i="23"/>
  <c r="BY367" i="23"/>
  <c r="BY368" i="23"/>
  <c r="BZ385" i="23"/>
  <c r="CA407" i="23"/>
  <c r="CA405" i="23" s="1"/>
  <c r="CA104" i="23"/>
  <c r="CA108" i="23" s="1"/>
  <c r="BY316" i="23" l="1"/>
  <c r="BZ363" i="23"/>
  <c r="BY317" i="23"/>
  <c r="BY403" i="23"/>
  <c r="CB244" i="23"/>
  <c r="BY310" i="23"/>
  <c r="BZ307" i="23" s="1"/>
  <c r="CB101" i="23"/>
  <c r="CB100" i="23" s="1"/>
  <c r="CB338" i="23"/>
  <c r="CB334" i="23" s="1"/>
  <c r="CA360" i="23"/>
  <c r="EH223" i="23"/>
  <c r="BY318" i="23" l="1"/>
  <c r="BY402" i="23" s="1"/>
  <c r="EH224" i="23"/>
  <c r="EI220" i="23" s="1"/>
  <c r="CB374" i="23"/>
  <c r="CB245" i="23"/>
  <c r="CB243" i="23" s="1"/>
  <c r="CA382" i="23"/>
  <c r="BZ390" i="23"/>
  <c r="BY404" i="23" l="1"/>
  <c r="BY401" i="23" s="1"/>
  <c r="BY319" i="23"/>
  <c r="BZ315" i="23" s="1"/>
  <c r="BY122" i="23"/>
  <c r="BY123" i="23" s="1"/>
  <c r="CB102" i="23"/>
  <c r="CB246" i="23"/>
  <c r="CB247" i="23" s="1"/>
  <c r="CC241" i="23" s="1"/>
  <c r="CB375" i="23"/>
  <c r="CB340" i="23" s="1"/>
  <c r="CA362" i="23"/>
  <c r="BZ364" i="23"/>
  <c r="CB330" i="23"/>
  <c r="EI222" i="23"/>
  <c r="BY410" i="23" l="1"/>
  <c r="BY409" i="23"/>
  <c r="BZ395" i="23"/>
  <c r="CA385" i="23"/>
  <c r="E222" i="23"/>
  <c r="F222" i="23"/>
  <c r="G222" i="23"/>
  <c r="H222" i="23"/>
  <c r="I222" i="23"/>
  <c r="J222" i="23"/>
  <c r="K222" i="23"/>
  <c r="L222" i="23"/>
  <c r="M222" i="23"/>
  <c r="N222" i="23"/>
  <c r="EI223" i="23"/>
  <c r="CB376" i="23"/>
  <c r="CB361" i="23" s="1"/>
  <c r="CC242" i="23"/>
  <c r="CB103" i="23"/>
  <c r="CB104" i="23" s="1"/>
  <c r="CB108" i="23" s="1"/>
  <c r="CB407" i="23"/>
  <c r="CB405" i="23" s="1"/>
  <c r="O222" i="23" l="1"/>
  <c r="CC244" i="23"/>
  <c r="CA363" i="23"/>
  <c r="CB360" i="23"/>
  <c r="E223" i="23"/>
  <c r="E224" i="23" s="1"/>
  <c r="F220" i="23" s="1"/>
  <c r="F223" i="23"/>
  <c r="G223" i="23"/>
  <c r="H223" i="23"/>
  <c r="I223" i="23"/>
  <c r="J223" i="23"/>
  <c r="K223" i="23"/>
  <c r="L223" i="23"/>
  <c r="M223" i="23"/>
  <c r="N223" i="23"/>
  <c r="CC101" i="23"/>
  <c r="CC100" i="23" s="1"/>
  <c r="CC338" i="23"/>
  <c r="CC334" i="23" s="1"/>
  <c r="BZ365" i="23"/>
  <c r="BZ400" i="23" s="1"/>
  <c r="BZ366" i="23" s="1"/>
  <c r="CB408" i="23"/>
  <c r="EI224" i="23"/>
  <c r="BZ308" i="23" l="1"/>
  <c r="BZ316" i="23" s="1"/>
  <c r="F224" i="23"/>
  <c r="G220" i="23" s="1"/>
  <c r="G224" i="23" s="1"/>
  <c r="H220" i="23" s="1"/>
  <c r="H224" i="23" s="1"/>
  <c r="I220" i="23" s="1"/>
  <c r="I224" i="23" s="1"/>
  <c r="J220" i="23" s="1"/>
  <c r="J224" i="23" s="1"/>
  <c r="K220" i="23" s="1"/>
  <c r="K224" i="23" s="1"/>
  <c r="L220" i="23" s="1"/>
  <c r="L224" i="23" s="1"/>
  <c r="M220" i="23" s="1"/>
  <c r="M224" i="23" s="1"/>
  <c r="N220" i="23" s="1"/>
  <c r="N224" i="23" s="1"/>
  <c r="BZ368" i="23"/>
  <c r="BZ367" i="23"/>
  <c r="CA390" i="23"/>
  <c r="O223" i="23"/>
  <c r="O224" i="23" s="1"/>
  <c r="CB382" i="23"/>
  <c r="CC374" i="23"/>
  <c r="CC245" i="23"/>
  <c r="BZ309" i="23" l="1"/>
  <c r="BZ317" i="23" s="1"/>
  <c r="BZ318" i="23" s="1"/>
  <c r="CB362" i="23"/>
  <c r="CA364" i="23"/>
  <c r="CC375" i="23"/>
  <c r="CC340" i="23" s="1"/>
  <c r="CC330" i="23"/>
  <c r="CC243" i="23"/>
  <c r="BZ310" i="23" l="1"/>
  <c r="CA307" i="23" s="1"/>
  <c r="CC376" i="23"/>
  <c r="CC361" i="23" s="1"/>
  <c r="BZ403" i="23"/>
  <c r="BZ402" i="23"/>
  <c r="BZ122" i="23"/>
  <c r="CC102" i="23"/>
  <c r="CC246" i="23"/>
  <c r="CC247" i="23" s="1"/>
  <c r="CD241" i="23" s="1"/>
  <c r="CA395" i="23"/>
  <c r="CB385" i="23"/>
  <c r="BZ319" i="23"/>
  <c r="CA315" i="23" s="1"/>
  <c r="BZ404" i="23"/>
  <c r="CB363" i="23" l="1"/>
  <c r="CD242" i="23"/>
  <c r="CD244" i="23" s="1"/>
  <c r="CA365" i="23"/>
  <c r="CA400" i="23" s="1"/>
  <c r="CA366" i="23" s="1"/>
  <c r="CC103" i="23"/>
  <c r="CC407" i="23"/>
  <c r="CC405" i="23" s="1"/>
  <c r="BZ123" i="23"/>
  <c r="BZ401" i="23"/>
  <c r="BZ409" i="23" s="1"/>
  <c r="CA308" i="23" l="1"/>
  <c r="CA316" i="23" s="1"/>
  <c r="BZ410" i="23"/>
  <c r="CD374" i="23"/>
  <c r="CD245" i="23"/>
  <c r="CC408" i="23"/>
  <c r="CA367" i="23"/>
  <c r="CA368" i="23"/>
  <c r="CD101" i="23"/>
  <c r="CD338" i="23"/>
  <c r="CD334" i="23" s="1"/>
  <c r="CC104" i="23"/>
  <c r="CC108" i="23" s="1"/>
  <c r="CB390" i="23"/>
  <c r="CA309" i="23" l="1"/>
  <c r="CA317" i="23" s="1"/>
  <c r="CB364" i="23"/>
  <c r="CC360" i="23"/>
  <c r="CD100" i="23"/>
  <c r="CD375" i="23"/>
  <c r="CD340" i="23" s="1"/>
  <c r="CD330" i="23"/>
  <c r="CD243" i="23"/>
  <c r="CA403" i="23" l="1"/>
  <c r="CA310" i="23"/>
  <c r="CB307" i="23" s="1"/>
  <c r="CD376" i="23"/>
  <c r="CD361" i="23" s="1"/>
  <c r="CD102" i="23"/>
  <c r="CD246" i="23"/>
  <c r="CD247" i="23" s="1"/>
  <c r="CE241" i="23" s="1"/>
  <c r="CA318" i="23"/>
  <c r="CA319" i="23" s="1"/>
  <c r="CB315" i="23" s="1"/>
  <c r="CC382" i="23"/>
  <c r="CB395" i="23"/>
  <c r="CE242" i="23" l="1"/>
  <c r="CD103" i="23"/>
  <c r="CD407" i="23"/>
  <c r="CD405" i="23" s="1"/>
  <c r="CC362" i="23"/>
  <c r="CA402" i="23"/>
  <c r="CA122" i="23"/>
  <c r="CB365" i="23"/>
  <c r="CB400" i="23" s="1"/>
  <c r="CB366" i="23" s="1"/>
  <c r="CA404" i="23"/>
  <c r="CA401" i="23" l="1"/>
  <c r="CB368" i="23"/>
  <c r="CB367" i="23"/>
  <c r="CC385" i="23"/>
  <c r="CE101" i="23"/>
  <c r="CE100" i="23" s="1"/>
  <c r="CE338" i="23"/>
  <c r="CE334" i="23" s="1"/>
  <c r="CA123" i="23"/>
  <c r="CD408" i="23"/>
  <c r="CD104" i="23"/>
  <c r="CD108" i="23" s="1"/>
  <c r="CE244" i="23"/>
  <c r="CA410" i="23"/>
  <c r="CA409" i="23"/>
  <c r="CB308" i="23"/>
  <c r="CB316" i="23" l="1"/>
  <c r="CB309" i="23"/>
  <c r="CC363" i="23"/>
  <c r="CE374" i="23"/>
  <c r="CE245" i="23"/>
  <c r="CD360" i="23"/>
  <c r="CD382" i="23" l="1"/>
  <c r="CE375" i="23"/>
  <c r="CE340" i="23" s="1"/>
  <c r="CE330" i="23"/>
  <c r="CE243" i="23"/>
  <c r="CC390" i="23"/>
  <c r="CB403" i="23"/>
  <c r="CB317" i="23"/>
  <c r="CB318" i="23" s="1"/>
  <c r="CB319" i="23" s="1"/>
  <c r="CC315" i="23" s="1"/>
  <c r="CB310" i="23"/>
  <c r="CC307" i="23" s="1"/>
  <c r="CE376" i="23" l="1"/>
  <c r="CE361" i="23" s="1"/>
  <c r="CE102" i="23"/>
  <c r="CE246" i="23"/>
  <c r="CE247" i="23" s="1"/>
  <c r="CF241" i="23" s="1"/>
  <c r="CC364" i="23"/>
  <c r="CB402" i="23"/>
  <c r="CB122" i="23"/>
  <c r="CB404" i="23"/>
  <c r="CD362" i="23"/>
  <c r="CB123" i="23" l="1"/>
  <c r="CF242" i="23"/>
  <c r="CB401" i="23"/>
  <c r="CB410" i="23" s="1"/>
  <c r="CC395" i="23"/>
  <c r="CE103" i="23"/>
  <c r="CD385" i="23"/>
  <c r="CE407" i="23"/>
  <c r="CE405" i="23" s="1"/>
  <c r="CB409" i="23" l="1"/>
  <c r="CE408" i="23"/>
  <c r="CC365" i="23"/>
  <c r="CC400" i="23" s="1"/>
  <c r="CC366" i="23" s="1"/>
  <c r="CE104" i="23"/>
  <c r="CE108" i="23" s="1"/>
  <c r="CF244" i="23"/>
  <c r="CF101" i="23"/>
  <c r="CF100" i="23" s="1"/>
  <c r="CF338" i="23"/>
  <c r="CF334" i="23" s="1"/>
  <c r="CD363" i="23"/>
  <c r="CE360" i="23" l="1"/>
  <c r="CC308" i="23"/>
  <c r="CD390" i="23"/>
  <c r="CF374" i="23"/>
  <c r="CF245" i="23"/>
  <c r="CC367" i="23"/>
  <c r="CC368" i="23"/>
  <c r="CF375" i="23" l="1"/>
  <c r="CF340" i="23" s="1"/>
  <c r="CF330" i="23"/>
  <c r="CF243" i="23"/>
  <c r="CD364" i="23"/>
  <c r="CC316" i="23"/>
  <c r="CC309" i="23"/>
  <c r="CC310" i="23" s="1"/>
  <c r="CD307" i="23" s="1"/>
  <c r="CE382" i="23"/>
  <c r="CF376" i="23" l="1"/>
  <c r="CF361" i="23" s="1"/>
  <c r="CE362" i="23"/>
  <c r="CC317" i="23"/>
  <c r="CC318" i="23" s="1"/>
  <c r="CC319" i="23" s="1"/>
  <c r="CD315" i="23" s="1"/>
  <c r="CC403" i="23"/>
  <c r="CF102" i="23"/>
  <c r="CF246" i="23"/>
  <c r="CD395" i="23"/>
  <c r="CF103" i="23" l="1"/>
  <c r="CF104" i="23" s="1"/>
  <c r="CF108" i="23" s="1"/>
  <c r="CF247" i="23"/>
  <c r="CG241" i="23" s="1"/>
  <c r="CF407" i="23"/>
  <c r="CF405" i="23" s="1"/>
  <c r="CC402" i="23"/>
  <c r="CC122" i="23"/>
  <c r="CC404" i="23"/>
  <c r="CE385" i="23"/>
  <c r="CD365" i="23"/>
  <c r="CD400" i="23" s="1"/>
  <c r="CD366" i="23" s="1"/>
  <c r="CC123" i="23" l="1"/>
  <c r="CC401" i="23"/>
  <c r="CC410" i="23" s="1"/>
  <c r="CG242" i="23"/>
  <c r="CD368" i="23"/>
  <c r="CD367" i="23"/>
  <c r="CF360" i="23"/>
  <c r="CD308" i="23"/>
  <c r="CE363" i="23"/>
  <c r="CF408" i="23"/>
  <c r="CD316" i="23" l="1"/>
  <c r="CD309" i="23"/>
  <c r="CG244" i="23"/>
  <c r="CF382" i="23"/>
  <c r="CC409" i="23"/>
  <c r="CG101" i="23"/>
  <c r="CG100" i="23" s="1"/>
  <c r="CG338" i="23"/>
  <c r="CG334" i="23" s="1"/>
  <c r="CE390" i="23"/>
  <c r="CG374" i="23" l="1"/>
  <c r="CG245" i="23"/>
  <c r="CF362" i="23"/>
  <c r="CD403" i="23"/>
  <c r="CD317" i="23"/>
  <c r="CD318" i="23" s="1"/>
  <c r="CD319" i="23" s="1"/>
  <c r="CE315" i="23" s="1"/>
  <c r="CD310" i="23"/>
  <c r="CE307" i="23" s="1"/>
  <c r="CE364" i="23"/>
  <c r="CG375" i="23" l="1"/>
  <c r="CG340" i="23" s="1"/>
  <c r="CD402" i="23"/>
  <c r="CD122" i="23"/>
  <c r="CE395" i="23"/>
  <c r="CD404" i="23"/>
  <c r="CF385" i="23"/>
  <c r="CG330" i="23"/>
  <c r="CG243" i="23"/>
  <c r="CG376" i="23" l="1"/>
  <c r="CG361" i="23" s="1"/>
  <c r="CE365" i="23"/>
  <c r="CE400" i="23" s="1"/>
  <c r="CE366" i="23" s="1"/>
  <c r="CD123" i="23"/>
  <c r="CF363" i="23"/>
  <c r="CG102" i="23"/>
  <c r="CG246" i="23"/>
  <c r="CG103" i="23" s="1"/>
  <c r="CG408" i="23" s="1"/>
  <c r="CD401" i="23"/>
  <c r="CD410" i="23" s="1"/>
  <c r="CD409" i="23" l="1"/>
  <c r="CE308" i="23"/>
  <c r="CE309" i="23" s="1"/>
  <c r="CG247" i="23"/>
  <c r="CH241" i="23" s="1"/>
  <c r="CH242" i="23" s="1"/>
  <c r="CH244" i="23" s="1"/>
  <c r="CG407" i="23"/>
  <c r="CG405" i="23" s="1"/>
  <c r="CG104" i="23"/>
  <c r="CG108" i="23" s="1"/>
  <c r="CF390" i="23"/>
  <c r="CE367" i="23"/>
  <c r="CE368" i="23"/>
  <c r="CE316" i="23" l="1"/>
  <c r="CH374" i="23"/>
  <c r="CH245" i="23"/>
  <c r="CF364" i="23"/>
  <c r="CG360" i="23"/>
  <c r="CE317" i="23"/>
  <c r="CE403" i="23"/>
  <c r="CE310" i="23"/>
  <c r="CF307" i="23" s="1"/>
  <c r="CH101" i="23"/>
  <c r="CH100" i="23" s="1"/>
  <c r="CH338" i="23"/>
  <c r="CH334" i="23" s="1"/>
  <c r="CE318" i="23" l="1"/>
  <c r="CE319" i="23" s="1"/>
  <c r="CF315" i="23" s="1"/>
  <c r="CH375" i="23"/>
  <c r="CH340" i="23" s="1"/>
  <c r="CG382" i="23"/>
  <c r="CF395" i="23"/>
  <c r="CH330" i="23"/>
  <c r="CH243" i="23"/>
  <c r="CE122" i="23" l="1"/>
  <c r="CE123" i="23" s="1"/>
  <c r="CE402" i="23"/>
  <c r="CE404" i="23"/>
  <c r="CH376" i="23"/>
  <c r="CH361" i="23" s="1"/>
  <c r="CH102" i="23"/>
  <c r="CH246" i="23"/>
  <c r="CH103" i="23" s="1"/>
  <c r="CH408" i="23" s="1"/>
  <c r="CG362" i="23"/>
  <c r="CF365" i="23"/>
  <c r="CF400" i="23" s="1"/>
  <c r="CF366" i="23" s="1"/>
  <c r="CE401" i="23" l="1"/>
  <c r="CE410" i="23" s="1"/>
  <c r="CF368" i="23"/>
  <c r="CF367" i="23"/>
  <c r="CF308" i="23"/>
  <c r="CG385" i="23"/>
  <c r="CH247" i="23"/>
  <c r="CI241" i="23" s="1"/>
  <c r="CH407" i="23"/>
  <c r="CH405" i="23" s="1"/>
  <c r="CH104" i="23"/>
  <c r="CH108" i="23" s="1"/>
  <c r="CE409" i="23" l="1"/>
  <c r="CG363" i="23"/>
  <c r="CI242" i="23"/>
  <c r="CI244" i="23" s="1"/>
  <c r="CH360" i="23"/>
  <c r="CF316" i="23"/>
  <c r="CF309" i="23"/>
  <c r="CF310" i="23" s="1"/>
  <c r="CG307" i="23" s="1"/>
  <c r="CI374" i="23" l="1"/>
  <c r="CI245" i="23"/>
  <c r="CH382" i="23"/>
  <c r="CI101" i="23"/>
  <c r="CI100" i="23" s="1"/>
  <c r="CI338" i="23"/>
  <c r="CI334" i="23" s="1"/>
  <c r="CF403" i="23"/>
  <c r="CF317" i="23"/>
  <c r="CF318" i="23" s="1"/>
  <c r="CG390" i="23"/>
  <c r="CI375" i="23" l="1"/>
  <c r="CI340" i="23" s="1"/>
  <c r="CF319" i="23"/>
  <c r="CG315" i="23" s="1"/>
  <c r="CF402" i="23"/>
  <c r="CF122" i="23"/>
  <c r="CF404" i="23"/>
  <c r="CI330" i="23"/>
  <c r="CI243" i="23"/>
  <c r="CH362" i="23"/>
  <c r="CG364" i="23"/>
  <c r="CI376" i="23" l="1"/>
  <c r="CI361" i="23" s="1"/>
  <c r="CI102" i="23"/>
  <c r="CI246" i="23"/>
  <c r="CI103" i="23" s="1"/>
  <c r="CI408" i="23" s="1"/>
  <c r="CG395" i="23"/>
  <c r="CF401" i="23"/>
  <c r="CF409" i="23" s="1"/>
  <c r="CH385" i="23"/>
  <c r="CF123" i="23"/>
  <c r="CF410" i="23" l="1"/>
  <c r="CH363" i="23"/>
  <c r="CI247" i="23"/>
  <c r="CJ241" i="23" s="1"/>
  <c r="CG365" i="23"/>
  <c r="CG400" i="23" s="1"/>
  <c r="CG366" i="23" s="1"/>
  <c r="CI407" i="23"/>
  <c r="CI405" i="23" s="1"/>
  <c r="CI104" i="23"/>
  <c r="CI108" i="23" s="1"/>
  <c r="CG308" i="23" l="1"/>
  <c r="CG367" i="23"/>
  <c r="CG368" i="23"/>
  <c r="CJ242" i="23"/>
  <c r="CI360" i="23"/>
  <c r="CH390" i="23"/>
  <c r="CJ244" i="23" l="1"/>
  <c r="CH364" i="23"/>
  <c r="CI382" i="23"/>
  <c r="CJ101" i="23"/>
  <c r="CJ100" i="23" s="1"/>
  <c r="CJ338" i="23"/>
  <c r="CJ334" i="23" s="1"/>
  <c r="CG316" i="23"/>
  <c r="CG309" i="23"/>
  <c r="CG310" i="23" s="1"/>
  <c r="CH307" i="23" s="1"/>
  <c r="CI362" i="23" l="1"/>
  <c r="CH395" i="23"/>
  <c r="CG403" i="23"/>
  <c r="CG317" i="23"/>
  <c r="CG318" i="23" s="1"/>
  <c r="CG319" i="23" s="1"/>
  <c r="CH315" i="23" s="1"/>
  <c r="CJ374" i="23"/>
  <c r="CJ245" i="23"/>
  <c r="CJ375" i="23" l="1"/>
  <c r="CJ340" i="23" s="1"/>
  <c r="CG402" i="23"/>
  <c r="CG122" i="23"/>
  <c r="CJ330" i="23"/>
  <c r="CG404" i="23"/>
  <c r="CH365" i="23"/>
  <c r="CH400" i="23" s="1"/>
  <c r="CH366" i="23" s="1"/>
  <c r="CJ243" i="23"/>
  <c r="CI385" i="23"/>
  <c r="CJ376" i="23" l="1"/>
  <c r="CJ361" i="23" s="1"/>
  <c r="CI363" i="23"/>
  <c r="CJ102" i="23"/>
  <c r="CJ246" i="23"/>
  <c r="CJ103" i="23" s="1"/>
  <c r="CJ408" i="23" s="1"/>
  <c r="CH308" i="23"/>
  <c r="CH368" i="23"/>
  <c r="CH367" i="23"/>
  <c r="CG123" i="23"/>
  <c r="CG401" i="23"/>
  <c r="CG410" i="23" s="1"/>
  <c r="CG409" i="23" l="1"/>
  <c r="CH316" i="23"/>
  <c r="CH309" i="23"/>
  <c r="CJ247" i="23"/>
  <c r="CK241" i="23" s="1"/>
  <c r="CJ407" i="23"/>
  <c r="CJ405" i="23" s="1"/>
  <c r="CJ104" i="23"/>
  <c r="CJ108" i="23" s="1"/>
  <c r="CI390" i="23"/>
  <c r="CI364" i="23" l="1"/>
  <c r="CK242" i="23"/>
  <c r="CJ360" i="23"/>
  <c r="CH403" i="23"/>
  <c r="CH317" i="23"/>
  <c r="CH318" i="23" s="1"/>
  <c r="CH319" i="23" s="1"/>
  <c r="CI315" i="23" s="1"/>
  <c r="CH310" i="23"/>
  <c r="CI307" i="23" s="1"/>
  <c r="CH402" i="23" l="1"/>
  <c r="CH122" i="23"/>
  <c r="CH404" i="23"/>
  <c r="CJ382" i="23"/>
  <c r="CK244" i="23"/>
  <c r="CK101" i="23"/>
  <c r="CK100" i="23" s="1"/>
  <c r="CK338" i="23"/>
  <c r="CK334" i="23" s="1"/>
  <c r="CI395" i="23"/>
  <c r="CK374" i="23" l="1"/>
  <c r="CK245" i="23"/>
  <c r="CJ362" i="23"/>
  <c r="CI365" i="23"/>
  <c r="CI400" i="23" s="1"/>
  <c r="CI366" i="23" s="1"/>
  <c r="CH123" i="23"/>
  <c r="CH401" i="23"/>
  <c r="CH410" i="23" s="1"/>
  <c r="CI308" i="23" l="1"/>
  <c r="CI316" i="23" s="1"/>
  <c r="CH409" i="23"/>
  <c r="CK375" i="23"/>
  <c r="CK340" i="23" s="1"/>
  <c r="CI367" i="23"/>
  <c r="CI368" i="23"/>
  <c r="CJ385" i="23"/>
  <c r="CK330" i="23"/>
  <c r="CK243" i="23"/>
  <c r="CK376" i="23" l="1"/>
  <c r="CK361" i="23" s="1"/>
  <c r="CI309" i="23"/>
  <c r="CI310" i="23" s="1"/>
  <c r="CJ307" i="23" s="1"/>
  <c r="CK102" i="23"/>
  <c r="CK246" i="23"/>
  <c r="CK103" i="23" s="1"/>
  <c r="CK408" i="23" s="1"/>
  <c r="CJ363" i="23"/>
  <c r="CK247" i="23" l="1"/>
  <c r="CL241" i="23" s="1"/>
  <c r="CL242" i="23" s="1"/>
  <c r="CI403" i="23"/>
  <c r="CI317" i="23"/>
  <c r="CI318" i="23" s="1"/>
  <c r="CI122" i="23" s="1"/>
  <c r="CJ390" i="23"/>
  <c r="CK407" i="23"/>
  <c r="CK405" i="23" s="1"/>
  <c r="CK104" i="23"/>
  <c r="CK108" i="23" s="1"/>
  <c r="CI402" i="23" l="1"/>
  <c r="CI319" i="23"/>
  <c r="CJ315" i="23" s="1"/>
  <c r="CI404" i="23"/>
  <c r="CL101" i="23"/>
  <c r="CL100" i="23" s="1"/>
  <c r="CL338" i="23"/>
  <c r="CL334" i="23" s="1"/>
  <c r="CL244" i="23"/>
  <c r="CK360" i="23"/>
  <c r="CI123" i="23"/>
  <c r="CJ364" i="23"/>
  <c r="CI401" i="23" l="1"/>
  <c r="CJ395" i="23"/>
  <c r="CK382" i="23"/>
  <c r="CL374" i="23"/>
  <c r="CL245" i="23"/>
  <c r="CL375" i="23" s="1"/>
  <c r="CL340" i="23" s="1"/>
  <c r="CI410" i="23" l="1"/>
  <c r="CI409" i="23"/>
  <c r="CL330" i="23"/>
  <c r="CL376" i="23"/>
  <c r="CL361" i="23" s="1"/>
  <c r="CL243" i="23"/>
  <c r="CK362" i="23"/>
  <c r="CJ365" i="23"/>
  <c r="CJ400" i="23" s="1"/>
  <c r="CJ366" i="23" s="1"/>
  <c r="CJ367" i="23" l="1"/>
  <c r="CJ368" i="23"/>
  <c r="CL102" i="23"/>
  <c r="CL246" i="23"/>
  <c r="CL103" i="23" s="1"/>
  <c r="CL408" i="23" s="1"/>
  <c r="CJ308" i="23"/>
  <c r="CK385" i="23"/>
  <c r="CK363" i="23" l="1"/>
  <c r="CL247" i="23"/>
  <c r="CM241" i="23" s="1"/>
  <c r="CL407" i="23"/>
  <c r="CL405" i="23" s="1"/>
  <c r="CL104" i="23"/>
  <c r="CL108" i="23" s="1"/>
  <c r="CJ316" i="23"/>
  <c r="CJ309" i="23"/>
  <c r="CJ310" i="23" s="1"/>
  <c r="CK307" i="23" s="1"/>
  <c r="CJ317" i="23" l="1"/>
  <c r="CJ318" i="23" s="1"/>
  <c r="CJ319" i="23" s="1"/>
  <c r="CK315" i="23" s="1"/>
  <c r="CJ403" i="23"/>
  <c r="CL360" i="23"/>
  <c r="CM242" i="23"/>
  <c r="CK390" i="23"/>
  <c r="CK364" i="23" l="1"/>
  <c r="CM101" i="23"/>
  <c r="CM100" i="23" s="1"/>
  <c r="CM338" i="23"/>
  <c r="CM334" i="23" s="1"/>
  <c r="CL382" i="23"/>
  <c r="CJ404" i="23"/>
  <c r="CM244" i="23"/>
  <c r="CJ402" i="23"/>
  <c r="CJ122" i="23"/>
  <c r="CJ401" i="23" l="1"/>
  <c r="CJ410" i="23" s="1"/>
  <c r="CL362" i="23"/>
  <c r="CJ123" i="23"/>
  <c r="CK395" i="23"/>
  <c r="CM374" i="23"/>
  <c r="CM245" i="23"/>
  <c r="CJ409" i="23" l="1"/>
  <c r="CM375" i="23"/>
  <c r="CM340" i="23" s="1"/>
  <c r="CM243" i="23"/>
  <c r="CM330" i="23"/>
  <c r="CK365" i="23"/>
  <c r="CK400" i="23" s="1"/>
  <c r="CK366" i="23" s="1"/>
  <c r="CL385" i="23"/>
  <c r="CM376" i="23" l="1"/>
  <c r="CM361" i="23" s="1"/>
  <c r="CL363" i="23"/>
  <c r="CK367" i="23"/>
  <c r="CK368" i="23"/>
  <c r="CK308" i="23"/>
  <c r="CM102" i="23"/>
  <c r="CM246" i="23"/>
  <c r="CM103" i="23" s="1"/>
  <c r="CM408" i="23" s="1"/>
  <c r="CM407" i="23" l="1"/>
  <c r="CM405" i="23" s="1"/>
  <c r="CM104" i="23"/>
  <c r="CM108" i="23" s="1"/>
  <c r="CM247" i="23"/>
  <c r="CN241" i="23" s="1"/>
  <c r="CK316" i="23"/>
  <c r="CK309" i="23"/>
  <c r="CL390" i="23"/>
  <c r="CL364" i="23" l="1"/>
  <c r="CK403" i="23"/>
  <c r="CK317" i="23"/>
  <c r="CK318" i="23" s="1"/>
  <c r="CK310" i="23"/>
  <c r="CL307" i="23" s="1"/>
  <c r="CN242" i="23"/>
  <c r="CM360" i="23"/>
  <c r="CM382" i="23" l="1"/>
  <c r="CN244" i="23"/>
  <c r="CN101" i="23"/>
  <c r="CN100" i="23" s="1"/>
  <c r="CN338" i="23"/>
  <c r="CN334" i="23" s="1"/>
  <c r="CK402" i="23"/>
  <c r="CK122" i="23"/>
  <c r="CK319" i="23"/>
  <c r="CL315" i="23" s="1"/>
  <c r="CK404" i="23"/>
  <c r="CL395" i="23"/>
  <c r="CN374" i="23" l="1"/>
  <c r="CN245" i="23"/>
  <c r="CN243" i="23" s="1"/>
  <c r="CK123" i="23"/>
  <c r="CL365" i="23"/>
  <c r="CL400" i="23" s="1"/>
  <c r="CL366" i="23" s="1"/>
  <c r="CM362" i="23"/>
  <c r="CK401" i="23"/>
  <c r="CK409" i="23" s="1"/>
  <c r="CL308" i="23" l="1"/>
  <c r="CL316" i="23" s="1"/>
  <c r="CK410" i="23"/>
  <c r="CN102" i="23"/>
  <c r="CN246" i="23"/>
  <c r="CN247" i="23" s="1"/>
  <c r="CO241" i="23" s="1"/>
  <c r="CL368" i="23"/>
  <c r="CL367" i="23"/>
  <c r="CN330" i="23"/>
  <c r="CM385" i="23"/>
  <c r="CN375" i="23"/>
  <c r="CN340" i="23" s="1"/>
  <c r="CL309" i="23" l="1"/>
  <c r="CL310" i="23" s="1"/>
  <c r="CM307" i="23" s="1"/>
  <c r="CN376" i="23"/>
  <c r="CN361" i="23" s="1"/>
  <c r="CM363" i="23"/>
  <c r="CO242" i="23"/>
  <c r="CO244" i="23" s="1"/>
  <c r="CN103" i="23"/>
  <c r="CN104" i="23" s="1"/>
  <c r="CN108" i="23" s="1"/>
  <c r="CN407" i="23"/>
  <c r="CN405" i="23" s="1"/>
  <c r="CL317" i="23" l="1"/>
  <c r="CL318" i="23" s="1"/>
  <c r="CL402" i="23" s="1"/>
  <c r="CL403" i="23"/>
  <c r="CO374" i="23"/>
  <c r="CO245" i="23"/>
  <c r="CO101" i="23"/>
  <c r="CO100" i="23" s="1"/>
  <c r="CO338" i="23"/>
  <c r="CO334" i="23" s="1"/>
  <c r="CN408" i="23"/>
  <c r="CN360" i="23"/>
  <c r="CM390" i="23"/>
  <c r="CL319" i="23" l="1"/>
  <c r="CM315" i="23" s="1"/>
  <c r="CL404" i="23"/>
  <c r="CL401" i="23" s="1"/>
  <c r="CL410" i="23" s="1"/>
  <c r="CL122" i="23"/>
  <c r="CL123" i="23" s="1"/>
  <c r="CO330" i="23"/>
  <c r="CM364" i="23"/>
  <c r="CO375" i="23"/>
  <c r="CO340" i="23" s="1"/>
  <c r="CO243" i="23"/>
  <c r="CN382" i="23"/>
  <c r="CM395" i="23" l="1"/>
  <c r="CO376" i="23"/>
  <c r="CO361" i="23" s="1"/>
  <c r="CN362" i="23"/>
  <c r="CO102" i="23"/>
  <c r="CO246" i="23"/>
  <c r="CL409" i="23"/>
  <c r="CN385" i="23" l="1"/>
  <c r="CO103" i="23"/>
  <c r="CO104" i="23" s="1"/>
  <c r="CO108" i="23" s="1"/>
  <c r="CO247" i="23"/>
  <c r="CP241" i="23" s="1"/>
  <c r="CO407" i="23"/>
  <c r="CO405" i="23" s="1"/>
  <c r="CM365" i="23"/>
  <c r="CM400" i="23" s="1"/>
  <c r="CM366" i="23" s="1"/>
  <c r="CM368" i="23" l="1"/>
  <c r="CM367" i="23"/>
  <c r="CO360" i="23"/>
  <c r="CP242" i="23"/>
  <c r="CM308" i="23"/>
  <c r="CO408" i="23"/>
  <c r="CN363" i="23"/>
  <c r="CN390" i="23" l="1"/>
  <c r="CP244" i="23"/>
  <c r="CP101" i="23"/>
  <c r="CP100" i="23" s="1"/>
  <c r="CP338" i="23"/>
  <c r="CP334" i="23" s="1"/>
  <c r="CO382" i="23"/>
  <c r="CM316" i="23"/>
  <c r="CM309" i="23"/>
  <c r="CO362" i="23" l="1"/>
  <c r="CP374" i="23"/>
  <c r="CP245" i="23"/>
  <c r="CM317" i="23"/>
  <c r="CM318" i="23" s="1"/>
  <c r="CM403" i="23"/>
  <c r="CM310" i="23"/>
  <c r="CN307" i="23" s="1"/>
  <c r="CN364" i="23"/>
  <c r="CM404" i="23" l="1"/>
  <c r="CN395" i="23"/>
  <c r="CP375" i="23"/>
  <c r="CP340" i="23" s="1"/>
  <c r="CM402" i="23"/>
  <c r="CM122" i="23"/>
  <c r="CM319" i="23"/>
  <c r="CN315" i="23" s="1"/>
  <c r="CP330" i="23"/>
  <c r="CP243" i="23"/>
  <c r="CO385" i="23"/>
  <c r="CP376" i="23" l="1"/>
  <c r="CP361" i="23" s="1"/>
  <c r="CM401" i="23"/>
  <c r="CP102" i="23"/>
  <c r="CP246" i="23"/>
  <c r="CP247" i="23" s="1"/>
  <c r="CQ241" i="23" s="1"/>
  <c r="CN365" i="23"/>
  <c r="CN400" i="23" s="1"/>
  <c r="CN366" i="23" s="1"/>
  <c r="CM123" i="23"/>
  <c r="CO363" i="23"/>
  <c r="CM409" i="23"/>
  <c r="CM410" i="23"/>
  <c r="CN308" i="23" l="1"/>
  <c r="CN316" i="23" s="1"/>
  <c r="CQ242" i="23"/>
  <c r="CQ244" i="23" s="1"/>
  <c r="CO390" i="23"/>
  <c r="CN368" i="23"/>
  <c r="CN367" i="23"/>
  <c r="CP103" i="23"/>
  <c r="CP104" i="23" s="1"/>
  <c r="CP108" i="23" s="1"/>
  <c r="CP407" i="23"/>
  <c r="CP405" i="23" s="1"/>
  <c r="CN309" i="23" l="1"/>
  <c r="CN310" i="23" s="1"/>
  <c r="CO307" i="23" s="1"/>
  <c r="CP360" i="23"/>
  <c r="CO364" i="23"/>
  <c r="CQ374" i="23"/>
  <c r="CQ245" i="23"/>
  <c r="CP408" i="23"/>
  <c r="CQ101" i="23"/>
  <c r="CQ100" i="23" s="1"/>
  <c r="CQ338" i="23"/>
  <c r="CQ334" i="23" s="1"/>
  <c r="CN317" i="23" l="1"/>
  <c r="CN318" i="23" s="1"/>
  <c r="CN319" i="23" s="1"/>
  <c r="CO315" i="23" s="1"/>
  <c r="CN403" i="23"/>
  <c r="CQ330" i="23"/>
  <c r="CO395" i="23"/>
  <c r="CQ375" i="23"/>
  <c r="CQ340" i="23" s="1"/>
  <c r="CQ243" i="23"/>
  <c r="CP382" i="23"/>
  <c r="CQ102" i="23" l="1"/>
  <c r="CQ246" i="23"/>
  <c r="CQ247" i="23" s="1"/>
  <c r="CR241" i="23" s="1"/>
  <c r="CN402" i="23"/>
  <c r="CN122" i="23"/>
  <c r="CO365" i="23"/>
  <c r="CO400" i="23" s="1"/>
  <c r="CO366" i="23" s="1"/>
  <c r="CN404" i="23"/>
  <c r="CQ376" i="23"/>
  <c r="CQ361" i="23" s="1"/>
  <c r="CP362" i="23"/>
  <c r="CO308" i="23" l="1"/>
  <c r="CO316" i="23" s="1"/>
  <c r="CP385" i="23"/>
  <c r="CO367" i="23"/>
  <c r="CO368" i="23"/>
  <c r="CN123" i="23"/>
  <c r="CN401" i="23"/>
  <c r="CN409" i="23" s="1"/>
  <c r="CR242" i="23"/>
  <c r="CQ103" i="23"/>
  <c r="CQ104" i="23" s="1"/>
  <c r="CQ108" i="23" s="1"/>
  <c r="CQ407" i="23"/>
  <c r="CQ405" i="23" s="1"/>
  <c r="CO309" i="23" l="1"/>
  <c r="CO317" i="23" s="1"/>
  <c r="CO318" i="23" s="1"/>
  <c r="CQ360" i="23"/>
  <c r="CP363" i="23"/>
  <c r="CQ408" i="23"/>
  <c r="CR101" i="23"/>
  <c r="CR100" i="23" s="1"/>
  <c r="CR338" i="23"/>
  <c r="CR334" i="23" s="1"/>
  <c r="CN410" i="23"/>
  <c r="CR244" i="23"/>
  <c r="CO310" i="23" l="1"/>
  <c r="CP307" i="23" s="1"/>
  <c r="CO403" i="23"/>
  <c r="CO402" i="23"/>
  <c r="CO122" i="23"/>
  <c r="CP390" i="23"/>
  <c r="CO319" i="23"/>
  <c r="CP315" i="23" s="1"/>
  <c r="CR374" i="23"/>
  <c r="CR245" i="23"/>
  <c r="CR243" i="23" s="1"/>
  <c r="CO404" i="23"/>
  <c r="CQ382" i="23"/>
  <c r="CR102" i="23" l="1"/>
  <c r="CR246" i="23"/>
  <c r="CR247" i="23" s="1"/>
  <c r="CS241" i="23" s="1"/>
  <c r="CR330" i="23"/>
  <c r="CQ362" i="23"/>
  <c r="CR375" i="23"/>
  <c r="CR340" i="23" s="1"/>
  <c r="CP364" i="23"/>
  <c r="CO123" i="23"/>
  <c r="CO401" i="23"/>
  <c r="CO410" i="23" s="1"/>
  <c r="CS242" i="23" l="1"/>
  <c r="CR376" i="23"/>
  <c r="CR361" i="23" s="1"/>
  <c r="CO409" i="23"/>
  <c r="CP395" i="23"/>
  <c r="CQ385" i="23"/>
  <c r="CR103" i="23"/>
  <c r="CR104" i="23" s="1"/>
  <c r="CR108" i="23" s="1"/>
  <c r="CR407" i="23"/>
  <c r="CR405" i="23" s="1"/>
  <c r="CR360" i="23" l="1"/>
  <c r="CS244" i="23"/>
  <c r="CP365" i="23"/>
  <c r="CP400" i="23" s="1"/>
  <c r="CP366" i="23" s="1"/>
  <c r="CR408" i="23"/>
  <c r="CQ363" i="23"/>
  <c r="CS101" i="23"/>
  <c r="CS100" i="23" s="1"/>
  <c r="CS338" i="23"/>
  <c r="CS334" i="23" s="1"/>
  <c r="CS374" i="23" l="1"/>
  <c r="CS245" i="23"/>
  <c r="CP367" i="23"/>
  <c r="CP368" i="23"/>
  <c r="CR382" i="23"/>
  <c r="CQ390" i="23"/>
  <c r="CP308" i="23"/>
  <c r="CS375" i="23" l="1"/>
  <c r="CS340" i="23" s="1"/>
  <c r="CR362" i="23"/>
  <c r="CP316" i="23"/>
  <c r="CP309" i="23"/>
  <c r="CS243" i="23"/>
  <c r="CQ364" i="23"/>
  <c r="CS330" i="23"/>
  <c r="CS376" i="23" l="1"/>
  <c r="CS361" i="23" s="1"/>
  <c r="CS102" i="23"/>
  <c r="CS246" i="23"/>
  <c r="CS103" i="23" s="1"/>
  <c r="CS408" i="23" s="1"/>
  <c r="CQ395" i="23"/>
  <c r="CP317" i="23"/>
  <c r="CP403" i="23"/>
  <c r="CP310" i="23"/>
  <c r="CQ307" i="23" s="1"/>
  <c r="CR385" i="23"/>
  <c r="CS247" i="23" l="1"/>
  <c r="CT241" i="23" s="1"/>
  <c r="CT242" i="23" s="1"/>
  <c r="CT244" i="23" s="1"/>
  <c r="CQ365" i="23"/>
  <c r="CQ400" i="23" s="1"/>
  <c r="CQ366" i="23" s="1"/>
  <c r="CP318" i="23"/>
  <c r="CS407" i="23"/>
  <c r="CS405" i="23" s="1"/>
  <c r="CS104" i="23"/>
  <c r="CS108" i="23" s="1"/>
  <c r="CR363" i="23"/>
  <c r="CQ308" i="23" l="1"/>
  <c r="CT374" i="23"/>
  <c r="CT245" i="23"/>
  <c r="CS360" i="23"/>
  <c r="CP402" i="23"/>
  <c r="CP122" i="23"/>
  <c r="CQ368" i="23"/>
  <c r="CQ367" i="23"/>
  <c r="CP319" i="23"/>
  <c r="CQ315" i="23" s="1"/>
  <c r="CR390" i="23"/>
  <c r="CT101" i="23"/>
  <c r="CT100" i="23" s="1"/>
  <c r="CT338" i="23"/>
  <c r="CT334" i="23" s="1"/>
  <c r="CP404" i="23"/>
  <c r="CT375" i="23" l="1"/>
  <c r="CT340" i="23" s="1"/>
  <c r="CQ316" i="23"/>
  <c r="CQ309" i="23"/>
  <c r="CP401" i="23"/>
  <c r="CP410" i="23" s="1"/>
  <c r="CS382" i="23"/>
  <c r="CP123" i="23"/>
  <c r="CR364" i="23"/>
  <c r="CT330" i="23"/>
  <c r="CT243" i="23"/>
  <c r="CT376" i="23" l="1"/>
  <c r="CT361" i="23" s="1"/>
  <c r="CQ317" i="23"/>
  <c r="CQ403" i="23"/>
  <c r="CQ310" i="23"/>
  <c r="CR307" i="23" s="1"/>
  <c r="CP409" i="23"/>
  <c r="CR395" i="23"/>
  <c r="CS362" i="23"/>
  <c r="CT102" i="23"/>
  <c r="CT246" i="23"/>
  <c r="CT103" i="23" s="1"/>
  <c r="CT408" i="23" s="1"/>
  <c r="CT247" i="23" l="1"/>
  <c r="CU241" i="23" s="1"/>
  <c r="CU242" i="23" s="1"/>
  <c r="CU244" i="23" s="1"/>
  <c r="CQ318" i="23"/>
  <c r="CQ319" i="23" s="1"/>
  <c r="CR315" i="23" s="1"/>
  <c r="CT407" i="23"/>
  <c r="CT405" i="23" s="1"/>
  <c r="CT104" i="23"/>
  <c r="CT108" i="23" s="1"/>
  <c r="CR365" i="23"/>
  <c r="CR400" i="23" s="1"/>
  <c r="CR366" i="23" s="1"/>
  <c r="CS385" i="23"/>
  <c r="CQ402" i="23" l="1"/>
  <c r="CQ404" i="23"/>
  <c r="CQ122" i="23"/>
  <c r="CQ123" i="23" s="1"/>
  <c r="CU374" i="23"/>
  <c r="CU245" i="23"/>
  <c r="CU375" i="23" s="1"/>
  <c r="CU340" i="23" s="1"/>
  <c r="CS363" i="23"/>
  <c r="CR367" i="23"/>
  <c r="CR368" i="23"/>
  <c r="CR308" i="23"/>
  <c r="CT360" i="23"/>
  <c r="CU101" i="23"/>
  <c r="CU100" i="23" s="1"/>
  <c r="CU338" i="23"/>
  <c r="CU334" i="23" s="1"/>
  <c r="CQ401" i="23" l="1"/>
  <c r="CT382" i="23"/>
  <c r="CR316" i="23"/>
  <c r="CR309" i="23"/>
  <c r="CR310" i="23" s="1"/>
  <c r="CS307" i="23" s="1"/>
  <c r="CS390" i="23"/>
  <c r="CU330" i="23"/>
  <c r="CU376" i="23"/>
  <c r="CU361" i="23" s="1"/>
  <c r="CU243" i="23"/>
  <c r="CQ410" i="23" l="1"/>
  <c r="CQ409" i="23"/>
  <c r="CS364" i="23"/>
  <c r="CT362" i="23"/>
  <c r="CR317" i="23"/>
  <c r="CR403" i="23"/>
  <c r="CU102" i="23"/>
  <c r="CU246" i="23"/>
  <c r="CU103" i="23" s="1"/>
  <c r="CU408" i="23" s="1"/>
  <c r="CU247" i="23" l="1"/>
  <c r="CV241" i="23" s="1"/>
  <c r="CU407" i="23"/>
  <c r="CU405" i="23" s="1"/>
  <c r="CU104" i="23"/>
  <c r="CU108" i="23" s="1"/>
  <c r="CR318" i="23"/>
  <c r="CT385" i="23"/>
  <c r="CS395" i="23"/>
  <c r="CT363" i="23" l="1"/>
  <c r="CU360" i="23"/>
  <c r="CS365" i="23"/>
  <c r="CS400" i="23" s="1"/>
  <c r="CS366" i="23" s="1"/>
  <c r="CR402" i="23"/>
  <c r="CR122" i="23"/>
  <c r="CR404" i="23"/>
  <c r="CV242" i="23"/>
  <c r="CR319" i="23"/>
  <c r="CS315" i="23" s="1"/>
  <c r="CS308" i="23" l="1"/>
  <c r="CS316" i="23" s="1"/>
  <c r="CR123" i="23"/>
  <c r="CV101" i="23"/>
  <c r="CV100" i="23" s="1"/>
  <c r="CV338" i="23"/>
  <c r="CV334" i="23" s="1"/>
  <c r="CU382" i="23"/>
  <c r="CR401" i="23"/>
  <c r="CR410" i="23" s="1"/>
  <c r="CS368" i="23"/>
  <c r="CS367" i="23"/>
  <c r="CV244" i="23"/>
  <c r="CT390" i="23"/>
  <c r="CS309" i="23" l="1"/>
  <c r="CS310" i="23" s="1"/>
  <c r="CT307" i="23" s="1"/>
  <c r="CR409" i="23"/>
  <c r="CV374" i="23"/>
  <c r="CV245" i="23"/>
  <c r="CT364" i="23"/>
  <c r="CU362" i="23"/>
  <c r="CS403" i="23" l="1"/>
  <c r="CS317" i="23"/>
  <c r="CS318" i="23" s="1"/>
  <c r="CV375" i="23"/>
  <c r="CV340" i="23" s="1"/>
  <c r="CU385" i="23"/>
  <c r="CT395" i="23"/>
  <c r="CV330" i="23"/>
  <c r="CV243" i="23"/>
  <c r="CV376" i="23" l="1"/>
  <c r="CV361" i="23" s="1"/>
  <c r="CT365" i="23"/>
  <c r="CT400" i="23" s="1"/>
  <c r="CT366" i="23" s="1"/>
  <c r="CS402" i="23"/>
  <c r="CS122" i="23"/>
  <c r="CS319" i="23"/>
  <c r="CT315" i="23" s="1"/>
  <c r="CV102" i="23"/>
  <c r="CV246" i="23"/>
  <c r="CV103" i="23" s="1"/>
  <c r="CV408" i="23" s="1"/>
  <c r="CS404" i="23"/>
  <c r="CU363" i="23"/>
  <c r="CU390" i="23" l="1"/>
  <c r="CV247" i="23"/>
  <c r="CW241" i="23" s="1"/>
  <c r="CV407" i="23"/>
  <c r="CV405" i="23" s="1"/>
  <c r="CV104" i="23"/>
  <c r="CV108" i="23" s="1"/>
  <c r="CS401" i="23"/>
  <c r="CS410" i="23" s="1"/>
  <c r="CT308" i="23"/>
  <c r="CS123" i="23"/>
  <c r="CT368" i="23"/>
  <c r="CT367" i="23"/>
  <c r="CT316" i="23" l="1"/>
  <c r="CT309" i="23"/>
  <c r="CU364" i="23"/>
  <c r="CV360" i="23"/>
  <c r="CS409" i="23"/>
  <c r="CW242" i="23"/>
  <c r="CW244" i="23" s="1"/>
  <c r="CW374" i="23" l="1"/>
  <c r="CW245" i="23"/>
  <c r="CW101" i="23"/>
  <c r="CW100" i="23" s="1"/>
  <c r="CW338" i="23"/>
  <c r="CW334" i="23" s="1"/>
  <c r="CV382" i="23"/>
  <c r="CU395" i="23"/>
  <c r="CT403" i="23"/>
  <c r="CT317" i="23"/>
  <c r="CT318" i="23" s="1"/>
  <c r="CT310" i="23"/>
  <c r="CU307" i="23" s="1"/>
  <c r="CW375" i="23" l="1"/>
  <c r="CW340" i="23" s="1"/>
  <c r="CV362" i="23"/>
  <c r="CT402" i="23"/>
  <c r="CT122" i="23"/>
  <c r="CT404" i="23"/>
  <c r="CW330" i="23"/>
  <c r="CT319" i="23"/>
  <c r="CU315" i="23" s="1"/>
  <c r="CU365" i="23"/>
  <c r="CU400" i="23" s="1"/>
  <c r="CU366" i="23" s="1"/>
  <c r="CW243" i="23"/>
  <c r="CW376" i="23" l="1"/>
  <c r="CW361" i="23" s="1"/>
  <c r="CU367" i="23"/>
  <c r="CU368" i="23"/>
  <c r="CT123" i="23"/>
  <c r="CW102" i="23"/>
  <c r="CW246" i="23"/>
  <c r="CW103" i="23" s="1"/>
  <c r="CW408" i="23" s="1"/>
  <c r="CT401" i="23"/>
  <c r="CT409" i="23" s="1"/>
  <c r="CU308" i="23"/>
  <c r="CV385" i="23"/>
  <c r="CW247" i="23" l="1"/>
  <c r="CX241" i="23" s="1"/>
  <c r="CX242" i="23" s="1"/>
  <c r="CX244" i="23" s="1"/>
  <c r="CT410" i="23"/>
  <c r="CW407" i="23"/>
  <c r="CW405" i="23" s="1"/>
  <c r="CW104" i="23"/>
  <c r="CW108" i="23"/>
  <c r="CV363" i="23"/>
  <c r="CU316" i="23"/>
  <c r="CU309" i="23"/>
  <c r="CX374" i="23" l="1"/>
  <c r="CX245" i="23"/>
  <c r="CU317" i="23"/>
  <c r="CU403" i="23"/>
  <c r="CU310" i="23"/>
  <c r="CV307" i="23" s="1"/>
  <c r="CV390" i="23"/>
  <c r="CW360" i="23"/>
  <c r="CX101" i="23"/>
  <c r="CX100" i="23" s="1"/>
  <c r="CX338" i="23"/>
  <c r="CX334" i="23" s="1"/>
  <c r="CX375" i="23" l="1"/>
  <c r="CX340" i="23" s="1"/>
  <c r="CW382" i="23"/>
  <c r="CX330" i="23"/>
  <c r="CV364" i="23"/>
  <c r="CU318" i="23"/>
  <c r="CU404" i="23" s="1"/>
  <c r="CX243" i="23"/>
  <c r="CX376" i="23" l="1"/>
  <c r="CX361" i="23" s="1"/>
  <c r="CV395" i="23"/>
  <c r="CW362" i="23"/>
  <c r="CU402" i="23"/>
  <c r="CU401" i="23" s="1"/>
  <c r="CU410" i="23" s="1"/>
  <c r="CU122" i="23"/>
  <c r="CU319" i="23"/>
  <c r="CV315" i="23" s="1"/>
  <c r="CX102" i="23"/>
  <c r="CX246" i="23"/>
  <c r="CX103" i="23" s="1"/>
  <c r="CX408" i="23" s="1"/>
  <c r="CX247" i="23" l="1"/>
  <c r="CY241" i="23" s="1"/>
  <c r="CY242" i="23" s="1"/>
  <c r="CU409" i="23"/>
  <c r="CW385" i="23"/>
  <c r="CU123" i="23"/>
  <c r="CX407" i="23"/>
  <c r="CX405" i="23" s="1"/>
  <c r="CX104" i="23"/>
  <c r="CX108" i="23" s="1"/>
  <c r="CV365" i="23"/>
  <c r="CV400" i="23" s="1"/>
  <c r="CV366" i="23" s="1"/>
  <c r="CV308" i="23" l="1"/>
  <c r="CV309" i="23" s="1"/>
  <c r="CY101" i="23"/>
  <c r="CY100" i="23" s="1"/>
  <c r="CY338" i="23"/>
  <c r="CY334" i="23" s="1"/>
  <c r="CX360" i="23"/>
  <c r="CY244" i="23"/>
  <c r="CW363" i="23"/>
  <c r="CV367" i="23"/>
  <c r="CV368" i="23"/>
  <c r="CV316" i="23" l="1"/>
  <c r="CV403" i="23"/>
  <c r="CV317" i="23"/>
  <c r="CW390" i="23"/>
  <c r="CX382" i="23"/>
  <c r="CY374" i="23"/>
  <c r="CY245" i="23"/>
  <c r="CV310" i="23"/>
  <c r="CW307" i="23" s="1"/>
  <c r="CY375" i="23" l="1"/>
  <c r="CY340" i="23" s="1"/>
  <c r="CV318" i="23"/>
  <c r="CV319" i="23" s="1"/>
  <c r="CW315" i="23" s="1"/>
  <c r="CX362" i="23"/>
  <c r="CW364" i="23"/>
  <c r="CY330" i="23"/>
  <c r="CY243" i="23"/>
  <c r="CY376" i="23" l="1"/>
  <c r="CY361" i="23" s="1"/>
  <c r="CV122" i="23"/>
  <c r="CV123" i="23" s="1"/>
  <c r="CV402" i="23"/>
  <c r="CV404" i="23"/>
  <c r="CW395" i="23"/>
  <c r="CY102" i="23"/>
  <c r="CY246" i="23"/>
  <c r="CY103" i="23" s="1"/>
  <c r="CY408" i="23" s="1"/>
  <c r="CX385" i="23"/>
  <c r="CV401" i="23" l="1"/>
  <c r="CY247" i="23"/>
  <c r="CZ241" i="23" s="1"/>
  <c r="CZ242" i="23" s="1"/>
  <c r="CZ244" i="23" s="1"/>
  <c r="CX363" i="23"/>
  <c r="CY407" i="23"/>
  <c r="CY405" i="23" s="1"/>
  <c r="CY104" i="23"/>
  <c r="CY108" i="23" s="1"/>
  <c r="CW365" i="23"/>
  <c r="CW400" i="23" s="1"/>
  <c r="CW366" i="23" s="1"/>
  <c r="CV410" i="23" l="1"/>
  <c r="CV409" i="23"/>
  <c r="CY360" i="23"/>
  <c r="CW308" i="23"/>
  <c r="CW367" i="23"/>
  <c r="CW368" i="23"/>
  <c r="CX390" i="23"/>
  <c r="CZ374" i="23"/>
  <c r="CZ245" i="23"/>
  <c r="CZ243" i="23" s="1"/>
  <c r="CZ101" i="23"/>
  <c r="CZ100" i="23" s="1"/>
  <c r="CZ338" i="23"/>
  <c r="CZ334" i="23" s="1"/>
  <c r="CZ102" i="23" l="1"/>
  <c r="CZ246" i="23"/>
  <c r="CZ247" i="23" s="1"/>
  <c r="DA241" i="23" s="1"/>
  <c r="CZ330" i="23"/>
  <c r="CX364" i="23"/>
  <c r="CW316" i="23"/>
  <c r="CW309" i="23"/>
  <c r="CY382" i="23"/>
  <c r="CZ375" i="23"/>
  <c r="CZ340" i="23" s="1"/>
  <c r="DA242" i="23" l="1"/>
  <c r="CY362" i="23"/>
  <c r="CW317" i="23"/>
  <c r="CW403" i="23"/>
  <c r="CX395" i="23"/>
  <c r="CZ376" i="23"/>
  <c r="CZ361" i="23" s="1"/>
  <c r="CW310" i="23"/>
  <c r="CX307" i="23" s="1"/>
  <c r="CZ103" i="23"/>
  <c r="CZ407" i="23"/>
  <c r="CZ405" i="23" s="1"/>
  <c r="CX365" i="23" l="1"/>
  <c r="CX400" i="23" s="1"/>
  <c r="CX366" i="23" s="1"/>
  <c r="CZ408" i="23"/>
  <c r="CZ104" i="23"/>
  <c r="CZ108" i="23" s="1"/>
  <c r="CY385" i="23"/>
  <c r="CW318" i="23"/>
  <c r="DA244" i="23"/>
  <c r="DA101" i="23"/>
  <c r="DA100" i="23" s="1"/>
  <c r="DA338" i="23"/>
  <c r="DA334" i="23" s="1"/>
  <c r="CX308" i="23" l="1"/>
  <c r="CX316" i="23" s="1"/>
  <c r="CZ360" i="23"/>
  <c r="CY363" i="23"/>
  <c r="CX368" i="23"/>
  <c r="CX367" i="23"/>
  <c r="CW402" i="23"/>
  <c r="CW122" i="23"/>
  <c r="DA374" i="23"/>
  <c r="DA245" i="23"/>
  <c r="CW404" i="23"/>
  <c r="CW319" i="23"/>
  <c r="CX315" i="23" s="1"/>
  <c r="CX309" i="23" l="1"/>
  <c r="CX317" i="23" s="1"/>
  <c r="CX318" i="23" s="1"/>
  <c r="CX402" i="23" s="1"/>
  <c r="CW401" i="23"/>
  <c r="CW410" i="23" s="1"/>
  <c r="CW123" i="23"/>
  <c r="DA375" i="23"/>
  <c r="DA340" i="23" s="1"/>
  <c r="CY390" i="23"/>
  <c r="DA330" i="23"/>
  <c r="CZ382" i="23"/>
  <c r="DA243" i="23"/>
  <c r="CX310" i="23" l="1"/>
  <c r="CY307" i="23" s="1"/>
  <c r="CX403" i="23"/>
  <c r="CW409" i="23"/>
  <c r="CX319" i="23"/>
  <c r="CY315" i="23" s="1"/>
  <c r="DA102" i="23"/>
  <c r="DA246" i="23"/>
  <c r="CY364" i="23"/>
  <c r="DA376" i="23"/>
  <c r="DA361" i="23" s="1"/>
  <c r="CZ362" i="23"/>
  <c r="CX122" i="23"/>
  <c r="CX404" i="23"/>
  <c r="CX401" i="23" l="1"/>
  <c r="CX409" i="23" s="1"/>
  <c r="CY395" i="23"/>
  <c r="DA103" i="23"/>
  <c r="DA104" i="23" s="1"/>
  <c r="DA108" i="23" s="1"/>
  <c r="DA247" i="23"/>
  <c r="DB241" i="23" s="1"/>
  <c r="CZ385" i="23"/>
  <c r="CX123" i="23"/>
  <c r="DA407" i="23"/>
  <c r="DA405" i="23" s="1"/>
  <c r="CX410" i="23" l="1"/>
  <c r="CZ363" i="23"/>
  <c r="DA360" i="23"/>
  <c r="CY365" i="23"/>
  <c r="CY400" i="23" s="1"/>
  <c r="CY366" i="23" s="1"/>
  <c r="DA408" i="23"/>
  <c r="DB242" i="23"/>
  <c r="CY308" i="23" l="1"/>
  <c r="CY316" i="23" s="1"/>
  <c r="DB244" i="23"/>
  <c r="DB101" i="23"/>
  <c r="DB100" i="23" s="1"/>
  <c r="DB338" i="23"/>
  <c r="DB334" i="23" s="1"/>
  <c r="CY367" i="23"/>
  <c r="CY368" i="23"/>
  <c r="DA382" i="23"/>
  <c r="CZ390" i="23"/>
  <c r="CY309" i="23" l="1"/>
  <c r="CY310" i="23" s="1"/>
  <c r="CZ307" i="23" s="1"/>
  <c r="CZ364" i="23"/>
  <c r="DA362" i="23"/>
  <c r="DB374" i="23"/>
  <c r="DB245" i="23"/>
  <c r="DB243" i="23" s="1"/>
  <c r="CY403" i="23" l="1"/>
  <c r="CY317" i="23"/>
  <c r="CY318" i="23" s="1"/>
  <c r="CY319" i="23" s="1"/>
  <c r="CZ315" i="23" s="1"/>
  <c r="DB102" i="23"/>
  <c r="DB246" i="23"/>
  <c r="DA385" i="23"/>
  <c r="CZ395" i="23"/>
  <c r="DB330" i="23"/>
  <c r="DB375" i="23"/>
  <c r="DB340" i="23" s="1"/>
  <c r="CY122" i="23" l="1"/>
  <c r="CY123" i="23" s="1"/>
  <c r="CY402" i="23"/>
  <c r="CY404" i="23"/>
  <c r="DA363" i="23"/>
  <c r="CZ365" i="23"/>
  <c r="CZ400" i="23" s="1"/>
  <c r="CZ366" i="23" s="1"/>
  <c r="DB103" i="23"/>
  <c r="DB247" i="23"/>
  <c r="DC241" i="23" s="1"/>
  <c r="DB407" i="23"/>
  <c r="DB405" i="23" s="1"/>
  <c r="DB376" i="23"/>
  <c r="CY401" i="23" l="1"/>
  <c r="CY410" i="23" s="1"/>
  <c r="DB408" i="23"/>
  <c r="CZ368" i="23"/>
  <c r="CZ367" i="23"/>
  <c r="DB361" i="23"/>
  <c r="DA390" i="23"/>
  <c r="DB104" i="23"/>
  <c r="DB108" i="23" s="1"/>
  <c r="DC242" i="23"/>
  <c r="CZ308" i="23"/>
  <c r="CY409" i="23" l="1"/>
  <c r="DC101" i="23"/>
  <c r="DC100" i="23" s="1"/>
  <c r="DC338" i="23"/>
  <c r="DC334" i="23" s="1"/>
  <c r="DC244" i="23"/>
  <c r="DB360" i="23"/>
  <c r="DA364" i="23"/>
  <c r="CZ316" i="23"/>
  <c r="CZ309" i="23"/>
  <c r="CZ310" i="23" s="1"/>
  <c r="DA307" i="23" s="1"/>
  <c r="CZ317" i="23" l="1"/>
  <c r="CZ318" i="23" s="1"/>
  <c r="CZ403" i="23"/>
  <c r="DC374" i="23"/>
  <c r="DC245" i="23"/>
  <c r="DA395" i="23"/>
  <c r="DB382" i="23"/>
  <c r="CZ402" i="23" l="1"/>
  <c r="CZ122" i="23"/>
  <c r="CZ319" i="23"/>
  <c r="DA315" i="23" s="1"/>
  <c r="DC375" i="23"/>
  <c r="DC340" i="23" s="1"/>
  <c r="DA365" i="23"/>
  <c r="DA400" i="23" s="1"/>
  <c r="DA366" i="23" s="1"/>
  <c r="DC330" i="23"/>
  <c r="DB362" i="23"/>
  <c r="DC243" i="23"/>
  <c r="CZ404" i="23"/>
  <c r="DC376" i="23" l="1"/>
  <c r="DC361" i="23" s="1"/>
  <c r="DA308" i="23"/>
  <c r="DA316" i="23" s="1"/>
  <c r="DC102" i="23"/>
  <c r="DC246" i="23"/>
  <c r="DC247" i="23" s="1"/>
  <c r="DD241" i="23" s="1"/>
  <c r="DB385" i="23"/>
  <c r="DA368" i="23"/>
  <c r="DA367" i="23"/>
  <c r="CZ123" i="23"/>
  <c r="CZ401" i="23"/>
  <c r="CZ410" i="23" s="1"/>
  <c r="DA309" i="23" l="1"/>
  <c r="DA310" i="23" s="1"/>
  <c r="DB307" i="23" s="1"/>
  <c r="CZ409" i="23"/>
  <c r="DB363" i="23"/>
  <c r="DC103" i="23"/>
  <c r="DD242" i="23"/>
  <c r="DC407" i="23"/>
  <c r="DC405" i="23" s="1"/>
  <c r="DA403" i="23" l="1"/>
  <c r="DA317" i="23"/>
  <c r="DA318" i="23" s="1"/>
  <c r="DA402" i="23" s="1"/>
  <c r="DD244" i="23"/>
  <c r="DC408" i="23"/>
  <c r="DD101" i="23"/>
  <c r="DD100" i="23" s="1"/>
  <c r="DD338" i="23"/>
  <c r="DD334" i="23" s="1"/>
  <c r="DB390" i="23"/>
  <c r="DC104" i="23"/>
  <c r="DC108" i="23" s="1"/>
  <c r="DA319" i="23" l="1"/>
  <c r="DB315" i="23" s="1"/>
  <c r="DA404" i="23"/>
  <c r="DA401" i="23" s="1"/>
  <c r="DA410" i="23" s="1"/>
  <c r="DA122" i="23"/>
  <c r="DA123" i="23" s="1"/>
  <c r="DB364" i="23"/>
  <c r="DD374" i="23"/>
  <c r="DD245" i="23"/>
  <c r="DC360" i="23"/>
  <c r="DA409" i="23" l="1"/>
  <c r="DD375" i="23"/>
  <c r="DD340" i="23" s="1"/>
  <c r="DD243" i="23"/>
  <c r="DD330" i="23"/>
  <c r="DB395" i="23"/>
  <c r="DC382" i="23"/>
  <c r="DD376" i="23" l="1"/>
  <c r="DD361" i="23" s="1"/>
  <c r="DC362" i="23"/>
  <c r="DD102" i="23"/>
  <c r="DD246" i="23"/>
  <c r="DB365" i="23"/>
  <c r="DB400" i="23" s="1"/>
  <c r="DB366" i="23" s="1"/>
  <c r="DB308" i="23" l="1"/>
  <c r="DB316" i="23" s="1"/>
  <c r="DB368" i="23"/>
  <c r="DB367" i="23"/>
  <c r="DD103" i="23"/>
  <c r="DD104" i="23" s="1"/>
  <c r="DD108" i="23" s="1"/>
  <c r="DD247" i="23"/>
  <c r="DE241" i="23" s="1"/>
  <c r="DD407" i="23"/>
  <c r="DD405" i="23" s="1"/>
  <c r="DC385" i="23"/>
  <c r="DB309" i="23" l="1"/>
  <c r="DB310" i="23" s="1"/>
  <c r="DC307" i="23" s="1"/>
  <c r="DD360" i="23"/>
  <c r="DE242" i="23"/>
  <c r="DC363" i="23"/>
  <c r="DD408" i="23"/>
  <c r="DB403" i="23" l="1"/>
  <c r="DB317" i="23"/>
  <c r="DB318" i="23" s="1"/>
  <c r="DC390" i="23"/>
  <c r="DE244" i="23"/>
  <c r="DE101" i="23"/>
  <c r="DE100" i="23" s="1"/>
  <c r="DE338" i="23"/>
  <c r="DE334" i="23" s="1"/>
  <c r="DD382" i="23"/>
  <c r="DB319" i="23" l="1"/>
  <c r="DC315" i="23" s="1"/>
  <c r="DB402" i="23"/>
  <c r="DB122" i="23"/>
  <c r="DE374" i="23"/>
  <c r="DE245" i="23"/>
  <c r="DC364" i="23"/>
  <c r="DB404" i="23"/>
  <c r="DD362" i="23"/>
  <c r="DE375" i="23" l="1"/>
  <c r="DE340" i="23" s="1"/>
  <c r="DD385" i="23"/>
  <c r="DC395" i="23"/>
  <c r="DE243" i="23"/>
  <c r="DE330" i="23"/>
  <c r="DB123" i="23"/>
  <c r="DB401" i="23"/>
  <c r="DB410" i="23" s="1"/>
  <c r="DE376" i="23" l="1"/>
  <c r="DE361" i="23" s="1"/>
  <c r="DB409" i="23"/>
  <c r="DE102" i="23"/>
  <c r="DE246" i="23"/>
  <c r="DE103" i="23" s="1"/>
  <c r="DE408" i="23" s="1"/>
  <c r="DC365" i="23"/>
  <c r="DC400" i="23" s="1"/>
  <c r="DC366" i="23" s="1"/>
  <c r="DD363" i="23"/>
  <c r="DC367" i="23" l="1"/>
  <c r="DC368" i="23"/>
  <c r="DC308" i="23"/>
  <c r="DD390" i="23"/>
  <c r="DE247" i="23"/>
  <c r="DF241" i="23" s="1"/>
  <c r="DE407" i="23"/>
  <c r="DE405" i="23" s="1"/>
  <c r="DE104" i="23"/>
  <c r="DE108" i="23" s="1"/>
  <c r="DE360" i="23" l="1"/>
  <c r="DD364" i="23"/>
  <c r="DC316" i="23"/>
  <c r="DC309" i="23"/>
  <c r="DC310" i="23" s="1"/>
  <c r="DD307" i="23" s="1"/>
  <c r="DF242" i="23"/>
  <c r="DF101" i="23" l="1"/>
  <c r="DF100" i="23" s="1"/>
  <c r="DF338" i="23"/>
  <c r="DF334" i="23" s="1"/>
  <c r="DF244" i="23"/>
  <c r="DC403" i="23"/>
  <c r="DC317" i="23"/>
  <c r="DD395" i="23"/>
  <c r="DE382" i="23"/>
  <c r="DF374" i="23" l="1"/>
  <c r="DF245" i="23"/>
  <c r="DC318" i="23"/>
  <c r="DD365" i="23"/>
  <c r="DD400" i="23" s="1"/>
  <c r="DD366" i="23" s="1"/>
  <c r="DE362" i="23"/>
  <c r="DF375" i="23" l="1"/>
  <c r="DF340" i="23" s="1"/>
  <c r="DE385" i="23"/>
  <c r="DD368" i="23"/>
  <c r="DD367" i="23"/>
  <c r="DC402" i="23"/>
  <c r="DC122" i="23"/>
  <c r="DC319" i="23"/>
  <c r="DD315" i="23" s="1"/>
  <c r="DC404" i="23"/>
  <c r="DD308" i="23"/>
  <c r="DF330" i="23"/>
  <c r="DF243" i="23"/>
  <c r="DF376" i="23" l="1"/>
  <c r="DF361" i="23" s="1"/>
  <c r="DC401" i="23"/>
  <c r="DC410" i="23" s="1"/>
  <c r="DC123" i="23"/>
  <c r="DD316" i="23"/>
  <c r="DD309" i="23"/>
  <c r="DF102" i="23"/>
  <c r="DF246" i="23"/>
  <c r="DF103" i="23" s="1"/>
  <c r="DF408" i="23" s="1"/>
  <c r="DE363" i="23"/>
  <c r="DC409" i="23" l="1"/>
  <c r="DF247" i="23"/>
  <c r="DG241" i="23" s="1"/>
  <c r="DG242" i="23" s="1"/>
  <c r="DG244" i="23" s="1"/>
  <c r="DF407" i="23"/>
  <c r="DF405" i="23" s="1"/>
  <c r="DF104" i="23"/>
  <c r="DF108" i="23" s="1"/>
  <c r="DD317" i="23"/>
  <c r="DD403" i="23"/>
  <c r="DE390" i="23"/>
  <c r="DD310" i="23"/>
  <c r="DE307" i="23" s="1"/>
  <c r="DE364" i="23" l="1"/>
  <c r="DD318" i="23"/>
  <c r="DD319" i="23" s="1"/>
  <c r="DE315" i="23" s="1"/>
  <c r="DF360" i="23"/>
  <c r="DG374" i="23"/>
  <c r="DG245" i="23"/>
  <c r="DG101" i="23"/>
  <c r="DG100" i="23" s="1"/>
  <c r="DG338" i="23"/>
  <c r="DG334" i="23" s="1"/>
  <c r="DG375" i="23" l="1"/>
  <c r="DG340" i="23" s="1"/>
  <c r="DG330" i="23"/>
  <c r="DF382" i="23"/>
  <c r="DG243" i="23"/>
  <c r="DD402" i="23"/>
  <c r="DD122" i="23"/>
  <c r="DD404" i="23"/>
  <c r="DE395" i="23"/>
  <c r="DG376" i="23" l="1"/>
  <c r="DG361" i="23" s="1"/>
  <c r="DE365" i="23"/>
  <c r="DE400" i="23" s="1"/>
  <c r="DE366" i="23" s="1"/>
  <c r="DG102" i="23"/>
  <c r="DG246" i="23"/>
  <c r="DG103" i="23" s="1"/>
  <c r="DG408" i="23" s="1"/>
  <c r="DF362" i="23"/>
  <c r="DD123" i="23"/>
  <c r="DD401" i="23"/>
  <c r="DD410" i="23" s="1"/>
  <c r="DD409" i="23" l="1"/>
  <c r="DE308" i="23"/>
  <c r="DE316" i="23" s="1"/>
  <c r="DG247" i="23"/>
  <c r="DH241" i="23" s="1"/>
  <c r="DH242" i="23" s="1"/>
  <c r="DH244" i="23" s="1"/>
  <c r="DF385" i="23"/>
  <c r="DG407" i="23"/>
  <c r="DG405" i="23" s="1"/>
  <c r="DG104" i="23"/>
  <c r="DG108" i="23" s="1"/>
  <c r="DE368" i="23"/>
  <c r="DE367" i="23"/>
  <c r="DE309" i="23" l="1"/>
  <c r="DE317" i="23" s="1"/>
  <c r="DE318" i="23" s="1"/>
  <c r="DE319" i="23" s="1"/>
  <c r="DF315" i="23" s="1"/>
  <c r="DH374" i="23"/>
  <c r="DH245" i="23"/>
  <c r="DH101" i="23"/>
  <c r="DH100" i="23" s="1"/>
  <c r="DH338" i="23"/>
  <c r="DH334" i="23" s="1"/>
  <c r="DG360" i="23"/>
  <c r="DF363" i="23"/>
  <c r="DE310" i="23" l="1"/>
  <c r="DF307" i="23" s="1"/>
  <c r="DE403" i="23"/>
  <c r="DH375" i="23"/>
  <c r="DH340" i="23" s="1"/>
  <c r="DG382" i="23"/>
  <c r="DE402" i="23"/>
  <c r="DE122" i="23"/>
  <c r="DE404" i="23"/>
  <c r="DF390" i="23"/>
  <c r="DH330" i="23"/>
  <c r="DH243" i="23"/>
  <c r="DH376" i="23" l="1"/>
  <c r="DH361" i="23" s="1"/>
  <c r="DE401" i="23"/>
  <c r="DE409" i="23" s="1"/>
  <c r="DE123" i="23"/>
  <c r="DH102" i="23"/>
  <c r="DH246" i="23"/>
  <c r="DH103" i="23" s="1"/>
  <c r="DH408" i="23" s="1"/>
  <c r="DG362" i="23"/>
  <c r="DF364" i="23"/>
  <c r="DE410" i="23" l="1"/>
  <c r="DF395" i="23"/>
  <c r="DG385" i="23"/>
  <c r="DH247" i="23"/>
  <c r="DI241" i="23" s="1"/>
  <c r="DH407" i="23"/>
  <c r="DH405" i="23" s="1"/>
  <c r="DH104" i="23"/>
  <c r="DH108" i="23" s="1"/>
  <c r="DI242" i="23" l="1"/>
  <c r="DI244" i="23" s="1"/>
  <c r="DG363" i="23"/>
  <c r="DH360" i="23"/>
  <c r="DF365" i="23"/>
  <c r="DF400" i="23" s="1"/>
  <c r="DF366" i="23" s="1"/>
  <c r="DF308" i="23" l="1"/>
  <c r="DG390" i="23"/>
  <c r="DF368" i="23"/>
  <c r="DF367" i="23"/>
  <c r="DH382" i="23"/>
  <c r="DI374" i="23"/>
  <c r="DI245" i="23"/>
  <c r="DI101" i="23"/>
  <c r="DI100" i="23" s="1"/>
  <c r="DI338" i="23"/>
  <c r="DI334" i="23" s="1"/>
  <c r="DI375" i="23" l="1"/>
  <c r="DI340" i="23" s="1"/>
  <c r="DI243" i="23"/>
  <c r="DI102" i="23" s="1"/>
  <c r="DI407" i="23" s="1"/>
  <c r="DI405" i="23" s="1"/>
  <c r="DH362" i="23"/>
  <c r="DG364" i="23"/>
  <c r="DI330" i="23"/>
  <c r="DF316" i="23"/>
  <c r="DF309" i="23"/>
  <c r="DF310" i="23" s="1"/>
  <c r="DG307" i="23" s="1"/>
  <c r="DI376" i="23" l="1"/>
  <c r="DI361" i="23" s="1"/>
  <c r="DI246" i="23"/>
  <c r="DI103" i="23" s="1"/>
  <c r="DI408" i="23" s="1"/>
  <c r="DF317" i="23"/>
  <c r="DF403" i="23"/>
  <c r="DG395" i="23"/>
  <c r="DH385" i="23"/>
  <c r="DI247" i="23" l="1"/>
  <c r="DJ241" i="23" s="1"/>
  <c r="DJ242" i="23" s="1"/>
  <c r="DI104" i="23"/>
  <c r="DI108" i="23" s="1"/>
  <c r="DI360" i="23" s="1"/>
  <c r="DH363" i="23"/>
  <c r="DG365" i="23"/>
  <c r="DG400" i="23" s="1"/>
  <c r="DG366" i="23" s="1"/>
  <c r="DF318" i="23"/>
  <c r="DF319" i="23" s="1"/>
  <c r="DG315" i="23" s="1"/>
  <c r="DG308" i="23" l="1"/>
  <c r="DG316" i="23" s="1"/>
  <c r="DJ244" i="23"/>
  <c r="DJ101" i="23"/>
  <c r="DJ100" i="23" s="1"/>
  <c r="DJ338" i="23"/>
  <c r="DJ334" i="23" s="1"/>
  <c r="DG367" i="23"/>
  <c r="DG368" i="23"/>
  <c r="DI382" i="23"/>
  <c r="DH390" i="23"/>
  <c r="DF402" i="23"/>
  <c r="DF122" i="23"/>
  <c r="DF404" i="23"/>
  <c r="DG309" i="23" l="1"/>
  <c r="DG310" i="23" s="1"/>
  <c r="DH307" i="23" s="1"/>
  <c r="DI362" i="23"/>
  <c r="DF123" i="23"/>
  <c r="DH364" i="23"/>
  <c r="DJ374" i="23"/>
  <c r="DJ245" i="23"/>
  <c r="DJ243" i="23" s="1"/>
  <c r="DF401" i="23"/>
  <c r="DF409" i="23" s="1"/>
  <c r="DG317" i="23" l="1"/>
  <c r="DG318" i="23" s="1"/>
  <c r="DG404" i="23" s="1"/>
  <c r="DG403" i="23"/>
  <c r="DF410" i="23"/>
  <c r="DJ330" i="23"/>
  <c r="DJ102" i="23"/>
  <c r="DJ246" i="23"/>
  <c r="DJ103" i="23" s="1"/>
  <c r="DJ408" i="23" s="1"/>
  <c r="DH395" i="23"/>
  <c r="DI385" i="23"/>
  <c r="DJ375" i="23"/>
  <c r="DJ340" i="23" s="1"/>
  <c r="DJ376" i="23" l="1"/>
  <c r="DJ361" i="23" s="1"/>
  <c r="DI363" i="23"/>
  <c r="DH365" i="23"/>
  <c r="DH400" i="23" s="1"/>
  <c r="DH366" i="23" s="1"/>
  <c r="DJ407" i="23"/>
  <c r="DJ405" i="23" s="1"/>
  <c r="DJ104" i="23"/>
  <c r="DJ108" i="23" s="1"/>
  <c r="DG402" i="23"/>
  <c r="DG401" i="23" s="1"/>
  <c r="DG410" i="23" s="1"/>
  <c r="DG122" i="23"/>
  <c r="DJ247" i="23"/>
  <c r="DK241" i="23" s="1"/>
  <c r="DG409" i="23"/>
  <c r="DG319" i="23"/>
  <c r="DH315" i="23" s="1"/>
  <c r="DG123" i="23" l="1"/>
  <c r="DK242" i="23"/>
  <c r="DJ360" i="23"/>
  <c r="DH367" i="23"/>
  <c r="DH368" i="23"/>
  <c r="DI390" i="23"/>
  <c r="DH308" i="23"/>
  <c r="DI364" i="23" l="1"/>
  <c r="DK101" i="23"/>
  <c r="DK100" i="23" s="1"/>
  <c r="DK338" i="23"/>
  <c r="DK334" i="23" s="1"/>
  <c r="DJ382" i="23"/>
  <c r="DK244" i="23"/>
  <c r="DH316" i="23"/>
  <c r="DH309" i="23"/>
  <c r="DH310" i="23" s="1"/>
  <c r="DI307" i="23" s="1"/>
  <c r="DJ362" i="23" l="1"/>
  <c r="DK374" i="23"/>
  <c r="DK245" i="23"/>
  <c r="DH317" i="23"/>
  <c r="DH403" i="23"/>
  <c r="DI395" i="23"/>
  <c r="DK375" i="23" l="1"/>
  <c r="DK340" i="23" s="1"/>
  <c r="DI365" i="23"/>
  <c r="DI400" i="23" s="1"/>
  <c r="DI366" i="23" s="1"/>
  <c r="DK330" i="23"/>
  <c r="DK243" i="23"/>
  <c r="DJ385" i="23"/>
  <c r="DH318" i="23"/>
  <c r="DK376" i="23" l="1"/>
  <c r="DK361" i="23" s="1"/>
  <c r="DI308" i="23"/>
  <c r="DI316" i="23" s="1"/>
  <c r="DH402" i="23"/>
  <c r="DH122" i="23"/>
  <c r="DH319" i="23"/>
  <c r="DI315" i="23" s="1"/>
  <c r="DJ363" i="23"/>
  <c r="DK102" i="23"/>
  <c r="DK246" i="23"/>
  <c r="DK103" i="23" s="1"/>
  <c r="DK408" i="23" s="1"/>
  <c r="DI368" i="23"/>
  <c r="DI367" i="23"/>
  <c r="DH404" i="23"/>
  <c r="DI309" i="23" l="1"/>
  <c r="DI310" i="23" s="1"/>
  <c r="DJ307" i="23" s="1"/>
  <c r="DK247" i="23"/>
  <c r="DL241" i="23" s="1"/>
  <c r="DL242" i="23" s="1"/>
  <c r="DJ390" i="23"/>
  <c r="DH123" i="23"/>
  <c r="DK407" i="23"/>
  <c r="DK405" i="23" s="1"/>
  <c r="DK104" i="23"/>
  <c r="DK108" i="23" s="1"/>
  <c r="DH401" i="23"/>
  <c r="DH409" i="23" s="1"/>
  <c r="DI317" i="23" l="1"/>
  <c r="DI318" i="23" s="1"/>
  <c r="DI403" i="23"/>
  <c r="DH410" i="23"/>
  <c r="DL101" i="23"/>
  <c r="DL100" i="23" s="1"/>
  <c r="DL338" i="23"/>
  <c r="DL334" i="23" s="1"/>
  <c r="DJ364" i="23"/>
  <c r="DK360" i="23"/>
  <c r="DL244" i="23"/>
  <c r="DL374" i="23" l="1"/>
  <c r="DL245" i="23"/>
  <c r="DK382" i="23"/>
  <c r="DJ395" i="23"/>
  <c r="DI402" i="23"/>
  <c r="DI122" i="23"/>
  <c r="DI319" i="23"/>
  <c r="DJ315" i="23" s="1"/>
  <c r="DI404" i="23"/>
  <c r="DI401" i="23" l="1"/>
  <c r="DI410" i="23" s="1"/>
  <c r="DK362" i="23"/>
  <c r="DL330" i="23"/>
  <c r="DJ365" i="23"/>
  <c r="DJ400" i="23" s="1"/>
  <c r="DJ366" i="23" s="1"/>
  <c r="DI123" i="23"/>
  <c r="DL375" i="23"/>
  <c r="DL340" i="23" s="1"/>
  <c r="DL243" i="23"/>
  <c r="DI409" i="23" l="1"/>
  <c r="DJ368" i="23"/>
  <c r="DJ367" i="23"/>
  <c r="DL376" i="23"/>
  <c r="DL361" i="23" s="1"/>
  <c r="DL102" i="23"/>
  <c r="DL246" i="23"/>
  <c r="DJ308" i="23"/>
  <c r="DK385" i="23"/>
  <c r="DL103" i="23" l="1"/>
  <c r="DL104" i="23" s="1"/>
  <c r="DL108" i="23" s="1"/>
  <c r="DL407" i="23"/>
  <c r="DL405" i="23" s="1"/>
  <c r="DJ316" i="23"/>
  <c r="DJ309" i="23"/>
  <c r="DJ310" i="23" s="1"/>
  <c r="DK307" i="23" s="1"/>
  <c r="DL247" i="23"/>
  <c r="DM241" i="23" s="1"/>
  <c r="DK363" i="23"/>
  <c r="DM242" i="23" l="1"/>
  <c r="DM244" i="23" s="1"/>
  <c r="DK390" i="23"/>
  <c r="DJ403" i="23"/>
  <c r="DJ317" i="23"/>
  <c r="DL408" i="23"/>
  <c r="DL360" i="23"/>
  <c r="DM374" i="23" l="1"/>
  <c r="DM245" i="23"/>
  <c r="DJ318" i="23"/>
  <c r="DK364" i="23"/>
  <c r="DM101" i="23"/>
  <c r="DM100" i="23" s="1"/>
  <c r="DM338" i="23"/>
  <c r="DM334" i="23" s="1"/>
  <c r="DL382" i="23"/>
  <c r="DJ402" i="23" l="1"/>
  <c r="DJ122" i="23"/>
  <c r="DJ319" i="23"/>
  <c r="DK315" i="23" s="1"/>
  <c r="DJ404" i="23"/>
  <c r="DK395" i="23"/>
  <c r="DL362" i="23"/>
  <c r="DM375" i="23"/>
  <c r="DM340" i="23" s="1"/>
  <c r="DM330" i="23"/>
  <c r="DM243" i="23"/>
  <c r="DK365" i="23" l="1"/>
  <c r="DK400" i="23" s="1"/>
  <c r="DK366" i="23" s="1"/>
  <c r="DL385" i="23"/>
  <c r="DJ401" i="23"/>
  <c r="DJ409" i="23" s="1"/>
  <c r="DM102" i="23"/>
  <c r="DM246" i="23"/>
  <c r="DJ123" i="23"/>
  <c r="DM376" i="23"/>
  <c r="DJ410" i="23" l="1"/>
  <c r="DM103" i="23"/>
  <c r="DM104" i="23" s="1"/>
  <c r="DM108" i="23" s="1"/>
  <c r="DM247" i="23"/>
  <c r="DN241" i="23" s="1"/>
  <c r="DM407" i="23"/>
  <c r="DM405" i="23" s="1"/>
  <c r="DM361" i="23"/>
  <c r="DL363" i="23"/>
  <c r="DK308" i="23"/>
  <c r="DK367" i="23"/>
  <c r="DK368" i="23"/>
  <c r="DL390" i="23" l="1"/>
  <c r="DK316" i="23"/>
  <c r="DK309" i="23"/>
  <c r="DN242" i="23"/>
  <c r="DM360" i="23"/>
  <c r="DM408" i="23"/>
  <c r="DN244" i="23" l="1"/>
  <c r="DK317" i="23"/>
  <c r="DK403" i="23"/>
  <c r="DK310" i="23"/>
  <c r="DL307" i="23" s="1"/>
  <c r="DM382" i="23"/>
  <c r="DN101" i="23"/>
  <c r="DN100" i="23" s="1"/>
  <c r="DN338" i="23"/>
  <c r="DN334" i="23" s="1"/>
  <c r="DL364" i="23"/>
  <c r="DL395" i="23" l="1"/>
  <c r="DK318" i="23"/>
  <c r="DK404" i="23" s="1"/>
  <c r="DN374" i="23"/>
  <c r="DN245" i="23"/>
  <c r="DN243" i="23" s="1"/>
  <c r="DM362" i="23"/>
  <c r="DN102" i="23" l="1"/>
  <c r="DN246" i="23"/>
  <c r="DN247" i="23" s="1"/>
  <c r="DO241" i="23" s="1"/>
  <c r="DM385" i="23"/>
  <c r="DN375" i="23"/>
  <c r="DN340" i="23" s="1"/>
  <c r="DN330" i="23"/>
  <c r="DK402" i="23"/>
  <c r="DK401" i="23" s="1"/>
  <c r="DK409" i="23" s="1"/>
  <c r="DK122" i="23"/>
  <c r="DK319" i="23"/>
  <c r="DL315" i="23" s="1"/>
  <c r="DL365" i="23"/>
  <c r="DL400" i="23" s="1"/>
  <c r="DL366" i="23" s="1"/>
  <c r="DL308" i="23" l="1"/>
  <c r="DL316" i="23" s="1"/>
  <c r="DK410" i="23"/>
  <c r="DL367" i="23"/>
  <c r="DL368" i="23"/>
  <c r="DK123" i="23"/>
  <c r="DM363" i="23"/>
  <c r="DO242" i="23"/>
  <c r="DO244" i="23" s="1"/>
  <c r="DN103" i="23"/>
  <c r="DN104" i="23" s="1"/>
  <c r="DN108" i="23" s="1"/>
  <c r="DN376" i="23"/>
  <c r="DN407" i="23"/>
  <c r="DN405" i="23" s="1"/>
  <c r="DL309" i="23" l="1"/>
  <c r="DL317" i="23" s="1"/>
  <c r="DL318" i="23" s="1"/>
  <c r="DO374" i="23"/>
  <c r="DO245" i="23"/>
  <c r="DM390" i="23"/>
  <c r="DN360" i="23"/>
  <c r="DN361" i="23"/>
  <c r="DN408" i="23"/>
  <c r="DO101" i="23"/>
  <c r="DO100" i="23" s="1"/>
  <c r="DO338" i="23"/>
  <c r="DO334" i="23" s="1"/>
  <c r="DL310" i="23" l="1"/>
  <c r="DM307" i="23" s="1"/>
  <c r="DL403" i="23"/>
  <c r="DL402" i="23"/>
  <c r="DL122" i="23"/>
  <c r="DM364" i="23"/>
  <c r="DN382" i="23"/>
  <c r="DL404" i="23"/>
  <c r="DL319" i="23"/>
  <c r="DM315" i="23" s="1"/>
  <c r="DO330" i="23"/>
  <c r="DO375" i="23"/>
  <c r="DO340" i="23" s="1"/>
  <c r="DO243" i="23"/>
  <c r="DM395" i="23" l="1"/>
  <c r="DO102" i="23"/>
  <c r="DO246" i="23"/>
  <c r="DO247" i="23" s="1"/>
  <c r="DP241" i="23" s="1"/>
  <c r="DN362" i="23"/>
  <c r="DL123" i="23"/>
  <c r="DO376" i="23"/>
  <c r="DO361" i="23" s="1"/>
  <c r="DL401" i="23"/>
  <c r="DL410" i="23" s="1"/>
  <c r="DL409" i="23" l="1"/>
  <c r="DP242" i="23"/>
  <c r="DP244" i="23" s="1"/>
  <c r="DO407" i="23"/>
  <c r="DO405" i="23" s="1"/>
  <c r="DN385" i="23"/>
  <c r="DO103" i="23"/>
  <c r="DM365" i="23"/>
  <c r="DM400" i="23" s="1"/>
  <c r="DM366" i="23" s="1"/>
  <c r="DP374" i="23" l="1"/>
  <c r="DP245" i="23"/>
  <c r="DM367" i="23"/>
  <c r="DM368" i="23"/>
  <c r="DO408" i="23"/>
  <c r="DO104" i="23"/>
  <c r="DO108" i="23" s="1"/>
  <c r="DN363" i="23"/>
  <c r="DP101" i="23"/>
  <c r="DP100" i="23" s="1"/>
  <c r="DP338" i="23"/>
  <c r="DP334" i="23" s="1"/>
  <c r="DM308" i="23"/>
  <c r="DN390" i="23" l="1"/>
  <c r="DO360" i="23"/>
  <c r="DM316" i="23"/>
  <c r="DM309" i="23"/>
  <c r="DP375" i="23"/>
  <c r="DP340" i="23" s="1"/>
  <c r="DP330" i="23"/>
  <c r="DP243" i="23"/>
  <c r="DM403" i="23" l="1"/>
  <c r="DM317" i="23"/>
  <c r="DM318" i="23" s="1"/>
  <c r="DM319" i="23" s="1"/>
  <c r="DN315" i="23" s="1"/>
  <c r="DN364" i="23"/>
  <c r="DO382" i="23"/>
  <c r="DP102" i="23"/>
  <c r="DP246" i="23"/>
  <c r="DP247" i="23" s="1"/>
  <c r="DQ241" i="23" s="1"/>
  <c r="DP376" i="23"/>
  <c r="DP361" i="23" s="1"/>
  <c r="DM310" i="23"/>
  <c r="DN307" i="23" s="1"/>
  <c r="DP407" i="23" l="1"/>
  <c r="DP405" i="23" s="1"/>
  <c r="DQ242" i="23"/>
  <c r="DO362" i="23"/>
  <c r="DN395" i="23"/>
  <c r="DP103" i="23"/>
  <c r="DM404" i="23"/>
  <c r="DM402" i="23"/>
  <c r="DM122" i="23"/>
  <c r="DM401" i="23" l="1"/>
  <c r="DM409" i="23" s="1"/>
  <c r="DP408" i="23"/>
  <c r="DN365" i="23"/>
  <c r="DN400" i="23" s="1"/>
  <c r="DN366" i="23" s="1"/>
  <c r="DO385" i="23"/>
  <c r="DQ101" i="23"/>
  <c r="DQ100" i="23" s="1"/>
  <c r="DQ338" i="23"/>
  <c r="DQ334" i="23" s="1"/>
  <c r="DQ244" i="23"/>
  <c r="DM123" i="23"/>
  <c r="DP104" i="23"/>
  <c r="DP108" i="23" s="1"/>
  <c r="DM410" i="23" l="1"/>
  <c r="DN308" i="23"/>
  <c r="DN316" i="23" s="1"/>
  <c r="DO363" i="23"/>
  <c r="DQ374" i="23"/>
  <c r="DQ245" i="23"/>
  <c r="DQ375" i="23" s="1"/>
  <c r="DQ340" i="23" s="1"/>
  <c r="DN367" i="23"/>
  <c r="DN368" i="23"/>
  <c r="DP360" i="23"/>
  <c r="DN309" i="23" l="1"/>
  <c r="DN310" i="23" s="1"/>
  <c r="DO307" i="23" s="1"/>
  <c r="DQ330" i="23"/>
  <c r="DQ376" i="23"/>
  <c r="DQ361" i="23" s="1"/>
  <c r="DQ243" i="23"/>
  <c r="DP382" i="23"/>
  <c r="DO390" i="23"/>
  <c r="DN403" i="23" l="1"/>
  <c r="DN317" i="23"/>
  <c r="DN318" i="23" s="1"/>
  <c r="DN319" i="23" s="1"/>
  <c r="DO315" i="23" s="1"/>
  <c r="DP362" i="23"/>
  <c r="DQ102" i="23"/>
  <c r="DQ246" i="23"/>
  <c r="DQ103" i="23" s="1"/>
  <c r="DQ408" i="23" s="1"/>
  <c r="DO364" i="23"/>
  <c r="DN404" i="23" l="1"/>
  <c r="DN402" i="23"/>
  <c r="DN122" i="23"/>
  <c r="DN123" i="23" s="1"/>
  <c r="DO395" i="23"/>
  <c r="DQ407" i="23"/>
  <c r="DQ405" i="23" s="1"/>
  <c r="DQ104" i="23"/>
  <c r="DQ108" i="23" s="1"/>
  <c r="DP385" i="23"/>
  <c r="DQ247" i="23"/>
  <c r="DR241" i="23" s="1"/>
  <c r="DN401" i="23" l="1"/>
  <c r="DN409" i="23" s="1"/>
  <c r="DR242" i="23"/>
  <c r="DR244" i="23" s="1"/>
  <c r="DP363" i="23"/>
  <c r="DQ360" i="23"/>
  <c r="DO365" i="23"/>
  <c r="DO400" i="23" s="1"/>
  <c r="DO366" i="23" s="1"/>
  <c r="DN410" i="23" l="1"/>
  <c r="DO308" i="23"/>
  <c r="DO316" i="23" s="1"/>
  <c r="DR374" i="23"/>
  <c r="DR245" i="23"/>
  <c r="DP390" i="23"/>
  <c r="DO368" i="23"/>
  <c r="DO367" i="23"/>
  <c r="DQ382" i="23"/>
  <c r="DR101" i="23"/>
  <c r="DR100" i="23" s="1"/>
  <c r="DR338" i="23"/>
  <c r="DR334" i="23" s="1"/>
  <c r="DO309" i="23" l="1"/>
  <c r="DO317" i="23" s="1"/>
  <c r="DO318" i="23" s="1"/>
  <c r="DO319" i="23" s="1"/>
  <c r="DP315" i="23" s="1"/>
  <c r="DR375" i="23"/>
  <c r="DR340" i="23" s="1"/>
  <c r="DQ362" i="23"/>
  <c r="DP364" i="23"/>
  <c r="DR330" i="23"/>
  <c r="DR243" i="23"/>
  <c r="DR376" i="23" l="1"/>
  <c r="DR361" i="23" s="1"/>
  <c r="DO310" i="23"/>
  <c r="DP307" i="23" s="1"/>
  <c r="DO403" i="23"/>
  <c r="DR102" i="23"/>
  <c r="DR246" i="23"/>
  <c r="DR103" i="23" s="1"/>
  <c r="DR408" i="23" s="1"/>
  <c r="DP395" i="23"/>
  <c r="DQ385" i="23"/>
  <c r="DO402" i="23"/>
  <c r="DO122" i="23"/>
  <c r="DO404" i="23"/>
  <c r="DR247" i="23" l="1"/>
  <c r="DS241" i="23" s="1"/>
  <c r="DQ363" i="23"/>
  <c r="DP365" i="23"/>
  <c r="DP400" i="23" s="1"/>
  <c r="DP366" i="23" s="1"/>
  <c r="DO123" i="23"/>
  <c r="DO401" i="23"/>
  <c r="DO409" i="23" s="1"/>
  <c r="DR407" i="23"/>
  <c r="DR405" i="23" s="1"/>
  <c r="DR104" i="23"/>
  <c r="DR108" i="23" s="1"/>
  <c r="DP308" i="23" l="1"/>
  <c r="DP316" i="23" s="1"/>
  <c r="DR360" i="23"/>
  <c r="DP367" i="23"/>
  <c r="DP368" i="23"/>
  <c r="DS242" i="23"/>
  <c r="DO410" i="23"/>
  <c r="DQ390" i="23"/>
  <c r="DP309" i="23" l="1"/>
  <c r="DP403" i="23" s="1"/>
  <c r="DS101" i="23"/>
  <c r="DS100" i="23" s="1"/>
  <c r="DS338" i="23"/>
  <c r="DS334" i="23" s="1"/>
  <c r="DS244" i="23"/>
  <c r="DQ364" i="23"/>
  <c r="DR382" i="23"/>
  <c r="DP310" i="23" l="1"/>
  <c r="DQ307" i="23" s="1"/>
  <c r="DP317" i="23"/>
  <c r="DP318" i="23" s="1"/>
  <c r="DQ395" i="23"/>
  <c r="DR362" i="23"/>
  <c r="DS374" i="23"/>
  <c r="DS245" i="23"/>
  <c r="DS375" i="23" l="1"/>
  <c r="DS340" i="23" s="1"/>
  <c r="DS243" i="23"/>
  <c r="DP402" i="23"/>
  <c r="DP122" i="23"/>
  <c r="DP319" i="23"/>
  <c r="DQ315" i="23" s="1"/>
  <c r="DS330" i="23"/>
  <c r="DR385" i="23"/>
  <c r="DP404" i="23"/>
  <c r="DQ365" i="23"/>
  <c r="DQ400" i="23" s="1"/>
  <c r="DQ366" i="23" s="1"/>
  <c r="DS376" i="23" l="1"/>
  <c r="DS361" i="23" s="1"/>
  <c r="DQ308" i="23"/>
  <c r="DQ309" i="23" s="1"/>
  <c r="DQ367" i="23"/>
  <c r="DQ368" i="23"/>
  <c r="DS102" i="23"/>
  <c r="DS246" i="23"/>
  <c r="DS103" i="23" s="1"/>
  <c r="DS408" i="23" s="1"/>
  <c r="DR363" i="23"/>
  <c r="DP123" i="23"/>
  <c r="DP401" i="23"/>
  <c r="DP410" i="23" s="1"/>
  <c r="DQ316" i="23" l="1"/>
  <c r="DP409" i="23"/>
  <c r="DS247" i="23"/>
  <c r="DT241" i="23" s="1"/>
  <c r="DT242" i="23" s="1"/>
  <c r="DT244" i="23" s="1"/>
  <c r="DQ317" i="23"/>
  <c r="DQ403" i="23"/>
  <c r="DR390" i="23"/>
  <c r="DQ310" i="23"/>
  <c r="DR307" i="23" s="1"/>
  <c r="DS407" i="23"/>
  <c r="DS405" i="23" s="1"/>
  <c r="DS104" i="23"/>
  <c r="DS108" i="23" s="1"/>
  <c r="DS360" i="23" l="1"/>
  <c r="DT374" i="23"/>
  <c r="DT245" i="23"/>
  <c r="DR364" i="23"/>
  <c r="DT101" i="23"/>
  <c r="DT100" i="23" s="1"/>
  <c r="DT338" i="23"/>
  <c r="DT334" i="23" s="1"/>
  <c r="DQ318" i="23"/>
  <c r="DQ319" i="23" s="1"/>
  <c r="DR315" i="23" s="1"/>
  <c r="DT375" i="23" l="1"/>
  <c r="DT340" i="23" s="1"/>
  <c r="DT330" i="23"/>
  <c r="DR395" i="23"/>
  <c r="DT243" i="23"/>
  <c r="DS382" i="23"/>
  <c r="DQ402" i="23"/>
  <c r="DQ122" i="23"/>
  <c r="DQ404" i="23"/>
  <c r="DT376" i="23" l="1"/>
  <c r="DT361" i="23" s="1"/>
  <c r="DS362" i="23"/>
  <c r="DR365" i="23"/>
  <c r="DR400" i="23" s="1"/>
  <c r="DR366" i="23" s="1"/>
  <c r="DT102" i="23"/>
  <c r="DT246" i="23"/>
  <c r="DT103" i="23" s="1"/>
  <c r="DT408" i="23" s="1"/>
  <c r="DQ123" i="23"/>
  <c r="DQ401" i="23"/>
  <c r="DQ409" i="23" s="1"/>
  <c r="DT247" i="23" l="1"/>
  <c r="DU241" i="23" s="1"/>
  <c r="DU242" i="23" s="1"/>
  <c r="DU244" i="23" s="1"/>
  <c r="DQ410" i="23"/>
  <c r="DR367" i="23"/>
  <c r="DR368" i="23"/>
  <c r="DT407" i="23"/>
  <c r="DT405" i="23" s="1"/>
  <c r="DT104" i="23"/>
  <c r="DT108" i="23" s="1"/>
  <c r="DR308" i="23"/>
  <c r="DS385" i="23"/>
  <c r="DU374" i="23" l="1"/>
  <c r="DU245" i="23"/>
  <c r="DS363" i="23"/>
  <c r="DR316" i="23"/>
  <c r="DR309" i="23"/>
  <c r="DR310" i="23" s="1"/>
  <c r="DS307" i="23" s="1"/>
  <c r="DT360" i="23"/>
  <c r="DU101" i="23"/>
  <c r="DU100" i="23" s="1"/>
  <c r="DU338" i="23"/>
  <c r="DU334" i="23" s="1"/>
  <c r="DU375" i="23" l="1"/>
  <c r="DU340" i="23" s="1"/>
  <c r="DT382" i="23"/>
  <c r="DR403" i="23"/>
  <c r="DR317" i="23"/>
  <c r="DS390" i="23"/>
  <c r="DU330" i="23"/>
  <c r="DU243" i="23"/>
  <c r="DU376" i="23" l="1"/>
  <c r="DU361" i="23" s="1"/>
  <c r="DU102" i="23"/>
  <c r="DU246" i="23"/>
  <c r="DU103" i="23" s="1"/>
  <c r="DU408" i="23" s="1"/>
  <c r="DR318" i="23"/>
  <c r="DS364" i="23"/>
  <c r="DT362" i="23"/>
  <c r="DR402" i="23" l="1"/>
  <c r="DR122" i="23"/>
  <c r="DT385" i="23"/>
  <c r="DS395" i="23"/>
  <c r="DR319" i="23"/>
  <c r="DS315" i="23" s="1"/>
  <c r="DU247" i="23"/>
  <c r="DV241" i="23" s="1"/>
  <c r="DU407" i="23"/>
  <c r="DU405" i="23" s="1"/>
  <c r="DU104" i="23"/>
  <c r="DU108" i="23"/>
  <c r="DR404" i="23"/>
  <c r="DV242" i="23" l="1"/>
  <c r="DV244" i="23" s="1"/>
  <c r="DU360" i="23"/>
  <c r="DS365" i="23"/>
  <c r="DS400" i="23" s="1"/>
  <c r="DS366" i="23" s="1"/>
  <c r="DT363" i="23"/>
  <c r="DR123" i="23"/>
  <c r="DR401" i="23"/>
  <c r="DR410" i="23" s="1"/>
  <c r="DS368" i="23" l="1"/>
  <c r="DS367" i="23"/>
  <c r="DV374" i="23"/>
  <c r="DV245" i="23"/>
  <c r="DU382" i="23"/>
  <c r="DV101" i="23"/>
  <c r="DV100" i="23" s="1"/>
  <c r="DV338" i="23"/>
  <c r="DV334" i="23" s="1"/>
  <c r="DT390" i="23"/>
  <c r="DS308" i="23"/>
  <c r="DR409" i="23"/>
  <c r="DV375" i="23" l="1"/>
  <c r="DV340" i="23" s="1"/>
  <c r="DU362" i="23"/>
  <c r="DS316" i="23"/>
  <c r="DS309" i="23"/>
  <c r="DV330" i="23"/>
  <c r="DV243" i="23"/>
  <c r="DT364" i="23"/>
  <c r="DV376" i="23" l="1"/>
  <c r="DV361" i="23" s="1"/>
  <c r="DV102" i="23"/>
  <c r="DV246" i="23"/>
  <c r="DV103" i="23" s="1"/>
  <c r="DV408" i="23" s="1"/>
  <c r="DT395" i="23"/>
  <c r="DS317" i="23"/>
  <c r="DS318" i="23" s="1"/>
  <c r="DS319" i="23" s="1"/>
  <c r="DT315" i="23" s="1"/>
  <c r="DS403" i="23"/>
  <c r="DS310" i="23"/>
  <c r="DT307" i="23" s="1"/>
  <c r="DU385" i="23"/>
  <c r="DT365" i="23" l="1"/>
  <c r="DT400" i="23" s="1"/>
  <c r="DT366" i="23" s="1"/>
  <c r="DS402" i="23"/>
  <c r="DS122" i="23"/>
  <c r="DS404" i="23"/>
  <c r="DU363" i="23"/>
  <c r="DV247" i="23"/>
  <c r="DW241" i="23" s="1"/>
  <c r="DV407" i="23"/>
  <c r="DV405" i="23" s="1"/>
  <c r="DV104" i="23"/>
  <c r="DV108" i="23" s="1"/>
  <c r="DT308" i="23" l="1"/>
  <c r="DV360" i="23"/>
  <c r="DW242" i="23"/>
  <c r="DU390" i="23"/>
  <c r="DS401" i="23"/>
  <c r="DS410" i="23" s="1"/>
  <c r="DS123" i="23"/>
  <c r="DT367" i="23"/>
  <c r="DT368" i="23"/>
  <c r="DS409" i="23" l="1"/>
  <c r="DT316" i="23"/>
  <c r="DT309" i="23"/>
  <c r="DU364" i="23"/>
  <c r="DW244" i="23"/>
  <c r="DV382" i="23"/>
  <c r="DW101" i="23"/>
  <c r="DW100" i="23" s="1"/>
  <c r="DW338" i="23"/>
  <c r="DW334" i="23" s="1"/>
  <c r="DT310" i="23" l="1"/>
  <c r="DU307" i="23" s="1"/>
  <c r="DT317" i="23"/>
  <c r="DT318" i="23" s="1"/>
  <c r="DT402" i="23" s="1"/>
  <c r="DT403" i="23"/>
  <c r="DV362" i="23"/>
  <c r="DW374" i="23"/>
  <c r="DW245" i="23"/>
  <c r="DU395" i="23"/>
  <c r="DW375" i="23" l="1"/>
  <c r="DW340" i="23" s="1"/>
  <c r="DT404" i="23"/>
  <c r="DT319" i="23"/>
  <c r="DU315" i="23" s="1"/>
  <c r="DT122" i="23"/>
  <c r="DT123" i="23" s="1"/>
  <c r="DU365" i="23"/>
  <c r="DU400" i="23" s="1"/>
  <c r="DU366" i="23" s="1"/>
  <c r="DW330" i="23"/>
  <c r="DV385" i="23"/>
  <c r="DW243" i="23"/>
  <c r="DT401" i="23"/>
  <c r="DT409" i="23" s="1"/>
  <c r="DW376" i="23" l="1"/>
  <c r="DW361" i="23" s="1"/>
  <c r="DT410" i="23"/>
  <c r="DW102" i="23"/>
  <c r="DW246" i="23"/>
  <c r="DW103" i="23" s="1"/>
  <c r="DW408" i="23" s="1"/>
  <c r="DU308" i="23"/>
  <c r="DV363" i="23"/>
  <c r="DU367" i="23"/>
  <c r="DU368" i="23"/>
  <c r="DV390" i="23" l="1"/>
  <c r="DU316" i="23"/>
  <c r="DU309" i="23"/>
  <c r="DW247" i="23"/>
  <c r="DX241" i="23" s="1"/>
  <c r="DW407" i="23"/>
  <c r="DW405" i="23" s="1"/>
  <c r="DW104" i="23"/>
  <c r="DW108" i="23" s="1"/>
  <c r="DU403" i="23" l="1"/>
  <c r="DU317" i="23"/>
  <c r="DU318" i="23" s="1"/>
  <c r="DW360" i="23"/>
  <c r="DX242" i="23"/>
  <c r="DU310" i="23"/>
  <c r="DV307" i="23" s="1"/>
  <c r="DV364" i="23"/>
  <c r="DV395" i="23" l="1"/>
  <c r="DU402" i="23"/>
  <c r="DU122" i="23"/>
  <c r="DU319" i="23"/>
  <c r="DV315" i="23" s="1"/>
  <c r="DX244" i="23"/>
  <c r="DX101" i="23"/>
  <c r="DX338" i="23"/>
  <c r="DX334" i="23" s="1"/>
  <c r="DW382" i="23"/>
  <c r="DU404" i="23"/>
  <c r="DU401" i="23" l="1"/>
  <c r="DU409" i="23" s="1"/>
  <c r="DX374" i="23"/>
  <c r="DX245" i="23"/>
  <c r="DV365" i="23"/>
  <c r="DV400" i="23" s="1"/>
  <c r="DV366" i="23" s="1"/>
  <c r="DX100" i="23"/>
  <c r="DU123" i="23"/>
  <c r="DW362" i="23"/>
  <c r="DU410" i="23" l="1"/>
  <c r="DV308" i="23"/>
  <c r="DV316" i="23" s="1"/>
  <c r="DV368" i="23"/>
  <c r="DV367" i="23"/>
  <c r="DX330" i="23"/>
  <c r="DX375" i="23"/>
  <c r="DX340" i="23" s="1"/>
  <c r="DW385" i="23"/>
  <c r="DX243" i="23"/>
  <c r="DV309" i="23" l="1"/>
  <c r="DV310" i="23" s="1"/>
  <c r="DW307" i="23" s="1"/>
  <c r="DX376" i="23"/>
  <c r="DX361" i="23" s="1"/>
  <c r="DX102" i="23"/>
  <c r="DX246" i="23"/>
  <c r="DX247" i="23" s="1"/>
  <c r="DY241" i="23" s="1"/>
  <c r="DW363" i="23"/>
  <c r="DV403" i="23" l="1"/>
  <c r="DV317" i="23"/>
  <c r="DV318" i="23" s="1"/>
  <c r="DV319" i="23" s="1"/>
  <c r="DW315" i="23" s="1"/>
  <c r="DY242" i="23"/>
  <c r="DX103" i="23"/>
  <c r="DX104" i="23" s="1"/>
  <c r="DX108" i="23" s="1"/>
  <c r="DX407" i="23"/>
  <c r="DX405" i="23" s="1"/>
  <c r="DW390" i="23"/>
  <c r="DV404" i="23" l="1"/>
  <c r="DV122" i="23"/>
  <c r="DV123" i="23" s="1"/>
  <c r="DV402" i="23"/>
  <c r="DW364" i="23"/>
  <c r="DX360" i="23"/>
  <c r="DY101" i="23"/>
  <c r="DY100" i="23" s="1"/>
  <c r="DY338" i="23"/>
  <c r="DY334" i="23" s="1"/>
  <c r="DX408" i="23"/>
  <c r="DY244" i="23"/>
  <c r="DV401" i="23" l="1"/>
  <c r="DV409" i="23" s="1"/>
  <c r="DX382" i="23"/>
  <c r="DY374" i="23"/>
  <c r="DY245" i="23"/>
  <c r="DW395" i="23"/>
  <c r="DV410" i="23" l="1"/>
  <c r="DY375" i="23"/>
  <c r="DY340" i="23" s="1"/>
  <c r="DY243" i="23"/>
  <c r="DX362" i="23"/>
  <c r="DY330" i="23"/>
  <c r="DW365" i="23"/>
  <c r="DW400" i="23" s="1"/>
  <c r="DW366" i="23" s="1"/>
  <c r="DY376" i="23" l="1"/>
  <c r="DY361" i="23" s="1"/>
  <c r="DW308" i="23"/>
  <c r="DY102" i="23"/>
  <c r="DY246" i="23"/>
  <c r="DY247" i="23" s="1"/>
  <c r="DZ241" i="23" s="1"/>
  <c r="DW368" i="23"/>
  <c r="DW367" i="23"/>
  <c r="DX385" i="23"/>
  <c r="DX363" i="23" l="1"/>
  <c r="DY103" i="23"/>
  <c r="DZ242" i="23"/>
  <c r="DZ244" i="23" s="1"/>
  <c r="DY407" i="23"/>
  <c r="DY405" i="23" s="1"/>
  <c r="DY104" i="23"/>
  <c r="DY108" i="23" s="1"/>
  <c r="DW316" i="23"/>
  <c r="DW309" i="23"/>
  <c r="DZ374" i="23" l="1"/>
  <c r="DZ245" i="23"/>
  <c r="DW317" i="23"/>
  <c r="DW318" i="23" s="1"/>
  <c r="DW319" i="23" s="1"/>
  <c r="DX315" i="23" s="1"/>
  <c r="DW403" i="23"/>
  <c r="DY360" i="23"/>
  <c r="DZ101" i="23"/>
  <c r="DZ100" i="23" s="1"/>
  <c r="DZ338" i="23"/>
  <c r="DZ334" i="23" s="1"/>
  <c r="DY408" i="23"/>
  <c r="DW310" i="23"/>
  <c r="DX307" i="23" s="1"/>
  <c r="DX390" i="23"/>
  <c r="DX364" i="23" l="1"/>
  <c r="DW402" i="23"/>
  <c r="DW122" i="23"/>
  <c r="DY382" i="23"/>
  <c r="DZ375" i="23"/>
  <c r="DZ340" i="23" s="1"/>
  <c r="DW404" i="23"/>
  <c r="DZ330" i="23"/>
  <c r="DZ243" i="23"/>
  <c r="DW401" i="23" l="1"/>
  <c r="DW409" i="23" s="1"/>
  <c r="DZ376" i="23"/>
  <c r="DZ361" i="23" s="1"/>
  <c r="DY362" i="23"/>
  <c r="DZ102" i="23"/>
  <c r="DZ246" i="23"/>
  <c r="DZ247" i="23" s="1"/>
  <c r="EA241" i="23" s="1"/>
  <c r="DW123" i="23"/>
  <c r="DX395" i="23"/>
  <c r="DW410" i="23" l="1"/>
  <c r="DX365" i="23"/>
  <c r="DX400" i="23" s="1"/>
  <c r="DX366" i="23" s="1"/>
  <c r="DY385" i="23"/>
  <c r="EA242" i="23"/>
  <c r="DZ103" i="23"/>
  <c r="DZ407" i="23"/>
  <c r="DZ405" i="23" s="1"/>
  <c r="DX308" i="23" l="1"/>
  <c r="DX316" i="23" s="1"/>
  <c r="EA244" i="23"/>
  <c r="DZ408" i="23"/>
  <c r="EA101" i="23"/>
  <c r="EA100" i="23" s="1"/>
  <c r="EA338" i="23"/>
  <c r="EA334" i="23" s="1"/>
  <c r="DY363" i="23"/>
  <c r="DZ104" i="23"/>
  <c r="DZ108" i="23" s="1"/>
  <c r="DX368" i="23"/>
  <c r="DX367" i="23"/>
  <c r="DX309" i="23" l="1"/>
  <c r="DX310" i="23" s="1"/>
  <c r="DY307" i="23" s="1"/>
  <c r="DY390" i="23"/>
  <c r="EA374" i="23"/>
  <c r="EA245" i="23"/>
  <c r="DZ360" i="23"/>
  <c r="DX403" i="23" l="1"/>
  <c r="DX317" i="23"/>
  <c r="DX318" i="23" s="1"/>
  <c r="DX402" i="23" s="1"/>
  <c r="EA375" i="23"/>
  <c r="EA340" i="23" s="1"/>
  <c r="EA243" i="23"/>
  <c r="EA330" i="23"/>
  <c r="DY364" i="23"/>
  <c r="DZ382" i="23"/>
  <c r="DX122" i="23" l="1"/>
  <c r="DX123" i="23" s="1"/>
  <c r="DX319" i="23"/>
  <c r="DY315" i="23" s="1"/>
  <c r="DX404" i="23"/>
  <c r="DX401" i="23" s="1"/>
  <c r="EA376" i="23"/>
  <c r="EA361" i="23" s="1"/>
  <c r="EA102" i="23"/>
  <c r="EA246" i="23"/>
  <c r="EA247" i="23" s="1"/>
  <c r="EB241" i="23" s="1"/>
  <c r="DY395" i="23"/>
  <c r="DZ362" i="23"/>
  <c r="DX410" i="23" l="1"/>
  <c r="DX409" i="23"/>
  <c r="EB242" i="23"/>
  <c r="DZ385" i="23"/>
  <c r="DY365" i="23"/>
  <c r="DY400" i="23" s="1"/>
  <c r="DY366" i="23" s="1"/>
  <c r="EA103" i="23"/>
  <c r="EA407" i="23"/>
  <c r="EA405" i="23" s="1"/>
  <c r="EA408" i="23" l="1"/>
  <c r="DZ363" i="23"/>
  <c r="DY308" i="23"/>
  <c r="EB101" i="23"/>
  <c r="EB100" i="23" s="1"/>
  <c r="EB338" i="23"/>
  <c r="EB334" i="23" s="1"/>
  <c r="DY367" i="23"/>
  <c r="DY368" i="23"/>
  <c r="EB244" i="23"/>
  <c r="EA104" i="23"/>
  <c r="EA108" i="23" s="1"/>
  <c r="EB374" i="23" l="1"/>
  <c r="EB245" i="23"/>
  <c r="EA360" i="23"/>
  <c r="DY316" i="23"/>
  <c r="DY309" i="23"/>
  <c r="DZ390" i="23"/>
  <c r="EA382" i="23" l="1"/>
  <c r="EB330" i="23"/>
  <c r="DZ364" i="23"/>
  <c r="DY403" i="23"/>
  <c r="DY317" i="23"/>
  <c r="DY310" i="23"/>
  <c r="DZ307" i="23" s="1"/>
  <c r="EB375" i="23"/>
  <c r="EB340" i="23" s="1"/>
  <c r="EB243" i="23"/>
  <c r="EB376" i="23" l="1"/>
  <c r="EB361" i="23" s="1"/>
  <c r="DZ395" i="23"/>
  <c r="EB102" i="23"/>
  <c r="EB246" i="23"/>
  <c r="EB247" i="23" s="1"/>
  <c r="EC241" i="23" s="1"/>
  <c r="EA362" i="23"/>
  <c r="DY318" i="23"/>
  <c r="DY402" i="23" l="1"/>
  <c r="DY122" i="23"/>
  <c r="DY319" i="23"/>
  <c r="DZ315" i="23" s="1"/>
  <c r="EA385" i="23"/>
  <c r="DY404" i="23"/>
  <c r="EC242" i="23"/>
  <c r="EB103" i="23"/>
  <c r="EB407" i="23"/>
  <c r="EB405" i="23" s="1"/>
  <c r="DZ365" i="23"/>
  <c r="DZ400" i="23" s="1"/>
  <c r="DZ366" i="23" s="1"/>
  <c r="DZ308" i="23" l="1"/>
  <c r="DZ316" i="23" s="1"/>
  <c r="EB408" i="23"/>
  <c r="EC101" i="23"/>
  <c r="EC100" i="23" s="1"/>
  <c r="EC338" i="23"/>
  <c r="EC334" i="23" s="1"/>
  <c r="EB104" i="23"/>
  <c r="EB108" i="23" s="1"/>
  <c r="DY123" i="23"/>
  <c r="EC244" i="23"/>
  <c r="EA363" i="23"/>
  <c r="DZ367" i="23"/>
  <c r="DZ368" i="23"/>
  <c r="DY401" i="23"/>
  <c r="DY409" i="23" s="1"/>
  <c r="DZ309" i="23" l="1"/>
  <c r="DZ310" i="23" s="1"/>
  <c r="EA307" i="23" s="1"/>
  <c r="DY410" i="23"/>
  <c r="EC374" i="23"/>
  <c r="EC245" i="23"/>
  <c r="EB360" i="23"/>
  <c r="EA390" i="23"/>
  <c r="EC375" i="23" l="1"/>
  <c r="EC340" i="23" s="1"/>
  <c r="DZ403" i="23"/>
  <c r="DZ317" i="23"/>
  <c r="DZ318" i="23" s="1"/>
  <c r="EC243" i="23"/>
  <c r="EA364" i="23"/>
  <c r="EC330" i="23"/>
  <c r="EB382" i="23"/>
  <c r="EC376" i="23" l="1"/>
  <c r="EC361" i="23" s="1"/>
  <c r="EB362" i="23"/>
  <c r="DZ402" i="23"/>
  <c r="DZ122" i="23"/>
  <c r="DZ319" i="23"/>
  <c r="EA315" i="23" s="1"/>
  <c r="DZ404" i="23"/>
  <c r="EA395" i="23"/>
  <c r="EC102" i="23"/>
  <c r="EC246" i="23"/>
  <c r="EC103" i="23" s="1"/>
  <c r="EC408" i="23" s="1"/>
  <c r="EC247" i="23" l="1"/>
  <c r="ED241" i="23" s="1"/>
  <c r="ED242" i="23" s="1"/>
  <c r="ED244" i="23" s="1"/>
  <c r="EA365" i="23"/>
  <c r="EA400" i="23" s="1"/>
  <c r="EA366" i="23" s="1"/>
  <c r="EC407" i="23"/>
  <c r="EC405" i="23" s="1"/>
  <c r="EC104" i="23"/>
  <c r="EC108" i="23" s="1"/>
  <c r="DZ123" i="23"/>
  <c r="DZ401" i="23"/>
  <c r="DZ409" i="23" s="1"/>
  <c r="EB385" i="23"/>
  <c r="EA308" i="23" l="1"/>
  <c r="EA309" i="23" s="1"/>
  <c r="DZ410" i="23"/>
  <c r="ED374" i="23"/>
  <c r="ED245" i="23"/>
  <c r="EC360" i="23"/>
  <c r="EA367" i="23"/>
  <c r="EA368" i="23"/>
  <c r="EB363" i="23"/>
  <c r="ED101" i="23"/>
  <c r="ED100" i="23" s="1"/>
  <c r="ED338" i="23"/>
  <c r="ED334" i="23" s="1"/>
  <c r="ED375" i="23" l="1"/>
  <c r="ED340" i="23" s="1"/>
  <c r="EA316" i="23"/>
  <c r="EA317" i="23"/>
  <c r="EA403" i="23"/>
  <c r="EC382" i="23"/>
  <c r="ED330" i="23"/>
  <c r="EB390" i="23"/>
  <c r="EA310" i="23"/>
  <c r="EB307" i="23" s="1"/>
  <c r="ED243" i="23"/>
  <c r="ED376" i="23" l="1"/>
  <c r="ED361" i="23" s="1"/>
  <c r="EA318" i="23"/>
  <c r="EA402" i="23" s="1"/>
  <c r="ED102" i="23"/>
  <c r="ED246" i="23"/>
  <c r="ED103" i="23" s="1"/>
  <c r="ED408" i="23" s="1"/>
  <c r="EB364" i="23"/>
  <c r="EC362" i="23"/>
  <c r="EA404" i="23" l="1"/>
  <c r="EA401" i="23" s="1"/>
  <c r="EA319" i="23"/>
  <c r="EB315" i="23" s="1"/>
  <c r="EA122" i="23"/>
  <c r="EA123" i="23" s="1"/>
  <c r="EC385" i="23"/>
  <c r="ED247" i="23"/>
  <c r="EE241" i="23" s="1"/>
  <c r="ED407" i="23"/>
  <c r="ED405" i="23" s="1"/>
  <c r="ED104" i="23"/>
  <c r="ED108" i="23" s="1"/>
  <c r="EB395" i="23"/>
  <c r="EA409" i="23" l="1"/>
  <c r="EA410" i="23"/>
  <c r="EB365" i="23"/>
  <c r="EB400" i="23" s="1"/>
  <c r="EB366" i="23" s="1"/>
  <c r="ED360" i="23"/>
  <c r="EE242" i="23"/>
  <c r="EC363" i="23"/>
  <c r="EB308" i="23" l="1"/>
  <c r="EB316" i="23" s="1"/>
  <c r="EC390" i="23"/>
  <c r="EE244" i="23"/>
  <c r="EE101" i="23"/>
  <c r="EE100" i="23" s="1"/>
  <c r="EE338" i="23"/>
  <c r="EE334" i="23" s="1"/>
  <c r="ED382" i="23"/>
  <c r="EB368" i="23"/>
  <c r="EB367" i="23"/>
  <c r="EB309" i="23" l="1"/>
  <c r="EB310" i="23" s="1"/>
  <c r="EC307" i="23" s="1"/>
  <c r="EE374" i="23"/>
  <c r="EE245" i="23"/>
  <c r="ED362" i="23"/>
  <c r="EC364" i="23"/>
  <c r="EB317" i="23" l="1"/>
  <c r="EB318" i="23" s="1"/>
  <c r="EB319" i="23" s="1"/>
  <c r="EC315" i="23" s="1"/>
  <c r="EB403" i="23"/>
  <c r="EE375" i="23"/>
  <c r="EE340" i="23" s="1"/>
  <c r="EC395" i="23"/>
  <c r="ED385" i="23"/>
  <c r="EE330" i="23"/>
  <c r="EE243" i="23"/>
  <c r="EE376" i="23" l="1"/>
  <c r="EE361" i="23" s="1"/>
  <c r="EE102" i="23"/>
  <c r="EE246" i="23"/>
  <c r="EE103" i="23" s="1"/>
  <c r="EE408" i="23" s="1"/>
  <c r="EB402" i="23"/>
  <c r="EB122" i="23"/>
  <c r="ED363" i="23"/>
  <c r="EC365" i="23"/>
  <c r="EC400" i="23" s="1"/>
  <c r="EC366" i="23" s="1"/>
  <c r="EB404" i="23"/>
  <c r="EB401" i="23" l="1"/>
  <c r="EB409" i="23" s="1"/>
  <c r="EC308" i="23"/>
  <c r="EC367" i="23"/>
  <c r="EC368" i="23"/>
  <c r="ED390" i="23"/>
  <c r="EB123" i="23"/>
  <c r="EE247" i="23"/>
  <c r="EF241" i="23" s="1"/>
  <c r="EE407" i="23"/>
  <c r="EE405" i="23" s="1"/>
  <c r="EE104" i="23"/>
  <c r="EE108" i="23" s="1"/>
  <c r="EB410" i="23" l="1"/>
  <c r="EE360" i="23"/>
  <c r="EF242" i="23"/>
  <c r="ED364" i="23"/>
  <c r="EC316" i="23"/>
  <c r="EC309" i="23"/>
  <c r="EC310" i="23" s="1"/>
  <c r="ED307" i="23" s="1"/>
  <c r="EF101" i="23" l="1"/>
  <c r="EF100" i="23" s="1"/>
  <c r="EF338" i="23"/>
  <c r="EF334" i="23" s="1"/>
  <c r="EF244" i="23"/>
  <c r="EC317" i="23"/>
  <c r="EC403" i="23"/>
  <c r="ED395" i="23"/>
  <c r="EE382" i="23"/>
  <c r="ED365" i="23" l="1"/>
  <c r="ED400" i="23" s="1"/>
  <c r="ED366" i="23" s="1"/>
  <c r="EF374" i="23"/>
  <c r="EF245" i="23"/>
  <c r="EE362" i="23"/>
  <c r="EC318" i="23"/>
  <c r="EF375" i="23" l="1"/>
  <c r="EF340" i="23" s="1"/>
  <c r="EF330" i="23"/>
  <c r="EC402" i="23"/>
  <c r="EC122" i="23"/>
  <c r="EE385" i="23"/>
  <c r="EC404" i="23"/>
  <c r="ED367" i="23"/>
  <c r="ED368" i="23"/>
  <c r="EF243" i="23"/>
  <c r="ED308" i="23"/>
  <c r="EC319" i="23"/>
  <c r="ED315" i="23" s="1"/>
  <c r="EF376" i="23" l="1"/>
  <c r="EF361" i="23" s="1"/>
  <c r="EF102" i="23"/>
  <c r="EF246" i="23"/>
  <c r="EF103" i="23" s="1"/>
  <c r="EF408" i="23" s="1"/>
  <c r="EE363" i="23"/>
  <c r="EC401" i="23"/>
  <c r="EC409" i="23"/>
  <c r="EC410" i="23"/>
  <c r="EC123" i="23"/>
  <c r="ED316" i="23"/>
  <c r="ED309" i="23"/>
  <c r="EF247" i="23" l="1"/>
  <c r="EG241" i="23" s="1"/>
  <c r="EE390" i="23"/>
  <c r="ED317" i="23"/>
  <c r="ED403" i="23"/>
  <c r="ED310" i="23"/>
  <c r="EE307" i="23" s="1"/>
  <c r="EF407" i="23"/>
  <c r="EF405" i="23" s="1"/>
  <c r="EF104" i="23"/>
  <c r="EF108" i="23" s="1"/>
  <c r="ED318" i="23" l="1"/>
  <c r="ED319" i="23" s="1"/>
  <c r="EE315" i="23" s="1"/>
  <c r="EE364" i="23"/>
  <c r="EF360" i="23"/>
  <c r="EG242" i="23"/>
  <c r="EG244" i="23" s="1"/>
  <c r="EG374" i="23" l="1"/>
  <c r="EG245" i="23"/>
  <c r="EG101" i="23"/>
  <c r="EG100" i="23" s="1"/>
  <c r="EG338" i="23"/>
  <c r="EG334" i="23" s="1"/>
  <c r="EF382" i="23"/>
  <c r="EE395" i="23"/>
  <c r="ED402" i="23"/>
  <c r="ED122" i="23"/>
  <c r="ED404" i="23"/>
  <c r="EG375" i="23" l="1"/>
  <c r="EG340" i="23" s="1"/>
  <c r="ED401" i="23"/>
  <c r="ED410" i="23" s="1"/>
  <c r="EG330" i="23"/>
  <c r="EF362" i="23"/>
  <c r="ED123" i="23"/>
  <c r="EE365" i="23"/>
  <c r="EE400" i="23" s="1"/>
  <c r="EE366" i="23" s="1"/>
  <c r="EG243" i="23"/>
  <c r="EG376" i="23" l="1"/>
  <c r="EG361" i="23" s="1"/>
  <c r="ED409" i="23"/>
  <c r="EE368" i="23"/>
  <c r="EE367" i="23"/>
  <c r="EF385" i="23"/>
  <c r="EG102" i="23"/>
  <c r="EG246" i="23"/>
  <c r="EG103" i="23" s="1"/>
  <c r="EG408" i="23" s="1"/>
  <c r="EE308" i="23"/>
  <c r="EE316" i="23" l="1"/>
  <c r="EE309" i="23"/>
  <c r="EG247" i="23"/>
  <c r="EH241" i="23" s="1"/>
  <c r="EG407" i="23"/>
  <c r="EG405" i="23" s="1"/>
  <c r="EG104" i="23"/>
  <c r="EG108" i="23" s="1"/>
  <c r="EF363" i="23"/>
  <c r="EF390" i="23" l="1"/>
  <c r="EG360" i="23"/>
  <c r="EH242" i="23"/>
  <c r="EE403" i="23"/>
  <c r="EE317" i="23"/>
  <c r="EE310" i="23"/>
  <c r="EF307" i="23" s="1"/>
  <c r="EH244" i="23" l="1"/>
  <c r="EH101" i="23"/>
  <c r="EH100" i="23" s="1"/>
  <c r="EH338" i="23"/>
  <c r="EH334" i="23" s="1"/>
  <c r="EG382" i="23"/>
  <c r="EE318" i="23"/>
  <c r="EE404" i="23" s="1"/>
  <c r="EF364" i="23"/>
  <c r="EE319" i="23" l="1"/>
  <c r="EF315" i="23" s="1"/>
  <c r="EH374" i="23"/>
  <c r="EH245" i="23"/>
  <c r="EG362" i="23"/>
  <c r="EF395" i="23"/>
  <c r="EE402" i="23"/>
  <c r="EE401" i="23" s="1"/>
  <c r="EE410" i="23" s="1"/>
  <c r="EE122" i="23"/>
  <c r="EH375" i="23" l="1"/>
  <c r="EH340" i="23" s="1"/>
  <c r="EE409" i="23"/>
  <c r="EE123" i="23"/>
  <c r="EF365" i="23"/>
  <c r="EF400" i="23" s="1"/>
  <c r="EF366" i="23" s="1"/>
  <c r="EG385" i="23"/>
  <c r="EH330" i="23"/>
  <c r="EH243" i="23"/>
  <c r="EH376" i="23" l="1"/>
  <c r="EH361" i="23" s="1"/>
  <c r="EF308" i="23"/>
  <c r="EF316" i="23" s="1"/>
  <c r="EH102" i="23"/>
  <c r="EH246" i="23"/>
  <c r="EH103" i="23" s="1"/>
  <c r="EH408" i="23" s="1"/>
  <c r="EG363" i="23"/>
  <c r="EF368" i="23"/>
  <c r="EF367" i="23"/>
  <c r="EH247" i="23" l="1"/>
  <c r="EI241" i="23" s="1"/>
  <c r="EI242" i="23" s="1"/>
  <c r="EF309" i="23"/>
  <c r="EF310" i="23" s="1"/>
  <c r="EG307" i="23" s="1"/>
  <c r="EG390" i="23"/>
  <c r="EH407" i="23"/>
  <c r="EH405" i="23" s="1"/>
  <c r="EH104" i="23"/>
  <c r="EH108" i="23" s="1"/>
  <c r="EF403" i="23" l="1"/>
  <c r="EF317" i="23"/>
  <c r="EI244" i="23"/>
  <c r="EG364" i="23"/>
  <c r="EI101" i="23"/>
  <c r="EI100" i="23" s="1"/>
  <c r="EI338" i="23"/>
  <c r="EI334" i="23" s="1"/>
  <c r="E242" i="23"/>
  <c r="F242" i="23"/>
  <c r="F338" i="23" s="1"/>
  <c r="F334" i="23" s="1"/>
  <c r="G242" i="23"/>
  <c r="G338" i="23" s="1"/>
  <c r="G334" i="23" s="1"/>
  <c r="H242" i="23"/>
  <c r="H338" i="23" s="1"/>
  <c r="H334" i="23" s="1"/>
  <c r="I242" i="23"/>
  <c r="I338" i="23" s="1"/>
  <c r="I334" i="23" s="1"/>
  <c r="J242" i="23"/>
  <c r="J338" i="23" s="1"/>
  <c r="J334" i="23" s="1"/>
  <c r="K242" i="23"/>
  <c r="K338" i="23" s="1"/>
  <c r="K334" i="23" s="1"/>
  <c r="L242" i="23"/>
  <c r="L338" i="23" s="1"/>
  <c r="L334" i="23" s="1"/>
  <c r="M242" i="23"/>
  <c r="M338" i="23" s="1"/>
  <c r="M334" i="23" s="1"/>
  <c r="N242" i="23"/>
  <c r="N338" i="23" s="1"/>
  <c r="N334" i="23" s="1"/>
  <c r="EH360" i="23"/>
  <c r="EF318" i="23" l="1"/>
  <c r="E100" i="23"/>
  <c r="F100" i="23"/>
  <c r="G100" i="23"/>
  <c r="H100" i="23"/>
  <c r="I100" i="23"/>
  <c r="J100" i="23"/>
  <c r="K100" i="23"/>
  <c r="L100" i="23"/>
  <c r="M100" i="23"/>
  <c r="N100" i="23"/>
  <c r="EG395" i="23"/>
  <c r="E338" i="23"/>
  <c r="O242" i="23"/>
  <c r="EH382" i="23"/>
  <c r="EI374" i="23"/>
  <c r="E244" i="23"/>
  <c r="F244" i="23"/>
  <c r="G244" i="23"/>
  <c r="H244" i="23"/>
  <c r="I244" i="23"/>
  <c r="EI245" i="23"/>
  <c r="EI243" i="23" s="1"/>
  <c r="J244" i="23"/>
  <c r="K244" i="23"/>
  <c r="L244" i="23"/>
  <c r="M244" i="23"/>
  <c r="N244" i="23"/>
  <c r="E101" i="23"/>
  <c r="F101" i="23"/>
  <c r="G101" i="23"/>
  <c r="H101" i="23"/>
  <c r="I101" i="23"/>
  <c r="J101" i="23"/>
  <c r="K101" i="23"/>
  <c r="L101" i="23"/>
  <c r="M101" i="23"/>
  <c r="N101" i="23"/>
  <c r="EF402" i="23" l="1"/>
  <c r="EF122" i="23"/>
  <c r="EF123" i="23" s="1"/>
  <c r="EF404" i="23"/>
  <c r="EF319" i="23"/>
  <c r="EG315" i="23" s="1"/>
  <c r="F374" i="23"/>
  <c r="EG365" i="23"/>
  <c r="EG400" i="23" s="1"/>
  <c r="EG366" i="23" s="1"/>
  <c r="L50" i="12"/>
  <c r="K50" i="12"/>
  <c r="EI330" i="23"/>
  <c r="N50" i="12"/>
  <c r="J50" i="12"/>
  <c r="EI102" i="23"/>
  <c r="EI246" i="23"/>
  <c r="M374" i="23"/>
  <c r="I50" i="12"/>
  <c r="N374" i="23"/>
  <c r="J374" i="23"/>
  <c r="H50" i="12"/>
  <c r="M50" i="12"/>
  <c r="K374" i="23"/>
  <c r="EH362" i="23"/>
  <c r="EI375" i="23"/>
  <c r="EI340" i="23" s="1"/>
  <c r="E245" i="23"/>
  <c r="E243" i="23" s="1"/>
  <c r="F245" i="23"/>
  <c r="F375" i="23" s="1"/>
  <c r="F340" i="23" s="1"/>
  <c r="G245" i="23"/>
  <c r="H245" i="23"/>
  <c r="H375" i="23" s="1"/>
  <c r="H340" i="23" s="1"/>
  <c r="I245" i="23"/>
  <c r="I375" i="23" s="1"/>
  <c r="I340" i="23" s="1"/>
  <c r="J245" i="23"/>
  <c r="K245" i="23"/>
  <c r="K375" i="23" s="1"/>
  <c r="K340" i="23" s="1"/>
  <c r="L245" i="23"/>
  <c r="M245" i="23"/>
  <c r="N245" i="23"/>
  <c r="G50" i="12"/>
  <c r="L374" i="23"/>
  <c r="F50" i="12"/>
  <c r="H374" i="23"/>
  <c r="E50" i="12"/>
  <c r="O100" i="23"/>
  <c r="O244" i="23"/>
  <c r="E374" i="23"/>
  <c r="O101" i="23"/>
  <c r="I374" i="23"/>
  <c r="G374" i="23"/>
  <c r="E334" i="23"/>
  <c r="O338" i="23"/>
  <c r="O334" i="23" s="1"/>
  <c r="N375" i="23" l="1"/>
  <c r="N340" i="23" s="1"/>
  <c r="EI376" i="23"/>
  <c r="EI361" i="23" s="1"/>
  <c r="EG308" i="23"/>
  <c r="EG316" i="23" s="1"/>
  <c r="M375" i="23"/>
  <c r="M340" i="23" s="1"/>
  <c r="L375" i="23"/>
  <c r="L340" i="23" s="1"/>
  <c r="EF401" i="23"/>
  <c r="G375" i="23"/>
  <c r="G340" i="23" s="1"/>
  <c r="I243" i="23"/>
  <c r="J375" i="23"/>
  <c r="J340" i="23" s="1"/>
  <c r="O374" i="23"/>
  <c r="E330" i="23"/>
  <c r="AP41" i="25"/>
  <c r="AP43" i="25" s="1"/>
  <c r="N330" i="23"/>
  <c r="J330" i="23"/>
  <c r="J376" i="23"/>
  <c r="J361" i="23" s="1"/>
  <c r="H243" i="23"/>
  <c r="J243" i="23"/>
  <c r="M243" i="23"/>
  <c r="O50" i="12"/>
  <c r="E375" i="23"/>
  <c r="O245" i="23"/>
  <c r="O243" i="23" s="1"/>
  <c r="G330" i="23"/>
  <c r="E246" i="23"/>
  <c r="F246" i="23"/>
  <c r="G246" i="23"/>
  <c r="H246" i="23"/>
  <c r="I246" i="23"/>
  <c r="EI103" i="23"/>
  <c r="EI104" i="23" s="1"/>
  <c r="EI108" i="23" s="1"/>
  <c r="J246" i="23"/>
  <c r="K246" i="23"/>
  <c r="L246" i="23"/>
  <c r="M246" i="23"/>
  <c r="N246" i="23"/>
  <c r="EG367" i="23"/>
  <c r="EG368" i="23"/>
  <c r="K243" i="23"/>
  <c r="N243" i="23"/>
  <c r="H330" i="23"/>
  <c r="H376" i="23"/>
  <c r="H361" i="23" s="1"/>
  <c r="M330" i="23"/>
  <c r="M376" i="23"/>
  <c r="M361" i="23" s="1"/>
  <c r="L330" i="23"/>
  <c r="G243" i="23"/>
  <c r="L243" i="23"/>
  <c r="EH385" i="23"/>
  <c r="EI247" i="23"/>
  <c r="F330" i="23"/>
  <c r="F376" i="23"/>
  <c r="F361" i="23" s="1"/>
  <c r="I330" i="23"/>
  <c r="I376" i="23"/>
  <c r="I361" i="23" s="1"/>
  <c r="K330" i="23"/>
  <c r="K376" i="23"/>
  <c r="K361" i="23" s="1"/>
  <c r="EI407" i="23"/>
  <c r="EI405" i="23" s="1"/>
  <c r="E102" i="23"/>
  <c r="F102" i="23"/>
  <c r="G102" i="23"/>
  <c r="H102" i="23"/>
  <c r="I102" i="23"/>
  <c r="J102" i="23"/>
  <c r="K102" i="23"/>
  <c r="L102" i="23"/>
  <c r="M102" i="23"/>
  <c r="N102" i="23"/>
  <c r="F243" i="23"/>
  <c r="N376" i="23" l="1"/>
  <c r="N361" i="23" s="1"/>
  <c r="L376" i="23"/>
  <c r="L361" i="23" s="1"/>
  <c r="G376" i="23"/>
  <c r="G361" i="23" s="1"/>
  <c r="EG309" i="23"/>
  <c r="EG310" i="23" s="1"/>
  <c r="EH307" i="23" s="1"/>
  <c r="EF409" i="23"/>
  <c r="EF410" i="23"/>
  <c r="O246" i="23"/>
  <c r="O247" i="23" s="1"/>
  <c r="L407" i="23"/>
  <c r="L405" i="23" s="1"/>
  <c r="L51" i="12"/>
  <c r="EI360" i="23"/>
  <c r="O375" i="23"/>
  <c r="E340" i="23"/>
  <c r="O340" i="23" s="1"/>
  <c r="H35" i="14" s="1"/>
  <c r="N407" i="23"/>
  <c r="N405" i="23" s="1"/>
  <c r="N51" i="12"/>
  <c r="E247" i="23"/>
  <c r="F241" i="23" s="1"/>
  <c r="F247" i="23" s="1"/>
  <c r="G241" i="23" s="1"/>
  <c r="G247" i="23" s="1"/>
  <c r="H241" i="23" s="1"/>
  <c r="H247" i="23" s="1"/>
  <c r="I241" i="23" s="1"/>
  <c r="I247" i="23" s="1"/>
  <c r="J241" i="23" s="1"/>
  <c r="J247" i="23" s="1"/>
  <c r="K241" i="23" s="1"/>
  <c r="K247" i="23" s="1"/>
  <c r="L241" i="23" s="1"/>
  <c r="L247" i="23" s="1"/>
  <c r="M241" i="23" s="1"/>
  <c r="M247" i="23" s="1"/>
  <c r="N241" i="23" s="1"/>
  <c r="N247" i="23" s="1"/>
  <c r="K407" i="23"/>
  <c r="K405" i="23" s="1"/>
  <c r="K51" i="12"/>
  <c r="E376" i="23"/>
  <c r="J407" i="23"/>
  <c r="J405" i="23" s="1"/>
  <c r="J51" i="12"/>
  <c r="H407" i="23"/>
  <c r="H405" i="23" s="1"/>
  <c r="H51" i="12"/>
  <c r="I407" i="23"/>
  <c r="I405" i="23" s="1"/>
  <c r="I51" i="12"/>
  <c r="G407" i="23"/>
  <c r="G405" i="23" s="1"/>
  <c r="G51" i="12"/>
  <c r="F407" i="23"/>
  <c r="F405" i="23" s="1"/>
  <c r="F51" i="12"/>
  <c r="EI408" i="23"/>
  <c r="E103" i="23"/>
  <c r="E104" i="23" s="1"/>
  <c r="E108" i="23" s="1"/>
  <c r="F103" i="23"/>
  <c r="F104" i="23" s="1"/>
  <c r="F108" i="23" s="1"/>
  <c r="G103" i="23"/>
  <c r="G104" i="23" s="1"/>
  <c r="G108" i="23" s="1"/>
  <c r="H103" i="23"/>
  <c r="H104" i="23" s="1"/>
  <c r="H108" i="23" s="1"/>
  <c r="I103" i="23"/>
  <c r="J103" i="23"/>
  <c r="J104" i="23" s="1"/>
  <c r="J108" i="23" s="1"/>
  <c r="K103" i="23"/>
  <c r="L103" i="23"/>
  <c r="L104" i="23" s="1"/>
  <c r="L108" i="23" s="1"/>
  <c r="M103" i="23"/>
  <c r="N103" i="23"/>
  <c r="N104" i="23" s="1"/>
  <c r="N108" i="23" s="1"/>
  <c r="O330" i="23"/>
  <c r="H46" i="14" s="1"/>
  <c r="M407" i="23"/>
  <c r="M405" i="23" s="1"/>
  <c r="M51" i="12"/>
  <c r="O102" i="23"/>
  <c r="E407" i="23"/>
  <c r="E51" i="12"/>
  <c r="EH363" i="23"/>
  <c r="EG403" i="23" l="1"/>
  <c r="EG317" i="23"/>
  <c r="EG318" i="23" s="1"/>
  <c r="N360" i="23"/>
  <c r="L360" i="23"/>
  <c r="J360" i="23"/>
  <c r="H360" i="23"/>
  <c r="E360" i="23"/>
  <c r="EH390" i="23"/>
  <c r="I46" i="14"/>
  <c r="M408" i="23"/>
  <c r="M52" i="12"/>
  <c r="M53" i="12" s="1"/>
  <c r="M57" i="12" s="1"/>
  <c r="O51" i="12"/>
  <c r="I408" i="23"/>
  <c r="I52" i="12"/>
  <c r="I53" i="12" s="1"/>
  <c r="I57" i="12" s="1"/>
  <c r="I104" i="23"/>
  <c r="I108" i="23" s="1"/>
  <c r="N408" i="23"/>
  <c r="N52" i="12"/>
  <c r="N53" i="12" s="1"/>
  <c r="N57" i="12" s="1"/>
  <c r="H408" i="23"/>
  <c r="H52" i="12"/>
  <c r="H53" i="12" s="1"/>
  <c r="H57" i="12" s="1"/>
  <c r="H36" i="14"/>
  <c r="I36" i="14" s="1"/>
  <c r="I35" i="14"/>
  <c r="J408" i="23"/>
  <c r="J52" i="12"/>
  <c r="J53" i="12" s="1"/>
  <c r="J57" i="12" s="1"/>
  <c r="M104" i="23"/>
  <c r="M108" i="23" s="1"/>
  <c r="G408" i="23"/>
  <c r="G52" i="12"/>
  <c r="G53" i="12" s="1"/>
  <c r="G57" i="12" s="1"/>
  <c r="F360" i="23"/>
  <c r="O376" i="23"/>
  <c r="E361" i="23"/>
  <c r="O361" i="23" s="1"/>
  <c r="K408" i="23"/>
  <c r="K52" i="12"/>
  <c r="K53" i="12" s="1"/>
  <c r="K57" i="12" s="1"/>
  <c r="G360" i="23"/>
  <c r="O103" i="23"/>
  <c r="O104" i="23" s="1"/>
  <c r="O108" i="23" s="1"/>
  <c r="E408" i="23"/>
  <c r="E52" i="12"/>
  <c r="L408" i="23"/>
  <c r="L52" i="12"/>
  <c r="L53" i="12" s="1"/>
  <c r="L57" i="12" s="1"/>
  <c r="E405" i="23"/>
  <c r="O407" i="23"/>
  <c r="O405" i="23" s="1"/>
  <c r="K104" i="23"/>
  <c r="K108" i="23" s="1"/>
  <c r="F408" i="23"/>
  <c r="F52" i="12"/>
  <c r="F53" i="12" s="1"/>
  <c r="F57" i="12" s="1"/>
  <c r="EI382" i="23"/>
  <c r="C108" i="23" l="1"/>
  <c r="Q253" i="16" s="1"/>
  <c r="Z253" i="16" s="1"/>
  <c r="EG402" i="23"/>
  <c r="EG122" i="23"/>
  <c r="H382" i="23"/>
  <c r="J382" i="23"/>
  <c r="L382" i="23"/>
  <c r="K360" i="23"/>
  <c r="O408" i="23"/>
  <c r="F382" i="23"/>
  <c r="EI362" i="23"/>
  <c r="I360" i="23"/>
  <c r="EG319" i="23"/>
  <c r="EH315" i="23" s="1"/>
  <c r="O52" i="12"/>
  <c r="EH364" i="23"/>
  <c r="E53" i="12"/>
  <c r="G382" i="23"/>
  <c r="N382" i="23"/>
  <c r="M360" i="23"/>
  <c r="E382" i="23"/>
  <c r="EG404" i="23"/>
  <c r="AZ18" i="25" l="1"/>
  <c r="A6" i="27" s="1"/>
  <c r="C57" i="12"/>
  <c r="I225" i="16"/>
  <c r="M247" i="16" s="1"/>
  <c r="M236" i="16" s="1"/>
  <c r="Z226" i="16"/>
  <c r="N40" i="13" s="1"/>
  <c r="J362" i="23"/>
  <c r="I382" i="23"/>
  <c r="N362" i="23"/>
  <c r="H362" i="23"/>
  <c r="EG123" i="23"/>
  <c r="EI385" i="23"/>
  <c r="G362" i="23"/>
  <c r="L362" i="23"/>
  <c r="EG401" i="23"/>
  <c r="EG409" i="23" s="1"/>
  <c r="K382" i="23"/>
  <c r="O360" i="23"/>
  <c r="M382" i="23"/>
  <c r="F362" i="23"/>
  <c r="O53" i="12"/>
  <c r="E57" i="12"/>
  <c r="O57" i="12" s="1"/>
  <c r="E362" i="23"/>
  <c r="EH395" i="23"/>
  <c r="EG410" i="23" l="1"/>
  <c r="O382" i="23"/>
  <c r="L385" i="23"/>
  <c r="N385" i="23"/>
  <c r="H385" i="23"/>
  <c r="EH365" i="23"/>
  <c r="EH400" i="23" s="1"/>
  <c r="EH366" i="23" s="1"/>
  <c r="G385" i="23"/>
  <c r="E385" i="23"/>
  <c r="I362" i="23"/>
  <c r="M362" i="23"/>
  <c r="EI363" i="23"/>
  <c r="K362" i="23"/>
  <c r="F385" i="23"/>
  <c r="J385" i="23"/>
  <c r="EH308" i="23" l="1"/>
  <c r="EH316" i="23" s="1"/>
  <c r="E363" i="23"/>
  <c r="K385" i="23"/>
  <c r="O362" i="23"/>
  <c r="J363" i="23"/>
  <c r="N363" i="23"/>
  <c r="EI390" i="23"/>
  <c r="G363" i="23"/>
  <c r="M385" i="23"/>
  <c r="L363" i="23"/>
  <c r="EH368" i="23"/>
  <c r="EH367" i="23"/>
  <c r="I385" i="23"/>
  <c r="F363" i="23"/>
  <c r="H363" i="23"/>
  <c r="EH309" i="23" l="1"/>
  <c r="EH317" i="23" s="1"/>
  <c r="EH318" i="23" s="1"/>
  <c r="EH319" i="23" s="1"/>
  <c r="EI315" i="23" s="1"/>
  <c r="N390" i="23"/>
  <c r="K363" i="23"/>
  <c r="J390" i="23"/>
  <c r="I363" i="23"/>
  <c r="O385" i="23"/>
  <c r="M363" i="23"/>
  <c r="EI364" i="23"/>
  <c r="H390" i="23"/>
  <c r="F390" i="23"/>
  <c r="E390" i="23"/>
  <c r="G390" i="23"/>
  <c r="L390" i="23"/>
  <c r="EH310" i="23" l="1"/>
  <c r="EI307" i="23" s="1"/>
  <c r="EH403" i="23"/>
  <c r="EI395" i="23"/>
  <c r="E364" i="23"/>
  <c r="K390" i="23"/>
  <c r="O363" i="23"/>
  <c r="M390" i="23"/>
  <c r="L364" i="23"/>
  <c r="J364" i="23"/>
  <c r="EH402" i="23"/>
  <c r="EH122" i="23"/>
  <c r="H364" i="23"/>
  <c r="N364" i="23"/>
  <c r="EH404" i="23"/>
  <c r="F364" i="23"/>
  <c r="I390" i="23"/>
  <c r="G364" i="23"/>
  <c r="N395" i="23" l="1"/>
  <c r="EH401" i="23"/>
  <c r="EH409" i="23" s="1"/>
  <c r="K364" i="23"/>
  <c r="M364" i="23"/>
  <c r="G395" i="23"/>
  <c r="I364" i="23"/>
  <c r="J395" i="23"/>
  <c r="EH123" i="23"/>
  <c r="O390" i="23"/>
  <c r="H395" i="23"/>
  <c r="E395" i="23"/>
  <c r="F395" i="23"/>
  <c r="L395" i="23"/>
  <c r="EI365" i="23"/>
  <c r="EI400" i="23" s="1"/>
  <c r="EI366" i="23" s="1"/>
  <c r="EI308" i="23" l="1"/>
  <c r="EI316" i="23" s="1"/>
  <c r="EI367" i="23"/>
  <c r="EI368" i="23"/>
  <c r="L365" i="23"/>
  <c r="L400" i="23" s="1"/>
  <c r="L366" i="23" s="1"/>
  <c r="F365" i="23"/>
  <c r="F400" i="23" s="1"/>
  <c r="F366" i="23" s="1"/>
  <c r="M395" i="23"/>
  <c r="H365" i="23"/>
  <c r="H400" i="23" s="1"/>
  <c r="H366" i="23" s="1"/>
  <c r="N365" i="23"/>
  <c r="N400" i="23" s="1"/>
  <c r="N366" i="23" s="1"/>
  <c r="I395" i="23"/>
  <c r="G365" i="23"/>
  <c r="G400" i="23" s="1"/>
  <c r="G366" i="23" s="1"/>
  <c r="E365" i="23"/>
  <c r="EH410" i="23"/>
  <c r="O364" i="23"/>
  <c r="K395" i="23"/>
  <c r="J365" i="23"/>
  <c r="J400" i="23" s="1"/>
  <c r="J366" i="23" s="1"/>
  <c r="EI309" i="23" l="1"/>
  <c r="EI310" i="23" s="1"/>
  <c r="F308" i="23"/>
  <c r="F316" i="23" s="1"/>
  <c r="G308" i="23"/>
  <c r="G316" i="23" s="1"/>
  <c r="H308" i="23"/>
  <c r="H316" i="23" s="1"/>
  <c r="L308" i="23"/>
  <c r="L316" i="23" s="1"/>
  <c r="I365" i="23"/>
  <c r="I400" i="23" s="1"/>
  <c r="I366" i="23" s="1"/>
  <c r="N308" i="23"/>
  <c r="N316" i="23" s="1"/>
  <c r="J367" i="23"/>
  <c r="J368" i="23"/>
  <c r="K365" i="23"/>
  <c r="K400" i="23" s="1"/>
  <c r="K366" i="23" s="1"/>
  <c r="O395" i="23"/>
  <c r="E400" i="23"/>
  <c r="J308" i="23"/>
  <c r="J316" i="23" s="1"/>
  <c r="N367" i="23"/>
  <c r="N368" i="23"/>
  <c r="H368" i="23"/>
  <c r="H367" i="23"/>
  <c r="M365" i="23"/>
  <c r="M400" i="23" s="1"/>
  <c r="M366" i="23" s="1"/>
  <c r="F368" i="23"/>
  <c r="F367" i="23"/>
  <c r="L367" i="23"/>
  <c r="L368" i="23"/>
  <c r="G367" i="23"/>
  <c r="G368" i="23"/>
  <c r="EI317" i="23" l="1"/>
  <c r="EI318" i="23" s="1"/>
  <c r="EI403" i="23"/>
  <c r="O365" i="23"/>
  <c r="M308" i="23"/>
  <c r="M316" i="23" s="1"/>
  <c r="I308" i="23"/>
  <c r="I316" i="23" s="1"/>
  <c r="K308" i="23"/>
  <c r="K316" i="23" s="1"/>
  <c r="E366" i="23"/>
  <c r="O400" i="23"/>
  <c r="E308" i="23"/>
  <c r="M367" i="23"/>
  <c r="M368" i="23"/>
  <c r="K367" i="23"/>
  <c r="K368" i="23"/>
  <c r="I367" i="23"/>
  <c r="I368" i="23"/>
  <c r="EI402" i="23" l="1"/>
  <c r="EI122" i="23"/>
  <c r="EI123" i="23" s="1"/>
  <c r="O308" i="23"/>
  <c r="E309" i="23"/>
  <c r="E316" i="23"/>
  <c r="O366" i="23"/>
  <c r="H48" i="14" s="1"/>
  <c r="E368" i="23"/>
  <c r="O368" i="23" s="1"/>
  <c r="E367" i="23"/>
  <c r="O367" i="23" s="1"/>
  <c r="EI319" i="23"/>
  <c r="EI404" i="23"/>
  <c r="I48" i="14" l="1"/>
  <c r="H49" i="14"/>
  <c r="I49" i="14" s="1"/>
  <c r="O316" i="23"/>
  <c r="E317" i="23"/>
  <c r="E403" i="23"/>
  <c r="E310" i="23"/>
  <c r="F307" i="23" s="1"/>
  <c r="EI401" i="23"/>
  <c r="EI409" i="23" s="1"/>
  <c r="H51" i="14" l="1"/>
  <c r="J31" i="14" s="1"/>
  <c r="F309" i="23"/>
  <c r="F310" i="23" s="1"/>
  <c r="G307" i="23" s="1"/>
  <c r="E318" i="23"/>
  <c r="E404" i="23" s="1"/>
  <c r="EI410" i="23"/>
  <c r="J51" i="14" l="1"/>
  <c r="J39" i="14"/>
  <c r="J43" i="14"/>
  <c r="J46" i="14"/>
  <c r="J29" i="14"/>
  <c r="J49" i="14"/>
  <c r="I51" i="14"/>
  <c r="J41" i="14"/>
  <c r="J48" i="14"/>
  <c r="J30" i="14"/>
  <c r="J34" i="14"/>
  <c r="J42" i="14"/>
  <c r="J36" i="14"/>
  <c r="J47" i="14"/>
  <c r="J40" i="14"/>
  <c r="J35" i="14"/>
  <c r="G309" i="23"/>
  <c r="E402" i="23"/>
  <c r="E122" i="23"/>
  <c r="F317" i="23"/>
  <c r="F403" i="23"/>
  <c r="E319" i="23"/>
  <c r="F315" i="23" s="1"/>
  <c r="F318" i="23" l="1"/>
  <c r="F319" i="23" s="1"/>
  <c r="G315" i="23" s="1"/>
  <c r="E61" i="12"/>
  <c r="E123" i="23"/>
  <c r="E401" i="23"/>
  <c r="G317" i="23"/>
  <c r="G403" i="23"/>
  <c r="G310" i="23"/>
  <c r="H307" i="23" s="1"/>
  <c r="F404" i="23" l="1"/>
  <c r="F122" i="23"/>
  <c r="H309" i="23"/>
  <c r="Q250" i="16"/>
  <c r="E62" i="12"/>
  <c r="AZ12" i="25"/>
  <c r="A5" i="27" s="1"/>
  <c r="L225" i="16"/>
  <c r="E409" i="23"/>
  <c r="E410" i="23"/>
  <c r="F61" i="12"/>
  <c r="F123" i="23"/>
  <c r="F62" i="12" s="1"/>
  <c r="G318" i="23"/>
  <c r="G402" i="23" s="1"/>
  <c r="F402" i="23"/>
  <c r="G319" i="23" l="1"/>
  <c r="H315" i="23" s="1"/>
  <c r="G122" i="23"/>
  <c r="G123" i="23" s="1"/>
  <c r="G404" i="23"/>
  <c r="G401" i="23" s="1"/>
  <c r="G410" i="23" s="1"/>
  <c r="F401" i="23"/>
  <c r="Z250" i="16"/>
  <c r="H317" i="23"/>
  <c r="H403" i="23"/>
  <c r="H310" i="23"/>
  <c r="I307" i="23" s="1"/>
  <c r="G61" i="12" l="1"/>
  <c r="G409" i="23"/>
  <c r="F409" i="23"/>
  <c r="F410" i="23"/>
  <c r="H318" i="23"/>
  <c r="I309" i="23"/>
  <c r="G62" i="12"/>
  <c r="H402" i="23" l="1"/>
  <c r="H122" i="23"/>
  <c r="H319" i="23"/>
  <c r="I315" i="23" s="1"/>
  <c r="I317" i="23"/>
  <c r="I403" i="23"/>
  <c r="I310" i="23"/>
  <c r="J307" i="23" s="1"/>
  <c r="H404" i="23"/>
  <c r="J309" i="23" l="1"/>
  <c r="I318" i="23"/>
  <c r="I319" i="23" s="1"/>
  <c r="J315" i="23" s="1"/>
  <c r="H61" i="12"/>
  <c r="H123" i="23"/>
  <c r="H401" i="23"/>
  <c r="H410" i="23" s="1"/>
  <c r="I122" i="23" l="1"/>
  <c r="I123" i="23" s="1"/>
  <c r="I62" i="12" s="1"/>
  <c r="I404" i="23"/>
  <c r="H409" i="23"/>
  <c r="H62" i="12"/>
  <c r="I402" i="23"/>
  <c r="J317" i="23"/>
  <c r="J403" i="23"/>
  <c r="J310" i="23"/>
  <c r="K307" i="23" s="1"/>
  <c r="I61" i="12" l="1"/>
  <c r="K309" i="23"/>
  <c r="I401" i="23"/>
  <c r="J318" i="23"/>
  <c r="J402" i="23" l="1"/>
  <c r="J122" i="23"/>
  <c r="J319" i="23"/>
  <c r="K315" i="23" s="1"/>
  <c r="I409" i="23"/>
  <c r="I410" i="23"/>
  <c r="K403" i="23"/>
  <c r="K317" i="23"/>
  <c r="K310" i="23"/>
  <c r="L307" i="23" s="1"/>
  <c r="J404" i="23"/>
  <c r="K318" i="23" l="1"/>
  <c r="K402" i="23" s="1"/>
  <c r="L309" i="23"/>
  <c r="J61" i="12"/>
  <c r="J123" i="23"/>
  <c r="J401" i="23"/>
  <c r="J410" i="23" s="1"/>
  <c r="K122" i="23" l="1"/>
  <c r="O122" i="23" s="1"/>
  <c r="K404" i="23"/>
  <c r="K401" i="23" s="1"/>
  <c r="K409" i="23" s="1"/>
  <c r="L317" i="23"/>
  <c r="L403" i="23"/>
  <c r="L310" i="23"/>
  <c r="M307" i="23" s="1"/>
  <c r="J62" i="12"/>
  <c r="J409" i="23"/>
  <c r="K319" i="23"/>
  <c r="L315" i="23" s="1"/>
  <c r="K410" i="23" l="1"/>
  <c r="K61" i="12"/>
  <c r="K123" i="23"/>
  <c r="L318" i="23"/>
  <c r="L319" i="23" s="1"/>
  <c r="M315" i="23" s="1"/>
  <c r="M309" i="23"/>
  <c r="Z237" i="16"/>
  <c r="N41" i="13" s="1"/>
  <c r="Q254" i="16"/>
  <c r="Z254" i="16" s="1"/>
  <c r="AZ19" i="25"/>
  <c r="O61" i="12"/>
  <c r="J225" i="16"/>
  <c r="K62" i="12" l="1"/>
  <c r="O123" i="23"/>
  <c r="L404" i="23"/>
  <c r="M317" i="23"/>
  <c r="M403" i="23"/>
  <c r="M310" i="23"/>
  <c r="N307" i="23" s="1"/>
  <c r="L402" i="23"/>
  <c r="L122" i="23"/>
  <c r="L401" i="23" l="1"/>
  <c r="L409" i="23" s="1"/>
  <c r="Q251" i="16"/>
  <c r="AZ14" i="25"/>
  <c r="O62" i="12"/>
  <c r="L247" i="16"/>
  <c r="L236" i="16" s="1"/>
  <c r="L123" i="23"/>
  <c r="L62" i="12" s="1"/>
  <c r="L61" i="12"/>
  <c r="N309" i="23"/>
  <c r="M318" i="23"/>
  <c r="M402" i="23" s="1"/>
  <c r="L410" i="23" l="1"/>
  <c r="K247" i="16"/>
  <c r="K236" i="16" s="1"/>
  <c r="Z251" i="16"/>
  <c r="BF30" i="25"/>
  <c r="M319" i="23"/>
  <c r="N315" i="23" s="1"/>
  <c r="M404" i="23"/>
  <c r="N403" i="23"/>
  <c r="O403" i="23" s="1"/>
  <c r="N317" i="23"/>
  <c r="O309" i="23"/>
  <c r="C36" i="14" s="1"/>
  <c r="C37" i="14" s="1"/>
  <c r="N310" i="23"/>
  <c r="M122" i="23"/>
  <c r="B44" i="8" l="1"/>
  <c r="B56" i="7"/>
  <c r="M61" i="12"/>
  <c r="M123" i="23"/>
  <c r="M62" i="12" s="1"/>
  <c r="O317" i="23"/>
  <c r="N318" i="23"/>
  <c r="N319" i="23" s="1"/>
  <c r="M401" i="23"/>
  <c r="M410" i="23" s="1"/>
  <c r="M409" i="23" l="1"/>
  <c r="N402" i="23"/>
  <c r="O318" i="23"/>
  <c r="N404" i="23"/>
  <c r="N122" i="23"/>
  <c r="N123" i="23" l="1"/>
  <c r="N62" i="12" s="1"/>
  <c r="N61" i="12"/>
  <c r="O404" i="23"/>
  <c r="C40" i="14" s="1"/>
  <c r="M8" i="7"/>
  <c r="AZ21" i="25"/>
  <c r="AZ23" i="25"/>
  <c r="N401" i="23"/>
  <c r="N409" i="23" s="1"/>
  <c r="O409" i="23" s="1"/>
  <c r="O402" i="23"/>
  <c r="P8" i="7" l="1"/>
  <c r="O8" i="7"/>
  <c r="N410" i="23"/>
  <c r="O410" i="23" s="1"/>
  <c r="C28" i="14"/>
  <c r="C51" i="14" s="1"/>
  <c r="AZ7" i="25"/>
  <c r="O401" i="23"/>
  <c r="E32" i="14" l="1"/>
  <c r="E40" i="14"/>
  <c r="E36" i="14"/>
  <c r="E28" i="14"/>
  <c r="E33" i="14"/>
  <c r="E34" i="14"/>
  <c r="E35" i="14"/>
  <c r="E37" i="14"/>
  <c r="E31" i="14"/>
  <c r="E51" i="1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ResiModel</author>
  </authors>
  <commentList>
    <comment ref="B112" authorId="0" shapeId="0" xr:uid="{00000000-0006-0000-1500-000001000000}">
      <text>
        <r>
          <rPr>
            <b/>
            <sz val="9"/>
            <rFont val="Tahoma"/>
            <family val="2"/>
          </rPr>
          <t>ResiModel:</t>
        </r>
        <r>
          <rPr>
            <sz val="9"/>
            <rFont val="Tahoma"/>
            <family val="2"/>
          </rPr>
          <t xml:space="preserve">
% of Purchase Price</t>
        </r>
      </text>
    </comment>
    <comment ref="B113" authorId="0" shapeId="0" xr:uid="{00000000-0006-0000-1500-000002000000}">
      <text>
        <r>
          <rPr>
            <b/>
            <sz val="9"/>
            <rFont val="Tahoma"/>
            <family val="2"/>
          </rPr>
          <t>ResiModel:</t>
        </r>
        <r>
          <rPr>
            <sz val="9"/>
            <rFont val="Tahoma"/>
            <family val="2"/>
          </rPr>
          <t xml:space="preserve">
% of Purchase Price</t>
        </r>
      </text>
    </comment>
    <comment ref="B114" authorId="0" shapeId="0" xr:uid="{00000000-0006-0000-1500-000003000000}">
      <text>
        <r>
          <rPr>
            <b/>
            <sz val="9"/>
            <rFont val="Tahoma"/>
            <family val="2"/>
          </rPr>
          <t>ResiModel:</t>
        </r>
        <r>
          <rPr>
            <sz val="9"/>
            <rFont val="Tahoma"/>
            <family val="2"/>
          </rPr>
          <t xml:space="preserve">
For equity multiple in senstivity analyses on different hold periods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Peter Chacon</author>
  </authors>
  <commentList>
    <comment ref="AE145" authorId="0" shapeId="0" xr:uid="{1682E0A5-38B0-46DC-9391-ECF144528E0A}">
      <text>
        <r>
          <rPr>
            <b/>
            <sz val="9"/>
            <color indexed="81"/>
            <rFont val="Tahoma"/>
            <charset val="1"/>
          </rPr>
          <t>Peter Chacon:</t>
        </r>
        <r>
          <rPr>
            <sz val="9"/>
            <color indexed="81"/>
            <rFont val="Tahoma"/>
            <charset val="1"/>
          </rPr>
          <t xml:space="preserve">
Not in Input model — variable fee income</t>
        </r>
      </text>
    </comment>
    <comment ref="AE148" authorId="0" shapeId="0" xr:uid="{0FE3FCC7-955A-4664-9F6B-DD77DFD344DC}">
      <text>
        <r>
          <rPr>
            <b/>
            <sz val="9"/>
            <color indexed="81"/>
            <rFont val="Tahoma"/>
            <charset val="1"/>
          </rPr>
          <t>Peter Chacon:</t>
        </r>
        <r>
          <rPr>
            <sz val="9"/>
            <color indexed="81"/>
            <rFont val="Tahoma"/>
            <charset val="1"/>
          </rPr>
          <t xml:space="preserve">
Not in Input model — flat utility reimb.</t>
        </r>
      </text>
    </comment>
    <comment ref="AE149" authorId="0" shapeId="0" xr:uid="{CE8FACC0-2AD2-417D-8457-68D2EDF79A1E}">
      <text>
        <r>
          <rPr>
            <b/>
            <sz val="9"/>
            <color indexed="81"/>
            <rFont val="Tahoma"/>
            <charset val="1"/>
          </rPr>
          <t>Peter Chacon:</t>
        </r>
        <r>
          <rPr>
            <sz val="9"/>
            <color indexed="81"/>
            <rFont val="Tahoma"/>
            <charset val="1"/>
          </rPr>
          <t xml:space="preserve">
Not separately modeled in Input</t>
        </r>
      </text>
    </comment>
    <comment ref="AE150" authorId="0" shapeId="0" xr:uid="{27524C2D-FECE-4017-ABB5-212A8761889C}">
      <text>
        <r>
          <rPr>
            <b/>
            <sz val="9"/>
            <color indexed="81"/>
            <rFont val="Tahoma"/>
            <charset val="1"/>
          </rPr>
          <t>Peter Chacon:</t>
        </r>
        <r>
          <rPr>
            <sz val="9"/>
            <color indexed="81"/>
            <rFont val="Tahoma"/>
            <charset val="1"/>
          </rPr>
          <t xml:space="preserve">
Not separately modeled in Input</t>
        </r>
      </text>
    </comment>
    <comment ref="AE151" authorId="0" shapeId="0" xr:uid="{1479B388-F754-4E5A-8FD5-3568F833A697}">
      <text>
        <r>
          <rPr>
            <b/>
            <sz val="9"/>
            <color indexed="81"/>
            <rFont val="Tahoma"/>
            <charset val="1"/>
          </rPr>
          <t>Peter Chacon:</t>
        </r>
        <r>
          <rPr>
            <sz val="9"/>
            <color indexed="81"/>
            <rFont val="Tahoma"/>
            <charset val="1"/>
          </rPr>
          <t xml:space="preserve">
Not separately modeled in Input</t>
        </r>
      </text>
    </comment>
    <comment ref="AE152" authorId="0" shapeId="0" xr:uid="{7FBFC681-A738-44BA-B2E1-91CAEE88C5C7}">
      <text>
        <r>
          <rPr>
            <b/>
            <sz val="9"/>
            <color indexed="81"/>
            <rFont val="Tahoma"/>
            <charset val="1"/>
          </rPr>
          <t>Peter Chacon:</t>
        </r>
        <r>
          <rPr>
            <sz val="9"/>
            <color indexed="81"/>
            <rFont val="Tahoma"/>
            <charset val="1"/>
          </rPr>
          <t xml:space="preserve">
Not separately modeled in Input</t>
        </r>
      </text>
    </comment>
    <comment ref="AE153" authorId="0" shapeId="0" xr:uid="{9698D181-F0BD-4DB3-ACE3-8CD0D9390AB0}">
      <text>
        <r>
          <rPr>
            <b/>
            <sz val="9"/>
            <color indexed="81"/>
            <rFont val="Tahoma"/>
            <charset val="1"/>
          </rPr>
          <t>Peter Chacon:</t>
        </r>
        <r>
          <rPr>
            <sz val="9"/>
            <color indexed="81"/>
            <rFont val="Tahoma"/>
            <charset val="1"/>
          </rPr>
          <t xml:space="preserve">
Not separately modeled in Input</t>
        </r>
      </text>
    </comment>
    <comment ref="AB165" authorId="0" shapeId="0" xr:uid="{BB1EB39B-BDFC-4EA1-9A47-0E1635AF1C9F}">
      <text>
        <r>
          <rPr>
            <b/>
            <sz val="9"/>
            <color indexed="81"/>
            <rFont val="Tahoma"/>
            <charset val="1"/>
          </rPr>
          <t>FY1 Staffing Estimate (3 positions):
Property Manager (FT): $52,000
Porter / Maintenance (FT): $42,000
Leasing Agent (PT ~20hrs/wk): $20,000
Base Salaries: $114,000
Payroll Taxes (8.65%): $9,861
Benefits (20%): $22,800
Total Burden: $32,661
Full Payload: $146,661 → $146,700 rounded
($1,834/unit)
No dedicated groundskeeper — Porter handles grounds. Part-time leasing sufficient for 80-unit stabilized property.</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<sst xmlns="http://schemas.openxmlformats.org/spreadsheetml/2006/main" count="2319" uniqueCount="1345">
  <si>
    <t>Model is a redIQ LLC Trade Secret and is to be treated as Confidential Proprietary Information.</t>
  </si>
  <si>
    <t>FINANCIAL UNDERWRITING MODEL</t>
  </si>
  <si>
    <t>Summary of Output Tabs</t>
  </si>
  <si>
    <t>PROPERTY OVERVIEW</t>
  </si>
  <si>
    <t>OCCUPANCY STATUS</t>
  </si>
  <si>
    <t>Address</t>
  </si>
  <si>
    <t>Occupied Units</t>
  </si>
  <si>
    <t>Vacant Units</t>
  </si>
  <si>
    <t>Year Built</t>
  </si>
  <si>
    <t>Asset Quality</t>
  </si>
  <si>
    <t>Analysis Start Date</t>
  </si>
  <si>
    <t>Non-Revenue Units</t>
  </si>
  <si>
    <t>Year Renovated</t>
  </si>
  <si>
    <t>Location Quality</t>
  </si>
  <si>
    <t>Hold Period</t>
  </si>
  <si>
    <t>Total Units</t>
  </si>
  <si>
    <t>Purchase Price</t>
  </si>
  <si>
    <t>UNIT SUMMARY</t>
  </si>
  <si>
    <t xml:space="preserve"> In-Place</t>
  </si>
  <si>
    <t>Current</t>
  </si>
  <si>
    <t>Units</t>
  </si>
  <si>
    <t>In-Place Rent</t>
  </si>
  <si>
    <t>Renov. Premium</t>
  </si>
  <si>
    <t>Market Rent</t>
  </si>
  <si>
    <t>Avg. Size</t>
  </si>
  <si>
    <t>Occup.</t>
  </si>
  <si>
    <t>Vacant</t>
  </si>
  <si>
    <t>Non-Rev.</t>
  </si>
  <si>
    <t>Total</t>
  </si>
  <si>
    <t>per unit</t>
  </si>
  <si>
    <t>per sf</t>
  </si>
  <si>
    <t>Total / Average</t>
  </si>
  <si>
    <t>YEAR-ON-YEAR GROWTH RATES</t>
  </si>
  <si>
    <t>n/a</t>
  </si>
  <si>
    <t>Effective Gross Revenue</t>
  </si>
  <si>
    <t>Operating Expense</t>
  </si>
  <si>
    <t>Net Operating Income</t>
  </si>
  <si>
    <t>OTHER INCOME</t>
  </si>
  <si>
    <t>RENTAL LOSS FACTORS</t>
  </si>
  <si>
    <t>REPLACEMENT RESERVES</t>
  </si>
  <si>
    <t>DEBT SUMMARY</t>
  </si>
  <si>
    <t>Funding</t>
  </si>
  <si>
    <t>Loan to Value</t>
  </si>
  <si>
    <t>Loan Amount</t>
  </si>
  <si>
    <t>Terms</t>
  </si>
  <si>
    <t>Funding Month</t>
  </si>
  <si>
    <t>Loan Term</t>
  </si>
  <si>
    <t>Interest Type</t>
  </si>
  <si>
    <t>Interest Rate</t>
  </si>
  <si>
    <t>Interest-Only Period</t>
  </si>
  <si>
    <t>Amortization Period</t>
  </si>
  <si>
    <t>Market</t>
  </si>
  <si>
    <t>In-Place</t>
  </si>
  <si>
    <t>Monthly</t>
  </si>
  <si>
    <t xml:space="preserve">  Investment Summary</t>
  </si>
  <si>
    <t>DEAL OVERVIEW</t>
  </si>
  <si>
    <t>INVESTMENT SUMMARY</t>
  </si>
  <si>
    <t>Funding Req.</t>
  </si>
  <si>
    <t xml:space="preserve">IRR </t>
  </si>
  <si>
    <t>Eq. Mult.</t>
  </si>
  <si>
    <t xml:space="preserve">Unleveraged </t>
  </si>
  <si>
    <t>Leveraged</t>
  </si>
  <si>
    <t>PRICING SUMMARY</t>
  </si>
  <si>
    <t>Deal Pricing</t>
  </si>
  <si>
    <t>Forward</t>
  </si>
  <si>
    <t>Cap Rate</t>
  </si>
  <si>
    <t>Rent Mult.</t>
  </si>
  <si>
    <t>All-in Cost</t>
  </si>
  <si>
    <t>NOTES</t>
  </si>
  <si>
    <t>Renovation Summary</t>
  </si>
  <si>
    <t>EXISTING RENOVATED UNITS</t>
  </si>
  <si>
    <t>PROJECTED UNIT RENOVATIONS</t>
  </si>
  <si>
    <t>Renovated Units</t>
  </si>
  <si>
    <t>Units to be Renovated</t>
  </si>
  <si>
    <t>Renovations Start</t>
  </si>
  <si>
    <t>% of Property</t>
  </si>
  <si>
    <t>Renovations End</t>
  </si>
  <si>
    <t>Average Renov. Rent</t>
  </si>
  <si>
    <t>Return on Investment</t>
  </si>
  <si>
    <t>Renovation Period</t>
  </si>
  <si>
    <t>Average Premium</t>
  </si>
  <si>
    <t>Avg. Monthly Velocity</t>
  </si>
  <si>
    <t>% Premium</t>
  </si>
  <si>
    <t>Average Cost</t>
  </si>
  <si>
    <t>Renovation Downtime</t>
  </si>
  <si>
    <t>EXISTING RENOVATED UNIT SUMMARY</t>
  </si>
  <si>
    <t>Renovation Status</t>
  </si>
  <si>
    <t xml:space="preserve"> Rent Per Unit</t>
  </si>
  <si>
    <t>Renovation Premium</t>
  </si>
  <si>
    <t>Renovated</t>
  </si>
  <si>
    <t>Unrenovated</t>
  </si>
  <si>
    <t>PROJECTED UNIT RENOVATION SUMMARY</t>
  </si>
  <si>
    <t>Projected</t>
  </si>
  <si>
    <t>Post-Renovation</t>
  </si>
  <si>
    <t>Renovation Costs¹</t>
  </si>
  <si>
    <t>Units To Be Renovated</t>
  </si>
  <si>
    <t>Avg. Renovation Premium</t>
  </si>
  <si>
    <t>Per sf</t>
  </si>
  <si>
    <t>Renovation ROI¹</t>
  </si>
  <si>
    <t>Renovation IRR²</t>
  </si>
  <si>
    <t>Post-Renovation C-o-C³</t>
  </si>
  <si>
    <t>Leveraged Deal IRR</t>
  </si>
  <si>
    <t>Avg. Renovation Cost</t>
  </si>
  <si>
    <t>¹ Does not account for renovation downtime, if any</t>
  </si>
  <si>
    <t>² Includes rent premiums from renovations, downtime vacancy, and increase in residual value due to renovation</t>
  </si>
  <si>
    <t>Historical Operating Statements</t>
  </si>
  <si>
    <t>HISTORICAL CASH FLOW</t>
  </si>
  <si>
    <t>PROJECTED CASH FLOW</t>
  </si>
  <si>
    <t>NOTES / COMMENTS</t>
  </si>
  <si>
    <t>Pro Forma Yr 1</t>
  </si>
  <si>
    <t>to add, edit or delete a note click on any row below</t>
  </si>
  <si>
    <t>Per Unit</t>
  </si>
  <si>
    <t>%</t>
  </si>
  <si>
    <t>% Mkt / % EGR</t>
  </si>
  <si>
    <t>Notes</t>
  </si>
  <si>
    <t>OPERATING REVENUE</t>
  </si>
  <si>
    <t>Mkt</t>
  </si>
  <si>
    <t>Potential Market Rent</t>
  </si>
  <si>
    <t>(Loss to Lease) / Gain to Lease</t>
  </si>
  <si>
    <t>Gross Potential Revenue</t>
  </si>
  <si>
    <t>Concessions</t>
  </si>
  <si>
    <t>Collection Loss / Bad Debt</t>
  </si>
  <si>
    <t>Base Rental Revenue</t>
  </si>
  <si>
    <t>Other Income</t>
  </si>
  <si>
    <t>EFFECTIVE GROSS REVENUE</t>
  </si>
  <si>
    <t>OPERATING EXPENSES</t>
  </si>
  <si>
    <t>EGR</t>
  </si>
  <si>
    <t>TOTAL OPERATING EXPENSES</t>
  </si>
  <si>
    <t>NET OPERATING INCOME</t>
  </si>
  <si>
    <t>Net Operating Income (bef. Reserves)</t>
  </si>
  <si>
    <t>Replacement Reserves</t>
  </si>
  <si>
    <t>NET OPERATING INCOME (AFT. RESERVES)</t>
  </si>
  <si>
    <t>METRICS</t>
  </si>
  <si>
    <t>Going-In Cap Rate</t>
  </si>
  <si>
    <t>FINANCIAL FOOTNOTES</t>
  </si>
  <si>
    <t>Original Historicals</t>
  </si>
  <si>
    <t>Pro Forma Year 1</t>
  </si>
  <si>
    <t>Δ</t>
  </si>
  <si>
    <t>Property Cash Flow Projections</t>
  </si>
  <si>
    <t>Reversion</t>
  </si>
  <si>
    <t>ANNUAL OPERATING CASH FLOW</t>
  </si>
  <si>
    <t>Vacancy</t>
  </si>
  <si>
    <t>Expense Reimbursements</t>
  </si>
  <si>
    <t>Other Residential Income</t>
  </si>
  <si>
    <t>Commercial Net Income</t>
  </si>
  <si>
    <t>CAPITAL EXPENDITURES</t>
  </si>
  <si>
    <t>Unit Renovations</t>
  </si>
  <si>
    <t>Property-Wide Capital Exp.</t>
  </si>
  <si>
    <t>Commercial TI/LC</t>
  </si>
  <si>
    <t>TOTAL CAPITAL EXPENDITURES</t>
  </si>
  <si>
    <t>Paid from Amount Funded Upfront</t>
  </si>
  <si>
    <t>OPERATING CASH FLOW</t>
  </si>
  <si>
    <t>OPERATING PERFORMANCE METRICS</t>
  </si>
  <si>
    <t>MONTHLY RENT</t>
  </si>
  <si>
    <t>Market Rent (average)</t>
  </si>
  <si>
    <t>Effective Rent (average)</t>
  </si>
  <si>
    <t>Market Rent (incl. Renovation Premium)</t>
  </si>
  <si>
    <t>OPERATING METRICS</t>
  </si>
  <si>
    <t>Physical Occupancy (excl. Non-Rev. units)</t>
  </si>
  <si>
    <t>Economic Occupancy</t>
  </si>
  <si>
    <t>Operating Expense Margin</t>
  </si>
  <si>
    <t>Cumulative Cost Basis</t>
  </si>
  <si>
    <t>NOI Yield</t>
  </si>
  <si>
    <t>Unleveraged Cash Flow Yield</t>
  </si>
  <si>
    <t>Investment Cash Flow</t>
  </si>
  <si>
    <t>IRR</t>
  </si>
  <si>
    <t>TOTAL</t>
  </si>
  <si>
    <t>ANNUAL CASH FLOW DURING HOLD PERIOD</t>
  </si>
  <si>
    <t>ACQUISITION COST</t>
  </si>
  <si>
    <t>Closing Costs (excl. Financing)</t>
  </si>
  <si>
    <t>Upfront Funding of Capital Exp.</t>
  </si>
  <si>
    <t>Operating Expenses</t>
  </si>
  <si>
    <t>Capital Reserves</t>
  </si>
  <si>
    <t>Capital Expenditures</t>
  </si>
  <si>
    <t>DISPOSITION PROCEEDS</t>
  </si>
  <si>
    <t>Gross Sales Proceeds</t>
  </si>
  <si>
    <t>Selling Costs</t>
  </si>
  <si>
    <t>NET SALES PROCEEDS</t>
  </si>
  <si>
    <t>UNLEVERAGED CASH FLOW</t>
  </si>
  <si>
    <t>FINANCING CASH FLOW</t>
  </si>
  <si>
    <t>Loan Drawdowns</t>
  </si>
  <si>
    <t>Loan Closing Costs and Fees</t>
  </si>
  <si>
    <t>Debt Service</t>
  </si>
  <si>
    <t>Prepayment Costs</t>
  </si>
  <si>
    <t>Loan Repayments</t>
  </si>
  <si>
    <t>CASH FLOW FROM LOAN PROCEEDS</t>
  </si>
  <si>
    <t>RESERVES</t>
  </si>
  <si>
    <t>Reserves Funded And Replenished</t>
  </si>
  <si>
    <t>Reserves Used</t>
  </si>
  <si>
    <t>Release of Unused Reserves</t>
  </si>
  <si>
    <t>CASH FLOW FROM RESERVES</t>
  </si>
  <si>
    <t>LEVERAGED CASH FLOW</t>
  </si>
  <si>
    <t>LEVERAGED METRICS</t>
  </si>
  <si>
    <t>Cumulative Equity Requirement</t>
  </si>
  <si>
    <t>Cash on Cash Yield</t>
  </si>
  <si>
    <t>Blended DSCR</t>
  </si>
  <si>
    <t>Sensitivity Analysis</t>
  </si>
  <si>
    <t>PURCHASE PRICE SENSITIVITY</t>
  </si>
  <si>
    <t>CAP RATE SENSITIVITY</t>
  </si>
  <si>
    <t>Returns / Price</t>
  </si>
  <si>
    <t>Returns</t>
  </si>
  <si>
    <t>STARTING MARKET RENT (PER UNIT)</t>
  </si>
  <si>
    <t>UNLEVERAGED INTERNAL RATE OF RETURN AND EQUITY MULTIPLE</t>
  </si>
  <si>
    <t>Starting Market Rent ($/SF)</t>
  </si>
  <si>
    <t>Exit Cap Rate</t>
  </si>
  <si>
    <t>Floor Plans</t>
  </si>
  <si>
    <t>% Incr./Decr.</t>
  </si>
  <si>
    <t>RETURN SUMMARY</t>
  </si>
  <si>
    <t>Unleveraged IRR</t>
  </si>
  <si>
    <t>Yields</t>
  </si>
  <si>
    <t>Unleveraged Yield¹</t>
  </si>
  <si>
    <t>Cash on Cash Yield¹</t>
  </si>
  <si>
    <t>Pricing</t>
  </si>
  <si>
    <t>Exit Price</t>
  </si>
  <si>
    <t>Sources &amp; Uses</t>
  </si>
  <si>
    <t>SOURCES &amp; USES AT CLOSING</t>
  </si>
  <si>
    <t>SOURCES</t>
  </si>
  <si>
    <t>$ Amount</t>
  </si>
  <si>
    <t>% Total</t>
  </si>
  <si>
    <t>USES</t>
  </si>
  <si>
    <t>$ / Unit</t>
  </si>
  <si>
    <r>
      <t>Equity Capital</t>
    </r>
    <r>
      <rPr>
        <b/>
        <sz val="10"/>
        <color theme="3"/>
        <rFont val="Calibri"/>
        <family val="2"/>
      </rPr>
      <t>¹</t>
    </r>
  </si>
  <si>
    <t>Acquisition Costs</t>
  </si>
  <si>
    <t>Reserves for Projected Capital Exp.</t>
  </si>
  <si>
    <t>Total Acquisition Costs</t>
  </si>
  <si>
    <t>Debt Financing</t>
  </si>
  <si>
    <t>Assumable Loan</t>
  </si>
  <si>
    <t>Financing Costs</t>
  </si>
  <si>
    <t>Loan 1</t>
  </si>
  <si>
    <t>Loan Closing Costs</t>
  </si>
  <si>
    <t>Funding of Reserves</t>
  </si>
  <si>
    <t>Total Financing Costs</t>
  </si>
  <si>
    <t>Less:  Proceeds Used for Refinancing</t>
  </si>
  <si>
    <t>Less:  Loan Proceeds Distributed</t>
  </si>
  <si>
    <t>Net Debt Financing</t>
  </si>
  <si>
    <t>TOTAL SOURCES AT CLOSING</t>
  </si>
  <si>
    <t>TOTAL USES AT CLOSING</t>
  </si>
  <si>
    <t>SOURCES &amp; USES OVER HOLD PERIOD</t>
  </si>
  <si>
    <t>Debt Service Shortfall</t>
  </si>
  <si>
    <t>Less:  Loan Proceeds Used for Refinancing</t>
  </si>
  <si>
    <t>Property-Wide Improvements</t>
  </si>
  <si>
    <t>Unit Renovation Costs</t>
  </si>
  <si>
    <t>Cash Flow</t>
  </si>
  <si>
    <t>Commercial TIs/LCs</t>
  </si>
  <si>
    <t>Funded Through Cash Flow</t>
  </si>
  <si>
    <t>Total Capital Expenditures</t>
  </si>
  <si>
    <t>Other Uses</t>
  </si>
  <si>
    <t>Operating Deficit</t>
  </si>
  <si>
    <t>Loan Paydown with Equity</t>
  </si>
  <si>
    <t>Distributions to Investors</t>
  </si>
  <si>
    <t>Total Other Uses</t>
  </si>
  <si>
    <t>TOTAL SOURCES</t>
  </si>
  <si>
    <t>TOTAL USES</t>
  </si>
  <si>
    <r>
      <rPr>
        <sz val="10"/>
        <color theme="0" tint="-0.34995574816125979"/>
        <rFont val="Calibri"/>
        <family val="2"/>
      </rPr>
      <t>¹</t>
    </r>
    <r>
      <rPr>
        <i/>
        <sz val="10"/>
        <color theme="0" tint="-0.34995574816125979"/>
        <rFont val="Calibri"/>
        <family val="2"/>
        <scheme val="minor"/>
      </rPr>
      <t xml:space="preserve"> Total Equity is based on capital requirement after taking into account prior distributions.</t>
    </r>
  </si>
  <si>
    <t>Summary of Input Tabs</t>
  </si>
  <si>
    <t>Required</t>
  </si>
  <si>
    <t>Optional</t>
  </si>
  <si>
    <t>Overwritable</t>
  </si>
  <si>
    <t>Calculated</t>
  </si>
  <si>
    <t>Inputs</t>
  </si>
  <si>
    <t>GENERAL ASSUMPTIONS</t>
  </si>
  <si>
    <t>DEAL IDENTIFIER</t>
  </si>
  <si>
    <t>DEAL TIMING</t>
  </si>
  <si>
    <t>Deal Name</t>
  </si>
  <si>
    <t>Chaney Place Townhomes</t>
  </si>
  <si>
    <t>Closing Date</t>
  </si>
  <si>
    <t>Deal Number</t>
  </si>
  <si>
    <t>Hold Period (yrs)</t>
  </si>
  <si>
    <t>Deal # of Units</t>
  </si>
  <si>
    <t>Date of Exit</t>
  </si>
  <si>
    <t>ACQUISITION AND DISPOSITION ASSUMPTIONS</t>
  </si>
  <si>
    <t>ACQUISITION DETAIL</t>
  </si>
  <si>
    <t>ACQUISITION ASSUMPTIONS</t>
  </si>
  <si>
    <t>DISPOSITION ASSUMPTIONS</t>
  </si>
  <si>
    <t>OTHER CLOSING COST DETAIL</t>
  </si>
  <si>
    <t>Property Pricing</t>
  </si>
  <si>
    <t>Valuation Method</t>
  </si>
  <si>
    <t>Total Price</t>
  </si>
  <si>
    <t>Valuation Basis</t>
  </si>
  <si>
    <t>Forward 12 mo. NOI¹</t>
  </si>
  <si>
    <t>PCA Report</t>
  </si>
  <si>
    <t>Title Insurance (bps)</t>
  </si>
  <si>
    <t>Sales Price</t>
  </si>
  <si>
    <t>Environmental Reports</t>
  </si>
  <si>
    <t>Legal Fees</t>
  </si>
  <si>
    <t>Other Due Diligence</t>
  </si>
  <si>
    <t>ALTA Survey</t>
  </si>
  <si>
    <t>Deferred Maintenance</t>
  </si>
  <si>
    <t>Property Closing Costs</t>
  </si>
  <si>
    <t>Back Due Property Taxes</t>
  </si>
  <si>
    <t>Finder's Fees (bps)</t>
  </si>
  <si>
    <t>Transfer Tax</t>
  </si>
  <si>
    <t>Outstanding Liens</t>
  </si>
  <si>
    <t>Prepayment Penalty*</t>
  </si>
  <si>
    <t>Broker Commission</t>
  </si>
  <si>
    <t>Other Assumed Liabilities</t>
  </si>
  <si>
    <t>Other Misc. Closing Costs</t>
  </si>
  <si>
    <t>Other Closing Costs</t>
  </si>
  <si>
    <t>Total Closing Costs</t>
  </si>
  <si>
    <t>Total Selling Costs</t>
  </si>
  <si>
    <t>Total Other Closing Costs</t>
  </si>
  <si>
    <t>* Cost of acquiring property free and clear (paid to seller)</t>
  </si>
  <si>
    <t>Upfront Funding of Capital Expenditures?</t>
  </si>
  <si>
    <t>No</t>
  </si>
  <si>
    <t>Projected Capital Expenditures</t>
  </si>
  <si>
    <t>¹ NOI after Replacement Reserves</t>
  </si>
  <si>
    <t>REVENUE ASSUMPTIONS</t>
  </si>
  <si>
    <t>REVENUE DETAIL</t>
  </si>
  <si>
    <t>RENT ASSUMPTIONS</t>
  </si>
  <si>
    <t>RENT COMPARISON</t>
  </si>
  <si>
    <t>Mkt Rent</t>
  </si>
  <si>
    <t>Post-Renov.</t>
  </si>
  <si>
    <t>Occupancy Status</t>
  </si>
  <si>
    <t>Monthly Rent</t>
  </si>
  <si>
    <t xml:space="preserve"> Lease</t>
  </si>
  <si>
    <t>Renov.</t>
  </si>
  <si>
    <t>for</t>
  </si>
  <si>
    <t>Loss to Lease</t>
  </si>
  <si>
    <t>Rent Bump</t>
  </si>
  <si>
    <t>Unit Size</t>
  </si>
  <si>
    <t>Beds</t>
  </si>
  <si>
    <t># Units</t>
  </si>
  <si>
    <t>Occupied</t>
  </si>
  <si>
    <t>Non-Rev</t>
  </si>
  <si>
    <t>Status</t>
  </si>
  <si>
    <t>Sensitivity</t>
  </si>
  <si>
    <t>Studio</t>
  </si>
  <si>
    <t>1 Bedroom</t>
  </si>
  <si>
    <t>2 Bedroom</t>
  </si>
  <si>
    <t>3 Bedroom</t>
  </si>
  <si>
    <t>4+ Bedroom</t>
  </si>
  <si>
    <t>Total/Average</t>
  </si>
  <si>
    <t>LEASE EXPIRATION SCHEDULE¹</t>
  </si>
  <si>
    <t>MARKET RENT GROWTH ASSUMPTIONS</t>
  </si>
  <si>
    <t>MONTHLY MARKET RENT GROWTH ASSUMPTIONS</t>
  </si>
  <si>
    <t>Lease Type</t>
  </si>
  <si>
    <t>Timing of Rent Increases</t>
  </si>
  <si>
    <t>Market-rate Units (%)</t>
  </si>
  <si>
    <t>Annually at the end of each year</t>
  </si>
  <si>
    <t>Other Units (%)</t>
  </si>
  <si>
    <t>UNIT RENOVATION ASSUMPTIONS</t>
  </si>
  <si>
    <t>MONTHLY RENOVATION ASSUMPTIONS</t>
  </si>
  <si>
    <t>Detail level for Yrs. 1-3</t>
  </si>
  <si>
    <t>Annually</t>
  </si>
  <si>
    <t>Average</t>
  </si>
  <si>
    <t>Renov. Cost</t>
  </si>
  <si>
    <t>aft. Renov.</t>
  </si>
  <si>
    <t>Mkt Rent¹</t>
  </si>
  <si>
    <t>for Property</t>
  </si>
  <si>
    <t>Renovation Costs are</t>
  </si>
  <si>
    <t>Grown at inflation</t>
  </si>
  <si>
    <t>Renovation Downtime (days)</t>
  </si>
  <si>
    <t>¹ Reflects market rent if renovated at closing; weighted by number of units to be renovated; grown by Market Rent Growth rate</t>
  </si>
  <si>
    <t>Loss Assumptions</t>
  </si>
  <si>
    <t>Non-Revenue Units (% of Market)</t>
  </si>
  <si>
    <t>Loss to Lease (% of Market)</t>
  </si>
  <si>
    <t>Concessions (% of In-Place)</t>
  </si>
  <si>
    <t>Collection Loss (% of Base Rental Rev.)</t>
  </si>
  <si>
    <t>Vacancy (% of Market)</t>
  </si>
  <si>
    <t>Additional Structural Vacancy</t>
  </si>
  <si>
    <t>Vacancy (incl. Renovation Downtime)</t>
  </si>
  <si>
    <t>Line Items</t>
  </si>
  <si>
    <t xml:space="preserve">Unit Type </t>
  </si>
  <si>
    <t>Frequency</t>
  </si>
  <si>
    <t>Garage / Parking</t>
  </si>
  <si>
    <t>Storage</t>
  </si>
  <si>
    <t>Other Income Inflation</t>
  </si>
  <si>
    <t>applied at the end of each year (%)</t>
  </si>
  <si>
    <t xml:space="preserve">Expense Reimbursements </t>
  </si>
  <si>
    <t>$ total</t>
  </si>
  <si>
    <t>per year</t>
  </si>
  <si>
    <t>EXPENSE ASSUMPTIONS</t>
  </si>
  <si>
    <t>DETAILED EXPENSE ASSUMPTIONS</t>
  </si>
  <si>
    <t>ANNUAL OPERATING EXPENSES</t>
  </si>
  <si>
    <t>EXPENSE ALLOCATIONS</t>
  </si>
  <si>
    <t>CUSTOM EXPENSE DISTRIBUTIONS</t>
  </si>
  <si>
    <t>Pro Forma</t>
  </si>
  <si>
    <t>Unit Type</t>
  </si>
  <si>
    <t>Total Annual Amount  ($ total / year)</t>
  </si>
  <si>
    <t xml:space="preserve">Percent of Total Annual Amount distributed over the course of the fiscal year </t>
  </si>
  <si>
    <t>Expense Category</t>
  </si>
  <si>
    <t>Assumption</t>
  </si>
  <si>
    <t>Reimb. %</t>
  </si>
  <si>
    <t>Property Cash Flow Main Category</t>
  </si>
  <si>
    <t>Distribution Type</t>
  </si>
  <si>
    <t>Repair &amp; Maintenance</t>
  </si>
  <si>
    <t>Uniform Distribution</t>
  </si>
  <si>
    <t>Contract Services</t>
  </si>
  <si>
    <t>Security</t>
  </si>
  <si>
    <t>Landscaping / Grounds</t>
  </si>
  <si>
    <t>Personnel</t>
  </si>
  <si>
    <t>Marketing / Advertising</t>
  </si>
  <si>
    <t>Leasing Commissions</t>
  </si>
  <si>
    <t>Personnel / Marketing</t>
  </si>
  <si>
    <t>Administrative Expenses</t>
  </si>
  <si>
    <t>Administrative</t>
  </si>
  <si>
    <t>Turnover / Make-Ready</t>
  </si>
  <si>
    <t>Electricity</t>
  </si>
  <si>
    <t>Utilities</t>
  </si>
  <si>
    <t>Fuel (Gas &amp; Oil)</t>
  </si>
  <si>
    <t>Water &amp; Sewer</t>
  </si>
  <si>
    <t>Other Utilities</t>
  </si>
  <si>
    <t>Insurance</t>
  </si>
  <si>
    <t>Real Estate Taxes</t>
  </si>
  <si>
    <t>Other Property Taxes</t>
  </si>
  <si>
    <t>Property Management Fee</t>
  </si>
  <si>
    <t>Other Operating Expenses</t>
  </si>
  <si>
    <t>Customizable 1</t>
  </si>
  <si>
    <t>Customizable 2</t>
  </si>
  <si>
    <t>General Inflation</t>
  </si>
  <si>
    <t>Real Estate Tax Inflation</t>
  </si>
  <si>
    <t>Allocation of Leasing Commissions</t>
  </si>
  <si>
    <t>to Personnel</t>
  </si>
  <si>
    <t>to Marketing</t>
  </si>
  <si>
    <t>As Revenue</t>
  </si>
  <si>
    <t>DETAILED REAL ESTATE TAX CALCULATIONS</t>
  </si>
  <si>
    <t>Closing</t>
  </si>
  <si>
    <t>Exit</t>
  </si>
  <si>
    <t>Are Property Taxes Reassessed?</t>
  </si>
  <si>
    <t>Early Tax Payment Discount</t>
  </si>
  <si>
    <t>Market Value ($)</t>
  </si>
  <si>
    <t>Assessment Ratio (%)</t>
  </si>
  <si>
    <t>Assessed Value ($)</t>
  </si>
  <si>
    <t>Millage Rate (per $1,000)</t>
  </si>
  <si>
    <t>Reassmnt. Takes Effect Beginning in</t>
  </si>
  <si>
    <t>Reserve Type</t>
  </si>
  <si>
    <t>Projected Reserves ($/unit)</t>
  </si>
  <si>
    <t>PROPERTY-WIDE CAPITAL EXPENSES</t>
  </si>
  <si>
    <t>MONTHLY PROPERTY-WIDE CAPITAL EXPENSES</t>
  </si>
  <si>
    <t>CapEx for Yrs. 1-3 entered</t>
  </si>
  <si>
    <t>% Incr. in</t>
  </si>
  <si>
    <t>Timing of</t>
  </si>
  <si>
    <t>Description</t>
  </si>
  <si>
    <t>Mkt. Rents</t>
  </si>
  <si>
    <t>DEBT ASSUMPTIONS</t>
  </si>
  <si>
    <t>DETAILED DEBT ASSUMPTIONS</t>
  </si>
  <si>
    <t>Assumable</t>
  </si>
  <si>
    <t>ORIGINATED LOANS</t>
  </si>
  <si>
    <t>Loan 2</t>
  </si>
  <si>
    <t>Loan 3</t>
  </si>
  <si>
    <t>FLOATING INTEREST RATES</t>
  </si>
  <si>
    <t>Base Rate Index</t>
  </si>
  <si>
    <t>LOAN RESERVES (LOAN 1)</t>
  </si>
  <si>
    <t>Loan Timing</t>
  </si>
  <si>
    <t>Original Loan Term (months)</t>
  </si>
  <si>
    <t>Origination Month</t>
  </si>
  <si>
    <t>Year Ending</t>
  </si>
  <si>
    <t>When Released (unused)¹</t>
  </si>
  <si>
    <t>Remaining Term (months)</t>
  </si>
  <si>
    <t>Pay off or Refi after (mos):</t>
  </si>
  <si>
    <t>At sale or paydown</t>
  </si>
  <si>
    <t>Paydown Month</t>
  </si>
  <si>
    <t>DSCR</t>
  </si>
  <si>
    <t>Loan to Value (%)</t>
  </si>
  <si>
    <t>Operating Deficits</t>
  </si>
  <si>
    <t>Original Balance</t>
  </si>
  <si>
    <t>DSCR Limit</t>
  </si>
  <si>
    <t xml:space="preserve"> Total Reserves</t>
  </si>
  <si>
    <t>Amount ($)</t>
  </si>
  <si>
    <t>Paydown (incl. fees)</t>
  </si>
  <si>
    <t>Paydown</t>
  </si>
  <si>
    <t>¹ All unused reserves are released upon sale or loan paydown, whichever is sooner.</t>
  </si>
  <si>
    <t>Loan Structure (at origination)</t>
  </si>
  <si>
    <t>Loan Structure</t>
  </si>
  <si>
    <t>Amortization Period (yrs)</t>
  </si>
  <si>
    <t>Int. Only Period (months)</t>
  </si>
  <si>
    <t>Interest Rate Type</t>
  </si>
  <si>
    <t>Fixed</t>
  </si>
  <si>
    <t>Floor (%)</t>
  </si>
  <si>
    <t>Monthly Payment Type</t>
  </si>
  <si>
    <t>Cap (%)</t>
  </si>
  <si>
    <t>Interest Rate (at origination)</t>
  </si>
  <si>
    <t>Base Index</t>
  </si>
  <si>
    <t>Spread (bps)</t>
  </si>
  <si>
    <t>Lender Legal Fees ($)</t>
  </si>
  <si>
    <t>Mortgage Broker Fee (%)</t>
  </si>
  <si>
    <t>Loan Fees</t>
  </si>
  <si>
    <t>Recordation Fee (%)</t>
  </si>
  <si>
    <t>Assumption Fee (%)</t>
  </si>
  <si>
    <t>Loan Points (%)</t>
  </si>
  <si>
    <t>Other Misc. Closing Costs (%)</t>
  </si>
  <si>
    <t>Prepayment Penalty ($)</t>
  </si>
  <si>
    <t>Other Closing Costs (%)</t>
  </si>
  <si>
    <t>Total Other Costs</t>
  </si>
  <si>
    <t>Distributions</t>
  </si>
  <si>
    <t>SENSITIVITY TABLES</t>
  </si>
  <si>
    <t>INPUTS FOR SENSITIVITY TABLES</t>
  </si>
  <si>
    <t>MARKET RENT SENSITIVITY ($/SF)</t>
  </si>
  <si>
    <t>UNLEVERAGED INTERNAL RATE OF RETURN</t>
  </si>
  <si>
    <t>REVERSION</t>
  </si>
  <si>
    <t>Mkt/sf</t>
  </si>
  <si>
    <t>Discounted</t>
  </si>
  <si>
    <t>Market Rent Sensitivities</t>
  </si>
  <si>
    <t>Target Mkt Rent / sf ==&gt;</t>
  </si>
  <si>
    <t>Market Rent Increments ($)</t>
  </si>
  <si>
    <t>Market Rent Increments (%)</t>
  </si>
  <si>
    <t>Purchase Price Sensitivities</t>
  </si>
  <si>
    <t>Purchase Price Increments ($)</t>
  </si>
  <si>
    <t>Purchase Price Increments (%)</t>
  </si>
  <si>
    <t>Purchase Price Rounded to Nearest ($)</t>
  </si>
  <si>
    <t>RENOVATION PREMIUM SENSITIVITY ($/UNIT)</t>
  </si>
  <si>
    <t>UNLEVERAGED EQUITY MULTIPLE</t>
  </si>
  <si>
    <t>Prem./unit</t>
  </si>
  <si>
    <t>% Change</t>
  </si>
  <si>
    <t>Cap Rate Sensitivities</t>
  </si>
  <si>
    <t>Cap Rate Increments (bps)</t>
  </si>
  <si>
    <t>Renovation Premium Sensitivities</t>
  </si>
  <si>
    <t>Average Renovation Premium</t>
  </si>
  <si>
    <t>Renovation Premium Increments (%)</t>
  </si>
  <si>
    <t>Renovation Cost Sensitivities</t>
  </si>
  <si>
    <t>RENOVATION COST SENSITIVITY ($/UNIT)</t>
  </si>
  <si>
    <t>PRICE SENSITIVITY</t>
  </si>
  <si>
    <t>Average Renovation Cost</t>
  </si>
  <si>
    <t>Cost/unit</t>
  </si>
  <si>
    <t>Renovation Cost Increments (%)</t>
  </si>
  <si>
    <t>Year 1 Cash on Cash</t>
  </si>
  <si>
    <t>Selected Historical Columns</t>
  </si>
  <si>
    <t>HARD-CODED VALUES DOWNLOADED FROM redIQ'S WEB INTERFACE</t>
  </si>
  <si>
    <t>ANNUAL TREND REPORT OF HISTORICAL CASH FLOW</t>
  </si>
  <si>
    <t>MONTHLY HISTORICAL CASH FLOW</t>
  </si>
  <si>
    <t>ANNUAL HISTORICAL CASH FLOW</t>
  </si>
  <si>
    <t>per Unit</t>
  </si>
  <si>
    <t>Historical Adjustments / Pro Forma Notes</t>
  </si>
  <si>
    <t>ADJUSTMENTS TO HISTORICALS AND YEAR 1 PRO FORMA</t>
  </si>
  <si>
    <t>Adjustments</t>
  </si>
  <si>
    <t>Adjusted Historicals</t>
  </si>
  <si>
    <t>Variance/</t>
  </si>
  <si>
    <t>Year 1 Pro Forma</t>
  </si>
  <si>
    <t>Inflation</t>
  </si>
  <si>
    <t>per SF</t>
  </si>
  <si>
    <t>MULTIPLE ASSUMABLE LOAN ASSUMPTIONS</t>
  </si>
  <si>
    <t>ASSUMABLE LOAN INPUTS</t>
  </si>
  <si>
    <t>Base Rate</t>
  </si>
  <si>
    <t>Commercial Cash Flow</t>
  </si>
  <si>
    <t>GENERAL DATA</t>
  </si>
  <si>
    <t>COMMERCIAL UNIT SIZE</t>
  </si>
  <si>
    <t>Gross</t>
  </si>
  <si>
    <t>Net</t>
  </si>
  <si>
    <t>Commercial space</t>
  </si>
  <si>
    <t>COMMERCIAL CASH FLOW PROJECTIONS</t>
  </si>
  <si>
    <t>MONTHLY CASH FLOW</t>
  </si>
  <si>
    <t>Tenant Improvements</t>
  </si>
  <si>
    <t>Total Commercial Cash Flows</t>
  </si>
  <si>
    <t>Detailed Calculation Tabs</t>
  </si>
  <si>
    <t>Operating Cash Flow</t>
  </si>
  <si>
    <t>Year</t>
  </si>
  <si>
    <t>ANNUAL UNIT COUNT</t>
  </si>
  <si>
    <t>MONTHLY UNIT COUNT</t>
  </si>
  <si>
    <t>UNITS UNDER MANAGEMENT</t>
  </si>
  <si>
    <t>Total Units Under Management</t>
  </si>
  <si>
    <t>UNIT RENOVATIONS</t>
  </si>
  <si>
    <t>Unrenovated Units (beginning)</t>
  </si>
  <si>
    <t>Total Unrenovated Units</t>
  </si>
  <si>
    <r>
      <t>Units Being Renovated</t>
    </r>
    <r>
      <rPr>
        <b/>
        <sz val="9"/>
        <color theme="3"/>
        <rFont val="Century Gothic"/>
        <family val="2"/>
      </rPr>
      <t xml:space="preserve"> (during period)</t>
    </r>
  </si>
  <si>
    <t>Total Units Being Renovation</t>
  </si>
  <si>
    <t>Downtime (% of Market)</t>
  </si>
  <si>
    <t>Renovated Units (beginning)</t>
  </si>
  <si>
    <t>Total Renovated Units</t>
  </si>
  <si>
    <t>ANNUAL RENT CALCULATIONS</t>
  </si>
  <si>
    <t>MONTHLY RENT CALCULATIONS</t>
  </si>
  <si>
    <t>UNRENOVATED UNITS</t>
  </si>
  <si>
    <t>Market Rent - Unrenovated</t>
  </si>
  <si>
    <t>Average Market Rent - Unrenovated</t>
  </si>
  <si>
    <t>RENOVATED UNITS</t>
  </si>
  <si>
    <t>Market Rent - Renovated</t>
  </si>
  <si>
    <t>Average Market Rent - Renovated</t>
  </si>
  <si>
    <t>WEIGHTED AVERAGE RENTS</t>
  </si>
  <si>
    <t>Weighted Avg. Market Rent</t>
  </si>
  <si>
    <t>OPERATING CASH FLOW PROJECTIONS</t>
  </si>
  <si>
    <t>MONTHLY OPERATING CASH FLOW PROJECTIONS</t>
  </si>
  <si>
    <t>Potential Market Rent before Renovation</t>
  </si>
  <si>
    <t>Operating Expenses (bef. Reimbursements)</t>
  </si>
  <si>
    <t>CALCULATION OF REIMBURSEMENTS AND OTHER INCOME</t>
  </si>
  <si>
    <t>REIMBURSEMENTS</t>
  </si>
  <si>
    <t>Total Reimbursements</t>
  </si>
  <si>
    <t>Total Other Income</t>
  </si>
  <si>
    <t>RENT GROWTH RATE CALCULATIONS</t>
  </si>
  <si>
    <t>MONTHLY RENT GROWTH RATE CALCULATIONS</t>
  </si>
  <si>
    <t>Market-rate Units (1 + %Growth * CapEx Bump)</t>
  </si>
  <si>
    <t>Other Units (1 + %Growth * CapEx Bump)</t>
  </si>
  <si>
    <t>Rent Increases after Capital Projects</t>
  </si>
  <si>
    <t>Leveraged Cash Flow</t>
  </si>
  <si>
    <t>MONTHLY CASH FLOW DURING HOLD PERIOD</t>
  </si>
  <si>
    <t>FINANCING CASH FLOWS</t>
  </si>
  <si>
    <t>Reserves Funded</t>
  </si>
  <si>
    <t>Reserves Replenished</t>
  </si>
  <si>
    <t>UNLEVERAGED METRICS</t>
  </si>
  <si>
    <t>Cumulative Funding Requirement</t>
  </si>
  <si>
    <t>ASSUMABLE LOAN 1</t>
  </si>
  <si>
    <t>Assumption Fee</t>
  </si>
  <si>
    <t>Interest Expense</t>
  </si>
  <si>
    <t>Prepayment Penalty</t>
  </si>
  <si>
    <t>Amortization Schedule</t>
  </si>
  <si>
    <t>Beginning Balance</t>
  </si>
  <si>
    <t>Amortization</t>
  </si>
  <si>
    <t>Ending Balance</t>
  </si>
  <si>
    <t>Adjustment for Floor/Cap</t>
  </si>
  <si>
    <t>Assumable Loan Interest Rate</t>
  </si>
  <si>
    <t>Date Refinanced</t>
  </si>
  <si>
    <t>ASSUMABLE LOAN 2</t>
  </si>
  <si>
    <t>ASSUMABLE LOAN 3</t>
  </si>
  <si>
    <t xml:space="preserve">ORIGINATED LOAN 1 </t>
  </si>
  <si>
    <t>Loan 1 Interest Rate</t>
  </si>
  <si>
    <t>LOAN RESERVE CALCULATIONS</t>
  </si>
  <si>
    <t>Funded at Loan Origination</t>
  </si>
  <si>
    <t>Used (during first six months only)</t>
  </si>
  <si>
    <t>Released</t>
  </si>
  <si>
    <t>Used</t>
  </si>
  <si>
    <t>Funded at Origination and Replenished</t>
  </si>
  <si>
    <t>For Negative NOI</t>
  </si>
  <si>
    <t>For Debt Service</t>
  </si>
  <si>
    <t>EARLY RELEASE TIMING</t>
  </si>
  <si>
    <t>(Loan CF if no I/O Period)</t>
  </si>
  <si>
    <t>Beginning Loan Balance</t>
  </si>
  <si>
    <t>Loan Funding</t>
  </si>
  <si>
    <t>Amortization (no I/O period)</t>
  </si>
  <si>
    <t>Interest Expense (no I/O period)</t>
  </si>
  <si>
    <t>Debt Service (no I/O period)</t>
  </si>
  <si>
    <t>DSCR (no I/O period)</t>
  </si>
  <si>
    <t>Month Reserves Released</t>
  </si>
  <si>
    <t xml:space="preserve">ORIGINATED LOAN 2 </t>
  </si>
  <si>
    <t>Loan 2 Interest Rate</t>
  </si>
  <si>
    <t>ORIGINATED LOAN 3</t>
  </si>
  <si>
    <t>Loan 3 Interest Rate</t>
  </si>
  <si>
    <t>CALCULATION OF REINVESTMENT OF DEBT PROCEEDS</t>
  </si>
  <si>
    <t>Distribution of Excess Loan Proceeds</t>
  </si>
  <si>
    <t>Debt Proceeds Used</t>
  </si>
  <si>
    <t>CALCULATION OF REINVESTMENT FUNDS</t>
  </si>
  <si>
    <t>Funding Req. - Leveraged CF</t>
  </si>
  <si>
    <t>Equity Call - Leveraged CF</t>
  </si>
  <si>
    <t>CAPITAL USES</t>
  </si>
  <si>
    <t>Upfront Funding of Capital Expenditures (Reserves)</t>
  </si>
  <si>
    <t>Operating Costs</t>
  </si>
  <si>
    <t>Less: Expenses Paid by Revenue</t>
  </si>
  <si>
    <t>Capital Expenditures (CapEx + Cap. Reserves)</t>
  </si>
  <si>
    <t>Funding of Loan Reserves</t>
  </si>
  <si>
    <t>Capital Expenses</t>
  </si>
  <si>
    <t>Less: Debt Service Paid by Revenue</t>
  </si>
  <si>
    <t>Loan Paydowns</t>
  </si>
  <si>
    <t>Paydown - Assumable Loan (Incl. Prepayment Penalty)</t>
  </si>
  <si>
    <t>Less: Proceeds from Loan 1 Used to Paydown Assumable Loan</t>
  </si>
  <si>
    <t>Less: Proceeds from Loan 2 Used to Paydown Assumable Loan</t>
  </si>
  <si>
    <t>Less: Proceeds from Loan 3 Used to Paydown Assumable Loan</t>
  </si>
  <si>
    <t>Less: Net Sales Proceeds Used to Paydown Assumable Loan</t>
  </si>
  <si>
    <t>Paydown - Loan 1</t>
  </si>
  <si>
    <t>Less: Proceeds from Loan 2 Used to Paydown Loan 1</t>
  </si>
  <si>
    <t>Less: Proceeds from Loan 3 Used to Paydown Loan 1</t>
  </si>
  <si>
    <t>Less: Net Sales Proceeds Used to Paydown Loan 1</t>
  </si>
  <si>
    <t>Paydown - Loan 2</t>
  </si>
  <si>
    <t>Less: Proceeds from Loan 1 Used to Paydown Loan 2</t>
  </si>
  <si>
    <t>Less: Proceeds from Loan 3 Used to Paydown Loan 2</t>
  </si>
  <si>
    <t>Less: Net Sales Proceeds Used to Paydown Loan 2</t>
  </si>
  <si>
    <t>Paydown - Loan 3</t>
  </si>
  <si>
    <t>Less: Proceeds from Loan 1 Used to Paydown Loan 3</t>
  </si>
  <si>
    <t>Less: Proceeds from Loan 2 Used to Paydown Loan 3</t>
  </si>
  <si>
    <t>Less: Net Sales Proceeds Used to Paydown Loan 3</t>
  </si>
  <si>
    <t>Less: Revenue Distributed to Investors</t>
  </si>
  <si>
    <t>Less: Net Sales Proceeds Distributed to Investors</t>
  </si>
  <si>
    <t>Less: Assumable Loan Proceeds Distributed to Investors</t>
  </si>
  <si>
    <t>Less: Loan 1 Proceeds Distributed to Investors</t>
  </si>
  <si>
    <t>Less: Loan 2 Proceeds Distributed to Investors</t>
  </si>
  <si>
    <t>Less: Loan 3 Proceeds Distributed to Investors</t>
  </si>
  <si>
    <t>TOTAL USES (without double-counting reserves)</t>
  </si>
  <si>
    <t>CAPITAL SOURCES</t>
  </si>
  <si>
    <t>Operating Revenues</t>
  </si>
  <si>
    <t>Net Sales Proceeds</t>
  </si>
  <si>
    <t>Loan Proceeds</t>
  </si>
  <si>
    <t>Proceeds from Assumable Loan</t>
  </si>
  <si>
    <t>Proceeds from Loan 1</t>
  </si>
  <si>
    <t>Proceeds from Loan 2</t>
  </si>
  <si>
    <t>Proceeds from Loan 3</t>
  </si>
  <si>
    <t>Equity Funding</t>
  </si>
  <si>
    <t>Investor capital</t>
  </si>
  <si>
    <t>Reinvestment of prior debt distributions</t>
  </si>
  <si>
    <t>Reinvestment of other prior distributions</t>
  </si>
  <si>
    <t>Reserve Drawdown</t>
  </si>
  <si>
    <t>Upfront Funding Reserve Drawdown</t>
  </si>
  <si>
    <t>Loan Reserve Drawdown</t>
  </si>
  <si>
    <t>Release of Unused Loan Reserves</t>
  </si>
  <si>
    <t>TOTAL SOURCES (without double-counting reserves)</t>
  </si>
  <si>
    <t>ANNUAL RENOVATION CASH FLOW DURING HOLD PERIOD</t>
  </si>
  <si>
    <t>MONTHLY RENOVATION CASH FLOW DURING HOLD PERIOD</t>
  </si>
  <si>
    <t>REVENUE FROM RENOVATIONS</t>
  </si>
  <si>
    <t>TOTAL REVENUE FROM RENOVATIONS</t>
  </si>
  <si>
    <t>Renovation Costs</t>
  </si>
  <si>
    <t>TOTAL OPERATING CASH FLOW</t>
  </si>
  <si>
    <t>ADDED DISPOSITION PROCEEDS</t>
  </si>
  <si>
    <t>NET ADDED SALES PROCEEDS</t>
  </si>
  <si>
    <t>UNLEVERAGED RENOVATION CF</t>
  </si>
  <si>
    <t>Cumulative Renovation Cost Basis</t>
  </si>
  <si>
    <t>Renovation Revenue Yield</t>
  </si>
  <si>
    <t>VALUES TO BE UPLOADED</t>
  </si>
  <si>
    <t>^
^
Field Mapping</t>
  </si>
  <si>
    <t>^
^
Ref Tables</t>
  </si>
  <si>
    <t>^
^
Hidden Calcs</t>
  </si>
  <si>
    <t>Old Historicals</t>
  </si>
  <si>
    <t>TYPE ID TABLE</t>
  </si>
  <si>
    <t>Unit Mix for Renovation tab</t>
  </si>
  <si>
    <t>Monthly Historicals</t>
  </si>
  <si>
    <t>Annual  Historicals</t>
  </si>
  <si>
    <t>Type Name</t>
  </si>
  <si>
    <t>Index</t>
  </si>
  <si>
    <t>Field Name</t>
  </si>
  <si>
    <t>Reimb</t>
  </si>
  <si>
    <t>RM main Categories</t>
  </si>
  <si>
    <t>RMExpLinesExCustom and Leasing comm</t>
  </si>
  <si>
    <t>RM Exp Category</t>
  </si>
  <si>
    <t>RM HIST Allocations</t>
  </si>
  <si>
    <t>Proforma Categories</t>
  </si>
  <si>
    <t>RM HIST Exp Category</t>
  </si>
  <si>
    <t>RM HIST Allocations (condensed)</t>
  </si>
  <si>
    <t>Inflated or Not</t>
  </si>
  <si>
    <t>Yes or No</t>
  </si>
  <si>
    <t>Sales Pricing</t>
  </si>
  <si>
    <t>Acq Valuation</t>
  </si>
  <si>
    <t>Loan Payment Type</t>
  </si>
  <si>
    <t>Base rate</t>
  </si>
  <si>
    <t>IRR calculated</t>
  </si>
  <si>
    <t>FlPl Renov Status</t>
  </si>
  <si>
    <t>Exp Unit Type</t>
  </si>
  <si>
    <t>Exp Unit Type Id</t>
  </si>
  <si>
    <t>Expense Distribution</t>
  </si>
  <si>
    <t>Input Detail</t>
  </si>
  <si>
    <t>End of Month 0</t>
  </si>
  <si>
    <t>Comment indexing</t>
  </si>
  <si>
    <t>Note List</t>
  </si>
  <si>
    <t>Loan Ranking</t>
  </si>
  <si>
    <t>Unit Summary (type)</t>
  </si>
  <si>
    <t>Unit Summary (# bed for formual)</t>
  </si>
  <si>
    <t>Occ. Renov</t>
  </si>
  <si>
    <t>Occ. Unrenov</t>
  </si>
  <si>
    <t>Occ. Renov SF</t>
  </si>
  <si>
    <t>Occ. Unrenov. SF</t>
  </si>
  <si>
    <t>FloorPlans chart data</t>
  </si>
  <si>
    <t>Occ Status chart data</t>
  </si>
  <si>
    <t>DashBrd Label</t>
  </si>
  <si>
    <t>DashBoard</t>
  </si>
  <si>
    <t>Renovation Metrics</t>
  </si>
  <si>
    <t>Metrics</t>
  </si>
  <si>
    <t>Column for Trend table</t>
  </si>
  <si>
    <t>Validations/Settings</t>
  </si>
  <si>
    <t>Lease Expiration Schedule</t>
  </si>
  <si>
    <t>MonthlyDatesOld</t>
  </si>
  <si>
    <t>YearEndingDateOld</t>
  </si>
  <si>
    <t>Disp Valuation Type</t>
  </si>
  <si>
    <t>Yes</t>
  </si>
  <si>
    <t>1M LIBOR</t>
  </si>
  <si>
    <t>Annual</t>
  </si>
  <si>
    <t>$ / unit</t>
  </si>
  <si>
    <t>/ unit</t>
  </si>
  <si>
    <t>Renovation ROI</t>
  </si>
  <si>
    <t>Is Commercial Populated</t>
  </si>
  <si>
    <t>As Contra Expense</t>
  </si>
  <si>
    <t>per month</t>
  </si>
  <si>
    <t>Monthly - uniform % of annual rate</t>
  </si>
  <si>
    <t>Not grown at inflation</t>
  </si>
  <si>
    <t>Trailing 12 mo. NOI¹</t>
  </si>
  <si>
    <t>Price per Unit</t>
  </si>
  <si>
    <t>Floating</t>
  </si>
  <si>
    <t>Variable</t>
  </si>
  <si>
    <t>3M LIBOR</t>
  </si>
  <si>
    <t>$ / sf</t>
  </si>
  <si>
    <t>/ sf</t>
  </si>
  <si>
    <t>Custom Distribution</t>
  </si>
  <si>
    <t>Purchase Price per Unit</t>
  </si>
  <si>
    <t>Renovation IRR</t>
  </si>
  <si>
    <t>Printer Friendly Formatting</t>
  </si>
  <si>
    <t>Same Exp.</t>
  </si>
  <si>
    <t>MonthlyPotentialMarketRentOld</t>
  </si>
  <si>
    <t>YearlyPotentialMarketRentOld</t>
  </si>
  <si>
    <t>Other Closing Costs Type</t>
  </si>
  <si>
    <t>$ / occ. unit</t>
  </si>
  <si>
    <t>User-defined monthly inputs</t>
  </si>
  <si>
    <t>Cap Rate (Proforma)¹</t>
  </si>
  <si>
    <t>6M LIBOR</t>
  </si>
  <si>
    <t>Required Equity</t>
  </si>
  <si>
    <t>Total Renovation Costs</t>
  </si>
  <si>
    <t>First Opening</t>
  </si>
  <si>
    <t>MonthlyLosstoLeaseGaintoLeaseOld</t>
  </si>
  <si>
    <t>YearlyLosstoLeaseGaintoLeaseOld</t>
  </si>
  <si>
    <t>12M LIBOR</t>
  </si>
  <si>
    <t>% EGR</t>
  </si>
  <si>
    <t>of EGR</t>
  </si>
  <si>
    <t>Average Cost per Unit</t>
  </si>
  <si>
    <t>Expense Delete Explanation</t>
  </si>
  <si>
    <t>PctTotalDetailCCAcq</t>
  </si>
  <si>
    <t>Target Leveraged IRR</t>
  </si>
  <si>
    <t>5Y Treasury</t>
  </si>
  <si>
    <t>% over Historicals</t>
  </si>
  <si>
    <t>% over Hist.</t>
  </si>
  <si>
    <t>&gt;3</t>
  </si>
  <si>
    <t>Sales Price per Unit</t>
  </si>
  <si>
    <t>$ Increase in Exit Price</t>
  </si>
  <si>
    <t>Is Renovation Populated</t>
  </si>
  <si>
    <t>Revenue input method Type</t>
  </si>
  <si>
    <t>Manual</t>
  </si>
  <si>
    <t>7Y Treasury</t>
  </si>
  <si>
    <t>Going-In Cap Rate (Trail.)</t>
  </si>
  <si>
    <t>% Increase in Exit Price</t>
  </si>
  <si>
    <t>Is Assumable Loan</t>
  </si>
  <si>
    <t>MonthlyVacancyOld</t>
  </si>
  <si>
    <t>YearlyVacancyOld</t>
  </si>
  <si>
    <t>Prior Rent Roll</t>
  </si>
  <si>
    <t>will be added in the future releases</t>
  </si>
  <si>
    <t>10Y Treasury</t>
  </si>
  <si>
    <t>Going-In Cap Rate (Fwd.)</t>
  </si>
  <si>
    <t>Column forDelta table</t>
  </si>
  <si>
    <t>Is Multiple Assumed Loans</t>
  </si>
  <si>
    <t>MonthlyConcessionsOld</t>
  </si>
  <si>
    <t>YearlyConcessionsOld</t>
  </si>
  <si>
    <t>Latest Rent Roll</t>
  </si>
  <si>
    <t>30Y Treasury</t>
  </si>
  <si>
    <t>Cash on Cash (Year 1)</t>
  </si>
  <si>
    <t>Is Assumable Loan 1</t>
  </si>
  <si>
    <t>MonthlyNonRevenueUnitsOld</t>
  </si>
  <si>
    <t>YearlyNonRevenueUnitsOld</t>
  </si>
  <si>
    <t>Loan Closing Costs Type</t>
  </si>
  <si>
    <t>Closing Costs (%)</t>
  </si>
  <si>
    <t>5Y LIBOR swap</t>
  </si>
  <si>
    <t>Is Assumable Loan 2</t>
  </si>
  <si>
    <t>MonthlyCollectionLossOld</t>
  </si>
  <si>
    <t>YearlyCollectionLossOld</t>
  </si>
  <si>
    <t>DetCCTotal</t>
  </si>
  <si>
    <t>7Y LIBOR swap</t>
  </si>
  <si>
    <t>Assum 1</t>
  </si>
  <si>
    <t>Assum 2</t>
  </si>
  <si>
    <t>Assum 3</t>
  </si>
  <si>
    <t>LTV on All-in Costs</t>
  </si>
  <si>
    <t>Is Assumable Loan 3</t>
  </si>
  <si>
    <t>Market Rent Growth Type</t>
  </si>
  <si>
    <t>10Y LIBOR swap</t>
  </si>
  <si>
    <t>Name:</t>
  </si>
  <si>
    <t>Assumable 1</t>
  </si>
  <si>
    <t>Assumable 2</t>
  </si>
  <si>
    <t>Assumable 3</t>
  </si>
  <si>
    <t>Exit Cap Rate (Trail.)</t>
  </si>
  <si>
    <t>Is Loan 1</t>
  </si>
  <si>
    <t>Prime</t>
  </si>
  <si>
    <t>Being Used:</t>
  </si>
  <si>
    <t>Exit Cap Rate (Fwd.)</t>
  </si>
  <si>
    <t>Is Loan 2</t>
  </si>
  <si>
    <t>MonthlyGarageParkingOld</t>
  </si>
  <si>
    <t>YearlyGarageParkingOld</t>
  </si>
  <si>
    <t>Loan # for Out:</t>
  </si>
  <si>
    <t>Is Loan 3</t>
  </si>
  <si>
    <t>MonthlyStorageOld</t>
  </si>
  <si>
    <t>YealyStorageOld</t>
  </si>
  <si>
    <t>Input Detail Type</t>
  </si>
  <si>
    <t>Reimbursements</t>
  </si>
  <si>
    <t>Leveraged IRR</t>
  </si>
  <si>
    <t>Pointer to IRibbonUI</t>
  </si>
  <si>
    <t>MonthlyExpenseReimbursementsOld</t>
  </si>
  <si>
    <t>YearlyExpenseReimbursementsOld</t>
  </si>
  <si>
    <t>Equity Multiple</t>
  </si>
  <si>
    <t>Show Sensitivity Popup</t>
  </si>
  <si>
    <t>MonthlyOtherResidentialIncomeOld</t>
  </si>
  <si>
    <t>YearlyOtherResidentialIncomeOld</t>
  </si>
  <si>
    <t>Loan Amount Type</t>
  </si>
  <si>
    <t>MaxLoanTerm</t>
  </si>
  <si>
    <t>MonthlyCommercialNetIncomeOld</t>
  </si>
  <si>
    <t>YearlyCommercialNetIncomeOld</t>
  </si>
  <si>
    <t>Show Update Floor Plans</t>
  </si>
  <si>
    <t>Grown or Not Type</t>
  </si>
  <si>
    <t>Partnership IRR</t>
  </si>
  <si>
    <t>Rev  input method override</t>
  </si>
  <si>
    <t>Partnership Equity Mult.</t>
  </si>
  <si>
    <t>RentRoll Downloaded</t>
  </si>
  <si>
    <t>Going-In Cap Rate Sensitivity Type</t>
  </si>
  <si>
    <t>Proforma NOI</t>
  </si>
  <si>
    <t>Show Logo Popup</t>
  </si>
  <si>
    <t>Historical NOI</t>
  </si>
  <si>
    <t>Restore Historicals</t>
  </si>
  <si>
    <t>Market Value at Closing Type</t>
  </si>
  <si>
    <t>Override</t>
  </si>
  <si>
    <t>Update Historicals</t>
  </si>
  <si>
    <t>Formula</t>
  </si>
  <si>
    <t>Historicals Downloaded</t>
  </si>
  <si>
    <t>Expense Entry Method type</t>
  </si>
  <si>
    <t>Entered Directly</t>
  </si>
  <si>
    <t>UnselectTabs</t>
  </si>
  <si>
    <t>MonthlyRepairMaintenanceOld</t>
  </si>
  <si>
    <t>YearlyRepairMaintenanceOld</t>
  </si>
  <si>
    <t>Populated from Historicals</t>
  </si>
  <si>
    <t>Post Renovation Year</t>
  </si>
  <si>
    <t>MonthlyContractServicesOld</t>
  </si>
  <si>
    <t>YearlyContractServicesOld</t>
  </si>
  <si>
    <t>Populated from Detail Expenses</t>
  </si>
  <si>
    <t>Update Sensitivity</t>
  </si>
  <si>
    <t>MonthlySecurityOld</t>
  </si>
  <si>
    <t>YearlySecurityOld</t>
  </si>
  <si>
    <t>Reimbursement Method Type</t>
  </si>
  <si>
    <t>Show Download Popup</t>
  </si>
  <si>
    <t>MonthlyLandscapingGroundsOld</t>
  </si>
  <si>
    <t>YearlyLandscapingGroundsOld</t>
  </si>
  <si>
    <t>Username</t>
  </si>
  <si>
    <t>MonthlyPersonnelOld</t>
  </si>
  <si>
    <t>YearlyPersonnelOld</t>
  </si>
  <si>
    <t>Acq Valuation Method Type</t>
  </si>
  <si>
    <t>https://connect.rediq.io/rediq/app-svc</t>
  </si>
  <si>
    <t>Pointer to Environment</t>
  </si>
  <si>
    <t>MonthlyMarketingAdvertisingOld</t>
  </si>
  <si>
    <t>YearlyMarketingAdvertisingOld</t>
  </si>
  <si>
    <t>AssumableLoanInputCutOff</t>
  </si>
  <si>
    <t>MonthlyLeasingCommissionsOld</t>
  </si>
  <si>
    <t>YearlyLeasingCommissionsOld</t>
  </si>
  <si>
    <t>AssumableLoansListCount</t>
  </si>
  <si>
    <t>MonthlyAdministrativeExpensesOld</t>
  </si>
  <si>
    <t>YearlyAdministrativeExpensesOld</t>
  </si>
  <si>
    <t>AssumableLoanBaseRateInputCutOff</t>
  </si>
  <si>
    <t>MonthlyTurnoverMakeReadyOld</t>
  </si>
  <si>
    <t>YearlyTurnoverMakeReadyOld</t>
  </si>
  <si>
    <t>AssumableLoanInterestRatesListCount</t>
  </si>
  <si>
    <t>MonthlyElectricityOld</t>
  </si>
  <si>
    <t>YearlyElectricityOld</t>
  </si>
  <si>
    <t xml:space="preserve">Price Sensitivity Increment Type </t>
  </si>
  <si>
    <t>MonthlyFuelGasOilOld</t>
  </si>
  <si>
    <t>YearlyFuelGasOilOld</t>
  </si>
  <si>
    <t>MonthlyWaterSewerOld</t>
  </si>
  <si>
    <t>YearlyWaterSewerOld</t>
  </si>
  <si>
    <t>Loan Interest Rate Type</t>
  </si>
  <si>
    <t>MonthlyOtherUtilitiesOld</t>
  </si>
  <si>
    <t>YearlyOtherUtilitiesOld</t>
  </si>
  <si>
    <t>MonthlyInsuranceOld</t>
  </si>
  <si>
    <t>YearlyInsuranceOld</t>
  </si>
  <si>
    <t>MonthlyRealEstateTaxesOld</t>
  </si>
  <si>
    <t>YearlyRealEstateTaxesOld</t>
  </si>
  <si>
    <t>MonthlyOtherPropertyTaxesOld</t>
  </si>
  <si>
    <t>YearlyOtherPropertyTaxesOld</t>
  </si>
  <si>
    <t>Irr Calculated Type</t>
  </si>
  <si>
    <t>MonthlyPropertyManagementFeeOld</t>
  </si>
  <si>
    <t>YearlyPropertyManagementFeeOld</t>
  </si>
  <si>
    <t>MonthlyOtherOperatingExpensesOld</t>
  </si>
  <si>
    <t>YearlyOtherOperatingExpensesOld</t>
  </si>
  <si>
    <t>Disp Valuation Basis Type</t>
  </si>
  <si>
    <t>MonthlyReimbursementsOld</t>
  </si>
  <si>
    <t>YearlyReimbursementsOld</t>
  </si>
  <si>
    <t>New Historicals</t>
  </si>
  <si>
    <t>Market Rent Sensitivity Increment Type</t>
  </si>
  <si>
    <t>MonthlyDatesFromHistoricals</t>
  </si>
  <si>
    <t>YearEndingDateFromHistoricals</t>
  </si>
  <si>
    <t>Leveraged IRR Sensitivity Type</t>
  </si>
  <si>
    <t>MonthlyPotentialMarketRentFromHistoricals</t>
  </si>
  <si>
    <t>YearlyPotentialMarketRentFromHistoricals</t>
  </si>
  <si>
    <t>Floor Plan Renoavtion Status</t>
  </si>
  <si>
    <t>MonthlyLosstoLeaseGaintoLeaseFromHistoricals</t>
  </si>
  <si>
    <t>YearlyLosstoLeaseGaintoLeaseFromHistoricals</t>
  </si>
  <si>
    <t>MonthlyVacancyFromHistoricals</t>
  </si>
  <si>
    <t>YearlyVacancyFromHistoricals</t>
  </si>
  <si>
    <t>MonthlyConcessionsFromHistoricals</t>
  </si>
  <si>
    <t>YearlyConcessionsFromHistoricals</t>
  </si>
  <si>
    <t>MonthlyNonRevenueUnitsFromHistoricals</t>
  </si>
  <si>
    <t>YearlyNonRevenueUnitsFromHistoricals</t>
  </si>
  <si>
    <t>MonthlyCollectionLossFromHistoricals</t>
  </si>
  <si>
    <t>YearlyCollectionLossFromHistoricals</t>
  </si>
  <si>
    <t>MonthlyGarageParkingFromHistoricals</t>
  </si>
  <si>
    <t>YearlyGarageParkingFromHistoricals</t>
  </si>
  <si>
    <t>MonthlyStorageFromHistoricals</t>
  </si>
  <si>
    <t>YearlyStorageFromHistoricals</t>
  </si>
  <si>
    <t>MonthlyExpenseReimbursementsFromHistoricals</t>
  </si>
  <si>
    <t>YearlyExpenseReimbursementsFromHistoricals</t>
  </si>
  <si>
    <t>MonthlyOtherResidentialIncomeFromHistoricals</t>
  </si>
  <si>
    <t>YearlyOtherResidentialIncomeFromHistoricals</t>
  </si>
  <si>
    <t>MonthlyCommercialNetIncomeFromHistoricals</t>
  </si>
  <si>
    <t>YearlyCommercialNetIncomeFromHistoricals</t>
  </si>
  <si>
    <t>MonthlyRepairMaintenanceFromHistoricals</t>
  </si>
  <si>
    <t>YearlyRepairMaintenanceFromHistoricals</t>
  </si>
  <si>
    <t>MonthlyContractServicesFromHistoricals</t>
  </si>
  <si>
    <t>YearlyContractServicesFromHistoricals</t>
  </si>
  <si>
    <t>MonthlySecurityFromHistoricals</t>
  </si>
  <si>
    <t>YearlySecurityFromHistoricals</t>
  </si>
  <si>
    <t>MonthlyLandscapingGroundsFromHistoricals</t>
  </si>
  <si>
    <t>YearlyLandscapingGroundsFromHistoricals</t>
  </si>
  <si>
    <t>MonthlyPersonnelFromHistoricals</t>
  </si>
  <si>
    <t>YearlyPersonnelFromHistoricals</t>
  </si>
  <si>
    <t>MonthlyMarketingAdvertisingFromHistoricals</t>
  </si>
  <si>
    <t>YearlyMarketingAdvertisingFromHistoricals</t>
  </si>
  <si>
    <t>MonthlyLeasingCommissionsFromHistoricals</t>
  </si>
  <si>
    <t>YearlyLeasingCommissionsFromHistoricals</t>
  </si>
  <si>
    <t>MonthlyAdministrativeExpensesFromHistoricals</t>
  </si>
  <si>
    <t>YearlyAdministrativeExpensesFromHistoricals</t>
  </si>
  <si>
    <t>MonthlyTurnoverMakeReadyFromHistoricals</t>
  </si>
  <si>
    <t>YearlyTurnoverMakeReadyFromHistoricals</t>
  </si>
  <si>
    <t>MonthlyElectricityFromHistoricals</t>
  </si>
  <si>
    <t>YearlyElectricityFromHistoricals</t>
  </si>
  <si>
    <t>MonthlyFuelGasOilFromHistoricals</t>
  </si>
  <si>
    <t>YearlyFuelGasOilFromHistoricals</t>
  </si>
  <si>
    <t>MonthlyWaterSewerFromHistoricals</t>
  </si>
  <si>
    <t>YearlyWaterSewerFromHistoricals</t>
  </si>
  <si>
    <t>MonthlyOtherUtilitiesFromHistoricals</t>
  </si>
  <si>
    <t>YearlyOtherUtilitiesFromHistoricals</t>
  </si>
  <si>
    <t>MonthlyInsuranceFromHistoricals</t>
  </si>
  <si>
    <t>YearlyInsuranceFromHistoricals</t>
  </si>
  <si>
    <t>MonthlyRealEstateTaxesFromHistoricals</t>
  </si>
  <si>
    <t>YearlyRealEstateTaxesFromHistoricals</t>
  </si>
  <si>
    <t>MonthlyOtherPropertyTaxesFromhistyoricals</t>
  </si>
  <si>
    <t>YearlyOtherPropertyTaxesFromhistyoricals</t>
  </si>
  <si>
    <t>MonthlyPropertyManagementFeeFromHistoricals</t>
  </si>
  <si>
    <t>YearlyPropertyManagementFeeFromHistoricals</t>
  </si>
  <si>
    <t>MonthlyOtherOperatingExpensesFromHistoricals</t>
  </si>
  <si>
    <t>YearlyOtherOperatingExpensesFromHistoricals</t>
  </si>
  <si>
    <t>MonthlyReimbursementsFromHistoricals</t>
  </si>
  <si>
    <t>YearlyReimbursementsFromHistoricals</t>
  </si>
  <si>
    <t>Trnsfrd FlPls</t>
  </si>
  <si>
    <t xml:space="preserve">Market </t>
  </si>
  <si>
    <t xml:space="preserve">In Place </t>
  </si>
  <si>
    <t>Renov Status</t>
  </si>
  <si>
    <t>Same Units</t>
  </si>
  <si>
    <t>Same size</t>
  </si>
  <si>
    <t>Same Occupied</t>
  </si>
  <si>
    <t>Same Vacant</t>
  </si>
  <si>
    <t>Same Non_rev</t>
  </si>
  <si>
    <t>Same Lease type</t>
  </si>
  <si>
    <t>Same Renov Status</t>
  </si>
  <si>
    <t>Same In-Place</t>
  </si>
  <si>
    <t>Same Market</t>
  </si>
  <si>
    <t>Same $/sf</t>
  </si>
  <si>
    <t>Market Rent-Vacant</t>
  </si>
  <si>
    <t>Market Rent-Non_rev</t>
  </si>
  <si>
    <t>LTL</t>
  </si>
  <si>
    <t>Number of leases expiring</t>
  </si>
  <si>
    <t>old rent roll</t>
  </si>
  <si>
    <t>new rent roll</t>
  </si>
  <si>
    <t>restore rent roll</t>
  </si>
  <si>
    <t>Inplace</t>
  </si>
  <si>
    <t>Date</t>
  </si>
  <si>
    <t># of units</t>
  </si>
  <si>
    <t>open</t>
  </si>
  <si>
    <t>close</t>
  </si>
  <si>
    <t>Multiple Assumable Loans</t>
  </si>
  <si>
    <t>^
^
Spill Error Check</t>
  </si>
  <si>
    <t>redIQ</t>
  </si>
  <si>
    <t xml:space="preserve">^
^
Preset Assumptions </t>
  </si>
  <si>
    <t>Going In Cap Rate</t>
  </si>
  <si>
    <t>Months in Hold</t>
  </si>
  <si>
    <t>Total Cap Inflation</t>
  </si>
  <si>
    <t>Incremental Cap Infl</t>
  </si>
  <si>
    <t>Refi LTV Display</t>
  </si>
  <si>
    <t>Refi Constraint</t>
  </si>
  <si>
    <t>Constraint Val</t>
  </si>
  <si>
    <t>Display Helper</t>
  </si>
  <si>
    <t>Show Bridge/Refi Control</t>
  </si>
  <si>
    <t>Show Model BackUp</t>
  </si>
  <si>
    <t>Master Control</t>
  </si>
  <si>
    <t>Total Costs for Bridge</t>
  </si>
  <si>
    <t>Bridge Loan Amt</t>
  </si>
  <si>
    <t>Display</t>
  </si>
  <si>
    <t>Capex</t>
  </si>
  <si>
    <t>Financing</t>
  </si>
  <si>
    <t>Reserves</t>
  </si>
  <si>
    <t>Partnership</t>
  </si>
  <si>
    <t>Total Costs</t>
  </si>
  <si>
    <t>Included</t>
  </si>
  <si>
    <t>Incls Rem</t>
  </si>
  <si>
    <t>Enter Assumptions</t>
  </si>
  <si>
    <t>Add Bridge</t>
  </si>
  <si>
    <t>Add Bridge, Add Refi to to Loan 2</t>
  </si>
  <si>
    <t>Add Bridge, Add Refi to to Loan 3</t>
  </si>
  <si>
    <t>Too Many Loans</t>
  </si>
  <si>
    <t>Add Refi to Loan 1</t>
  </si>
  <si>
    <t>Add Refi to Loan 2</t>
  </si>
  <si>
    <t>Add Refi to Loan 3</t>
  </si>
  <si>
    <t>1M Term SOFR</t>
  </si>
  <si>
    <t>1M Avg SOFR</t>
  </si>
  <si>
    <t>IsKeyCloakLoginTemplate</t>
  </si>
  <si>
    <t>Untrended Yield-on-Cost</t>
  </si>
  <si>
    <t>Trended Yield-on-Cost</t>
  </si>
  <si>
    <t>a4642c70-922f-4135-8089-753738e6d104</t>
  </si>
  <si>
    <t>06a679e6-c12d-4ca4-ac68-f72b2e0cb37b</t>
  </si>
  <si>
    <t>1060 Southeast Chaney Place Drive</t>
  </si>
  <si>
    <t>Huntsville</t>
  </si>
  <si>
    <t>AL</t>
  </si>
  <si>
    <t>35803</t>
  </si>
  <si>
    <t>Cap Rate (Historical)¹</t>
  </si>
  <si>
    <t>2x2.5</t>
  </si>
  <si>
    <t/>
  </si>
  <si>
    <t>3x3.5</t>
  </si>
  <si>
    <t>Cap Rate on</t>
  </si>
  <si>
    <t>Cable / Internet Income</t>
  </si>
  <si>
    <t>Pest Income</t>
  </si>
  <si>
    <t>Trash Income</t>
  </si>
  <si>
    <t>Pet Rent</t>
  </si>
  <si>
    <t>Code</t>
  </si>
  <si>
    <t>Category</t>
  </si>
  <si>
    <t>Line Item</t>
  </si>
  <si>
    <t>Income</t>
  </si>
  <si>
    <t>Gross Potential Rent</t>
  </si>
  <si>
    <t>pmr</t>
  </si>
  <si>
    <t>40110-0000 - Market Rent</t>
  </si>
  <si>
    <t>ltl</t>
  </si>
  <si>
    <t>40120-0000 - Loss to Lease</t>
  </si>
  <si>
    <t>Vacancy, Losses &amp; Concessions</t>
  </si>
  <si>
    <t>vac</t>
  </si>
  <si>
    <t>40210-0000 - Vacant - Physical</t>
  </si>
  <si>
    <t>conc</t>
  </si>
  <si>
    <t>40310-0000 - Move-In Discounts</t>
  </si>
  <si>
    <t>emp</t>
  </si>
  <si>
    <t>Employee Apartment Allowance</t>
  </si>
  <si>
    <t>40330-0000 - Employee Discounts</t>
  </si>
  <si>
    <t>cl</t>
  </si>
  <si>
    <t>40410-0000 - Bad Debt Write Off</t>
  </si>
  <si>
    <t>Total Vacancy, Losses &amp; Concessions</t>
  </si>
  <si>
    <t>Net Rental Income</t>
  </si>
  <si>
    <t>oin</t>
  </si>
  <si>
    <t>42010-0000 - Administrative Fee</t>
  </si>
  <si>
    <t>42020-0000 - Application Fees</t>
  </si>
  <si>
    <t>42040-0000 - Month to Month Fees</t>
  </si>
  <si>
    <t>42050-0000 - Late Fees</t>
  </si>
  <si>
    <t>42060-0000 - NSF Fees</t>
  </si>
  <si>
    <t>42070-0000 - Early Termination Fees</t>
  </si>
  <si>
    <t>42080-0000 - Security Deposit Forfeitures</t>
  </si>
  <si>
    <t>42090-0000 - Cleaning/Damage Income</t>
  </si>
  <si>
    <t>42120-0000 - Pet Fees (Non-Refundable)</t>
  </si>
  <si>
    <t>42130-0000 - Pet Rents</t>
  </si>
  <si>
    <t>42210-0000 - Lock &amp; Key Replacement Fees</t>
  </si>
  <si>
    <t>cabi</t>
  </si>
  <si>
    <t>Cable Income</t>
  </si>
  <si>
    <t>42220-0000 - Cable/Internet Income</t>
  </si>
  <si>
    <t>pstr</t>
  </si>
  <si>
    <t>Pest Reimbursements</t>
  </si>
  <si>
    <t>42240-0000 - Pest Control Income</t>
  </si>
  <si>
    <t>42260-0000 - Renter's Insurance</t>
  </si>
  <si>
    <t>42999-0000 - Miscellaneous Income</t>
  </si>
  <si>
    <t>ure</t>
  </si>
  <si>
    <t>Utility Reimbursement Electricity</t>
  </si>
  <si>
    <t>44100-0000 - Electric Income</t>
  </si>
  <si>
    <t>trhi</t>
  </si>
  <si>
    <t>44500-0000 - Trash Income</t>
  </si>
  <si>
    <t>Total Income</t>
  </si>
  <si>
    <t>Expenses</t>
  </si>
  <si>
    <t>Payroll &amp; Related</t>
  </si>
  <si>
    <t>61010-0000 - Management &amp; Admin</t>
  </si>
  <si>
    <t>61020-0000 - Leasing</t>
  </si>
  <si>
    <t>61030-0000 - Maintenance</t>
  </si>
  <si>
    <t>61040-0000 - Groundskeeper</t>
  </si>
  <si>
    <t>61080-0000 - Other Bonus</t>
  </si>
  <si>
    <t>61090-0000 - Payroll Taxes</t>
  </si>
  <si>
    <t>pers</t>
  </si>
  <si>
    <t>Total Payroll &amp; Related</t>
  </si>
  <si>
    <t>Management Fees</t>
  </si>
  <si>
    <t>62100-0000 - Property Management Fees</t>
  </si>
  <si>
    <t>mgt</t>
  </si>
  <si>
    <t>Total Management Fees</t>
  </si>
  <si>
    <t>pest</t>
  </si>
  <si>
    <t>Pest</t>
  </si>
  <si>
    <t>63010-0000 - Pest Control/Termite</t>
  </si>
  <si>
    <t>ls</t>
  </si>
  <si>
    <t>63020-0000 - Lawn Care Service</t>
  </si>
  <si>
    <t>cbl</t>
  </si>
  <si>
    <t>Cable</t>
  </si>
  <si>
    <t>63050-0000 - Bulk Cable/Internet</t>
  </si>
  <si>
    <t>rm</t>
  </si>
  <si>
    <t>Building Repair &amp; Maintenance</t>
  </si>
  <si>
    <t>63070-0000 - Cleaning Services</t>
  </si>
  <si>
    <t>trsh</t>
  </si>
  <si>
    <t>Trash</t>
  </si>
  <si>
    <t>63080-0000 - Valet Trash Service</t>
  </si>
  <si>
    <t>63900-0000 - Other Contract Services</t>
  </si>
  <si>
    <t>Total Contract Services</t>
  </si>
  <si>
    <t>64010-0000 - Office Supplies</t>
  </si>
  <si>
    <t>64020-0000 - Forms &amp; Printing</t>
  </si>
  <si>
    <t>64070-0000 - Postage and Delivery</t>
  </si>
  <si>
    <t>64090-0000 - Answering Service</t>
  </si>
  <si>
    <t>64100-0000 - Office/Clubhouse/Pool Phones</t>
  </si>
  <si>
    <t>64110-0000 - Mobile Phones/Radios</t>
  </si>
  <si>
    <t>64120-0000 - Office Internet Service</t>
  </si>
  <si>
    <t>64130-0000 - Data Processing &amp; Software</t>
  </si>
  <si>
    <t>64150-0000 - Membership Dues &amp; Subscriptions</t>
  </si>
  <si>
    <t>64160-0000 - License &amp; Permit Fees</t>
  </si>
  <si>
    <t>64170-0000 - Payroll Processing</t>
  </si>
  <si>
    <t>64190-0000 - Evictions/Court Costs/Other Legal</t>
  </si>
  <si>
    <t>64200-0000 - Vehicle Expenses</t>
  </si>
  <si>
    <t>64210-0000 - Travel Expenses</t>
  </si>
  <si>
    <t>64220-0000 - Bank Charges</t>
  </si>
  <si>
    <t>64240-0000 - Credit Reports</t>
  </si>
  <si>
    <t>64250-0000 - Meals &amp; Entertainment</t>
  </si>
  <si>
    <t>64290-0000 - Accounting/Bookkeeping</t>
  </si>
  <si>
    <t>64900-0000 - Other General &amp; Admin Expense</t>
  </si>
  <si>
    <t>admex</t>
  </si>
  <si>
    <t>Total Administrative Expenses</t>
  </si>
  <si>
    <t>Marketing Expenses</t>
  </si>
  <si>
    <t>65010-0000 - Digital Ads/SEO - Rentvision</t>
  </si>
  <si>
    <t>65030-0000 - Digital Listing Services</t>
  </si>
  <si>
    <t>65040-0000 - Brochures &amp; Printed Materials</t>
  </si>
  <si>
    <t>65070-0000 - Resident Referral Fees</t>
  </si>
  <si>
    <t>65090-0000 - Resident Retention &amp; Social Events</t>
  </si>
  <si>
    <t>65900-0000 - Other Marketing Expense</t>
  </si>
  <si>
    <t>adv</t>
  </si>
  <si>
    <t>Total Marketing Expenses</t>
  </si>
  <si>
    <t>elec</t>
  </si>
  <si>
    <t>66010-0000 - Electricity - Vacant/Common Areas</t>
  </si>
  <si>
    <t>66060-0000 - Trash Removal</t>
  </si>
  <si>
    <t>Total Utilities</t>
  </si>
  <si>
    <t>Maintenance &amp; Repairs</t>
  </si>
  <si>
    <t>67010-0000 - Carpet &amp; Floor Repairs</t>
  </si>
  <si>
    <t>67020-0000 - Carpentry Supplies &amp; Repairs</t>
  </si>
  <si>
    <t>67050-0000 - Appliance Parts &amp; Repair</t>
  </si>
  <si>
    <t>67090-0000 - Drywall Repairs</t>
  </si>
  <si>
    <t>67140-0000 - Electrical Parts &amp; Service</t>
  </si>
  <si>
    <t>67150-0000 - Lighting Fixtures/Fans</t>
  </si>
  <si>
    <t>67160-0000 - Plumbing Supplies &amp; Repair</t>
  </si>
  <si>
    <t>67180-0000 - AC Parts &amp; Repair</t>
  </si>
  <si>
    <t>67200-0000 - Garbage Disposal Parts &amp; Repair</t>
  </si>
  <si>
    <t>67210-0000 - Cleaning Supplies</t>
  </si>
  <si>
    <t>67220-0000 - Landscaping Supplies</t>
  </si>
  <si>
    <t>67240-0000 - Pest Control Supplies</t>
  </si>
  <si>
    <t>67250-0000 - Fire &amp; Safety Equipment</t>
  </si>
  <si>
    <t>67260-0000 - Window Coverings &amp; Screens</t>
  </si>
  <si>
    <t>67270-0000 - Hand Tools &amp; Hardware</t>
  </si>
  <si>
    <t>67280-0000 - Locks &amp; Keys</t>
  </si>
  <si>
    <t>67900-0000 - Misc Maint. Supplies &amp; Equipment</t>
  </si>
  <si>
    <t>67910-0000 - Paint Supplies &amp; Painting Services</t>
  </si>
  <si>
    <t>67920-0000 - Carpet Cleaning Supplies &amp; Service</t>
  </si>
  <si>
    <t>Total Maintenance &amp; Repairs</t>
  </si>
  <si>
    <t>Taxes &amp; Insurance</t>
  </si>
  <si>
    <t>ins</t>
  </si>
  <si>
    <t>68010-0000 - Insurance - Property &amp; GL</t>
  </si>
  <si>
    <t>ret</t>
  </si>
  <si>
    <t>69010-0000 - Ad Valorum Property Taxes</t>
  </si>
  <si>
    <t>Total Taxes &amp; Insurance</t>
  </si>
  <si>
    <t>Total Operating Expenses</t>
  </si>
  <si>
    <t>Net Operating Income (Loss)</t>
  </si>
  <si>
    <t>Non-Operating Expenses</t>
  </si>
  <si>
    <t>Debt Services</t>
  </si>
  <si>
    <t>71010-0000 - Mortgage Interest</t>
  </si>
  <si>
    <t>71011-0000 - Junior Loan - Principal &amp; Interest</t>
  </si>
  <si>
    <t>Total Debt Services</t>
  </si>
  <si>
    <t>Other Non-Operating Expenses</t>
  </si>
  <si>
    <t>72010-0000 - Asset Management Fees</t>
  </si>
  <si>
    <t>72900-0000 - Other Partnership Expenses</t>
  </si>
  <si>
    <t>Total Other Non-Operating Expenses</t>
  </si>
  <si>
    <t>90020-0000 - Plumbing</t>
  </si>
  <si>
    <t>90030-0000 - Boilers/Water Heaters</t>
  </si>
  <si>
    <t>90040-0000 - HVAC</t>
  </si>
  <si>
    <t>90050-0000 - Appliances</t>
  </si>
  <si>
    <t>90060-0000 - Drywall/Paint</t>
  </si>
  <si>
    <t>90080-0000 - Windows/Doors</t>
  </si>
  <si>
    <t>90120-0000 - Flooring</t>
  </si>
  <si>
    <t>Total Non-Operating Expenses</t>
  </si>
  <si>
    <t>Net Income (Loss)</t>
  </si>
  <si>
    <t>Break out detailed other income line items from Input tab (rows 106-112) into Adjustments &amp; Notes tab (rows 22-27 area)</t>
  </si>
  <si>
    <t>Inserted 4 rows in Adjustments &amp; Notes, relabeled rows 24-30, updated Year 1 Pro Forma formulas to reference Operating Calculations detail rows 141-147</t>
  </si>
  <si>
    <t>New items: Cable/Internet ($63,840), Pest ($6,384), Trash ($31,920), Pet Rent ($6,840), Other Income ($0). Expense Reimb moved to row 29. Historical 'Other Res Income' ($102,896) assigned to Other Income row. All subtotals verified: D31=$196,450, J31=$108,984.</t>
  </si>
  <si>
    <t>Adjustments &amp; Notes rows 22-31 now show 9 detailed line items + subtotal. All totals tie to originals. Row 31 renamed 'Total Other Income'.</t>
  </si>
  <si>
    <t>Annualized</t>
  </si>
  <si>
    <t>Trailing</t>
  </si>
  <si>
    <t>T1</t>
  </si>
  <si>
    <t>T3</t>
  </si>
  <si>
    <t>T6</t>
  </si>
  <si>
    <t>T9</t>
  </si>
  <si>
    <t>T12</t>
  </si>
  <si>
    <t>Aug-Oct 2025</t>
  </si>
  <si>
    <t>May-Oct 2025</t>
  </si>
  <si>
    <t>Jan-Oct 2025</t>
  </si>
  <si>
    <t>Nov 24 - Oct 25</t>
  </si>
  <si>
    <t>OTHER INCOME ANALYSIS</t>
  </si>
  <si>
    <t>Other Income Line Items</t>
  </si>
  <si>
    <t>T1 Ann.</t>
  </si>
  <si>
    <t>T3 Ann.</t>
  </si>
  <si>
    <t>T6 Ann.</t>
  </si>
  <si>
    <t>T9 Ann.</t>
  </si>
  <si>
    <t>Pest Control Income</t>
  </si>
  <si>
    <t>Pet Fees (Non-Refundable)</t>
  </si>
  <si>
    <t>Pet Rents</t>
  </si>
  <si>
    <t>Electric Income (Utility Reimb.)</t>
  </si>
  <si>
    <t>Admin / Application / M2M Fees</t>
  </si>
  <si>
    <t>Late Fees / NSF / Collections</t>
  </si>
  <si>
    <t>Early Termination / Forfeitures</t>
  </si>
  <si>
    <t>Cleaning/Damage/Lock &amp; Key</t>
  </si>
  <si>
    <t>Renter's Insurance</t>
  </si>
  <si>
    <t>Miscellaneous Income</t>
  </si>
  <si>
    <t>42010-42040</t>
  </si>
  <si>
    <t>42050-42060</t>
  </si>
  <si>
    <t>42070-42080</t>
  </si>
  <si>
    <t>42090+42210</t>
  </si>
  <si>
    <t>Type</t>
  </si>
  <si>
    <t>Basis</t>
  </si>
  <si>
    <t>T12 / Unit / Mo</t>
  </si>
  <si>
    <t>T3 / Unit / Mo</t>
  </si>
  <si>
    <t>Occ. Units</t>
  </si>
  <si>
    <t>FY1 Projected</t>
  </si>
  <si>
    <t>vs. Input Model</t>
  </si>
  <si>
    <t>Contractual</t>
  </si>
  <si>
    <t>$/occ unit/mo</t>
  </si>
  <si>
    <t>$/yr total</t>
  </si>
  <si>
    <t>$/unit/mo</t>
  </si>
  <si>
    <t>$/yr flat</t>
  </si>
  <si>
    <t>Input Model FY1</t>
  </si>
  <si>
    <t>Create T1/T3/T6/T9/T12 columns and Other Income analysis with FY1 projection</t>
  </si>
  <si>
    <t>Built 5 trailing columns (R-V), Other Income Analysis (rows 139-156) with 12 items, FY1 projection adjusted for occupancy and income type</t>
  </si>
  <si>
    <t>Contractual items at Input rates x 75 occ units. Variable items T3 trended. FY1 $193,800 vs Input $187,640. Key: Early Term $27K, Late Fees $19K not in model.</t>
  </si>
  <si>
    <t>T12 tab complete with T1-T12 columns and full Other Income analysis with FY1 projections.</t>
  </si>
  <si>
    <t>Extend T1-T12 columns to cover all remaining rows (37-136) in the T12 tab</t>
  </si>
  <si>
    <t>Copied T1/T3/T6/T9/T12 formulas from row 36 down through row 136 covering all expense, NOI, non-operating, and capex rows. Applied matching row formatting.</t>
  </si>
  <si>
    <t>Rows 37-136 include: Payroll ($78,724 T12), Mgmt Fees ($45,772), Contract Services ($81,207), Admin ($35,119), Marketing ($13,451), Utilities ($33,986), M&amp;R ($79,348), T&amp;I ($224,601), OpEx ($592,208), NOI ($715,517), Debt Service, CapEx ($48,661), Net Income (-$620,036). NOI cross-check: $1,307,725 - $592,208 = $715,517 ✔</t>
  </si>
  <si>
    <t>All 136 rows in T12 tab now have T1-T12 annualized columns (R:V). Formatting applied to match existing style.</t>
  </si>
  <si>
    <t>OPERATING EXPENSE ANALYSIS</t>
  </si>
  <si>
    <t>T12 GL Rows</t>
  </si>
  <si>
    <t>Row 110</t>
  </si>
  <si>
    <t>Row 56</t>
  </si>
  <si>
    <t>Row 45</t>
  </si>
  <si>
    <t>Row 85</t>
  </si>
  <si>
    <t>Row 77</t>
  </si>
  <si>
    <t>Row 87</t>
  </si>
  <si>
    <t>Trash Removal</t>
  </si>
  <si>
    <t>Row 88</t>
  </si>
  <si>
    <t>Row 112</t>
  </si>
  <si>
    <t>Row 113</t>
  </si>
  <si>
    <t>Row 48</t>
  </si>
  <si>
    <t>Controllable OpEx</t>
  </si>
  <si>
    <t>Non-Controllable (T&amp;I)</t>
  </si>
  <si>
    <t>NOI</t>
  </si>
  <si>
    <t>T12 / Unit</t>
  </si>
  <si>
    <t>T3 / Unit</t>
  </si>
  <si>
    <t>T6 / Unit</t>
  </si>
  <si>
    <t>FY1 / Unit</t>
  </si>
  <si>
    <t>T12 Actual</t>
  </si>
  <si>
    <t>% of EGI</t>
  </si>
  <si>
    <t>Build Operating Expense analysis in T12 tab, similar to Other Income analysis — monthly detail, trailing periods, FY1 projection with per-unit metrics</t>
  </si>
  <si>
    <t>Created expense analysis section (rows 159-179) mapping 10 GL categories to Input model expense lines. Monthly refs, T1-T12, FY1 projection (T6 basis for controllable, T3 for insurance, T12 for taxes), per-unit metrics, and Input Model comparison.</t>
  </si>
  <si>
    <t>Controllable OpEx FY1: $379,388 ($4,742/unit). T&amp;I: $268,411 ($3,355/unit). Total OpEx FY1: $647,799 ($8,097/unit). Implied NOI: $651,409. Key items: R&amp;M T6=$93,878 ($1,173/unit), Contract Svcs=$98,120 ($1,227/unit), Personnel=$76,680 ($959/unit), Taxes=$182,667 ($2,283/unit). Insurance T3=$85,744 ($1,072/unit) — volatile month-to-month. Input model expenses all $0 except RE Taxes $182,667.</t>
  </si>
  <si>
    <t>Expense analysis complete in rows 159-179 with FY1 projections. All Input model expense assumptions are $0 except RE Taxes, so FY1 projection is entirely driven by T12 trailing actuals.</t>
  </si>
  <si>
    <t>Turn #</t>
  </si>
  <si>
    <t>User Request</t>
  </si>
  <si>
    <t>Action Taken</t>
  </si>
  <si>
    <t>Details</t>
  </si>
  <si>
    <t>Outcome</t>
  </si>
  <si>
    <t>—</t>
  </si>
  <si>
    <t>User made manual formatting changes to T12 tab (rows 141-181) — reformatted Other Income Analysis and Operating Expense Analysis sections, updated styling on headers, borders, and data rows.</t>
  </si>
  <si>
    <t>No Claude action — user-initiated formatting edits detected via change events.</t>
  </si>
  <si>
    <t>Changes spanned B141:AE156 (Other Income section), A157:AE159 (gap/header), B159:AE179 (Expense Analysis section), plus D181/E181:O181 edits. Also a GenValidation A79 edit.</t>
  </si>
  <si>
    <t>User refined visual layout of both analysis sections. Data and formulas unchanged — formatting only.</t>
  </si>
  <si>
    <t>User asked to verify Claude Log has captured all changes from this chat AND the prior chat (whose conversation summary was pasted at session start).</t>
  </si>
  <si>
    <t>Reviewed Claude Log. Found: (1) headers were blank — restored. (2) Dates stored as serial numbers — fixed to text. (3) Turns 1-4 were logged correctly. (4) Added note for user manual edits between turns. (5) Added this verification entry.</t>
  </si>
  <si>
    <t>Turns 1-4 cover all work from the prior chat session: Turn 1 = Adj &amp; Notes restructuring, Turn 2 = T1-T12 columns + Other Income Analysis, Turn 3 = Expense rows T1-T12, Turn 4 = Operating Expense Analysis. The prior chat conversation summary was loaded at the start of this session and all substantive work was already logged.</t>
  </si>
  <si>
    <t>Claude Log now complete with 4 substantive work entries + 1 user-edit note + this verification entry. All prior chat actions accounted for. Headers and dates fixed.</t>
  </si>
  <si>
    <t>2026-03-09</t>
  </si>
  <si>
    <t>Full Payload</t>
  </si>
  <si>
    <t>Adjust FY1 Personnel (AB165) to reflect full-time dedicated staff + benefits, since T12 actuals show shared payroll with another property (Leasing &amp; Groundskeeper at $0 recent months).</t>
  </si>
  <si>
    <t>Replaced T6 Ann. basis ($76,680) with full-payload estimate ($218,700). Added detailed cell note documenting 4 positions at market salaries + 28.6% burden rate (payroll taxes 8.65% + benefits 20%).</t>
  </si>
  <si>
    <t>PM $52K, Leasing $40K, Maint $42K, Grounds $36K = $170K base + $48.7K burden = $218,700 ($2,734/unit). Controllable OpEx now $521,408 ($6,518/unit), Total OpEx $789,819 ($9,873/unit), Implied NOI $509,389. Evidence: GL rows 40 &amp; 42 show $0 last 5 months; GL row 39 avg only $1,659/mo.</t>
  </si>
  <si>
    <t>AB165 updated. All downstream subtotals (AB174, AB177, AB179) auto-recalculated. FY1 basis label changed from 'T6 Ann.' to 'Full Payload'.</t>
  </si>
  <si>
    <t>Revise FY1 Personnel to 3-person staff: 1 PM (FT), 1 Porter (FT), 1 Leasing Agent (PT). Drop dedicated groundskeeper.</t>
  </si>
  <si>
    <t>Updated AB165 from $218,700 to $146,700. Revised cell note with 3-position breakdown. Porter handles grounds duties.</t>
  </si>
  <si>
    <t>PM $52K + Porter $42K + Leasing PT $20K = $114K base + $32.7K burden (28.6%) = $146,700 ($1,834/unit). Controllable OpEx $449,408, Total OpEx $717,819, Implied NOI $581,389.</t>
  </si>
  <si>
    <t>AB165 updated. Subtotals auto-recalculated. $72K reduction vs. prior 4-person estimate.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</si>
</sst>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2">
    <numFmt numFmtId="7" formatCode="&quot;$&quot;#,##0.00_);\(&quot;$&quot;#,##0.00\)"/>
    <numFmt numFmtId="8" formatCode="&quot;$&quot;#,##0.00_);[Red]\(&quot;$&quot;#,##0.0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_);\(#,##0\);_(&quot;-&quot;_);\ @_)"/>
    <numFmt numFmtId="165" formatCode=";;;"/>
    <numFmt numFmtId="166" formatCode="\ ###0_);\(#,##0\);_(&quot;[Address]&quot;_);\ @_)"/>
    <numFmt numFmtId="167" formatCode="\ ###0_);\(#,##0\);_(&quot;-&quot;_);\ @_)"/>
    <numFmt numFmtId="168" formatCode="#,##0\ &quot;units&quot;_);\(#,##0\ &quot;units&quot;\)_);_(&quot;-&quot;_);\ @_)"/>
    <numFmt numFmtId="169" formatCode="#,##0.00%_);\(#,##0.00%\);&quot;-&quot;_);\ @_)"/>
    <numFmt numFmtId="170" formatCode="\ mmm\-yy_);;;\ @_)"/>
    <numFmt numFmtId="171" formatCode="#,##0\ &quot;years&quot;_);\(#,##0\ &quot;years&quot;\)_);_(&quot;-&quot;_);\ @_)"/>
    <numFmt numFmtId="172" formatCode="_(#,##0\ &quot;years&quot;_);\(#,##0\ &quot;years&quot;\)_);_(&quot;-&quot;_);\ @_)"/>
    <numFmt numFmtId="173" formatCode="&quot;$&quot;\ #,##0_);\(&quot;$&quot;\ #,##0\);_(&quot;-&quot;_);\ @_)"/>
    <numFmt numFmtId="174" formatCode="#,##0\ &quot;sf&quot;_);\(#,##0\ &quot;sf&quot;\)_);_(&quot;-&quot;_);\ @_)"/>
    <numFmt numFmtId="175" formatCode="&quot;$&quot;\ #,##0.00_);\(&quot;$&quot;\ #,##0.00\)_);_(&quot;-&quot;_);\ @_)"/>
    <numFmt numFmtId="176" formatCode="&quot;Year&quot;\ #0_);\(&quot;Year&quot;\ #0\)_);&quot;At Close&quot;_);\ @_)"/>
    <numFmt numFmtId="177" formatCode="#,##0%_);\(#,##0%\);&quot;-&quot;_);\ @_)"/>
    <numFmt numFmtId="178" formatCode="#,##0\ &quot;months&quot;_);\(#,##0\ &quot;months&quot;\)_);_(&quot;-&quot;_);\ @_)"/>
    <numFmt numFmtId="180" formatCode="#,##0.00&quot;x&quot;_);\(#,##0.00&quot;x&quot;\);_(&quot;-&quot;_);\ @_)"/>
    <numFmt numFmtId="181" formatCode="#,##0\ &quot;years&quot;_);\(#,##0\ &quot;years&quot;\)_);_(&quot;Int. Only&quot;_);\ @_)"/>
    <numFmt numFmtId="182" formatCode="&quot;$&quot;\ #,##0\ &quot;/ unit&quot;_);\(&quot;$&quot;\ #,##0\);_(&quot;-&quot;_);\ @_)"/>
    <numFmt numFmtId="183" formatCode="#,##0\ &quot;days&quot;_);\(#,##0\ &quot;days&quot;\)_);_(&quot;-&quot;_);\ @_)"/>
    <numFmt numFmtId="184" formatCode="#,##0_);\(#,##0\);_(&quot;-&quot;_);@_)"/>
    <numFmt numFmtId="185" formatCode="&quot;Year&quot;\ #0_);\(&quot;Year&quot;\ #0\)_);&quot;At Close&quot;_);\ &quot;Δ&quot;_)"/>
    <numFmt numFmtId="186" formatCode="\(#,##0\)_);\(#,##0\);_(&quot;-&quot;_);"/>
    <numFmt numFmtId="187" formatCode="#,##0.00_);\(#,##0.00\);_(&quot;-&quot;_);\ @_)"/>
    <numFmt numFmtId="188" formatCode="\(#,##0\)_);\(#,##0\);_(&quot;-&quot;_);\ @_)"/>
    <numFmt numFmtId="189" formatCode="&quot;Year&quot;\ #0_);\(&quot;Year&quot;\ #0\)_);&quot;-&quot;_);\ @_)"/>
    <numFmt numFmtId="190" formatCode="&quot;$&quot;\ #,##0.00_);\(&quot;$&quot;\ #,##0.00\);_(&quot;-&quot;_);\ @_)"/>
    <numFmt numFmtId="191" formatCode="#,##0_);\(#,##0\);_(&quot;-&quot;_);\ &quot;(&quot;@&quot;)&quot;_)"/>
    <numFmt numFmtId="192" formatCode="#,##0&quot; bps&quot;_);\(#,##0&quot; bps&quot;\)_);_(&quot;-&quot;_);\ @_)"/>
    <numFmt numFmtId="193" formatCode="mmm\-yy_);;;\ @_)"/>
    <numFmt numFmtId="194" formatCode="_(0000_);\(#,##0\);_(&quot;-&quot;_);\ @_)"/>
    <numFmt numFmtId="195" formatCode="_(#,##0\ &quot;units&quot;_);\(#,##0\ &quot;units&quot;\)_);_(&quot;-&quot;_);\ @_)"/>
    <numFmt numFmtId="196" formatCode="&quot; Type&quot;_);\(&quot;$&quot;\ #,##0.00\)_);_(&quot;-&quot;_);\ @_)"/>
    <numFmt numFmtId="197" formatCode="\ @_)"/>
    <numFmt numFmtId="198" formatCode="#,##0\ &quot;BR&quot;_);\(#,##0\);_(&quot;Studio&quot;_);\ @_)"/>
    <numFmt numFmtId="199" formatCode="&quot;$&quot;\ #,##0_);\(&quot;$&quot;\ #,##0\)_);_(&quot;-&quot;_);@"/>
    <numFmt numFmtId="200" formatCode="&quot;Month&quot;\ #0_);\(&quot;Month&quot;\ #0\)_);&quot;At Close&quot;_);\ @_)"/>
    <numFmt numFmtId="201" formatCode="#,##0_);\(#,##0\);_(&quot;-&quot;_);"/>
    <numFmt numFmtId="202" formatCode="&quot; Tenant&quot;_);\(&quot;$&quot;\ #,##0.00\)_);_(&quot;-&quot;_);\ @_)"/>
    <numFmt numFmtId="203" formatCode="\ mmm_);;;"/>
    <numFmt numFmtId="204" formatCode="#,##0.0000_);\(#,##0.0000\);_(&quot;-&quot;_);\ @_)"/>
    <numFmt numFmtId="205" formatCode="&quot;Year&quot;\ #0_);\(&quot;Year&quot;\ #0\)_);&quot;n/a&quot;_);\ @_)"/>
    <numFmt numFmtId="206" formatCode="&quot;Month&quot;\ #0_);\(&quot;Month&quot;\ #0\)_);&quot;&quot;_);\ @_)"/>
    <numFmt numFmtId="207" formatCode="\ #,##0.00&quot;x&quot;_);\ \-\ #,##0.00&quot;x&quot;_);\ &quot;Upon Exit&quot;_);\ @_)"/>
    <numFmt numFmtId="208" formatCode="#,##0%&quot; calc. LTV&quot;;\(#,##0.00%\);&quot;-&quot;_);\ @_)"/>
    <numFmt numFmtId="209" formatCode="#,##0.00&quot;x&quot;_);\(#,##0.00&quot;x&quot;\);_(&quot;No DSCR&quot;_);\ &quot;No DSCR&quot;_)"/>
    <numFmt numFmtId="210" formatCode="_(* #,##0_);_(* \(#,##0\);_(* &quot;-&quot;??_);_(@_)"/>
    <numFmt numFmtId="211" formatCode="&quot;Unl. IRR&quot;_);&quot;Unl. IRR&quot;_);&quot;-&quot;_);\ @_)"/>
    <numFmt numFmtId="212" formatCode="&quot;IRR&quot;_);&quot;IRR&quot;_);&quot;-&quot;_);\ @_)"/>
    <numFmt numFmtId="213" formatCode="&quot;Eq. Mult.&quot;_);&quot;Eq. Mult.&quot;_);_(&quot;n/a&quot;_);\ @_)"/>
    <numFmt numFmtId="214" formatCode="&quot;Unl. Yield&quot;_);&quot;Unl. Yield&quot;_);&quot;-&quot;_);\ @_)"/>
    <numFmt numFmtId="215" formatCode="&quot;Lev. Yield&quot;_);&quot;Lev. Yield&quot;_);&quot;-&quot;_);\ @_)"/>
    <numFmt numFmtId="216" formatCode="&quot;Exit Price&quot;_);&quot;Exit Price&quot;_);_(&quot;-&quot;_);\ @_)"/>
    <numFmt numFmtId="217" formatCode="&quot;Renov. ROI&quot;_);&quot;Renov. ROI&quot;_);&quot;-&quot;_);\ @_)"/>
    <numFmt numFmtId="218" formatCode="&quot;Renov. IRR&quot;_);&quot;Renov. IRR&quot;_);&quot;-&quot;_);\ @_)"/>
    <numFmt numFmtId="219" formatCode="&quot;P. Ren. CoC&quot;_);&quot;P. Ren. CoC&quot;_);&quot;-&quot;_);\ @_)"/>
    <numFmt numFmtId="220" formatCode="&quot;Avg. CoC&quot;_);&quot;Avg. CoC&quot;_);&quot;-&quot;_);\ @_)"/>
    <numFmt numFmtId="221" formatCode="&quot;Deal IRR&quot;_);&quot;Deal IRR&quot;_);&quot;-&quot;_);\ @_)"/>
    <numFmt numFmtId="222" formatCode="_(&quot;T&quot;#&quot; Annualized&quot;_);&quot;[Choose YE or Enter # for T]&quot;;&quot;[Choose YE or Enter # for T]&quot;;_(&quot;Year Ending&quot;_)"/>
    <numFmt numFmtId="223" formatCode="#,##0_);\(#,##0\)_);_(&quot;-&quot;_);\ @_)"/>
    <numFmt numFmtId="224" formatCode="\ mmm\-yy_);;_(&quot;-&quot;_);\ @_)"/>
    <numFmt numFmtId="225" formatCode="#,##0.000000%_);\(#,##0.000000%\);&quot;-&quot;_);\ @_)"/>
    <numFmt numFmtId="226" formatCode="0.00000000%"/>
    <numFmt numFmtId="227" formatCode="\ mmm\-yy_);&quot;[No Annual Data]&quot;;;\ @_)"/>
    <numFmt numFmtId="228" formatCode="&quot;#LoansForOutput&quot;"/>
    <numFmt numFmtId="229" formatCode="m/d/yy;@"/>
    <numFmt numFmtId="255" formatCode="#,##0;\(#,##0\);\-"/>
  </numFmts>
  <fonts count="141">
    <font>
      <sz val="10"/>
      <color theme="1"/>
      <name val="Calibri"/>
      <family val="2"/>
      <scheme val="minor"/>
    </font>
    <font>
      <sz val="11"/>
      <color theme="1"/>
      <name val="Calibri"/>
      <family val="2"/>
      <scheme val="minor"/>
    </font>
    <font>
      <sz val="10"/>
      <name val="Arial"/>
      <family val="2"/>
    </font>
    <font>
      <b/>
      <sz val="15"/>
      <color theme="3"/>
      <name val="Calibri"/>
      <family val="2"/>
      <scheme val="minor"/>
    </font>
    <font>
      <sz val="10"/>
      <color rgb="FFFF0000"/>
      <name val="Calibri"/>
      <family val="2"/>
      <scheme val="minor"/>
    </font>
    <font>
      <i/>
      <sz val="10"/>
      <color rgb="FF7F7F7F"/>
      <name val="Calibri"/>
      <family val="2"/>
      <scheme val="minor"/>
    </font>
    <font>
      <b/>
      <sz val="10"/>
      <color theme="1"/>
      <name val="Calibri"/>
      <family val="2"/>
      <scheme val="minor"/>
    </font>
    <font>
      <sz val="10"/>
      <color theme="0"/>
      <name val="Calibri"/>
      <family val="2"/>
      <scheme val="minor"/>
    </font>
    <font>
      <sz val="8"/>
      <color rgb="FFFF0000"/>
      <name val="Century Gothic"/>
      <family val="2"/>
      <scheme val="major"/>
    </font>
    <font>
      <sz val="10"/>
      <color theme="1"/>
      <name val="Century Gothic"/>
      <family val="2"/>
      <scheme val="major"/>
    </font>
    <font>
      <b/>
      <sz val="36"/>
      <name val="Century Gothic"/>
      <family val="2"/>
      <scheme val="major"/>
    </font>
    <font>
      <sz val="10"/>
      <name val="Century Gothic"/>
      <family val="2"/>
      <scheme val="major"/>
    </font>
    <font>
      <b/>
      <sz val="28"/>
      <name val="Century Gothic"/>
      <family val="2"/>
      <scheme val="major"/>
    </font>
    <font>
      <b/>
      <sz val="24"/>
      <color theme="0"/>
      <name val="Century Gothic"/>
      <family val="2"/>
      <scheme val="major"/>
    </font>
    <font>
      <b/>
      <sz val="14"/>
      <color theme="0"/>
      <name val="Century Gothic"/>
      <family val="2"/>
      <scheme val="major"/>
    </font>
    <font>
      <b/>
      <sz val="16"/>
      <color theme="1"/>
      <name val="Century Gothic"/>
      <family val="2"/>
      <scheme val="major"/>
    </font>
    <font>
      <b/>
      <sz val="14"/>
      <color theme="3"/>
      <name val="Century Gothic"/>
      <family val="2"/>
      <scheme val="major"/>
    </font>
    <font>
      <b/>
      <sz val="12"/>
      <color theme="6" tint="-0.49995422223578601"/>
      <name val="Century Gothic"/>
      <family val="2"/>
      <scheme val="major"/>
    </font>
    <font>
      <b/>
      <sz val="11"/>
      <color theme="0"/>
      <name val="Century Gothic"/>
      <family val="2"/>
      <scheme val="major"/>
    </font>
    <font>
      <b/>
      <sz val="10"/>
      <color theme="3"/>
      <name val="Century Gothic"/>
      <family val="2"/>
      <scheme val="major"/>
    </font>
    <font>
      <sz val="10"/>
      <name val="Calibri"/>
      <family val="2"/>
      <scheme val="minor"/>
    </font>
    <font>
      <b/>
      <sz val="10"/>
      <color theme="3"/>
      <name val="Calibri"/>
      <family val="2"/>
      <scheme val="minor"/>
    </font>
    <font>
      <i/>
      <sz val="10"/>
      <color theme="1"/>
      <name val="Calibri"/>
      <family val="2"/>
      <scheme val="minor"/>
    </font>
    <font>
      <b/>
      <u val="singleAccounting"/>
      <sz val="10"/>
      <color theme="3"/>
      <name val="Century Gothic"/>
      <family val="2"/>
      <scheme val="major"/>
    </font>
    <font>
      <sz val="10"/>
      <color theme="0" tint="-0.24994659260841701"/>
      <name val="Calibri"/>
      <family val="2"/>
      <scheme val="minor"/>
    </font>
    <font>
      <b/>
      <sz val="11"/>
      <color theme="1"/>
      <name val="Calibri"/>
      <family val="2"/>
      <scheme val="minor"/>
    </font>
    <font>
      <u/>
      <sz val="10"/>
      <color theme="10"/>
      <name val="Calibri"/>
      <family val="2"/>
      <scheme val="minor"/>
    </font>
    <font>
      <b/>
      <sz val="9.15"/>
      <color theme="3"/>
      <name val="Century Gothic"/>
      <family val="2"/>
      <scheme val="major"/>
    </font>
    <font>
      <sz val="9.1999999999999993"/>
      <color theme="1"/>
      <name val="Calibri"/>
      <family val="2"/>
      <scheme val="minor"/>
    </font>
    <font>
      <i/>
      <sz val="9.5"/>
      <color rgb="FF7F7F7F"/>
      <name val="Calibri"/>
      <family val="2"/>
      <scheme val="minor"/>
    </font>
    <font>
      <b/>
      <sz val="9"/>
      <color theme="3"/>
      <name val="Century Gothic"/>
      <family val="2"/>
      <scheme val="major"/>
    </font>
    <font>
      <sz val="10"/>
      <color rgb="FF0000FF"/>
      <name val="Calibri"/>
      <family val="2"/>
      <scheme val="minor"/>
    </font>
    <font>
      <sz val="10"/>
      <color theme="3"/>
      <name val="Century Gothic"/>
      <family val="2"/>
      <scheme val="major"/>
    </font>
    <font>
      <i/>
      <sz val="10"/>
      <color theme="1" tint="0.49995422223578601"/>
      <name val="Calibri"/>
      <family val="2"/>
      <scheme val="minor"/>
    </font>
    <font>
      <sz val="10"/>
      <color theme="1" tint="0.49995422223578601"/>
      <name val="Calibri"/>
      <family val="2"/>
      <scheme val="minor"/>
    </font>
    <font>
      <sz val="8"/>
      <color rgb="FFFF0000"/>
      <name val="Gill Sans for CW"/>
      <family val="2"/>
    </font>
    <font>
      <sz val="14"/>
      <color theme="1"/>
      <name val="Century Gothic"/>
      <family val="2"/>
      <scheme val="major"/>
    </font>
    <font>
      <sz val="11"/>
      <color theme="0"/>
      <name val="Century Gothic"/>
      <family val="2"/>
      <scheme val="major"/>
    </font>
    <font>
      <sz val="11"/>
      <color theme="1"/>
      <name val="Century Gothic"/>
      <family val="2"/>
      <scheme val="major"/>
    </font>
    <font>
      <i/>
      <sz val="10"/>
      <color theme="1" tint="0.34998626667073579"/>
      <name val="Calibri"/>
      <family val="2"/>
      <scheme val="minor"/>
    </font>
    <font>
      <sz val="11"/>
      <color theme="1"/>
      <name val="Symbol"/>
      <family val="1"/>
    </font>
    <font>
      <sz val="10"/>
      <color theme="1" tint="0.34998626667073579"/>
      <name val="Century Gothic"/>
      <family val="2"/>
      <scheme val="major"/>
    </font>
    <font>
      <sz val="9"/>
      <name val="Calibri"/>
      <family val="2"/>
      <scheme val="minor"/>
    </font>
    <font>
      <sz val="9"/>
      <color theme="1"/>
      <name val="Calibri"/>
      <family val="2"/>
      <scheme val="minor"/>
    </font>
    <font>
      <sz val="10"/>
      <color theme="0" tint="-0.49995422223578601"/>
      <name val="Century Gothic"/>
      <family val="2"/>
      <scheme val="major"/>
    </font>
    <font>
      <sz val="9"/>
      <color theme="1"/>
      <name val="Century Gothic"/>
      <family val="2"/>
      <scheme val="major"/>
    </font>
    <font>
      <u/>
      <sz val="9"/>
      <name val="Calibri"/>
      <family val="2"/>
      <scheme val="minor"/>
    </font>
    <font>
      <b/>
      <sz val="10"/>
      <color theme="1"/>
      <name val="Century Gothic"/>
      <family val="2"/>
      <scheme val="major"/>
    </font>
    <font>
      <b/>
      <sz val="9"/>
      <color theme="1"/>
      <name val="Century Gothic"/>
      <family val="2"/>
      <scheme val="major"/>
    </font>
    <font>
      <b/>
      <sz val="14"/>
      <color theme="3"/>
      <name val="Calibri"/>
      <family val="2"/>
      <scheme val="minor"/>
    </font>
    <font>
      <b/>
      <sz val="10"/>
      <color theme="0"/>
      <name val="Century Gothic"/>
      <family val="2"/>
      <scheme val="major"/>
    </font>
    <font>
      <sz val="10"/>
      <color theme="0" tint="-0.14996795556505021"/>
      <name val="Calibri"/>
      <family val="2"/>
      <scheme val="minor"/>
    </font>
    <font>
      <sz val="10"/>
      <color rgb="FF00B050"/>
      <name val="Calibri"/>
      <family val="2"/>
      <scheme val="minor"/>
    </font>
    <font>
      <b/>
      <sz val="10"/>
      <name val="Calibri"/>
      <family val="2"/>
      <scheme val="minor"/>
    </font>
    <font>
      <i/>
      <sz val="9"/>
      <color theme="1"/>
      <name val="Calibri"/>
      <family val="2"/>
      <scheme val="minor"/>
    </font>
    <font>
      <sz val="9"/>
      <color rgb="FFFF7D1B"/>
      <name val="Calibri"/>
      <family val="2"/>
      <scheme val="minor"/>
    </font>
    <font>
      <sz val="10"/>
      <color theme="1"/>
      <name val="Wingdings 2"/>
      <family val="1"/>
    </font>
    <font>
      <sz val="14"/>
      <color theme="1"/>
      <name val="Calibri"/>
      <family val="2"/>
      <scheme val="minor"/>
    </font>
    <font>
      <b/>
      <sz val="11"/>
      <color theme="1" tint="0.34998626667073579"/>
      <name val="Century Gothic"/>
      <family val="2"/>
      <scheme val="major"/>
    </font>
    <font>
      <b/>
      <sz val="11"/>
      <name val="Century Gothic"/>
      <family val="2"/>
      <scheme val="major"/>
    </font>
    <font>
      <b/>
      <sz val="10"/>
      <color theme="3"/>
      <name val="Calibri"/>
      <family val="2"/>
    </font>
    <font>
      <i/>
      <sz val="10"/>
      <name val="Calibri"/>
      <family val="2"/>
      <scheme val="minor"/>
    </font>
    <font>
      <i/>
      <sz val="10"/>
      <color theme="0" tint="-0.34995574816125979"/>
      <name val="Calibri"/>
      <family val="2"/>
      <scheme val="minor"/>
    </font>
    <font>
      <sz val="10"/>
      <color theme="0" tint="-0.34995574816125979"/>
      <name val="Calibri"/>
      <family val="2"/>
    </font>
    <font>
      <sz val="9"/>
      <color rgb="FF0000FF"/>
      <name val="Calibri"/>
      <family val="2"/>
      <scheme val="minor"/>
    </font>
    <font>
      <u/>
      <sz val="10"/>
      <color rgb="FFFF0000"/>
      <name val="Calibri"/>
      <family val="2"/>
      <scheme val="minor"/>
    </font>
    <font>
      <sz val="10"/>
      <color theme="1" tint="0.249977111117893"/>
      <name val="Calibri"/>
      <family val="2"/>
      <scheme val="minor"/>
    </font>
    <font>
      <sz val="10"/>
      <color rgb="FFC00000"/>
      <name val="Calibri"/>
      <family val="2"/>
      <scheme val="minor"/>
    </font>
    <font>
      <sz val="10"/>
      <color rgb="FF007EDC"/>
      <name val="Calibri"/>
      <family val="2"/>
      <scheme val="minor"/>
    </font>
    <font>
      <sz val="10"/>
      <color theme="0" tint="-4.9958800012207406E-2"/>
      <name val="Calibri"/>
      <family val="2"/>
      <scheme val="minor"/>
    </font>
    <font>
      <b/>
      <sz val="10"/>
      <color theme="0" tint="-4.9958800012207406E-2"/>
      <name val="Century Gothic"/>
      <family val="2"/>
      <scheme val="major"/>
    </font>
    <font>
      <b/>
      <sz val="10"/>
      <color theme="0" tint="-0.24994659260841701"/>
      <name val="Century Gothic"/>
      <family val="2"/>
      <scheme val="major"/>
    </font>
    <font>
      <b/>
      <sz val="10"/>
      <color theme="0" tint="-0.24994659260841701"/>
      <name val="Calibri"/>
      <family val="2"/>
      <scheme val="minor"/>
    </font>
    <font>
      <i/>
      <sz val="10"/>
      <color theme="3"/>
      <name val="Calibri"/>
      <family val="2"/>
      <scheme val="minor"/>
    </font>
    <font>
      <b/>
      <sz val="10"/>
      <color theme="0" tint="-4.9958800012207406E-2"/>
      <name val="Calibri"/>
      <family val="2"/>
      <scheme val="minor"/>
    </font>
    <font>
      <sz val="10"/>
      <color theme="1" tint="0.49995422223578601"/>
      <name val="Century Gothic"/>
      <family val="2"/>
      <scheme val="major"/>
    </font>
    <font>
      <sz val="10"/>
      <color theme="0" tint="-0.34995574816125979"/>
      <name val="Calibri"/>
      <family val="2"/>
      <scheme val="minor"/>
    </font>
    <font>
      <b/>
      <sz val="10"/>
      <color theme="0" tint="-0.34995574816125979"/>
      <name val="Calibri"/>
      <family val="2"/>
      <scheme val="minor"/>
    </font>
    <font>
      <i/>
      <sz val="9"/>
      <color theme="1" tint="0.34998626667073579"/>
      <name val="Calibri"/>
      <family val="2"/>
      <scheme val="minor"/>
    </font>
    <font>
      <b/>
      <sz val="10"/>
      <color theme="1" tint="0.249977111117893"/>
      <name val="Century Gothic"/>
      <family val="2"/>
      <scheme val="major"/>
    </font>
    <font>
      <b/>
      <sz val="10"/>
      <color theme="1" tint="0.249977111117893"/>
      <name val="Calibri"/>
      <family val="2"/>
      <scheme val="minor"/>
    </font>
    <font>
      <i/>
      <sz val="10"/>
      <color theme="1" tint="0.249977111117893"/>
      <name val="Calibri"/>
      <family val="2"/>
      <scheme val="minor"/>
    </font>
    <font>
      <u/>
      <sz val="10"/>
      <color rgb="FF007EDC"/>
      <name val="Calibri"/>
      <family val="2"/>
      <scheme val="minor"/>
    </font>
    <font>
      <b/>
      <sz val="10"/>
      <color rgb="FF007EDC"/>
      <name val="Century Gothic"/>
      <family val="2"/>
      <scheme val="major"/>
    </font>
    <font>
      <sz val="10"/>
      <color theme="1" tint="0.14996795556505021"/>
      <name val="Calibri"/>
      <family val="2"/>
      <scheme val="minor"/>
    </font>
    <font>
      <sz val="10"/>
      <color rgb="FFEAEAEA"/>
      <name val="Calibri"/>
      <family val="2"/>
      <scheme val="minor"/>
    </font>
    <font>
      <b/>
      <sz val="10"/>
      <color theme="0" tint="-0.14996795556505021"/>
      <name val="Century Gothic"/>
      <family val="2"/>
      <scheme val="major"/>
    </font>
    <font>
      <i/>
      <sz val="10"/>
      <color theme="0" tint="-4.9958800012207406E-2"/>
      <name val="Calibri"/>
      <family val="2"/>
      <scheme val="minor"/>
    </font>
    <font>
      <i/>
      <sz val="10"/>
      <color rgb="FF0000FF"/>
      <name val="Calibri"/>
      <family val="2"/>
      <scheme val="minor"/>
    </font>
    <font>
      <i/>
      <sz val="9"/>
      <color theme="1" tint="0.249977111117893"/>
      <name val="Calibri"/>
      <family val="2"/>
      <scheme val="minor"/>
    </font>
    <font>
      <sz val="9"/>
      <color theme="3"/>
      <name val="Calibri"/>
      <family val="2"/>
      <scheme val="minor"/>
    </font>
    <font>
      <sz val="7.5"/>
      <color theme="1"/>
      <name val="Calibri"/>
      <family val="2"/>
      <scheme val="minor"/>
    </font>
    <font>
      <b/>
      <sz val="10"/>
      <color theme="0" tint="-0.49995422223578601"/>
      <name val="Century Gothic"/>
      <family val="2"/>
      <scheme val="major"/>
    </font>
    <font>
      <sz val="10"/>
      <color rgb="FF000000"/>
      <name val="Calibri"/>
      <family val="2"/>
      <scheme val="minor"/>
    </font>
    <font>
      <b/>
      <sz val="10"/>
      <color rgb="FF1F497D"/>
      <name val="Century Gothic"/>
      <family val="2"/>
      <scheme val="major"/>
    </font>
    <font>
      <b/>
      <sz val="36"/>
      <color theme="1"/>
      <name val="Century Gothic"/>
      <family val="2"/>
      <scheme val="major"/>
    </font>
    <font>
      <b/>
      <sz val="28"/>
      <color theme="1"/>
      <name val="Century Gothic"/>
      <family val="2"/>
      <scheme val="major"/>
    </font>
    <font>
      <i/>
      <sz val="10"/>
      <color theme="1" tint="0.34998626667073579"/>
      <name val="Century Gothic"/>
      <family val="2"/>
      <scheme val="major"/>
    </font>
    <font>
      <i/>
      <sz val="10"/>
      <color rgb="FF00B050"/>
      <name val="Calibri"/>
      <family val="2"/>
      <scheme val="minor"/>
    </font>
    <font>
      <sz val="8"/>
      <color theme="1"/>
      <name val="Calibri"/>
      <family val="2"/>
      <scheme val="minor"/>
    </font>
    <font>
      <b/>
      <sz val="9"/>
      <color theme="3"/>
      <name val="Century Gothic"/>
      <family val="2"/>
    </font>
    <font>
      <b/>
      <sz val="10"/>
      <name val="Century Gothic"/>
      <family val="2"/>
      <scheme val="major"/>
    </font>
    <font>
      <b/>
      <i/>
      <sz val="10"/>
      <color theme="0" tint="-0.49995422223578601"/>
      <name val="Calibri"/>
      <family val="2"/>
      <scheme val="minor"/>
    </font>
    <font>
      <b/>
      <sz val="9"/>
      <name val="Tahoma"/>
      <family val="2"/>
    </font>
    <font>
      <sz val="9"/>
      <name val="Tahoma"/>
      <family val="2"/>
    </font>
    <font>
      <sz val="10"/>
      <color rgb="FF002060"/>
      <name val="Calibri"/>
      <family val="2"/>
      <scheme val="minor"/>
    </font>
    <font>
      <u/>
      <sz val="10"/>
      <color theme="1"/>
      <name val="Calibri"/>
      <family val="2"/>
      <scheme val="minor"/>
    </font>
    <font>
      <b/>
      <u/>
      <sz val="10"/>
      <color theme="1"/>
      <name val="Calibri"/>
      <family val="2"/>
      <scheme val="minor"/>
    </font>
    <font>
      <b/>
      <sz val="12"/>
      <color rgb="FF003DA5"/>
      <name val="Century Gothic"/>
      <family val="2"/>
      <scheme val="major"/>
    </font>
    <font>
      <b/>
      <sz val="11"/>
      <color rgb="FFFFFFFF"/>
      <name val="Century Gothic"/>
      <family val="2"/>
      <scheme val="major"/>
    </font>
    <font>
      <b/>
      <sz val="26"/>
      <color rgb="FFFFFFFF"/>
      <name val="Century Gothic"/>
      <family val="2"/>
      <scheme val="major"/>
    </font>
    <font>
      <b/>
      <sz val="14"/>
      <color rgb="FF265AB2"/>
      <name val="Century Gothic"/>
      <family val="2"/>
      <scheme val="major"/>
    </font>
    <font>
      <b/>
      <sz val="14"/>
      <color rgb="FF265AB2"/>
      <name val="Calibri"/>
      <family val="2"/>
      <scheme val="minor"/>
    </font>
    <font>
      <b/>
      <sz val="10"/>
      <color rgb="FF265AB2"/>
      <name val="Century Gothic"/>
      <family val="2"/>
      <scheme val="major"/>
    </font>
    <font>
      <sz val="9"/>
      <color rgb="FF265AB2"/>
      <name val="Calibri"/>
      <family val="2"/>
      <scheme val="minor"/>
    </font>
    <font>
      <b/>
      <sz val="10"/>
      <color rgb="FF265AB2"/>
      <name val="Calibri"/>
      <family val="2"/>
      <scheme val="minor"/>
    </font>
    <font>
      <sz val="10"/>
      <color rgb="FF265AB2"/>
      <name val="Calibri"/>
      <family val="2"/>
      <scheme val="minor"/>
    </font>
    <font>
      <b/>
      <u val="singleAccounting"/>
      <sz val="10"/>
      <color rgb="FF265AB2"/>
      <name val="Century Gothic"/>
      <family val="2"/>
      <scheme val="major"/>
    </font>
    <font>
      <u val="singleAccounting"/>
      <sz val="10"/>
      <color rgb="FF265AB2"/>
      <name val="Century Gothic"/>
      <family val="2"/>
      <scheme val="major"/>
    </font>
    <font>
      <sz val="10"/>
      <color rgb="FF265AB2"/>
      <name val="Century Gothic"/>
      <family val="2"/>
      <scheme val="major"/>
    </font>
    <font>
      <u val="singleAccounting"/>
      <sz val="11"/>
      <color rgb="FF265AB2"/>
      <name val="Century Gothic"/>
      <family val="2"/>
      <scheme val="major"/>
    </font>
    <font>
      <sz val="11"/>
      <color rgb="FF265AB2"/>
      <name val="Century Gothic"/>
      <family val="2"/>
      <scheme val="major"/>
    </font>
    <font>
      <u/>
      <sz val="10"/>
      <color rgb="FF265AB2"/>
      <name val="Century Gothic"/>
      <family val="2"/>
      <scheme val="major"/>
    </font>
    <font>
      <b/>
      <sz val="9"/>
      <color rgb="FF265AB2"/>
      <name val="Century Gothic"/>
      <family val="2"/>
      <scheme val="major"/>
    </font>
    <font>
      <b/>
      <sz val="9.15"/>
      <color rgb="FF265AB2"/>
      <name val="Century Gothic"/>
      <family val="2"/>
      <scheme val="major"/>
    </font>
    <font>
      <sz val="10"/>
      <color theme="1"/>
      <name val="Calibri"/>
      <family val="2"/>
      <scheme val="minor"/>
    </font>
    <font>
      <sz val="16"/>
      <color indexed="10"/>
      <name val="Calibri"/>
      <family val="2"/>
      <scheme val="minor"/>
    </font>
    <font>
      <b/>
      <sz val="11"/>
      <name val="Calibri"/>
      <family val="2"/>
    </font>
    <font>
      <i/>
      <sz val="11"/>
      <name val="Calibri"/>
      <family val="2"/>
    </font>
    <font>
      <sz val="11"/>
      <name val="Calibri"/>
      <family val="2"/>
    </font>
    <font>
      <i/>
      <sz val="11"/>
      <color theme="1"/>
      <name val="Calibri"/>
      <family val="2"/>
      <scheme val="minor"/>
    </font>
    <font>
      <b/>
      <sz val="12"/>
      <color rgb="FF003DA5"/>
      <name val="Century Gothic"/>
    </font>
    <font>
      <b/>
      <sz val="11"/>
      <color rgb="FF265AB2"/>
      <name val="Century Gothic"/>
    </font>
    <font>
      <sz val="10"/>
      <color rgb="FF808080"/>
      <name val="Calibri"/>
      <family val="2"/>
      <scheme val="minor"/>
    </font>
    <font>
      <sz val="9"/>
      <color rgb="FF808080"/>
      <name val="Calibri"/>
      <family val="2"/>
      <scheme val="minor"/>
    </font>
    <font>
      <b/>
      <sz val="10"/>
      <color rgb="FF1F497D"/>
      <name val="Calibri"/>
      <family val="2"/>
      <scheme val="minor"/>
    </font>
    <font>
      <b/>
      <sz val="10"/>
      <color rgb="FFFFFFFF"/>
      <name val="Calibri"/>
      <family val="2"/>
      <scheme val="minor"/>
    </font>
    <font>
      <sz val="9"/>
      <color indexed="81"/>
      <name val="Tahoma"/>
      <charset val="1"/>
    </font>
    <font>
      <b/>
      <sz val="9"/>
      <color indexed="81"/>
      <name val="Tahoma"/>
      <charset val="1"/>
    </font>
    <font>
      <b/>
      <sz val="9"/>
      <color rgb="FF808080"/>
      <name val="Calibri"/>
      <family val="2"/>
      <scheme val="minor"/>
    </font>
    <font>
      <b/>
      <sz val="10"/>
      <color rgb="FF003DA5"/>
      <name val="Calibri"/>
      <family val="2"/>
      <scheme val="minor"/>
    </font>
  </fonts>
  <fills count="36">
    <fill>
      <patternFill patternType="none"/>
    </fill>
    <fill>
      <patternFill patternType="gray125"/>
    </fill>
    <fill>
      <patternFill patternType="solid">
        <fgColor theme="4" tint="-0.49995422223578601"/>
        <bgColor indexed="64"/>
      </patternFill>
    </fill>
    <fill>
      <patternFill patternType="solid">
        <fgColor theme="0" tint="-0.14993743705557422"/>
        <bgColor indexed="64"/>
      </patternFill>
    </fill>
    <fill>
      <patternFill patternType="solid">
        <fgColor rgb="FFFFFFC8"/>
        <bgColor indexed="64"/>
      </patternFill>
    </fill>
    <fill>
      <patternFill patternType="solid">
        <fgColor rgb="FFFFFF00"/>
        <bgColor indexed="64"/>
      </patternFill>
    </fill>
    <fill>
      <patternFill patternType="solid">
        <fgColor rgb="FF696A6D"/>
        <bgColor indexed="64"/>
      </patternFill>
    </fill>
    <fill>
      <patternFill patternType="solid">
        <fgColor theme="0" tint="-4.9958800012207406E-2"/>
        <bgColor indexed="64"/>
      </patternFill>
    </fill>
    <fill>
      <patternFill patternType="solid">
        <fgColor theme="0" tint="-0.14996795556505021"/>
        <bgColor indexed="64"/>
      </patternFill>
    </fill>
    <fill>
      <patternFill patternType="solid">
        <fgColor rgb="FFEAEAEA"/>
        <bgColor indexed="64"/>
      </patternFill>
    </fill>
    <fill>
      <patternFill patternType="solid">
        <fgColor theme="0"/>
        <bgColor indexed="64"/>
      </patternFill>
    </fill>
    <fill>
      <patternFill patternType="solid">
        <fgColor rgb="FFD2E7F4"/>
        <bgColor indexed="64"/>
      </patternFill>
    </fill>
    <fill>
      <patternFill patternType="solid">
        <fgColor rgb="FFEBF1DE"/>
        <bgColor indexed="64"/>
      </patternFill>
    </fill>
    <fill>
      <patternFill patternType="solid">
        <fgColor theme="0" tint="-4.992828150273141E-2"/>
        <bgColor indexed="64"/>
      </patternFill>
    </fill>
    <fill>
      <patternFill patternType="solid">
        <fgColor rgb="FFF2F2F2"/>
        <bgColor indexed="64"/>
      </patternFill>
    </fill>
    <fill>
      <patternFill patternType="solid">
        <fgColor rgb="FFE4EDD1"/>
        <bgColor indexed="64"/>
      </patternFill>
    </fill>
    <fill>
      <patternFill patternType="solid">
        <fgColor rgb="FFD1D1D1"/>
        <bgColor indexed="64"/>
      </patternFill>
    </fill>
    <fill>
      <patternFill patternType="solid">
        <fgColor rgb="FFEBEBEB"/>
        <bgColor indexed="64"/>
      </patternFill>
    </fill>
    <fill>
      <patternFill patternType="solid">
        <fgColor rgb="FFF8F4CA"/>
        <bgColor indexed="64"/>
      </patternFill>
    </fill>
    <fill>
      <patternFill patternType="solid">
        <fgColor rgb="FFDDDDDD"/>
        <bgColor indexed="64"/>
      </patternFill>
    </fill>
    <fill>
      <patternFill patternType="solid">
        <fgColor theme="4" tint="0.39997558519241921"/>
        <bgColor indexed="64"/>
      </patternFill>
    </fill>
    <fill>
      <patternFill patternType="solid">
        <fgColor theme="4" tint="0.79995117038483843"/>
        <bgColor indexed="64"/>
      </patternFill>
    </fill>
    <fill>
      <patternFill patternType="solid">
        <fgColor rgb="FF00B0F0"/>
        <bgColor indexed="64"/>
      </patternFill>
    </fill>
    <fill>
      <patternFill patternType="solid">
        <fgColor theme="9" tint="0.39997558519241921"/>
        <bgColor indexed="64"/>
      </patternFill>
    </fill>
    <fill>
      <patternFill patternType="solid">
        <fgColor rgb="FFFFFFCC"/>
        <bgColor indexed="64"/>
      </patternFill>
    </fill>
    <fill>
      <patternFill patternType="solid">
        <fgColor rgb="FFBFDDEF"/>
        <bgColor indexed="64"/>
      </patternFill>
    </fill>
    <fill>
      <patternFill patternType="solid">
        <fgColor rgb="FF003DA5"/>
        <bgColor indexed="64"/>
      </patternFill>
    </fill>
    <fill>
      <patternFill patternType="solid">
        <fgColor rgb="FFE0E8F4"/>
        <bgColor indexed="64"/>
      </patternFill>
    </fill>
    <fill>
      <patternFill patternType="solid">
        <fgColor rgb="FFF0F0F0"/>
        <bgColor indexed="64"/>
      </patternFill>
    </fill>
    <fill>
      <patternFill patternType="solid">
        <fgColor indexed="65"/>
        <bgColor indexed="64"/>
      </patternFill>
    </fill>
    <fill>
      <patternFill patternType="solid">
        <fgColor rgb="FFFFF7DA"/>
        <bgColor indexed="64"/>
      </patternFill>
    </fill>
    <fill>
      <patternFill patternType="solid">
        <fgColor rgb="FFDDEEAA"/>
        <bgColor indexed="64"/>
      </patternFill>
    </fill>
    <fill>
      <patternFill patternType="solid">
        <fgColor rgb="FFFFFFFF"/>
        <bgColor indexed="64"/>
      </patternFill>
    </fill>
    <fill>
      <patternFill patternType="solid">
        <fgColor rgb="FFD9D9D9"/>
        <bgColor indexed="64"/>
      </patternFill>
    </fill>
    <fill>
      <patternFill patternType="solid">
        <fgColor rgb="FFF9F9F9"/>
        <bgColor indexed="64"/>
      </patternFill>
    </fill>
    <fill>
      <patternFill patternType="solid">
        <fgColor rgb="FF4472C4"/>
        <bgColor indexed="64"/>
      </patternFill>
    </fill>
  </fills>
  <borders count="195">
    <border>
      <left/>
      <right/>
      <top/>
      <bottom/>
      <diagonal/>
    </border>
    <border>
      <left/>
      <right/>
      <top/>
      <bottom style="thick">
        <color theme="4"/>
      </bottom>
      <diagonal/>
    </border>
    <border>
      <left/>
      <right/>
      <top/>
      <bottom style="medium">
        <color theme="4" tint="0.39994506668294322"/>
      </bottom>
      <diagonal/>
    </border>
    <border>
      <left/>
      <right/>
      <top/>
      <bottom style="thin">
        <color theme="0" tint="-0.24991607409894101"/>
      </bottom>
      <diagonal/>
    </border>
    <border>
      <left/>
      <right/>
      <top style="thin">
        <color theme="0" tint="-0.24991607409894101"/>
      </top>
      <bottom/>
      <diagonal/>
    </border>
    <border>
      <left/>
      <right/>
      <top/>
      <bottom style="thin">
        <color theme="0" tint="-4.9958800012207406E-2"/>
      </bottom>
      <diagonal/>
    </border>
    <border>
      <left/>
      <right/>
      <top style="thin">
        <color theme="0" tint="-4.9958800012207406E-2"/>
      </top>
      <bottom/>
      <diagonal/>
    </border>
    <border>
      <left/>
      <right style="thin">
        <color theme="0" tint="-0.24991607409894101"/>
      </right>
      <top/>
      <bottom/>
      <diagonal/>
    </border>
    <border>
      <left style="thin">
        <color theme="0" tint="-0.24991607409894101"/>
      </left>
      <right/>
      <top/>
      <bottom/>
      <diagonal/>
    </border>
    <border>
      <left style="thin">
        <color theme="0" tint="-0.24991607409894101"/>
      </left>
      <right/>
      <top/>
      <bottom style="thin">
        <color theme="0" tint="-0.24991607409894101"/>
      </bottom>
      <diagonal/>
    </border>
    <border>
      <left/>
      <right style="thin">
        <color theme="0" tint="-0.24991607409894101"/>
      </right>
      <top/>
      <bottom style="thin">
        <color theme="0" tint="-0.24991607409894101"/>
      </bottom>
      <diagonal/>
    </border>
    <border>
      <left/>
      <right style="thin">
        <color theme="0" tint="-0.24991607409894101"/>
      </right>
      <top style="thin">
        <color theme="0" tint="-0.24991607409894101"/>
      </top>
      <bottom/>
      <diagonal/>
    </border>
    <border>
      <left style="thin">
        <color theme="0" tint="-0.24991607409894101"/>
      </left>
      <right/>
      <top style="thin">
        <color theme="0" tint="-0.24991607409894101"/>
      </top>
      <bottom/>
      <diagonal/>
    </border>
    <border>
      <left/>
      <right/>
      <top/>
      <bottom style="hair">
        <color theme="0" tint="-0.24991607409894101"/>
      </bottom>
      <diagonal/>
    </border>
    <border>
      <left/>
      <right/>
      <top style="hair">
        <color theme="0" tint="-0.24991607409894101"/>
      </top>
      <bottom style="hair">
        <color theme="0" tint="-0.24991607409894101"/>
      </bottom>
      <diagonal/>
    </border>
    <border>
      <left/>
      <right/>
      <top style="thin">
        <color theme="0" tint="-0.49995422223578601"/>
      </top>
      <bottom/>
      <diagonal/>
    </border>
    <border>
      <left/>
      <right style="thin">
        <color theme="0" tint="-0.24991607409894101"/>
      </right>
      <top style="thin">
        <color theme="0" tint="-0.49995422223578601"/>
      </top>
      <bottom/>
      <diagonal/>
    </border>
    <border>
      <left/>
      <right/>
      <top style="hair">
        <color theme="0" tint="-0.24991607409894101"/>
      </top>
      <bottom/>
      <diagonal/>
    </border>
    <border>
      <left/>
      <right style="thin">
        <color theme="0" tint="-4.9958800012207406E-2"/>
      </right>
      <top/>
      <bottom/>
      <diagonal/>
    </border>
    <border>
      <left style="thin">
        <color theme="0" tint="-4.9958800012207406E-2"/>
      </left>
      <right/>
      <top/>
      <bottom/>
      <diagonal/>
    </border>
    <border>
      <left/>
      <right style="thin">
        <color theme="0" tint="-4.9958800012207406E-2"/>
      </right>
      <top style="thin">
        <color theme="0" tint="-0.24991607409894101"/>
      </top>
      <bottom/>
      <diagonal/>
    </border>
    <border>
      <left style="thin">
        <color theme="0" tint="-4.9958800012207406E-2"/>
      </left>
      <right/>
      <top style="thin">
        <color theme="0" tint="-0.24991607409894101"/>
      </top>
      <bottom/>
      <diagonal/>
    </border>
    <border>
      <left/>
      <right style="thin">
        <color theme="0" tint="-4.9958800012207406E-2"/>
      </right>
      <top style="thin">
        <color theme="0" tint="-0.49995422223578601"/>
      </top>
      <bottom/>
      <diagonal/>
    </border>
    <border>
      <left style="thin">
        <color theme="0" tint="-4.9958800012207406E-2"/>
      </left>
      <right/>
      <top style="thin">
        <color theme="0" tint="-0.49995422223578601"/>
      </top>
      <bottom/>
      <diagonal/>
    </border>
    <border>
      <left/>
      <right/>
      <top style="thin">
        <color theme="1" tint="0.49995422223578601"/>
      </top>
      <bottom/>
      <diagonal/>
    </border>
    <border>
      <left style="medium">
        <color auto="1"/>
      </left>
      <right style="medium">
        <color auto="1"/>
      </right>
      <top style="medium">
        <color auto="1"/>
      </top>
      <bottom style="medium">
        <color auto="1"/>
      </bottom>
      <diagonal/>
    </border>
    <border>
      <left style="thin">
        <color theme="0" tint="-0.24991607409894101"/>
      </left>
      <right style="thin">
        <color theme="0" tint="-0.24991607409894101"/>
      </right>
      <top/>
      <bottom/>
      <diagonal/>
    </border>
    <border>
      <left/>
      <right/>
      <top/>
      <bottom style="medium">
        <color theme="0" tint="-0.24991607409894101"/>
      </bottom>
      <diagonal/>
    </border>
    <border>
      <left style="thin">
        <color theme="0" tint="-0.24991607409894101"/>
      </left>
      <right style="thin">
        <color theme="0" tint="-0.24991607409894101"/>
      </right>
      <top/>
      <bottom style="medium">
        <color theme="0" tint="-0.24991607409894101"/>
      </bottom>
      <diagonal/>
    </border>
    <border>
      <left style="medium">
        <color theme="0" tint="-0.24991607409894101"/>
      </left>
      <right/>
      <top style="medium">
        <color theme="0" tint="-0.24991607409894101"/>
      </top>
      <bottom/>
      <diagonal/>
    </border>
    <border>
      <left/>
      <right/>
      <top style="medium">
        <color theme="0" tint="-0.24991607409894101"/>
      </top>
      <bottom/>
      <diagonal/>
    </border>
    <border>
      <left style="thin">
        <color theme="0" tint="-0.24991607409894101"/>
      </left>
      <right style="thin">
        <color theme="0" tint="-0.24991607409894101"/>
      </right>
      <top style="medium">
        <color theme="0" tint="-0.24991607409894101"/>
      </top>
      <bottom/>
      <diagonal/>
    </border>
    <border>
      <left style="thin">
        <color theme="0" tint="-0.24991607409894101"/>
      </left>
      <right/>
      <top style="medium">
        <color theme="0" tint="-0.24991607409894101"/>
      </top>
      <bottom/>
      <diagonal/>
    </border>
    <border>
      <left/>
      <right style="medium">
        <color theme="0" tint="-0.24991607409894101"/>
      </right>
      <top style="medium">
        <color theme="0" tint="-0.24991607409894101"/>
      </top>
      <bottom/>
      <diagonal/>
    </border>
    <border>
      <left style="medium">
        <color theme="0" tint="-0.24991607409894101"/>
      </left>
      <right/>
      <top/>
      <bottom/>
      <diagonal/>
    </border>
    <border>
      <left/>
      <right style="medium">
        <color theme="0" tint="-0.24991607409894101"/>
      </right>
      <top/>
      <bottom/>
      <diagonal/>
    </border>
    <border>
      <left style="medium">
        <color theme="0" tint="-0.24991607409894101"/>
      </left>
      <right/>
      <top/>
      <bottom style="medium">
        <color theme="0" tint="-0.24991607409894101"/>
      </bottom>
      <diagonal/>
    </border>
    <border>
      <left style="thin">
        <color theme="0" tint="-0.24991607409894101"/>
      </left>
      <right/>
      <top/>
      <bottom style="medium">
        <color theme="0" tint="-0.24991607409894101"/>
      </bottom>
      <diagonal/>
    </border>
    <border>
      <left/>
      <right style="medium">
        <color theme="0" tint="-0.24991607409894101"/>
      </right>
      <top/>
      <bottom style="medium">
        <color theme="0" tint="-0.24991607409894101"/>
      </bottom>
      <diagonal/>
    </border>
    <border>
      <left/>
      <right style="medium">
        <color theme="0" tint="-0.14993743705557422"/>
      </right>
      <top/>
      <bottom/>
      <diagonal/>
    </border>
    <border>
      <left style="medium">
        <color theme="0" tint="-0.24991607409894101"/>
      </left>
      <right/>
      <top style="dotted">
        <color theme="0" tint="-0.24991607409894101"/>
      </top>
      <bottom/>
      <diagonal/>
    </border>
    <border>
      <left/>
      <right/>
      <top style="dotted">
        <color theme="0" tint="-0.24991607409894101"/>
      </top>
      <bottom/>
      <diagonal/>
    </border>
    <border>
      <left style="thin">
        <color theme="0" tint="-0.24991607409894101"/>
      </left>
      <right style="thin">
        <color theme="0" tint="-0.24991607409894101"/>
      </right>
      <top style="dotted">
        <color theme="0" tint="-0.24991607409894101"/>
      </top>
      <bottom/>
      <diagonal/>
    </border>
    <border>
      <left/>
      <right style="medium">
        <color theme="0" tint="-0.24991607409894101"/>
      </right>
      <top style="dotted">
        <color theme="0" tint="-0.24991607409894101"/>
      </top>
      <bottom/>
      <diagonal/>
    </border>
    <border>
      <left style="medium">
        <color theme="0" tint="-0.24991607409894101"/>
      </left>
      <right/>
      <top/>
      <bottom style="thin">
        <color theme="0" tint="-0.24991607409894101"/>
      </bottom>
      <diagonal/>
    </border>
    <border>
      <left style="thin">
        <color theme="0" tint="-0.24991607409894101"/>
      </left>
      <right style="thin">
        <color theme="0" tint="-0.24991607409894101"/>
      </right>
      <top/>
      <bottom style="thin">
        <color theme="0" tint="-0.24991607409894101"/>
      </bottom>
      <diagonal/>
    </border>
    <border>
      <left/>
      <right style="medium">
        <color theme="0" tint="-0.24991607409894101"/>
      </right>
      <top/>
      <bottom style="thin">
        <color theme="0" tint="-0.24991607409894101"/>
      </bottom>
      <diagonal/>
    </border>
    <border>
      <left style="medium">
        <color theme="0" tint="-0.24991607409894101"/>
      </left>
      <right/>
      <top style="thin">
        <color theme="0" tint="-0.24991607409894101"/>
      </top>
      <bottom/>
      <diagonal/>
    </border>
    <border>
      <left style="thin">
        <color theme="0" tint="-0.24991607409894101"/>
      </left>
      <right style="thin">
        <color theme="0" tint="-0.24991607409894101"/>
      </right>
      <top style="thin">
        <color theme="0" tint="-0.24991607409894101"/>
      </top>
      <bottom/>
      <diagonal/>
    </border>
    <border>
      <left/>
      <right style="medium">
        <color theme="0" tint="-0.24991607409894101"/>
      </right>
      <top style="thin">
        <color theme="0" tint="-0.24991607409894101"/>
      </top>
      <bottom/>
      <diagonal/>
    </border>
    <border>
      <left/>
      <right style="medium">
        <color theme="0" tint="-4.9958800012207406E-2"/>
      </right>
      <top/>
      <bottom/>
      <diagonal/>
    </border>
    <border>
      <left style="hair">
        <color auto="1"/>
      </left>
      <right style="hair">
        <color auto="1"/>
      </right>
      <top style="hair">
        <color auto="1"/>
      </top>
      <bottom style="hair">
        <color auto="1"/>
      </bottom>
      <diagonal/>
    </border>
    <border>
      <left/>
      <right/>
      <top style="thin">
        <color theme="0" tint="-4.9958800012207406E-2"/>
      </top>
      <bottom style="thin">
        <color theme="0" tint="-4.9958800012207406E-2"/>
      </bottom>
      <diagonal/>
    </border>
    <border>
      <left style="thick">
        <color theme="0" tint="-4.9958800012207406E-2"/>
      </left>
      <right/>
      <top/>
      <bottom/>
      <diagonal/>
    </border>
    <border>
      <left/>
      <right style="medium">
        <color theme="0" tint="-4.9958800012207406E-2"/>
      </right>
      <top/>
      <bottom style="thin">
        <color theme="4" tint="0.39994506668294322"/>
      </bottom>
      <diagonal/>
    </border>
    <border>
      <left style="medium">
        <color theme="0" tint="-4.9958800012207406E-2"/>
      </left>
      <right/>
      <top/>
      <bottom style="thin">
        <color theme="4" tint="0.39994506668294322"/>
      </bottom>
      <diagonal/>
    </border>
    <border>
      <left/>
      <right/>
      <top/>
      <bottom style="thin">
        <color theme="4" tint="0.39994506668294322"/>
      </bottom>
      <diagonal/>
    </border>
    <border>
      <left/>
      <right style="thick">
        <color theme="0" tint="-4.9958800012207406E-2"/>
      </right>
      <top style="thin">
        <color theme="4" tint="0.39994506668294322"/>
      </top>
      <bottom/>
      <diagonal/>
    </border>
    <border>
      <left/>
      <right style="thick">
        <color theme="0" tint="-4.9958800012207406E-2"/>
      </right>
      <top/>
      <bottom/>
      <diagonal/>
    </border>
    <border>
      <left style="thick">
        <color theme="0" tint="-4.9958800012207406E-2"/>
      </left>
      <right/>
      <top style="thin">
        <color theme="0" tint="-4.9958800012207406E-2"/>
      </top>
      <bottom/>
      <diagonal/>
    </border>
    <border>
      <left/>
      <right style="thick">
        <color theme="0" tint="-4.9958800012207406E-2"/>
      </right>
      <top style="thin">
        <color theme="4" tint="0.39994506668294322"/>
      </top>
      <bottom style="thin">
        <color theme="0" tint="-4.9958800012207406E-2"/>
      </bottom>
      <diagonal/>
    </border>
    <border>
      <left/>
      <right style="thick">
        <color theme="0" tint="-4.9958800012207406E-2"/>
      </right>
      <top style="thin">
        <color theme="0" tint="-4.9958800012207406E-2"/>
      </top>
      <bottom/>
      <diagonal/>
    </border>
    <border>
      <left/>
      <right style="thick">
        <color theme="0" tint="-4.9958800012207406E-2"/>
      </right>
      <top style="thin">
        <color theme="0" tint="-4.9958800012207406E-2"/>
      </top>
      <bottom style="thin">
        <color theme="4" tint="0.39994506668294322"/>
      </bottom>
      <diagonal/>
    </border>
    <border>
      <left/>
      <right/>
      <top style="thin">
        <color theme="4" tint="0.39994506668294322"/>
      </top>
      <bottom/>
      <diagonal/>
    </border>
    <border>
      <left style="thin">
        <color theme="4" tint="0.39994506668294322"/>
      </left>
      <right/>
      <top/>
      <bottom/>
      <diagonal/>
    </border>
    <border>
      <left/>
      <right style="thin">
        <color theme="4" tint="0.39988402966399123"/>
      </right>
      <top/>
      <bottom/>
      <diagonal/>
    </border>
    <border>
      <left/>
      <right style="thin">
        <color theme="4" tint="0.39994506668294322"/>
      </right>
      <top/>
      <bottom/>
      <diagonal/>
    </border>
    <border>
      <left style="thin">
        <color theme="4" tint="0.39994506668294322"/>
      </left>
      <right/>
      <top/>
      <bottom style="thin">
        <color theme="4" tint="0.39994506668294322"/>
      </bottom>
      <diagonal/>
    </border>
    <border>
      <left/>
      <right style="thin">
        <color theme="4" tint="0.39988402966399123"/>
      </right>
      <top/>
      <bottom style="thin">
        <color theme="4" tint="0.39994506668294322"/>
      </bottom>
      <diagonal/>
    </border>
    <border>
      <left/>
      <right/>
      <top/>
      <bottom style="thin">
        <color theme="4" tint="0.39988402966399123"/>
      </bottom>
      <diagonal/>
    </border>
    <border>
      <left/>
      <right style="thin">
        <color theme="4" tint="0.39994506668294322"/>
      </right>
      <top/>
      <bottom style="thin">
        <color theme="4" tint="0.39994506668294322"/>
      </bottom>
      <diagonal/>
    </border>
    <border>
      <left style="thin">
        <color theme="4" tint="0.39994506668294322"/>
      </left>
      <right/>
      <top/>
      <bottom style="medium">
        <color theme="4" tint="0.39994506668294322"/>
      </bottom>
      <diagonal/>
    </border>
    <border>
      <left/>
      <right style="thin">
        <color theme="4" tint="0.39994506668294322"/>
      </right>
      <top/>
      <bottom style="medium">
        <color theme="4" tint="0.39994506668294322"/>
      </bottom>
      <diagonal/>
    </border>
    <border>
      <left style="thin">
        <color theme="4" tint="0.39994506668294322"/>
      </left>
      <right/>
      <top style="thin">
        <color theme="4" tint="0.39988402966399123"/>
      </top>
      <bottom style="medium">
        <color theme="4" tint="0.39988402966399123"/>
      </bottom>
      <diagonal/>
    </border>
    <border>
      <left/>
      <right style="thin">
        <color theme="4" tint="0.39994506668294322"/>
      </right>
      <top style="thin">
        <color theme="4" tint="0.39988402966399123"/>
      </top>
      <bottom style="medium">
        <color theme="4" tint="0.39988402966399123"/>
      </bottom>
      <diagonal/>
    </border>
    <border>
      <left/>
      <right/>
      <top/>
      <bottom style="medium">
        <color theme="4" tint="0.39988402966399123"/>
      </bottom>
      <diagonal/>
    </border>
    <border>
      <left/>
      <right/>
      <top style="thin">
        <color theme="4" tint="0.39994506668294322"/>
      </top>
      <bottom style="medium">
        <color theme="4" tint="0.39994506668294322"/>
      </bottom>
      <diagonal/>
    </border>
    <border>
      <left style="thin">
        <color theme="4" tint="0.39988402966399123"/>
      </left>
      <right/>
      <top style="thin">
        <color theme="4" tint="0.39994506668294322"/>
      </top>
      <bottom style="medium">
        <color theme="4" tint="0.39994506668294322"/>
      </bottom>
      <diagonal/>
    </border>
    <border>
      <left style="thin">
        <color theme="4" tint="0.39994506668294322"/>
      </left>
      <right style="thin">
        <color theme="0" tint="-4.9958800012207406E-2"/>
      </right>
      <top/>
      <bottom/>
      <diagonal/>
    </border>
    <border>
      <left style="thin">
        <color theme="0" tint="-4.9958800012207406E-2"/>
      </left>
      <right style="thin">
        <color theme="0" tint="-4.9958800012207406E-2"/>
      </right>
      <top/>
      <bottom/>
      <diagonal/>
    </border>
    <border>
      <left style="thin">
        <color theme="0" tint="-4.9958800012207406E-2"/>
      </left>
      <right style="thin">
        <color theme="4" tint="0.39994506668294322"/>
      </right>
      <top/>
      <bottom/>
      <diagonal/>
    </border>
    <border>
      <left/>
      <right style="dashed">
        <color theme="0" tint="-0.14993743705557422"/>
      </right>
      <top/>
      <bottom/>
      <diagonal/>
    </border>
    <border>
      <left style="dashed">
        <color theme="0" tint="-0.14993743705557422"/>
      </left>
      <right/>
      <top/>
      <bottom/>
      <diagonal/>
    </border>
    <border>
      <left style="thin">
        <color theme="4" tint="0.39988402966399123"/>
      </left>
      <right style="dashed">
        <color theme="0" tint="-0.14993743705557422"/>
      </right>
      <top/>
      <bottom/>
      <diagonal/>
    </border>
    <border>
      <left style="thin">
        <color theme="4" tint="0.39988402966399123"/>
      </left>
      <right/>
      <top/>
      <bottom/>
      <diagonal/>
    </border>
    <border>
      <left style="thin">
        <color theme="4" tint="0.39994506668294322"/>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style="thin">
        <color theme="4" tint="0.39988402966399123"/>
      </top>
      <bottom/>
      <diagonal/>
    </border>
    <border>
      <left/>
      <right/>
      <top style="thin">
        <color theme="4" tint="0.39988402966399123"/>
      </top>
      <bottom/>
      <diagonal/>
    </border>
    <border>
      <left style="thin">
        <color theme="4" tint="0.39988402966399123"/>
      </left>
      <right/>
      <top style="thin">
        <color theme="4" tint="0.39994506668294322"/>
      </top>
      <bottom/>
      <diagonal/>
    </border>
    <border>
      <left/>
      <right style="thick">
        <color theme="0" tint="-4.9958800012207406E-2"/>
      </right>
      <top/>
      <bottom style="medium">
        <color theme="4" tint="0.39994506668294322"/>
      </bottom>
      <diagonal/>
    </border>
    <border>
      <left/>
      <right/>
      <top/>
      <bottom style="thin">
        <color theme="4" tint="0.39985351115451523"/>
      </bottom>
      <diagonal/>
    </border>
    <border>
      <left/>
      <right/>
      <top style="thin">
        <color theme="4" tint="0.39985351115451523"/>
      </top>
      <bottom style="medium">
        <color theme="4" tint="0.39982299264503923"/>
      </bottom>
      <diagonal/>
    </border>
    <border>
      <left/>
      <right/>
      <top/>
      <bottom style="hair">
        <color theme="0" tint="-0.34995574816125979"/>
      </bottom>
      <diagonal/>
    </border>
    <border>
      <left/>
      <right/>
      <top style="hair">
        <color theme="0" tint="-0.34995574816125979"/>
      </top>
      <bottom/>
      <diagonal/>
    </border>
    <border>
      <left style="thin">
        <color theme="4" tint="0.39988402966399123"/>
      </left>
      <right style="thin">
        <color theme="0" tint="-4.9958800012207406E-2"/>
      </right>
      <top style="medium">
        <color theme="4" tint="0.39994506668294322"/>
      </top>
      <bottom/>
      <diagonal/>
    </border>
    <border>
      <left style="thin">
        <color theme="0" tint="-4.9958800012207406E-2"/>
      </left>
      <right style="thin">
        <color theme="4" tint="0.39988402966399123"/>
      </right>
      <top style="medium">
        <color theme="4" tint="0.39994506668294322"/>
      </top>
      <bottom/>
      <diagonal/>
    </border>
    <border>
      <left style="thin">
        <color theme="4" tint="0.39988402966399123"/>
      </left>
      <right style="thin">
        <color theme="0" tint="-4.9958800012207406E-2"/>
      </right>
      <top/>
      <bottom/>
      <diagonal/>
    </border>
    <border>
      <left style="thin">
        <color theme="0" tint="-4.9958800012207406E-2"/>
      </left>
      <right style="thin">
        <color theme="4" tint="0.39988402966399123"/>
      </right>
      <top/>
      <bottom/>
      <diagonal/>
    </border>
    <border>
      <left style="thin">
        <color theme="4" tint="0.39988402966399123"/>
      </left>
      <right/>
      <top/>
      <bottom style="thin">
        <color theme="4" tint="0.39994506668294322"/>
      </bottom>
      <diagonal/>
    </border>
    <border>
      <left style="thin">
        <color theme="0" tint="-4.9958800012207406E-2"/>
      </left>
      <right style="thin">
        <color theme="0" tint="-4.9958800012207406E-2"/>
      </right>
      <top style="thin">
        <color theme="0" tint="-4.9958800012207406E-2"/>
      </top>
      <bottom style="medium">
        <color theme="4" tint="0.39994506668294322"/>
      </bottom>
      <diagonal/>
    </border>
    <border>
      <left style="thin">
        <color theme="4" tint="0.39988402966399123"/>
      </left>
      <right/>
      <top style="medium">
        <color theme="4" tint="0.39994506668294322"/>
      </top>
      <bottom/>
      <diagonal/>
    </border>
    <border>
      <left/>
      <right style="thin">
        <color theme="0" tint="-4.9958800012207406E-2"/>
      </right>
      <top style="medium">
        <color theme="4" tint="0.39994506668294322"/>
      </top>
      <bottom/>
      <diagonal/>
    </border>
    <border>
      <left/>
      <right/>
      <top style="thin">
        <color theme="4" tint="0.39994506668294322"/>
      </top>
      <bottom style="thin">
        <color theme="0" tint="-4.9958800012207406E-2"/>
      </bottom>
      <diagonal/>
    </border>
    <border>
      <left/>
      <right/>
      <top style="medium">
        <color theme="4" tint="0.39994506668294322"/>
      </top>
      <bottom/>
      <diagonal/>
    </border>
    <border>
      <left style="thin">
        <color theme="4" tint="0.39988402966399123"/>
      </left>
      <right style="thin">
        <color theme="4" tint="0.39988402966399123"/>
      </right>
      <top style="medium">
        <color theme="4" tint="0.39994506668294322"/>
      </top>
      <bottom/>
      <diagonal/>
    </border>
    <border>
      <left style="thin">
        <color theme="4" tint="0.39988402966399123"/>
      </left>
      <right style="thin">
        <color theme="4" tint="0.39988402966399123"/>
      </right>
      <top/>
      <bottom/>
      <diagonal/>
    </border>
    <border>
      <left style="thin">
        <color theme="4" tint="0.39988402966399123"/>
      </left>
      <right style="thin">
        <color theme="4" tint="0.39988402966399123"/>
      </right>
      <top/>
      <bottom style="thin">
        <color theme="4" tint="0.39994506668294322"/>
      </bottom>
      <diagonal/>
    </border>
    <border>
      <left/>
      <right/>
      <top style="thin">
        <color theme="0" tint="-4.9958800012207406E-2"/>
      </top>
      <bottom style="thin">
        <color theme="4" tint="0.39994506668294322"/>
      </bottom>
      <diagonal/>
    </border>
    <border>
      <left/>
      <right style="thick">
        <color theme="0" tint="-4.9958800012207406E-2"/>
      </right>
      <top/>
      <bottom style="thin">
        <color theme="4" tint="0.39985351115451523"/>
      </bottom>
      <diagonal/>
    </border>
    <border>
      <left style="thick">
        <color theme="0" tint="-4.9958800012207406E-2"/>
      </left>
      <right/>
      <top/>
      <bottom style="thin">
        <color theme="4" tint="0.39985351115451523"/>
      </bottom>
      <diagonal/>
    </border>
    <border>
      <left/>
      <right style="thick">
        <color theme="0" tint="-4.9958800012207406E-2"/>
      </right>
      <top/>
      <bottom style="thin">
        <color theme="4" tint="0.39994506668294322"/>
      </bottom>
      <diagonal/>
    </border>
    <border>
      <left style="thick">
        <color theme="0" tint="-4.9958800012207406E-2"/>
      </left>
      <right/>
      <top/>
      <bottom style="thin">
        <color theme="4" tint="0.39994506668294322"/>
      </bottom>
      <diagonal/>
    </border>
    <border>
      <left style="thick">
        <color theme="0" tint="-4.9958800012207406E-2"/>
      </left>
      <right/>
      <top style="thin">
        <color theme="4" tint="0.39994506668294322"/>
      </top>
      <bottom style="thin">
        <color theme="0" tint="-4.9958800012207406E-2"/>
      </bottom>
      <diagonal/>
    </border>
    <border>
      <left style="thick">
        <color theme="0" tint="-4.9958800012207406E-2"/>
      </left>
      <right/>
      <top style="thin">
        <color theme="0" tint="-4.9958800012207406E-2"/>
      </top>
      <bottom style="thin">
        <color theme="0" tint="-4.9958800012207406E-2"/>
      </bottom>
      <diagonal/>
    </border>
    <border>
      <left style="thick">
        <color theme="0" tint="-4.9958800012207406E-2"/>
      </left>
      <right/>
      <top style="thin">
        <color theme="4" tint="0.39994506668294322"/>
      </top>
      <bottom/>
      <diagonal/>
    </border>
    <border>
      <left/>
      <right/>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style="thin">
        <color theme="0"/>
      </left>
      <right style="thin">
        <color theme="0"/>
      </right>
      <top style="thin">
        <color theme="4" tint="-0.49995422223578601"/>
      </top>
      <bottom/>
      <diagonal/>
    </border>
    <border>
      <left style="thin">
        <color theme="0"/>
      </left>
      <right style="thick">
        <color theme="0"/>
      </right>
      <top style="thin">
        <color theme="4" tint="-0.49995422223578601"/>
      </top>
      <bottom/>
      <diagonal/>
    </border>
    <border>
      <left style="thick">
        <color theme="0" tint="-4.9958800012207406E-2"/>
      </left>
      <right/>
      <top style="thin">
        <color auto="1"/>
      </top>
      <bottom/>
      <diagonal/>
    </border>
    <border>
      <left/>
      <right/>
      <top style="thin">
        <color theme="0" tint="-4.9958800012207406E-2"/>
      </top>
      <bottom style="thin">
        <color auto="1"/>
      </bottom>
      <diagonal/>
    </border>
    <border>
      <left style="thick">
        <color theme="0" tint="-4.9958800012207406E-2"/>
      </left>
      <right/>
      <top/>
      <bottom style="thin">
        <color theme="0" tint="-4.9958800012207406E-2"/>
      </bottom>
      <diagonal/>
    </border>
    <border>
      <left/>
      <right style="thin">
        <color theme="0" tint="-4.9958800012207406E-2"/>
      </right>
      <top/>
      <bottom style="thin">
        <color theme="0" tint="-4.9958800012207406E-2"/>
      </bottom>
      <diagonal/>
    </border>
    <border>
      <left style="thin">
        <color theme="0" tint="-4.9958800012207406E-2"/>
      </left>
      <right style="thin">
        <color theme="0" tint="-4.9958800012207406E-2"/>
      </right>
      <top/>
      <bottom style="thin">
        <color theme="0" tint="-4.9958800012207406E-2"/>
      </bottom>
      <diagonal/>
    </border>
    <border>
      <left style="thin">
        <color theme="0" tint="-4.9958800012207406E-2"/>
      </left>
      <right/>
      <top/>
      <bottom style="thin">
        <color theme="0" tint="-4.9958800012207406E-2"/>
      </bottom>
      <diagonal/>
    </border>
    <border>
      <left/>
      <right/>
      <top/>
      <bottom style="thin">
        <color rgb="FF95B3D7"/>
      </bottom>
      <diagonal/>
    </border>
    <border>
      <left/>
      <right style="thin">
        <color theme="0" tint="-4.9958800012207406E-2"/>
      </right>
      <top style="thin">
        <color theme="0" tint="-4.9958800012207406E-2"/>
      </top>
      <bottom/>
      <diagonal/>
    </border>
    <border>
      <left style="thin">
        <color theme="0" tint="-4.9958800012207406E-2"/>
      </left>
      <right style="thin">
        <color theme="0" tint="-4.9958800012207406E-2"/>
      </right>
      <top style="thin">
        <color theme="0" tint="-4.9958800012207406E-2"/>
      </top>
      <bottom/>
      <diagonal/>
    </border>
    <border>
      <left style="thin">
        <color theme="0" tint="-4.9958800012207406E-2"/>
      </left>
      <right/>
      <top style="thin">
        <color theme="0" tint="-4.9958800012207406E-2"/>
      </top>
      <bottom/>
      <diagonal/>
    </border>
    <border>
      <left/>
      <right style="thin">
        <color theme="0" tint="-4.9958800012207406E-2"/>
      </right>
      <top style="thin">
        <color theme="0" tint="-4.9958800012207406E-2"/>
      </top>
      <bottom style="thin">
        <color theme="0" tint="-4.9958800012207406E-2"/>
      </bottom>
      <diagonal/>
    </border>
    <border>
      <left style="thin">
        <color theme="0" tint="-4.9958800012207406E-2"/>
      </left>
      <right style="thin">
        <color theme="0" tint="-4.9958800012207406E-2"/>
      </right>
      <top style="thin">
        <color theme="0" tint="-4.9958800012207406E-2"/>
      </top>
      <bottom style="thin">
        <color theme="0" tint="-4.9958800012207406E-2"/>
      </bottom>
      <diagonal/>
    </border>
    <border>
      <left style="thin">
        <color theme="0" tint="-4.9958800012207406E-2"/>
      </left>
      <right/>
      <top style="thin">
        <color theme="0" tint="-4.9958800012207406E-2"/>
      </top>
      <bottom style="thin">
        <color theme="0" tint="-4.9958800012207406E-2"/>
      </bottom>
      <diagonal/>
    </border>
    <border>
      <left/>
      <right/>
      <top style="thin">
        <color rgb="FF95B3D7"/>
      </top>
      <bottom/>
      <diagonal/>
    </border>
    <border>
      <left style="thin">
        <color auto="1"/>
      </left>
      <right style="thin">
        <color auto="1"/>
      </right>
      <top style="thin">
        <color auto="1"/>
      </top>
      <bottom style="thin">
        <color auto="1"/>
      </bottom>
      <diagonal/>
    </border>
    <border>
      <left style="medium">
        <color auto="1"/>
      </left>
      <right/>
      <top style="medium">
        <color auto="1"/>
      </top>
      <bottom/>
      <diagonal/>
    </border>
    <border>
      <left style="thin">
        <color auto="1"/>
      </left>
      <right style="thin">
        <color auto="1"/>
      </right>
      <top/>
      <bottom/>
      <diagonal/>
    </border>
    <border>
      <left style="medium">
        <color auto="1"/>
      </left>
      <right/>
      <top style="thin">
        <color theme="4" tint="0.59993285927915285"/>
      </top>
      <bottom style="thin">
        <color theme="4" tint="0.59993285927915285"/>
      </bottom>
      <diagonal/>
    </border>
    <border>
      <left style="medium">
        <color auto="1"/>
      </left>
      <right/>
      <top style="thin">
        <color theme="4" tint="0.59993285927915285"/>
      </top>
      <bottom style="medium">
        <color auto="1"/>
      </bottom>
      <diagonal/>
    </border>
    <border>
      <left style="medium">
        <color auto="1"/>
      </left>
      <right/>
      <top style="medium">
        <color auto="1"/>
      </top>
      <bottom style="thin">
        <color theme="4" tint="0.59993285927915285"/>
      </bottom>
      <diagonal/>
    </border>
    <border>
      <left style="medium">
        <color auto="1"/>
      </left>
      <right/>
      <top style="thin">
        <color theme="4" tint="0.59993285927915285"/>
      </top>
      <bottom/>
      <diagonal/>
    </border>
    <border>
      <left style="medium">
        <color auto="1"/>
      </left>
      <right/>
      <top/>
      <bottom style="thin">
        <color theme="4" tint="0.59993285927915285"/>
      </bottom>
      <diagonal/>
    </border>
    <border>
      <left style="medium">
        <color auto="1"/>
      </left>
      <right/>
      <top/>
      <bottom/>
      <diagonal/>
    </border>
    <border>
      <left/>
      <right/>
      <top style="thin">
        <color auto="1"/>
      </top>
      <bottom style="thin">
        <color auto="1"/>
      </bottom>
      <diagonal/>
    </border>
    <border>
      <left style="medium">
        <color auto="1"/>
      </left>
      <right/>
      <top/>
      <bottom style="medium">
        <color auto="1"/>
      </bottom>
      <diagonal/>
    </border>
    <border>
      <left/>
      <right/>
      <top/>
      <bottom style="thin">
        <color theme="4" tint="0.59993285927915285"/>
      </bottom>
      <diagonal/>
    </border>
    <border>
      <left/>
      <right/>
      <top style="medium">
        <color auto="1"/>
      </top>
      <bottom style="thin">
        <color theme="4" tint="0.59993285927915285"/>
      </bottom>
      <diagonal/>
    </border>
    <border>
      <left style="thin">
        <color auto="1"/>
      </left>
      <right style="thin">
        <color theme="0" tint="-0.34995574816125979"/>
      </right>
      <top/>
      <bottom/>
      <diagonal/>
    </border>
    <border>
      <left style="thin">
        <color theme="0" tint="-0.34995574816125979"/>
      </left>
      <right style="thin">
        <color theme="0" tint="-0.34995574816125979"/>
      </right>
      <top/>
      <bottom/>
      <diagonal/>
    </border>
    <border>
      <left style="thin">
        <color auto="1"/>
      </left>
      <right style="thin">
        <color theme="0" tint="-0.34995574816125979"/>
      </right>
      <top style="thin">
        <color theme="0" tint="-0.34995574816125979"/>
      </top>
      <bottom style="thin">
        <color auto="1"/>
      </bottom>
      <diagonal/>
    </border>
    <border>
      <left style="thin">
        <color theme="0" tint="-0.34995574816125979"/>
      </left>
      <right style="thin">
        <color theme="0" tint="-0.34995574816125979"/>
      </right>
      <top style="thin">
        <color theme="0" tint="-0.34995574816125979"/>
      </top>
      <bottom style="thin">
        <color auto="1"/>
      </bottom>
      <diagonal/>
    </border>
    <border>
      <left/>
      <right/>
      <top style="thin">
        <color theme="0" tint="-0.34995574816125979"/>
      </top>
      <bottom style="thin">
        <color auto="1"/>
      </bottom>
      <diagonal/>
    </border>
    <border>
      <left style="thin">
        <color theme="0" tint="-0.24991607409894101"/>
      </left>
      <right style="thin">
        <color theme="0" tint="-0.24991607409894101"/>
      </right>
      <top style="thin">
        <color theme="0" tint="-0.34995574816125979"/>
      </top>
      <bottom style="thin">
        <color auto="1"/>
      </bottom>
      <diagonal/>
    </border>
    <border>
      <left style="thin">
        <color theme="0" tint="-0.24991607409894101"/>
      </left>
      <right style="thin">
        <color auto="1"/>
      </right>
      <top style="thin">
        <color theme="0" tint="-0.34995574816125979"/>
      </top>
      <bottom style="thin">
        <color auto="1"/>
      </bottom>
      <diagonal/>
    </border>
    <border>
      <left style="thin">
        <color auto="1"/>
      </left>
      <right style="thin">
        <color theme="0" tint="-0.34995574816125979"/>
      </right>
      <top style="thin">
        <color theme="0" tint="-0.34995574816125979"/>
      </top>
      <bottom/>
      <diagonal/>
    </border>
    <border>
      <left style="thin">
        <color theme="0" tint="-0.34995574816125979"/>
      </left>
      <right style="thin">
        <color theme="0" tint="-0.34995574816125979"/>
      </right>
      <top style="thin">
        <color theme="0" tint="-0.34995574816125979"/>
      </top>
      <bottom/>
      <diagonal/>
    </border>
    <border>
      <left/>
      <right/>
      <top style="thin">
        <color theme="0" tint="-0.34995574816125979"/>
      </top>
      <bottom/>
      <diagonal/>
    </border>
    <border>
      <left style="thin">
        <color theme="0" tint="-0.24991607409894101"/>
      </left>
      <right style="thin">
        <color theme="0" tint="-0.24991607409894101"/>
      </right>
      <top style="thin">
        <color theme="0" tint="-0.34995574816125979"/>
      </top>
      <bottom/>
      <diagonal/>
    </border>
    <border>
      <left style="thin">
        <color theme="0" tint="-0.24991607409894101"/>
      </left>
      <right style="thin">
        <color auto="1"/>
      </right>
      <top style="thin">
        <color theme="0" tint="-0.34995574816125979"/>
      </top>
      <bottom/>
      <diagonal/>
    </border>
    <border>
      <left/>
      <right/>
      <top style="thin">
        <color theme="4" tint="0.59993285927915285"/>
      </top>
      <bottom style="medium">
        <color auto="1"/>
      </bottom>
      <diagonal/>
    </border>
    <border>
      <left style="thick">
        <color theme="0" tint="-4.9958800012207406E-2"/>
      </left>
      <right style="thick">
        <color theme="0" tint="-4.9958800012207406E-2"/>
      </right>
      <top style="thin">
        <color theme="0" tint="-4.9958800012207406E-2"/>
      </top>
      <bottom/>
      <diagonal/>
    </border>
    <border>
      <left style="thick">
        <color theme="0" tint="-4.9958800012207406E-2"/>
      </left>
      <right style="thick">
        <color theme="0" tint="-4.9958800012207406E-2"/>
      </right>
      <top style="thin">
        <color theme="0" tint="-4.9958800012207406E-2"/>
      </top>
      <bottom style="thin">
        <color theme="0" tint="-4.9958800012207406E-2"/>
      </bottom>
      <diagonal/>
    </border>
    <border>
      <left style="thick">
        <color theme="0" tint="-4.9958800012207406E-2"/>
      </left>
      <right style="thick">
        <color theme="0" tint="-4.9958800012207406E-2"/>
      </right>
      <top/>
      <bottom/>
      <diagonal/>
    </border>
    <border>
      <left style="thick">
        <color theme="0" tint="-4.9958800012207406E-2"/>
      </left>
      <right style="thick">
        <color theme="0" tint="-4.9958800012207406E-2"/>
      </right>
      <top style="thin">
        <color theme="4" tint="0.39994506668294322"/>
      </top>
      <bottom style="thin">
        <color theme="0" tint="-4.9958800012207406E-2"/>
      </bottom>
      <diagonal/>
    </border>
    <border>
      <left style="thick">
        <color theme="0" tint="-4.9958800012207406E-2"/>
      </left>
      <right style="thick">
        <color theme="0" tint="-4.9958800012207406E-2"/>
      </right>
      <top style="thin">
        <color theme="4" tint="0.39994506668294322"/>
      </top>
      <bottom/>
      <diagonal/>
    </border>
    <border>
      <left style="thick">
        <color theme="0" tint="-4.9958800012207406E-2"/>
      </left>
      <right style="thick">
        <color theme="0" tint="-4.9958800012207406E-2"/>
      </right>
      <top/>
      <bottom style="thin">
        <color theme="0" tint="-4.9958800012207406E-2"/>
      </bottom>
      <diagonal/>
    </border>
    <border>
      <left/>
      <right style="thin">
        <color theme="4" tint="0.39988402966399123"/>
      </right>
      <top style="medium">
        <color theme="4" tint="0.39994506668294322"/>
      </top>
      <bottom/>
      <diagonal/>
    </border>
    <border>
      <left style="thick">
        <color theme="0" tint="-4.9958800012207406E-2"/>
      </left>
      <right style="thick">
        <color theme="0" tint="-4.9958800012207406E-2"/>
      </right>
      <top style="medium">
        <color theme="4" tint="0.39994506668294322"/>
      </top>
      <bottom style="thin">
        <color theme="0" tint="-4.9958800012207406E-2"/>
      </bottom>
      <diagonal/>
    </border>
    <border>
      <left style="thick">
        <color theme="0" tint="-4.9958800012207406E-2"/>
      </left>
      <right style="thin">
        <color theme="0" tint="-4.9958800012207406E-2"/>
      </right>
      <top style="medium">
        <color theme="4" tint="0.39994506668294322"/>
      </top>
      <bottom style="thin">
        <color theme="0" tint="-4.9958800012207406E-2"/>
      </bottom>
      <diagonal/>
    </border>
    <border>
      <left/>
      <right style="thin">
        <color theme="4" tint="0.39985351115451523"/>
      </right>
      <top/>
      <bottom/>
      <diagonal/>
    </border>
    <border>
      <left/>
      <right/>
      <top/>
      <bottom style="thin">
        <color theme="4" tint="-0.49995422223578601"/>
      </bottom>
      <diagonal/>
    </border>
    <border>
      <left/>
      <right style="thick">
        <color theme="0"/>
      </right>
      <top/>
      <bottom style="thin">
        <color theme="4" tint="-0.49995422223578601"/>
      </bottom>
      <diagonal/>
    </border>
    <border>
      <left style="thick">
        <color theme="0"/>
      </left>
      <right style="thin">
        <color theme="0"/>
      </right>
      <top/>
      <bottom style="thin">
        <color theme="4" tint="-0.49995422223578601"/>
      </bottom>
      <diagonal/>
    </border>
    <border>
      <left style="thin">
        <color theme="0"/>
      </left>
      <right style="thick">
        <color theme="0"/>
      </right>
      <top/>
      <bottom style="thin">
        <color theme="4" tint="-0.49995422223578601"/>
      </bottom>
      <diagonal/>
    </border>
    <border>
      <left style="thick">
        <color theme="0"/>
      </left>
      <right/>
      <top/>
      <bottom style="thin">
        <color theme="4" tint="-0.49995422223578601"/>
      </bottom>
      <diagonal/>
    </border>
    <border>
      <left/>
      <right style="medium">
        <color auto="1"/>
      </right>
      <top/>
      <bottom/>
      <diagonal/>
    </border>
    <border>
      <left style="thick">
        <color theme="0" tint="-4.9958800012207406E-2"/>
      </left>
      <right style="thick">
        <color theme="0" tint="-4.9958800012207406E-2"/>
      </right>
      <top/>
      <bottom style="thin">
        <color theme="4" tint="0.39985351115451523"/>
      </bottom>
      <diagonal/>
    </border>
    <border>
      <left style="thin">
        <color theme="4" tint="0.39988402966399123"/>
      </left>
      <right/>
      <top/>
      <bottom style="thin">
        <color theme="4" tint="0.39988402966399123"/>
      </bottom>
      <diagonal/>
    </border>
    <border>
      <left/>
      <right style="thin">
        <color theme="4" tint="0.39994506668294322"/>
      </right>
      <top/>
      <bottom style="thin">
        <color theme="4" tint="0.39988402966399123"/>
      </bottom>
      <diagonal/>
    </border>
    <border>
      <left/>
      <right style="thin">
        <color theme="4" tint="0.39988402966399123"/>
      </right>
      <top style="thin">
        <color theme="4" tint="0.39994506668294322"/>
      </top>
      <bottom style="medium">
        <color theme="4" tint="0.39994506668294322"/>
      </bottom>
      <diagonal/>
    </border>
    <border>
      <left style="thick">
        <color theme="0" tint="-4.9958800012207406E-2"/>
      </left>
      <right/>
      <top/>
      <bottom style="medium">
        <color theme="4" tint="0.39994506668294322"/>
      </bottom>
      <diagonal/>
    </border>
    <border>
      <left/>
      <right style="thin">
        <color theme="0" tint="-4.9958800012207406E-2"/>
      </right>
      <top/>
      <bottom style="medium">
        <color theme="4" tint="0.39994506668294322"/>
      </bottom>
      <diagonal/>
    </border>
    <border>
      <left style="thin">
        <color theme="0" tint="-4.9958800012207406E-2"/>
      </left>
      <right/>
      <top/>
      <bottom style="medium">
        <color theme="4" tint="0.39994506668294322"/>
      </bottom>
      <diagonal/>
    </border>
    <border>
      <left style="thin">
        <color theme="0"/>
      </left>
      <right/>
      <top style="thin">
        <color theme="4" tint="-0.49995422223578601"/>
      </top>
      <bottom/>
      <diagonal/>
    </border>
    <border>
      <left style="thick">
        <color theme="0"/>
      </left>
      <right/>
      <top/>
      <bottom/>
      <diagonal/>
    </border>
    <border>
      <left/>
      <right style="thin">
        <color theme="0" tint="-0.24991607409894101"/>
      </right>
      <top style="medium">
        <color theme="0" tint="-0.24991607409894101"/>
      </top>
      <bottom/>
      <diagonal/>
    </border>
    <border>
      <left/>
      <right style="thin">
        <color theme="0" tint="-0.24991607409894101"/>
      </right>
      <top/>
      <bottom style="medium">
        <color theme="0" tint="-0.24991607409894101"/>
      </bottom>
      <diagonal/>
    </border>
    <border>
      <left style="thin">
        <color theme="0" tint="-0.24991607409894101"/>
      </left>
      <right style="thin">
        <color theme="0" tint="-0.24991607409894101"/>
      </right>
      <top/>
      <bottom style="dotted">
        <color theme="0" tint="-0.24991607409894101"/>
      </bottom>
      <diagonal/>
    </border>
    <border>
      <left/>
      <right/>
      <top style="thin">
        <color rgb="FF000000"/>
      </top>
      <bottom/>
      <diagonal/>
    </border>
  </borders>
  <cellStyleXfs count="48">
    <xf numFmtId="0" fontId="0" fillId="0" borderId="0"/>
    <xf numFmtId="9" fontId="125" fillId="0" borderId="0" applyFont="0" applyFill="0" applyBorder="0" applyAlignment="0" applyProtection="0"/>
    <xf numFmtId="44" fontId="2" fillId="0" borderId="0" applyFont="0" applyFill="0" applyBorder="0" applyAlignment="0" applyProtection="0"/>
    <xf numFmtId="42" fontId="2" fillId="0" borderId="0" applyFont="0" applyFill="0" applyBorder="0" applyAlignment="0" applyProtection="0"/>
    <xf numFmtId="43" fontId="125" fillId="0" borderId="0" applyFont="0" applyFill="0" applyBorder="0" applyAlignment="0" applyProtection="0"/>
    <xf numFmtId="41" fontId="125" fillId="0" borderId="0" applyFont="0" applyFill="0" applyBorder="0" applyAlignment="0" applyProtection="0"/>
    <xf numFmtId="0" fontId="3" fillId="0" borderId="1" applyNumberFormat="0" applyFill="0" applyAlignment="0" applyProtection="0"/>
    <xf numFmtId="0" fontId="5" fillId="0" borderId="0" applyNumberFormat="0" applyFill="0" applyBorder="0" applyAlignment="0" applyProtection="0"/>
    <xf numFmtId="164" fontId="125" fillId="0" borderId="0" applyFill="0" applyBorder="0" applyAlignment="0" applyProtection="0"/>
    <xf numFmtId="168" fontId="125" fillId="0" borderId="0" applyFill="0" applyBorder="0" applyAlignment="0" applyProtection="0"/>
    <xf numFmtId="169" fontId="125" fillId="0" borderId="0" applyFill="0" applyBorder="0" applyAlignment="0" applyProtection="0"/>
    <xf numFmtId="170" fontId="125" fillId="0" borderId="0" applyFill="0" applyBorder="0" applyAlignment="0" applyProtection="0"/>
    <xf numFmtId="171" fontId="125" fillId="0" borderId="0" applyFill="0" applyBorder="0" applyAlignment="0" applyProtection="0"/>
    <xf numFmtId="173" fontId="125" fillId="0" borderId="0" applyFill="0" applyBorder="0" applyAlignment="0" applyProtection="0"/>
    <xf numFmtId="174" fontId="125" fillId="0" borderId="0" applyFill="0" applyBorder="0" applyAlignment="0" applyProtection="0"/>
    <xf numFmtId="175" fontId="125" fillId="0" borderId="0" applyFill="0" applyBorder="0" applyAlignment="0" applyProtection="0"/>
    <xf numFmtId="176" fontId="125" fillId="0" borderId="0" applyFill="0" applyBorder="0" applyAlignment="0" applyProtection="0"/>
    <xf numFmtId="177" fontId="125" fillId="0" borderId="0" applyFill="0" applyBorder="0" applyAlignment="0" applyProtection="0"/>
    <xf numFmtId="178" fontId="125" fillId="0" borderId="0" applyFill="0" applyBorder="0" applyAlignment="0" applyProtection="0"/>
    <xf numFmtId="0" fontId="26" fillId="0" borderId="0" applyNumberFormat="0" applyFill="0" applyBorder="0" applyAlignment="0" applyProtection="0"/>
    <xf numFmtId="180" fontId="125" fillId="0" borderId="0" applyFill="0" applyBorder="0" applyAlignment="0" applyProtection="0"/>
    <xf numFmtId="183" fontId="31" fillId="0" borderId="0" applyFill="0" applyBorder="0" applyAlignment="0" applyProtection="0"/>
    <xf numFmtId="187" fontId="125" fillId="0" borderId="0" applyFill="0" applyBorder="0" applyAlignment="0" applyProtection="0"/>
    <xf numFmtId="175" fontId="19" fillId="0" borderId="2" applyFill="0" applyAlignment="0" applyProtection="0"/>
    <xf numFmtId="189" fontId="125" fillId="0" borderId="0" applyFill="0" applyBorder="0" applyAlignment="0" applyProtection="0"/>
    <xf numFmtId="0" fontId="50" fillId="2" borderId="0" applyNumberFormat="0" applyBorder="0" applyAlignment="0" applyProtection="0"/>
    <xf numFmtId="175" fontId="19" fillId="3" borderId="0" applyBorder="0" applyProtection="0"/>
    <xf numFmtId="173" fontId="52" fillId="0" borderId="0" applyFill="0" applyBorder="0" applyAlignment="0" applyProtection="0"/>
    <xf numFmtId="169" fontId="31" fillId="4" borderId="0" applyFill="0" applyBorder="0" applyAlignment="0" applyProtection="0"/>
    <xf numFmtId="192" fontId="31" fillId="0" borderId="0" applyFill="0" applyBorder="0" applyAlignment="0" applyProtection="0"/>
    <xf numFmtId="193" fontId="31" fillId="0" borderId="0" applyFill="0" applyBorder="0" applyAlignment="0" applyProtection="0"/>
    <xf numFmtId="171" fontId="31" fillId="0" borderId="0" applyFill="0" applyBorder="0" applyAlignment="0" applyProtection="0"/>
    <xf numFmtId="164" fontId="31" fillId="0" borderId="0" applyFill="0" applyBorder="0" applyAlignment="0" applyProtection="0"/>
    <xf numFmtId="192" fontId="125" fillId="0" borderId="0" applyFill="0" applyBorder="0" applyAlignment="0" applyProtection="0"/>
    <xf numFmtId="173" fontId="31" fillId="0" borderId="0" applyFill="0" applyBorder="0" applyProtection="0"/>
    <xf numFmtId="174" fontId="31" fillId="0" borderId="0" applyFill="0" applyBorder="0" applyAlignment="0" applyProtection="0"/>
    <xf numFmtId="198" fontId="31" fillId="0" borderId="0" applyFill="0" applyBorder="0" applyAlignment="0" applyProtection="0"/>
    <xf numFmtId="168" fontId="31" fillId="0" borderId="0" applyFill="0" applyBorder="0" applyAlignment="0" applyProtection="0"/>
    <xf numFmtId="197" fontId="31" fillId="0" borderId="0" applyFill="0" applyBorder="0" applyAlignment="0" applyProtection="0"/>
    <xf numFmtId="200" fontId="125" fillId="0" borderId="0" applyFill="0" applyBorder="0" applyAlignment="0" applyProtection="0"/>
    <xf numFmtId="177" fontId="31" fillId="0" borderId="0" applyFill="0" applyBorder="0" applyAlignment="0" applyProtection="0"/>
    <xf numFmtId="187" fontId="31" fillId="0" borderId="0" applyFill="0" applyBorder="0" applyAlignment="0" applyProtection="0"/>
    <xf numFmtId="176" fontId="31" fillId="0" borderId="0" applyFill="0" applyBorder="0" applyAlignment="0" applyProtection="0"/>
    <xf numFmtId="178" fontId="31" fillId="0" borderId="0" applyFill="0" applyBorder="0" applyAlignment="0" applyProtection="0"/>
    <xf numFmtId="200" fontId="31" fillId="0" borderId="0" applyFill="0" applyBorder="0" applyAlignment="0" applyProtection="0"/>
    <xf numFmtId="190" fontId="31" fillId="0" borderId="0" applyFill="0" applyBorder="0" applyAlignment="0">
      <protection locked="0"/>
    </xf>
    <xf numFmtId="223" fontId="52" fillId="0" borderId="0" applyFill="0" applyBorder="0" applyAlignment="0" applyProtection="0"/>
    <xf numFmtId="187" fontId="52" fillId="0" borderId="0" applyFill="0" applyBorder="0" applyAlignment="0" applyProtection="0"/>
  </cellStyleXfs>
  <cellXfs count="1478">
    <xf numFmtId="0" fontId="0" fillId="0" borderId="0" xfId="0"/>
    <xf numFmtId="173" fontId="6" fillId="9" borderId="9" xfId="13" applyFont="1" applyFill="1" applyBorder="1" applyAlignment="1">
      <alignment horizontal="center"/>
    </xf>
    <xf numFmtId="173" fontId="6" fillId="7" borderId="3" xfId="13" applyFont="1" applyFill="1" applyBorder="1" applyAlignment="1">
      <alignment horizontal="center"/>
    </xf>
    <xf numFmtId="169" fontId="125" fillId="9" borderId="7" xfId="10" applyFill="1" applyBorder="1" applyAlignment="1">
      <alignment horizontal="center"/>
    </xf>
    <xf numFmtId="169" fontId="125" fillId="9" borderId="0" xfId="10" applyFill="1" applyAlignment="1">
      <alignment horizontal="center"/>
    </xf>
    <xf numFmtId="169" fontId="125" fillId="9" borderId="8" xfId="10" applyFill="1" applyBorder="1" applyAlignment="1">
      <alignment horizontal="center"/>
    </xf>
    <xf numFmtId="164" fontId="18" fillId="26" borderId="0" xfId="8" applyFont="1" applyFill="1" applyAlignment="1">
      <alignment vertical="center"/>
    </xf>
    <xf numFmtId="164" fontId="109" fillId="26" borderId="0" xfId="8" applyFont="1" applyFill="1" applyAlignment="1">
      <alignment vertical="center"/>
    </xf>
    <xf numFmtId="169" fontId="125" fillId="7" borderId="8" xfId="10" applyFill="1" applyBorder="1" applyAlignment="1">
      <alignment horizontal="center"/>
    </xf>
    <xf numFmtId="169" fontId="125" fillId="9" borderId="10" xfId="10" applyFill="1" applyBorder="1" applyAlignment="1">
      <alignment horizontal="center"/>
    </xf>
    <xf numFmtId="169" fontId="125" fillId="9" borderId="3" xfId="10" applyFill="1" applyBorder="1" applyAlignment="1">
      <alignment horizontal="center"/>
    </xf>
    <xf numFmtId="169" fontId="125" fillId="9" borderId="9" xfId="10" applyFill="1" applyBorder="1" applyAlignment="1">
      <alignment horizontal="center"/>
    </xf>
    <xf numFmtId="169" fontId="125" fillId="7" borderId="7" xfId="10" applyFill="1" applyBorder="1" applyAlignment="1">
      <alignment horizontal="center"/>
    </xf>
    <xf numFmtId="169" fontId="125" fillId="7" borderId="0" xfId="10" applyFill="1" applyAlignment="1">
      <alignment horizontal="center"/>
    </xf>
    <xf numFmtId="0" fontId="125" fillId="7" borderId="0" xfId="8" applyNumberFormat="1" applyFill="1" applyAlignment="1">
      <alignment horizontal="left" vertical="top" wrapText="1"/>
    </xf>
    <xf numFmtId="0" fontId="0" fillId="5" borderId="0" xfId="0" applyFill="1"/>
    <xf numFmtId="0" fontId="8" fillId="0" borderId="0" xfId="0" applyFont="1"/>
    <xf numFmtId="0" fontId="9" fillId="0" borderId="0" xfId="0" applyFont="1"/>
    <xf numFmtId="164" fontId="10" fillId="0" borderId="0" xfId="8" applyFont="1" applyAlignment="1">
      <alignment horizontal="centerContinuous" vertical="center"/>
    </xf>
    <xf numFmtId="0" fontId="11" fillId="0" borderId="0" xfId="0" applyFont="1" applyAlignment="1">
      <alignment horizontal="centerContinuous"/>
    </xf>
    <xf numFmtId="164" fontId="12" fillId="0" borderId="0" xfId="8" applyFont="1" applyAlignment="1">
      <alignment horizontal="centerContinuous" vertical="center"/>
    </xf>
    <xf numFmtId="164" fontId="13" fillId="6" borderId="0" xfId="8" applyFont="1" applyFill="1" applyAlignment="1">
      <alignment horizontal="centerContinuous" vertical="center"/>
    </xf>
    <xf numFmtId="49" fontId="14" fillId="6" borderId="0" xfId="0" applyNumberFormat="1" applyFont="1" applyFill="1" applyAlignment="1">
      <alignment horizontal="centerContinuous"/>
    </xf>
    <xf numFmtId="0" fontId="9" fillId="6" borderId="0" xfId="0" applyFont="1" applyFill="1" applyAlignment="1">
      <alignment horizontal="centerContinuous"/>
    </xf>
    <xf numFmtId="0" fontId="9" fillId="7" borderId="0" xfId="0" applyFont="1" applyFill="1"/>
    <xf numFmtId="164" fontId="15" fillId="7" borderId="0" xfId="8" applyFont="1" applyFill="1"/>
    <xf numFmtId="0" fontId="15" fillId="7" borderId="0" xfId="0" applyFont="1" applyFill="1"/>
    <xf numFmtId="0" fontId="0" fillId="7" borderId="0" xfId="0" applyFill="1"/>
    <xf numFmtId="164" fontId="16" fillId="8" borderId="0" xfId="8" applyFont="1" applyFill="1"/>
    <xf numFmtId="164" fontId="125" fillId="8" borderId="0" xfId="8" applyFill="1"/>
    <xf numFmtId="164" fontId="125" fillId="8" borderId="0" xfId="8" applyFill="1" applyAlignment="1">
      <alignment horizontal="centerContinuous"/>
    </xf>
    <xf numFmtId="0" fontId="0" fillId="0" borderId="0" xfId="0" applyAlignment="1">
      <alignment vertical="center"/>
    </xf>
    <xf numFmtId="164" fontId="125" fillId="7" borderId="0" xfId="8" applyFill="1"/>
    <xf numFmtId="166" fontId="125" fillId="7" borderId="0" xfId="8" applyNumberFormat="1" applyFill="1" applyAlignment="1">
      <alignment horizontal="left"/>
    </xf>
    <xf numFmtId="167" fontId="125" fillId="7" borderId="0" xfId="8" applyNumberFormat="1" applyFill="1" applyAlignment="1">
      <alignment horizontal="left"/>
    </xf>
    <xf numFmtId="164" fontId="19" fillId="7" borderId="3" xfId="8" applyFont="1" applyFill="1" applyBorder="1" applyAlignment="1">
      <alignment horizontal="right"/>
    </xf>
    <xf numFmtId="164" fontId="125" fillId="7" borderId="0" xfId="8" applyFill="1" applyProtection="1">
      <protection locked="0"/>
    </xf>
    <xf numFmtId="0" fontId="0" fillId="7" borderId="0" xfId="0" applyFill="1" applyProtection="1">
      <protection locked="0"/>
    </xf>
    <xf numFmtId="168" fontId="125" fillId="7" borderId="0" xfId="9" applyFill="1"/>
    <xf numFmtId="168" fontId="20" fillId="7" borderId="5" xfId="9" applyFont="1" applyFill="1" applyBorder="1"/>
    <xf numFmtId="169" fontId="125" fillId="7" borderId="0" xfId="10" applyFill="1"/>
    <xf numFmtId="164" fontId="125" fillId="7" borderId="0" xfId="8" applyFill="1" applyAlignment="1">
      <alignment horizontal="left"/>
    </xf>
    <xf numFmtId="170" fontId="125" fillId="7" borderId="0" xfId="11" applyFill="1" applyAlignment="1">
      <alignment horizontal="left"/>
    </xf>
    <xf numFmtId="168" fontId="20" fillId="7" borderId="6" xfId="9" applyFont="1" applyFill="1" applyBorder="1"/>
    <xf numFmtId="169" fontId="125" fillId="7" borderId="0" xfId="10" applyFill="1" applyAlignment="1">
      <alignment horizontal="right"/>
    </xf>
    <xf numFmtId="172" fontId="125" fillId="7" borderId="0" xfId="12" applyNumberFormat="1" applyFill="1" applyAlignment="1">
      <alignment horizontal="left"/>
    </xf>
    <xf numFmtId="164" fontId="6" fillId="7" borderId="0" xfId="8" applyFont="1" applyFill="1" applyAlignment="1">
      <alignment horizontal="left" indent="1"/>
    </xf>
    <xf numFmtId="168" fontId="6" fillId="7" borderId="4" xfId="9" applyFont="1" applyFill="1" applyBorder="1"/>
    <xf numFmtId="169" fontId="6" fillId="7" borderId="4" xfId="10" applyFont="1" applyFill="1" applyBorder="1"/>
    <xf numFmtId="164" fontId="21" fillId="7" borderId="0" xfId="8" applyFont="1" applyFill="1"/>
    <xf numFmtId="164" fontId="22" fillId="7" borderId="0" xfId="8" applyFont="1" applyFill="1" applyAlignment="1">
      <alignment horizontal="left" indent="1"/>
    </xf>
    <xf numFmtId="173" fontId="22" fillId="7" borderId="0" xfId="13" applyFont="1" applyFill="1" applyAlignment="1">
      <alignment horizontal="center"/>
    </xf>
    <xf numFmtId="173" fontId="22" fillId="7" borderId="7" xfId="13" applyFont="1" applyFill="1" applyBorder="1" applyAlignment="1">
      <alignment horizontal="center"/>
    </xf>
    <xf numFmtId="173" fontId="22" fillId="9" borderId="8" xfId="13" applyFont="1" applyFill="1" applyBorder="1" applyAlignment="1">
      <alignment horizontal="center"/>
    </xf>
    <xf numFmtId="173" fontId="22" fillId="9" borderId="7" xfId="13" applyFont="1" applyFill="1" applyBorder="1" applyAlignment="1">
      <alignment horizontal="center"/>
    </xf>
    <xf numFmtId="173" fontId="22" fillId="7" borderId="8" xfId="13" applyFont="1" applyFill="1" applyBorder="1" applyAlignment="1">
      <alignment horizontal="center"/>
    </xf>
    <xf numFmtId="169" fontId="125" fillId="7" borderId="0" xfId="10" applyFill="1" applyAlignment="1">
      <alignment horizontal="center"/>
    </xf>
    <xf numFmtId="169" fontId="125" fillId="9" borderId="8" xfId="10" applyFill="1" applyBorder="1" applyAlignment="1">
      <alignment horizontal="center"/>
    </xf>
    <xf numFmtId="169" fontId="125" fillId="9" borderId="9" xfId="10" applyFill="1" applyBorder="1" applyAlignment="1">
      <alignment horizontal="center"/>
    </xf>
    <xf numFmtId="0" fontId="5" fillId="7" borderId="0" xfId="7" applyFill="1" applyAlignment="1">
      <alignment horizontal="left" indent="1"/>
    </xf>
    <xf numFmtId="44" fontId="23" fillId="7" borderId="0" xfId="8" applyNumberFormat="1" applyFont="1" applyFill="1" applyAlignment="1">
      <alignment horizontal="centerContinuous"/>
    </xf>
    <xf numFmtId="44" fontId="19" fillId="7" borderId="0" xfId="8" applyNumberFormat="1" applyFont="1" applyFill="1" applyAlignment="1">
      <alignment horizontal="centerContinuous"/>
    </xf>
    <xf numFmtId="44" fontId="23" fillId="7" borderId="7" xfId="8" applyNumberFormat="1" applyFont="1" applyFill="1" applyBorder="1" applyAlignment="1">
      <alignment horizontal="centerContinuous"/>
    </xf>
    <xf numFmtId="164" fontId="19" fillId="7" borderId="0" xfId="8" applyFont="1" applyFill="1"/>
    <xf numFmtId="174" fontId="125" fillId="7" borderId="0" xfId="14" applyFill="1" applyAlignment="1">
      <alignment horizontal="right"/>
    </xf>
    <xf numFmtId="168" fontId="125" fillId="7" borderId="0" xfId="9" applyFill="1" applyAlignment="1">
      <alignment horizontal="right"/>
    </xf>
    <xf numFmtId="168" fontId="125" fillId="7" borderId="4" xfId="9" applyFill="1" applyBorder="1"/>
    <xf numFmtId="173" fontId="125" fillId="7" borderId="0" xfId="13" applyFill="1" applyAlignment="1">
      <alignment horizontal="right"/>
    </xf>
    <xf numFmtId="175" fontId="125" fillId="7" borderId="0" xfId="15" applyFill="1" applyAlignment="1">
      <alignment horizontal="right"/>
    </xf>
    <xf numFmtId="175" fontId="125" fillId="7" borderId="7" xfId="15" applyFill="1" applyBorder="1" applyAlignment="1">
      <alignment horizontal="right"/>
    </xf>
    <xf numFmtId="168" fontId="125" fillId="7" borderId="3" xfId="9" applyFill="1" applyBorder="1"/>
    <xf numFmtId="174" fontId="6" fillId="7" borderId="4" xfId="14" applyFont="1" applyFill="1" applyBorder="1" applyAlignment="1">
      <alignment horizontal="right"/>
    </xf>
    <xf numFmtId="168" fontId="6" fillId="7" borderId="4" xfId="9" applyFont="1" applyFill="1" applyBorder="1" applyAlignment="1">
      <alignment horizontal="right"/>
    </xf>
    <xf numFmtId="173" fontId="6" fillId="7" borderId="4" xfId="13" applyFont="1" applyFill="1" applyBorder="1" applyAlignment="1">
      <alignment horizontal="right"/>
    </xf>
    <xf numFmtId="175" fontId="6" fillId="7" borderId="4" xfId="15" applyFont="1" applyFill="1" applyBorder="1" applyAlignment="1">
      <alignment horizontal="right"/>
    </xf>
    <xf numFmtId="175" fontId="6" fillId="7" borderId="11" xfId="15" applyFont="1" applyFill="1" applyBorder="1" applyAlignment="1">
      <alignment horizontal="right"/>
    </xf>
    <xf numFmtId="164" fontId="19" fillId="7" borderId="0" xfId="8" applyFont="1" applyFill="1" applyAlignment="1">
      <alignment horizontal="right"/>
    </xf>
    <xf numFmtId="164" fontId="24" fillId="7" borderId="0" xfId="8" applyFont="1" applyFill="1" applyAlignment="1">
      <alignment horizontal="right"/>
    </xf>
    <xf numFmtId="173" fontId="125" fillId="7" borderId="0" xfId="13" applyFill="1"/>
    <xf numFmtId="164" fontId="125" fillId="7" borderId="0" xfId="8" applyFill="1" applyAlignment="1">
      <alignment horizontal="left" indent="1"/>
    </xf>
    <xf numFmtId="0" fontId="19" fillId="7" borderId="3" xfId="0" applyFont="1" applyFill="1" applyBorder="1" applyAlignment="1">
      <alignment horizontal="right"/>
    </xf>
    <xf numFmtId="177" fontId="125" fillId="7" borderId="0" xfId="17" applyFill="1"/>
    <xf numFmtId="177" fontId="125" fillId="7" borderId="0" xfId="17" applyFill="1" applyAlignment="1">
      <alignment horizontal="right"/>
    </xf>
    <xf numFmtId="0" fontId="0" fillId="7" borderId="0" xfId="0" applyFill="1" applyAlignment="1">
      <alignment horizontal="right"/>
    </xf>
    <xf numFmtId="170" fontId="125" fillId="7" borderId="0" xfId="11" applyFill="1"/>
    <xf numFmtId="178" fontId="125" fillId="7" borderId="0" xfId="18" applyFill="1" applyAlignment="1">
      <alignment horizontal="right"/>
    </xf>
    <xf numFmtId="164" fontId="125" fillId="7" borderId="0" xfId="8" applyFill="1" applyAlignment="1">
      <alignment horizontal="right"/>
    </xf>
    <xf numFmtId="171" fontId="125" fillId="7" borderId="0" xfId="12" applyFill="1" applyAlignment="1">
      <alignment horizontal="right"/>
    </xf>
    <xf numFmtId="44" fontId="23" fillId="7" borderId="0" xfId="8" applyNumberFormat="1" applyFont="1" applyFill="1" applyAlignment="1">
      <alignment horizontal="left"/>
    </xf>
    <xf numFmtId="44" fontId="23" fillId="7" borderId="0" xfId="8" applyNumberFormat="1" applyFont="1" applyFill="1" applyAlignment="1">
      <alignment horizontal="right"/>
    </xf>
    <xf numFmtId="0" fontId="0" fillId="9" borderId="0" xfId="0" applyFill="1"/>
    <xf numFmtId="173" fontId="6" fillId="9" borderId="0" xfId="13" applyFont="1" applyFill="1"/>
    <xf numFmtId="0" fontId="0" fillId="8" borderId="0" xfId="0" applyFill="1" applyAlignment="1">
      <alignment horizontal="left" indent="16"/>
    </xf>
    <xf numFmtId="164" fontId="17" fillId="8" borderId="0" xfId="8" applyFont="1" applyFill="1" applyAlignment="1">
      <alignment horizontal="left" indent="15"/>
    </xf>
    <xf numFmtId="164" fontId="17" fillId="8" borderId="0" xfId="8" applyFont="1" applyFill="1" applyAlignment="1">
      <alignment horizontal="left" indent="16"/>
    </xf>
    <xf numFmtId="164" fontId="125" fillId="8" borderId="0" xfId="8" applyFill="1" applyAlignment="1">
      <alignment horizontal="left" indent="16"/>
    </xf>
    <xf numFmtId="173" fontId="125" fillId="7" borderId="4" xfId="13" applyFill="1" applyBorder="1" applyAlignment="1">
      <alignment horizontal="right"/>
    </xf>
    <xf numFmtId="169" fontId="125" fillId="7" borderId="8" xfId="10" applyFill="1" applyBorder="1" applyAlignment="1">
      <alignment horizontal="right"/>
    </xf>
    <xf numFmtId="180" fontId="125" fillId="7" borderId="0" xfId="20" applyFill="1" applyAlignment="1">
      <alignment horizontal="right"/>
    </xf>
    <xf numFmtId="164" fontId="125" fillId="7" borderId="8" xfId="8" applyFill="1" applyBorder="1" applyAlignment="1">
      <alignment horizontal="right"/>
    </xf>
    <xf numFmtId="44" fontId="19" fillId="7" borderId="0" xfId="8" applyNumberFormat="1" applyFont="1" applyFill="1"/>
    <xf numFmtId="0" fontId="28" fillId="7" borderId="0" xfId="0" applyFont="1" applyFill="1"/>
    <xf numFmtId="180" fontId="125" fillId="7" borderId="7" xfId="20" applyFill="1" applyBorder="1" applyAlignment="1">
      <alignment horizontal="right"/>
    </xf>
    <xf numFmtId="0" fontId="29" fillId="7" borderId="0" xfId="7" applyFont="1" applyFill="1" applyAlignment="1">
      <alignment horizontal="left"/>
    </xf>
    <xf numFmtId="44" fontId="23" fillId="7" borderId="0" xfId="8" applyNumberFormat="1" applyFont="1" applyFill="1"/>
    <xf numFmtId="173" fontId="125" fillId="7" borderId="8" xfId="13" applyFill="1" applyBorder="1" applyAlignment="1">
      <alignment horizontal="right"/>
    </xf>
    <xf numFmtId="173" fontId="6" fillId="7" borderId="12" xfId="13" applyFont="1" applyFill="1" applyBorder="1" applyAlignment="1">
      <alignment horizontal="right"/>
    </xf>
    <xf numFmtId="178" fontId="125" fillId="7" borderId="0" xfId="18" applyFill="1" applyAlignment="1">
      <alignment horizontal="right" shrinkToFit="1"/>
    </xf>
    <xf numFmtId="181" fontId="125" fillId="7" borderId="0" xfId="12" applyNumberFormat="1" applyFill="1" applyAlignment="1">
      <alignment horizontal="right"/>
    </xf>
    <xf numFmtId="173" fontId="22" fillId="9" borderId="0" xfId="13" applyFont="1" applyFill="1" applyAlignment="1">
      <alignment horizontal="center"/>
    </xf>
    <xf numFmtId="183" fontId="20" fillId="7" borderId="0" xfId="21" applyFont="1" applyFill="1" applyProtection="1">
      <protection locked="0"/>
    </xf>
    <xf numFmtId="0" fontId="5" fillId="7" borderId="0" xfId="7" applyFill="1" applyAlignment="1">
      <alignment horizontal="left" vertical="center" indent="1"/>
    </xf>
    <xf numFmtId="0" fontId="0" fillId="7" borderId="0" xfId="0" applyFill="1" applyAlignment="1">
      <alignment horizontal="centerContinuous"/>
    </xf>
    <xf numFmtId="168" fontId="125" fillId="7" borderId="4" xfId="9" applyFill="1" applyBorder="1" applyAlignment="1">
      <alignment horizontal="right"/>
    </xf>
    <xf numFmtId="175" fontId="125" fillId="7" borderId="4" xfId="15" applyFill="1" applyBorder="1" applyAlignment="1">
      <alignment horizontal="right"/>
    </xf>
    <xf numFmtId="0" fontId="22" fillId="7" borderId="0" xfId="0" applyFont="1" applyFill="1"/>
    <xf numFmtId="173" fontId="125" fillId="7" borderId="12" xfId="13" applyFill="1" applyBorder="1" applyAlignment="1">
      <alignment horizontal="right"/>
    </xf>
    <xf numFmtId="175" fontId="125" fillId="7" borderId="11" xfId="15" applyFill="1" applyBorder="1" applyAlignment="1">
      <alignment horizontal="right"/>
    </xf>
    <xf numFmtId="168" fontId="125" fillId="7" borderId="3" xfId="9" applyFill="1" applyBorder="1" applyAlignment="1">
      <alignment horizontal="right"/>
    </xf>
    <xf numFmtId="0" fontId="5" fillId="7" borderId="4" xfId="0" applyFont="1" applyFill="1" applyBorder="1" applyAlignment="1">
      <alignment horizontal="left" indent="1"/>
    </xf>
    <xf numFmtId="0" fontId="5" fillId="7" borderId="0" xfId="0" applyFont="1" applyFill="1" applyAlignment="1">
      <alignment horizontal="left" indent="1"/>
    </xf>
    <xf numFmtId="164" fontId="19" fillId="8" borderId="0" xfId="8" applyFont="1" applyFill="1"/>
    <xf numFmtId="164" fontId="33" fillId="7" borderId="0" xfId="8" applyFont="1" applyFill="1" applyAlignment="1">
      <alignment horizontal="left" indent="1"/>
    </xf>
    <xf numFmtId="0" fontId="34" fillId="7" borderId="0" xfId="0" applyFont="1" applyFill="1"/>
    <xf numFmtId="175" fontId="33" fillId="7" borderId="0" xfId="15" applyFont="1" applyFill="1" applyAlignment="1">
      <alignment horizontal="center"/>
    </xf>
    <xf numFmtId="0" fontId="34" fillId="7" borderId="0" xfId="0" applyFont="1" applyFill="1" applyAlignment="1">
      <alignment horizontal="center"/>
    </xf>
    <xf numFmtId="175" fontId="33" fillId="9" borderId="8" xfId="15" applyFont="1" applyFill="1" applyBorder="1" applyAlignment="1">
      <alignment horizontal="center"/>
    </xf>
    <xf numFmtId="0" fontId="34" fillId="7" borderId="8" xfId="0" applyFont="1" applyFill="1" applyBorder="1" applyAlignment="1">
      <alignment horizontal="center"/>
    </xf>
    <xf numFmtId="0" fontId="0" fillId="7" borderId="0" xfId="0" applyFill="1" applyAlignment="1">
      <alignment horizontal="center"/>
    </xf>
    <xf numFmtId="0" fontId="0" fillId="7" borderId="8" xfId="0" applyFill="1" applyBorder="1" applyAlignment="1">
      <alignment horizontal="center"/>
    </xf>
    <xf numFmtId="0" fontId="35" fillId="0" borderId="0" xfId="0" applyFont="1"/>
    <xf numFmtId="164" fontId="16" fillId="8" borderId="0" xfId="8" applyFont="1" applyFill="1" applyAlignment="1">
      <alignment vertical="center"/>
    </xf>
    <xf numFmtId="0" fontId="36" fillId="8" borderId="0" xfId="0" applyFont="1" applyFill="1" applyAlignment="1">
      <alignment vertical="center"/>
    </xf>
    <xf numFmtId="0" fontId="17" fillId="8" borderId="0" xfId="0" applyFont="1" applyFill="1" applyAlignment="1">
      <alignment horizontal="left" indent="1"/>
    </xf>
    <xf numFmtId="0" fontId="17" fillId="8" borderId="0" xfId="0" applyFont="1" applyFill="1" applyAlignment="1">
      <alignment horizontal="center"/>
    </xf>
    <xf numFmtId="164" fontId="16" fillId="8" borderId="0" xfId="8" applyFont="1" applyFill="1" applyAlignment="1">
      <alignment horizontal="right" vertical="center"/>
    </xf>
    <xf numFmtId="0" fontId="36" fillId="0" borderId="0" xfId="0" applyFont="1" applyAlignment="1">
      <alignment vertical="center"/>
    </xf>
    <xf numFmtId="0" fontId="37" fillId="0" borderId="0" xfId="0" applyFont="1"/>
    <xf numFmtId="0" fontId="38" fillId="0" borderId="0" xfId="0" applyFont="1"/>
    <xf numFmtId="173" fontId="39" fillId="0" borderId="0" xfId="13" applyFont="1"/>
    <xf numFmtId="0" fontId="38" fillId="0" borderId="0" xfId="0" applyFont="1" applyAlignment="1">
      <alignment horizontal="right"/>
    </xf>
    <xf numFmtId="0" fontId="26" fillId="0" borderId="0" xfId="19"/>
    <xf numFmtId="0" fontId="40" fillId="0" borderId="0" xfId="0" applyFont="1" applyAlignment="1">
      <alignment horizontal="right"/>
    </xf>
    <xf numFmtId="0" fontId="9" fillId="8" borderId="0" xfId="0" applyFont="1" applyFill="1"/>
    <xf numFmtId="164" fontId="41" fillId="8" borderId="0" xfId="8" applyFont="1" applyFill="1" applyAlignment="1">
      <alignment horizontal="right"/>
    </xf>
    <xf numFmtId="173" fontId="125" fillId="9" borderId="0" xfId="13" applyFill="1"/>
    <xf numFmtId="169" fontId="125" fillId="9" borderId="0" xfId="13" applyNumberFormat="1" applyFill="1"/>
    <xf numFmtId="186" fontId="42" fillId="7" borderId="8" xfId="19" applyNumberFormat="1" applyFont="1" applyFill="1" applyBorder="1" applyAlignment="1">
      <alignment horizontal="center"/>
    </xf>
    <xf numFmtId="0" fontId="0" fillId="7" borderId="13" xfId="0" applyFill="1" applyBorder="1"/>
    <xf numFmtId="0" fontId="0" fillId="7" borderId="14" xfId="0" applyFill="1" applyBorder="1"/>
    <xf numFmtId="173" fontId="6" fillId="7" borderId="4" xfId="13" applyFont="1" applyFill="1" applyBorder="1"/>
    <xf numFmtId="173" fontId="6" fillId="9" borderId="4" xfId="13" applyFont="1" applyFill="1" applyBorder="1"/>
    <xf numFmtId="169" fontId="6" fillId="9" borderId="4" xfId="13" applyNumberFormat="1" applyFont="1" applyFill="1" applyBorder="1"/>
    <xf numFmtId="164" fontId="6" fillId="7" borderId="0" xfId="8" applyFont="1" applyFill="1"/>
    <xf numFmtId="173" fontId="6" fillId="7" borderId="15" xfId="13" applyFont="1" applyFill="1" applyBorder="1"/>
    <xf numFmtId="173" fontId="6" fillId="9" borderId="15" xfId="13" applyFont="1" applyFill="1" applyBorder="1"/>
    <xf numFmtId="169" fontId="6" fillId="9" borderId="15" xfId="13" applyNumberFormat="1" applyFont="1" applyFill="1" applyBorder="1"/>
    <xf numFmtId="169" fontId="6" fillId="7" borderId="16" xfId="10" applyFont="1" applyFill="1" applyBorder="1"/>
    <xf numFmtId="169" fontId="125" fillId="9" borderId="0" xfId="10" applyFill="1"/>
    <xf numFmtId="187" fontId="125" fillId="7" borderId="0" xfId="22" applyFill="1"/>
    <xf numFmtId="0" fontId="0" fillId="7" borderId="17" xfId="0" applyFill="1" applyBorder="1"/>
    <xf numFmtId="0" fontId="43" fillId="0" borderId="0" xfId="0" applyFont="1"/>
    <xf numFmtId="0" fontId="44" fillId="0" borderId="0" xfId="0" applyFont="1" applyAlignment="1">
      <alignment horizontal="centerContinuous"/>
    </xf>
    <xf numFmtId="0" fontId="0" fillId="0" borderId="0" xfId="0" applyAlignment="1">
      <alignment horizontal="centerContinuous"/>
    </xf>
    <xf numFmtId="176" fontId="30" fillId="0" borderId="0" xfId="16" applyFont="1" applyAlignment="1">
      <alignment horizontal="right"/>
    </xf>
    <xf numFmtId="0" fontId="9" fillId="8" borderId="0" xfId="0" applyFont="1" applyFill="1" applyAlignment="1">
      <alignment horizontal="centerContinuous"/>
    </xf>
    <xf numFmtId="0" fontId="45" fillId="8" borderId="0" xfId="0" applyFont="1" applyFill="1"/>
    <xf numFmtId="169" fontId="125" fillId="7" borderId="7" xfId="10" applyFill="1" applyBorder="1"/>
    <xf numFmtId="173" fontId="125" fillId="0" borderId="0" xfId="13"/>
    <xf numFmtId="173" fontId="6" fillId="7" borderId="0" xfId="13" applyFont="1" applyFill="1"/>
    <xf numFmtId="169" fontId="6" fillId="7" borderId="7" xfId="10" applyFont="1" applyFill="1" applyBorder="1"/>
    <xf numFmtId="188" fontId="46" fillId="7" borderId="0" xfId="8" applyNumberFormat="1" applyFont="1" applyFill="1" applyAlignment="1">
      <alignment horizontal="center"/>
    </xf>
    <xf numFmtId="164" fontId="6" fillId="8" borderId="0" xfId="8" applyFont="1" applyFill="1"/>
    <xf numFmtId="164" fontId="47" fillId="8" borderId="0" xfId="8" applyFont="1" applyFill="1"/>
    <xf numFmtId="164" fontId="48" fillId="8" borderId="0" xfId="8" applyFont="1" applyFill="1" applyAlignment="1">
      <alignment horizontal="center"/>
    </xf>
    <xf numFmtId="180" fontId="125" fillId="7" borderId="0" xfId="20" applyFill="1"/>
    <xf numFmtId="186" fontId="20" fillId="7" borderId="0" xfId="19" applyNumberFormat="1" applyFont="1" applyFill="1" applyAlignment="1">
      <alignment horizontal="center" vertical="top"/>
    </xf>
    <xf numFmtId="0" fontId="125" fillId="7" borderId="0" xfId="8" applyNumberFormat="1" applyFill="1" applyAlignment="1">
      <alignment vertical="top" wrapText="1"/>
    </xf>
    <xf numFmtId="0" fontId="41" fillId="8" borderId="0" xfId="0" applyFont="1" applyFill="1" applyAlignment="1">
      <alignment horizontal="right"/>
    </xf>
    <xf numFmtId="173" fontId="125" fillId="9" borderId="18" xfId="13" applyFill="1" applyBorder="1"/>
    <xf numFmtId="169" fontId="125" fillId="9" borderId="19" xfId="10" applyFill="1" applyBorder="1"/>
    <xf numFmtId="173" fontId="6" fillId="9" borderId="20" xfId="13" applyFont="1" applyFill="1" applyBorder="1"/>
    <xf numFmtId="169" fontId="6" fillId="9" borderId="21" xfId="10" applyFont="1" applyFill="1" applyBorder="1"/>
    <xf numFmtId="173" fontId="125" fillId="9" borderId="19" xfId="13" applyFill="1" applyBorder="1"/>
    <xf numFmtId="173" fontId="6" fillId="9" borderId="22" xfId="13" applyFont="1" applyFill="1" applyBorder="1"/>
    <xf numFmtId="169" fontId="6" fillId="9" borderId="23" xfId="10" applyFont="1" applyFill="1" applyBorder="1"/>
    <xf numFmtId="169" fontId="125" fillId="9" borderId="18" xfId="10" applyFill="1" applyBorder="1"/>
    <xf numFmtId="0" fontId="0" fillId="9" borderId="18" xfId="0" applyFill="1" applyBorder="1"/>
    <xf numFmtId="0" fontId="0" fillId="9" borderId="19" xfId="0" applyFill="1" applyBorder="1"/>
    <xf numFmtId="164" fontId="16" fillId="8" borderId="0" xfId="8" applyFont="1" applyFill="1" applyProtection="1">
      <protection locked="0"/>
    </xf>
    <xf numFmtId="0" fontId="0" fillId="8" borderId="0" xfId="0" applyFill="1" applyProtection="1">
      <protection locked="0"/>
    </xf>
    <xf numFmtId="0" fontId="49" fillId="8" borderId="0" xfId="6" applyFont="1" applyFill="1" applyBorder="1" applyAlignment="1">
      <alignment horizontal="right"/>
    </xf>
    <xf numFmtId="0" fontId="0" fillId="0" borderId="0" xfId="0" applyProtection="1">
      <protection locked="0"/>
    </xf>
    <xf numFmtId="170" fontId="41" fillId="0" borderId="0" xfId="11" applyFont="1" applyAlignment="1">
      <alignment horizontal="right"/>
    </xf>
    <xf numFmtId="170" fontId="41" fillId="0" borderId="0" xfId="11" applyFont="1"/>
    <xf numFmtId="0" fontId="0" fillId="0" borderId="0" xfId="0" applyAlignment="1">
      <alignment horizontal="right"/>
    </xf>
    <xf numFmtId="175" fontId="19" fillId="3" borderId="0" xfId="26" applyProtection="1">
      <protection locked="0"/>
    </xf>
    <xf numFmtId="175" fontId="19" fillId="3" borderId="0" xfId="26" applyAlignment="1" applyProtection="1">
      <alignment horizontal="centerContinuous"/>
      <protection locked="0"/>
    </xf>
    <xf numFmtId="164" fontId="6" fillId="7" borderId="0" xfId="8" applyFont="1" applyFill="1" applyAlignment="1">
      <alignment horizontal="left"/>
    </xf>
    <xf numFmtId="173" fontId="6" fillId="7" borderId="24" xfId="13" applyFont="1" applyFill="1" applyBorder="1"/>
    <xf numFmtId="190" fontId="6" fillId="7" borderId="0" xfId="13" applyNumberFormat="1" applyFont="1" applyFill="1"/>
    <xf numFmtId="173" fontId="0" fillId="0" borderId="0" xfId="0" applyNumberFormat="1"/>
    <xf numFmtId="0" fontId="6" fillId="0" borderId="0" xfId="0" applyFont="1"/>
    <xf numFmtId="173" fontId="20" fillId="7" borderId="0" xfId="13" applyFont="1" applyFill="1"/>
    <xf numFmtId="173" fontId="6" fillId="8" borderId="0" xfId="13" applyFont="1" applyFill="1"/>
    <xf numFmtId="164" fontId="51" fillId="7" borderId="0" xfId="8" applyFont="1" applyFill="1" applyAlignment="1">
      <alignment horizontal="right"/>
    </xf>
    <xf numFmtId="173" fontId="52" fillId="7" borderId="0" xfId="27" applyFill="1"/>
    <xf numFmtId="177" fontId="125" fillId="9" borderId="0" xfId="17" applyFill="1"/>
    <xf numFmtId="0" fontId="17" fillId="8" borderId="0" xfId="0" applyFont="1" applyFill="1" applyAlignment="1" applyProtection="1">
      <alignment horizontal="center"/>
      <protection locked="0"/>
    </xf>
    <xf numFmtId="0" fontId="6" fillId="7" borderId="0" xfId="0" applyFont="1" applyFill="1" applyAlignment="1">
      <alignment horizontal="left" indent="1"/>
    </xf>
    <xf numFmtId="173" fontId="125" fillId="7" borderId="15" xfId="13" applyFill="1" applyBorder="1"/>
    <xf numFmtId="0" fontId="0" fillId="7" borderId="0" xfId="0" applyFill="1" applyAlignment="1">
      <alignment horizontal="left"/>
    </xf>
    <xf numFmtId="169" fontId="6" fillId="8" borderId="25" xfId="10" applyFont="1" applyFill="1" applyBorder="1" applyAlignment="1">
      <alignment horizontal="right"/>
    </xf>
    <xf numFmtId="180" fontId="125" fillId="9" borderId="0" xfId="20" applyFill="1"/>
    <xf numFmtId="49" fontId="14" fillId="8" borderId="0" xfId="0" applyNumberFormat="1" applyFont="1" applyFill="1" applyAlignment="1">
      <alignment vertical="center"/>
    </xf>
    <xf numFmtId="164" fontId="19" fillId="7" borderId="0" xfId="8" applyFont="1" applyFill="1" applyAlignment="1">
      <alignment vertical="center"/>
    </xf>
    <xf numFmtId="173" fontId="53" fillId="7" borderId="0" xfId="13" applyFont="1" applyFill="1" applyAlignment="1">
      <alignment horizontal="right" vertical="center"/>
    </xf>
    <xf numFmtId="169" fontId="6" fillId="7" borderId="0" xfId="10" applyFont="1" applyFill="1" applyAlignment="1">
      <alignment horizontal="right" vertical="center"/>
    </xf>
    <xf numFmtId="164" fontId="54" fillId="7" borderId="0" xfId="8" applyFont="1" applyFill="1" applyAlignment="1">
      <alignment horizontal="right"/>
    </xf>
    <xf numFmtId="173" fontId="54" fillId="7" borderId="0" xfId="13" applyFont="1" applyFill="1" applyAlignment="1">
      <alignment horizontal="right"/>
    </xf>
    <xf numFmtId="173" fontId="54" fillId="7" borderId="27" xfId="13" applyFont="1" applyFill="1" applyBorder="1" applyAlignment="1">
      <alignment horizontal="right"/>
    </xf>
    <xf numFmtId="164" fontId="6" fillId="7" borderId="0" xfId="8" applyFont="1" applyFill="1" applyAlignment="1">
      <alignment horizontal="right"/>
    </xf>
    <xf numFmtId="169" fontId="125" fillId="7" borderId="29" xfId="10" applyFill="1" applyBorder="1" applyAlignment="1">
      <alignment horizontal="right"/>
    </xf>
    <xf numFmtId="169" fontId="125" fillId="7" borderId="30" xfId="10" applyFill="1" applyBorder="1" applyAlignment="1">
      <alignment horizontal="right"/>
    </xf>
    <xf numFmtId="169" fontId="125" fillId="7" borderId="32" xfId="10" applyFill="1" applyBorder="1" applyAlignment="1">
      <alignment horizontal="right"/>
    </xf>
    <xf numFmtId="169" fontId="125" fillId="7" borderId="33" xfId="10" applyFill="1" applyBorder="1" applyAlignment="1">
      <alignment horizontal="right"/>
    </xf>
    <xf numFmtId="173" fontId="125" fillId="7" borderId="29" xfId="13" applyFill="1" applyBorder="1" applyAlignment="1">
      <alignment horizontal="right"/>
    </xf>
    <xf numFmtId="173" fontId="125" fillId="7" borderId="30" xfId="13" applyFill="1" applyBorder="1" applyAlignment="1">
      <alignment horizontal="right"/>
    </xf>
    <xf numFmtId="173" fontId="125" fillId="7" borderId="32" xfId="13" applyFill="1" applyBorder="1" applyAlignment="1">
      <alignment horizontal="right"/>
    </xf>
    <xf numFmtId="173" fontId="125" fillId="7" borderId="33" xfId="13" applyFill="1" applyBorder="1" applyAlignment="1">
      <alignment horizontal="right"/>
    </xf>
    <xf numFmtId="169" fontId="125" fillId="9" borderId="34" xfId="10" applyFill="1" applyBorder="1" applyAlignment="1">
      <alignment horizontal="right"/>
    </xf>
    <xf numFmtId="169" fontId="125" fillId="9" borderId="0" xfId="10" applyFill="1" applyAlignment="1">
      <alignment horizontal="right"/>
    </xf>
    <xf numFmtId="169" fontId="125" fillId="9" borderId="8" xfId="10" applyFill="1" applyBorder="1" applyAlignment="1">
      <alignment horizontal="right"/>
    </xf>
    <xf numFmtId="169" fontId="125" fillId="9" borderId="35" xfId="10" applyFill="1" applyBorder="1" applyAlignment="1">
      <alignment horizontal="right"/>
    </xf>
    <xf numFmtId="169" fontId="125" fillId="7" borderId="34" xfId="10" applyFill="1" applyBorder="1" applyAlignment="1">
      <alignment horizontal="right"/>
    </xf>
    <xf numFmtId="169" fontId="125" fillId="7" borderId="35" xfId="10" applyFill="1" applyBorder="1" applyAlignment="1">
      <alignment horizontal="right"/>
    </xf>
    <xf numFmtId="180" fontId="125" fillId="9" borderId="36" xfId="20" applyFill="1" applyBorder="1" applyAlignment="1">
      <alignment horizontal="right"/>
    </xf>
    <xf numFmtId="180" fontId="125" fillId="9" borderId="27" xfId="20" applyFill="1" applyBorder="1" applyAlignment="1">
      <alignment horizontal="right"/>
    </xf>
    <xf numFmtId="180" fontId="125" fillId="9" borderId="37" xfId="20" applyFill="1" applyBorder="1" applyAlignment="1">
      <alignment horizontal="right"/>
    </xf>
    <xf numFmtId="180" fontId="125" fillId="9" borderId="38" xfId="20" applyFill="1" applyBorder="1" applyAlignment="1">
      <alignment horizontal="right"/>
    </xf>
    <xf numFmtId="0" fontId="5" fillId="0" borderId="0" xfId="7" applyAlignment="1" applyProtection="1">
      <alignment horizontal="left" indent="1"/>
      <protection locked="0"/>
    </xf>
    <xf numFmtId="0" fontId="55" fillId="0" borderId="0" xfId="0" applyFont="1"/>
    <xf numFmtId="0" fontId="56" fillId="0" borderId="0" xfId="0" applyFont="1"/>
    <xf numFmtId="175" fontId="6" fillId="7" borderId="0" xfId="15" applyFont="1" applyFill="1"/>
    <xf numFmtId="175" fontId="6" fillId="7" borderId="27" xfId="15" applyFont="1" applyFill="1" applyBorder="1"/>
    <xf numFmtId="169" fontId="6" fillId="7" borderId="0" xfId="10" applyFont="1" applyFill="1" applyAlignment="1">
      <alignment horizontal="center"/>
    </xf>
    <xf numFmtId="0" fontId="6" fillId="7" borderId="35" xfId="0" applyFont="1" applyFill="1" applyBorder="1" applyAlignment="1">
      <alignment horizontal="right"/>
    </xf>
    <xf numFmtId="169" fontId="125" fillId="7" borderId="29" xfId="10" applyFill="1" applyBorder="1"/>
    <xf numFmtId="169" fontId="125" fillId="7" borderId="30" xfId="10" applyFill="1" applyBorder="1"/>
    <xf numFmtId="169" fontId="125" fillId="7" borderId="33" xfId="10" applyFill="1" applyBorder="1"/>
    <xf numFmtId="0" fontId="0" fillId="7" borderId="34" xfId="0" applyFill="1" applyBorder="1"/>
    <xf numFmtId="0" fontId="0" fillId="7" borderId="35" xfId="0" applyFill="1" applyBorder="1"/>
    <xf numFmtId="164" fontId="6" fillId="7" borderId="35" xfId="8" applyFont="1" applyFill="1" applyBorder="1" applyAlignment="1">
      <alignment horizontal="right"/>
    </xf>
    <xf numFmtId="173" fontId="125" fillId="9" borderId="40" xfId="13" applyFill="1" applyBorder="1"/>
    <xf numFmtId="173" fontId="125" fillId="9" borderId="41" xfId="13" applyFill="1" applyBorder="1"/>
    <xf numFmtId="173" fontId="125" fillId="9" borderId="43" xfId="13" applyFill="1" applyBorder="1"/>
    <xf numFmtId="169" fontId="125" fillId="7" borderId="34" xfId="10" applyFill="1" applyBorder="1" applyAlignment="1">
      <alignment horizontal="left"/>
    </xf>
    <xf numFmtId="169" fontId="125" fillId="7" borderId="26" xfId="10" applyFill="1" applyBorder="1" applyAlignment="1">
      <alignment horizontal="left"/>
    </xf>
    <xf numFmtId="169" fontId="125" fillId="7" borderId="35" xfId="10" applyFill="1" applyBorder="1" applyAlignment="1">
      <alignment horizontal="left"/>
    </xf>
    <xf numFmtId="173" fontId="125" fillId="7" borderId="34" xfId="13" applyFill="1" applyBorder="1"/>
    <xf numFmtId="173" fontId="125" fillId="7" borderId="35" xfId="13" applyFill="1" applyBorder="1"/>
    <xf numFmtId="180" fontId="125" fillId="7" borderId="44" xfId="20" applyFill="1" applyBorder="1" applyAlignment="1">
      <alignment horizontal="right"/>
    </xf>
    <xf numFmtId="180" fontId="125" fillId="7" borderId="45" xfId="20" applyFill="1" applyBorder="1" applyAlignment="1">
      <alignment horizontal="right"/>
    </xf>
    <xf numFmtId="180" fontId="125" fillId="7" borderId="46" xfId="20" applyFill="1" applyBorder="1" applyAlignment="1">
      <alignment horizontal="right"/>
    </xf>
    <xf numFmtId="173" fontId="125" fillId="9" borderId="34" xfId="13" applyFill="1" applyBorder="1"/>
    <xf numFmtId="173" fontId="125" fillId="9" borderId="35" xfId="13" applyFill="1" applyBorder="1"/>
    <xf numFmtId="169" fontId="125" fillId="9" borderId="47" xfId="10" applyFill="1" applyBorder="1" applyAlignment="1">
      <alignment horizontal="left"/>
    </xf>
    <xf numFmtId="169" fontId="125" fillId="9" borderId="48" xfId="10" applyFill="1" applyBorder="1" applyAlignment="1">
      <alignment horizontal="left"/>
    </xf>
    <xf numFmtId="169" fontId="125" fillId="9" borderId="49" xfId="10" applyFill="1" applyBorder="1" applyAlignment="1">
      <alignment horizontal="left"/>
    </xf>
    <xf numFmtId="180" fontId="125" fillId="9" borderId="44" xfId="20" applyFill="1" applyBorder="1" applyAlignment="1">
      <alignment horizontal="right"/>
    </xf>
    <xf numFmtId="180" fontId="125" fillId="9" borderId="45" xfId="20" applyFill="1" applyBorder="1" applyAlignment="1">
      <alignment horizontal="right"/>
    </xf>
    <xf numFmtId="180" fontId="125" fillId="9" borderId="46" xfId="20" applyFill="1" applyBorder="1" applyAlignment="1">
      <alignment horizontal="right"/>
    </xf>
    <xf numFmtId="169" fontId="125" fillId="7" borderId="47" xfId="10" applyFill="1" applyBorder="1" applyAlignment="1">
      <alignment horizontal="left"/>
    </xf>
    <xf numFmtId="169" fontId="125" fillId="7" borderId="48" xfId="10" applyFill="1" applyBorder="1" applyAlignment="1">
      <alignment horizontal="left"/>
    </xf>
    <xf numFmtId="169" fontId="125" fillId="7" borderId="49" xfId="10" applyFill="1" applyBorder="1" applyAlignment="1">
      <alignment horizontal="left"/>
    </xf>
    <xf numFmtId="0" fontId="0" fillId="7" borderId="40" xfId="0" applyFill="1" applyBorder="1"/>
    <xf numFmtId="0" fontId="0" fillId="7" borderId="41" xfId="0" applyFill="1" applyBorder="1"/>
    <xf numFmtId="0" fontId="0" fillId="7" borderId="43" xfId="0" applyFill="1" applyBorder="1"/>
    <xf numFmtId="169" fontId="125" fillId="9" borderId="34" xfId="10" applyFill="1" applyBorder="1" applyAlignment="1">
      <alignment horizontal="left"/>
    </xf>
    <xf numFmtId="169" fontId="125" fillId="9" borderId="26" xfId="10" applyFill="1" applyBorder="1" applyAlignment="1">
      <alignment horizontal="left"/>
    </xf>
    <xf numFmtId="169" fontId="125" fillId="9" borderId="35" xfId="10" applyFill="1" applyBorder="1" applyAlignment="1">
      <alignment horizontal="left"/>
    </xf>
    <xf numFmtId="0" fontId="0" fillId="7" borderId="36" xfId="0" applyFill="1" applyBorder="1"/>
    <xf numFmtId="0" fontId="0" fillId="7" borderId="27" xfId="0" applyFill="1" applyBorder="1"/>
    <xf numFmtId="0" fontId="0" fillId="7" borderId="38" xfId="0" applyFill="1" applyBorder="1"/>
    <xf numFmtId="180" fontId="125" fillId="9" borderId="28" xfId="20" applyFill="1" applyBorder="1" applyAlignment="1">
      <alignment horizontal="right"/>
    </xf>
    <xf numFmtId="0" fontId="0" fillId="7" borderId="50" xfId="0" applyFill="1" applyBorder="1"/>
    <xf numFmtId="180" fontId="125" fillId="7" borderId="36" xfId="20" applyFill="1" applyBorder="1" applyAlignment="1">
      <alignment horizontal="right"/>
    </xf>
    <xf numFmtId="180" fontId="125" fillId="7" borderId="27" xfId="20" applyFill="1" applyBorder="1" applyAlignment="1">
      <alignment horizontal="right"/>
    </xf>
    <xf numFmtId="180" fontId="125" fillId="7" borderId="38" xfId="20" applyFill="1" applyBorder="1" applyAlignment="1">
      <alignment horizontal="right"/>
    </xf>
    <xf numFmtId="0" fontId="0" fillId="7" borderId="34" xfId="0" applyFill="1" applyBorder="1" applyAlignment="1">
      <alignment horizontal="right"/>
    </xf>
    <xf numFmtId="0" fontId="0" fillId="7" borderId="35" xfId="0" applyFill="1" applyBorder="1" applyAlignment="1">
      <alignment horizontal="right"/>
    </xf>
    <xf numFmtId="169" fontId="125" fillId="7" borderId="36" xfId="10" applyFill="1" applyBorder="1" applyAlignment="1">
      <alignment horizontal="right"/>
    </xf>
    <xf numFmtId="169" fontId="125" fillId="7" borderId="27" xfId="10" applyFill="1" applyBorder="1" applyAlignment="1">
      <alignment horizontal="right"/>
    </xf>
    <xf numFmtId="169" fontId="125" fillId="7" borderId="38" xfId="10" applyFill="1" applyBorder="1" applyAlignment="1">
      <alignment horizontal="right"/>
    </xf>
    <xf numFmtId="173" fontId="125" fillId="9" borderId="34" xfId="13" applyFill="1" applyBorder="1" applyAlignment="1">
      <alignment horizontal="right"/>
    </xf>
    <xf numFmtId="173" fontId="125" fillId="9" borderId="0" xfId="13" applyFill="1" applyAlignment="1">
      <alignment horizontal="right"/>
    </xf>
    <xf numFmtId="173" fontId="125" fillId="9" borderId="35" xfId="13" applyFill="1" applyBorder="1" applyAlignment="1">
      <alignment horizontal="right"/>
    </xf>
    <xf numFmtId="164" fontId="22" fillId="7" borderId="0" xfId="8" applyFont="1" applyFill="1" applyAlignment="1">
      <alignment horizontal="right"/>
    </xf>
    <xf numFmtId="173" fontId="22" fillId="7" borderId="34" xfId="13" applyFont="1" applyFill="1" applyBorder="1" applyAlignment="1">
      <alignment horizontal="right"/>
    </xf>
    <xf numFmtId="173" fontId="22" fillId="7" borderId="0" xfId="13" applyFont="1" applyFill="1" applyAlignment="1">
      <alignment horizontal="right"/>
    </xf>
    <xf numFmtId="173" fontId="22" fillId="7" borderId="35" xfId="13" applyFont="1" applyFill="1" applyBorder="1" applyAlignment="1">
      <alignment horizontal="right"/>
    </xf>
    <xf numFmtId="171" fontId="6" fillId="7" borderId="0" xfId="12" applyFont="1" applyFill="1" applyAlignment="1">
      <alignment horizontal="right" vertical="center"/>
    </xf>
    <xf numFmtId="173" fontId="22" fillId="9" borderId="36" xfId="13" applyFont="1" applyFill="1" applyBorder="1"/>
    <xf numFmtId="173" fontId="22" fillId="9" borderId="27" xfId="13" applyFont="1" applyFill="1" applyBorder="1"/>
    <xf numFmtId="173" fontId="22" fillId="9" borderId="38" xfId="13" applyFont="1" applyFill="1" applyBorder="1"/>
    <xf numFmtId="173" fontId="22" fillId="7" borderId="0" xfId="13" applyFont="1" applyFill="1"/>
    <xf numFmtId="0" fontId="5" fillId="7" borderId="4" xfId="7" applyFill="1" applyBorder="1" applyAlignment="1">
      <alignment horizontal="left" indent="1"/>
    </xf>
    <xf numFmtId="164" fontId="57" fillId="8" borderId="0" xfId="8" applyFont="1" applyFill="1" applyAlignment="1">
      <alignment horizontal="centerContinuous"/>
    </xf>
    <xf numFmtId="164" fontId="18" fillId="10" borderId="0" xfId="8" applyFont="1" applyFill="1" applyAlignment="1">
      <alignment vertical="center"/>
    </xf>
    <xf numFmtId="164" fontId="58" fillId="10" borderId="0" xfId="8" applyFont="1" applyFill="1" applyAlignment="1">
      <alignment vertical="center"/>
    </xf>
    <xf numFmtId="164" fontId="58" fillId="10" borderId="0" xfId="8" applyFont="1" applyFill="1" applyAlignment="1">
      <alignment horizontal="right" vertical="center"/>
    </xf>
    <xf numFmtId="164" fontId="59" fillId="10" borderId="0" xfId="8" applyFont="1" applyFill="1" applyAlignment="1">
      <alignment vertical="center"/>
    </xf>
    <xf numFmtId="0" fontId="20" fillId="0" borderId="0" xfId="0" applyFont="1" applyAlignment="1">
      <alignment vertical="center"/>
    </xf>
    <xf numFmtId="0" fontId="20" fillId="0" borderId="0" xfId="0" applyFont="1"/>
    <xf numFmtId="164" fontId="20" fillId="7" borderId="0" xfId="8" applyFont="1" applyFill="1" applyAlignment="1">
      <alignment horizontal="right"/>
    </xf>
    <xf numFmtId="173" fontId="20" fillId="7" borderId="0" xfId="13" applyFont="1" applyFill="1" applyAlignment="1">
      <alignment horizontal="right"/>
    </xf>
    <xf numFmtId="169" fontId="20" fillId="7" borderId="0" xfId="10" applyFont="1" applyFill="1" applyAlignment="1">
      <alignment horizontal="right"/>
    </xf>
    <xf numFmtId="180" fontId="20" fillId="7" borderId="0" xfId="20" applyFont="1" applyFill="1" applyAlignment="1">
      <alignment horizontal="right"/>
    </xf>
    <xf numFmtId="164" fontId="20" fillId="7" borderId="0" xfId="8" applyFont="1" applyFill="1"/>
    <xf numFmtId="164" fontId="53" fillId="7" borderId="0" xfId="8" applyFont="1" applyFill="1" applyAlignment="1">
      <alignment horizontal="left" indent="1"/>
    </xf>
    <xf numFmtId="173" fontId="53" fillId="7" borderId="0" xfId="13" applyFont="1" applyFill="1" applyAlignment="1">
      <alignment horizontal="right"/>
    </xf>
    <xf numFmtId="169" fontId="53" fillId="7" borderId="0" xfId="10" applyFont="1" applyFill="1" applyAlignment="1">
      <alignment horizontal="right"/>
    </xf>
    <xf numFmtId="173" fontId="53" fillId="7" borderId="4" xfId="13" applyFont="1" applyFill="1" applyBorder="1" applyAlignment="1">
      <alignment horizontal="right"/>
    </xf>
    <xf numFmtId="169" fontId="53" fillId="7" borderId="4" xfId="10" applyFont="1" applyFill="1" applyBorder="1" applyAlignment="1">
      <alignment horizontal="right"/>
    </xf>
    <xf numFmtId="164" fontId="61" fillId="7" borderId="0" xfId="8" applyFont="1" applyFill="1" applyAlignment="1">
      <alignment horizontal="left" indent="1"/>
    </xf>
    <xf numFmtId="164" fontId="53" fillId="7" borderId="4" xfId="8" applyFont="1" applyFill="1" applyBorder="1" applyAlignment="1">
      <alignment horizontal="right"/>
    </xf>
    <xf numFmtId="173" fontId="53" fillId="7" borderId="15" xfId="13" applyFont="1" applyFill="1" applyBorder="1" applyAlignment="1">
      <alignment horizontal="right"/>
    </xf>
    <xf numFmtId="0" fontId="20" fillId="7" borderId="0" xfId="0" applyFont="1" applyFill="1" applyAlignment="1">
      <alignment horizontal="right"/>
    </xf>
    <xf numFmtId="164" fontId="53" fillId="7" borderId="0" xfId="8" applyFont="1" applyFill="1"/>
    <xf numFmtId="169" fontId="53" fillId="7" borderId="15" xfId="10" applyFont="1" applyFill="1" applyBorder="1" applyAlignment="1">
      <alignment horizontal="right"/>
    </xf>
    <xf numFmtId="169" fontId="6" fillId="7" borderId="4" xfId="10" applyFont="1" applyFill="1" applyBorder="1" applyAlignment="1">
      <alignment horizontal="right"/>
    </xf>
    <xf numFmtId="169" fontId="6" fillId="7" borderId="0" xfId="10" applyFont="1" applyFill="1" applyAlignment="1">
      <alignment horizontal="right"/>
    </xf>
    <xf numFmtId="0" fontId="62" fillId="0" borderId="0" xfId="0" applyFont="1"/>
    <xf numFmtId="0" fontId="35" fillId="0" borderId="0" xfId="0" applyFont="1" applyAlignment="1" applyProtection="1">
      <alignment vertical="top"/>
      <protection locked="0"/>
    </xf>
    <xf numFmtId="0" fontId="0" fillId="0" borderId="0" xfId="0" applyAlignment="1" applyProtection="1">
      <alignment vertical="top"/>
      <protection locked="0"/>
    </xf>
    <xf numFmtId="169" fontId="64" fillId="11" borderId="51" xfId="28" applyFont="1" applyFill="1" applyBorder="1" applyAlignment="1" applyProtection="1">
      <alignment horizontal="center"/>
      <protection locked="0"/>
    </xf>
    <xf numFmtId="169" fontId="64" fillId="4" borderId="51" xfId="28" applyFont="1" applyBorder="1" applyAlignment="1" applyProtection="1">
      <alignment horizontal="center"/>
      <protection locked="0"/>
    </xf>
    <xf numFmtId="169" fontId="42" fillId="12" borderId="51" xfId="10" applyFont="1" applyFill="1" applyBorder="1" applyAlignment="1" applyProtection="1">
      <alignment horizontal="center"/>
      <protection locked="0"/>
    </xf>
    <xf numFmtId="169" fontId="42" fillId="7" borderId="51" xfId="28" applyFont="1" applyFill="1" applyBorder="1" applyAlignment="1" applyProtection="1">
      <alignment horizontal="center"/>
      <protection locked="0"/>
    </xf>
    <xf numFmtId="0" fontId="3" fillId="8" borderId="0" xfId="5" applyNumberFormat="1" applyFont="1" applyFill="1" applyProtection="1">
      <protection locked="0"/>
    </xf>
    <xf numFmtId="0" fontId="3" fillId="8" borderId="0" xfId="6" applyFill="1" applyBorder="1" applyProtection="1">
      <protection locked="0"/>
    </xf>
    <xf numFmtId="0" fontId="3" fillId="8" borderId="0" xfId="6" applyFill="1" applyBorder="1" applyAlignment="1" applyProtection="1">
      <alignment horizontal="centerContinuous"/>
      <protection locked="0"/>
    </xf>
    <xf numFmtId="192" fontId="31" fillId="3" borderId="0" xfId="29" applyFill="1" applyProtection="1">
      <protection locked="0"/>
    </xf>
    <xf numFmtId="164" fontId="20" fillId="7" borderId="0" xfId="8" applyFont="1" applyFill="1" applyProtection="1">
      <protection locked="0"/>
    </xf>
    <xf numFmtId="192" fontId="31" fillId="7" borderId="0" xfId="29" applyFill="1" applyProtection="1">
      <protection locked="0"/>
    </xf>
    <xf numFmtId="193" fontId="31" fillId="4" borderId="52" xfId="30" applyFill="1" applyBorder="1" applyProtection="1">
      <protection locked="0"/>
    </xf>
    <xf numFmtId="194" fontId="125" fillId="7" borderId="0" xfId="8" applyNumberFormat="1" applyFill="1" applyAlignment="1">
      <alignment horizontal="right"/>
    </xf>
    <xf numFmtId="0" fontId="65" fillId="0" borderId="0" xfId="0" applyFont="1" applyProtection="1">
      <protection locked="0"/>
    </xf>
    <xf numFmtId="171" fontId="31" fillId="4" borderId="6" xfId="31" applyFill="1" applyBorder="1" applyProtection="1">
      <protection locked="0"/>
    </xf>
    <xf numFmtId="164" fontId="20" fillId="13" borderId="0" xfId="8" applyFont="1" applyFill="1" applyProtection="1">
      <protection locked="0"/>
    </xf>
    <xf numFmtId="195" fontId="66" fillId="7" borderId="0" xfId="9" applyNumberFormat="1" applyFont="1" applyFill="1" applyAlignment="1">
      <alignment horizontal="right"/>
    </xf>
    <xf numFmtId="0" fontId="4" fillId="0" borderId="0" xfId="0" applyFont="1" applyProtection="1">
      <protection locked="0"/>
    </xf>
    <xf numFmtId="170" fontId="125" fillId="7" borderId="53" xfId="11" applyFill="1" applyBorder="1"/>
    <xf numFmtId="165" fontId="0" fillId="0" borderId="0" xfId="0" applyNumberFormat="1" applyProtection="1">
      <protection hidden="1"/>
    </xf>
    <xf numFmtId="175" fontId="19" fillId="7" borderId="0" xfId="23" applyFill="1" applyBorder="1" applyAlignment="1" applyProtection="1">
      <alignment horizontal="left"/>
      <protection locked="0"/>
    </xf>
    <xf numFmtId="175" fontId="19" fillId="7" borderId="0" xfId="23" applyFill="1" applyBorder="1" applyAlignment="1" applyProtection="1">
      <alignment horizontal="right"/>
      <protection locked="0"/>
    </xf>
    <xf numFmtId="164" fontId="31" fillId="4" borderId="0" xfId="32" applyFill="1" applyAlignment="1" applyProtection="1">
      <alignment horizontal="right"/>
      <protection locked="0"/>
    </xf>
    <xf numFmtId="0" fontId="67" fillId="0" borderId="0" xfId="0" applyFont="1" applyProtection="1">
      <protection locked="0"/>
    </xf>
    <xf numFmtId="192" fontId="125" fillId="7" borderId="57" xfId="33" applyFill="1" applyBorder="1"/>
    <xf numFmtId="173" fontId="125" fillId="7" borderId="0" xfId="13" applyFill="1" applyAlignment="1" applyProtection="1">
      <alignment horizontal="right"/>
      <protection locked="0"/>
    </xf>
    <xf numFmtId="192" fontId="31" fillId="4" borderId="57" xfId="29" applyFill="1" applyBorder="1" applyProtection="1">
      <protection locked="0"/>
    </xf>
    <xf numFmtId="0" fontId="20" fillId="7" borderId="0" xfId="0" quotePrefix="1" applyFont="1" applyFill="1" applyAlignment="1" applyProtection="1">
      <alignment horizontal="right"/>
      <protection locked="0"/>
    </xf>
    <xf numFmtId="173" fontId="31" fillId="4" borderId="6" xfId="34" applyFill="1" applyBorder="1" applyProtection="1">
      <protection locked="0"/>
    </xf>
    <xf numFmtId="173" fontId="31" fillId="4" borderId="52" xfId="34" applyFill="1" applyBorder="1" applyProtection="1">
      <protection locked="0"/>
    </xf>
    <xf numFmtId="192" fontId="125" fillId="7" borderId="58" xfId="33" applyFill="1" applyBorder="1"/>
    <xf numFmtId="169" fontId="125" fillId="7" borderId="58" xfId="10" applyFill="1" applyBorder="1"/>
    <xf numFmtId="9" fontId="0" fillId="0" borderId="0" xfId="1" applyFont="1" applyProtection="1">
      <protection locked="0"/>
    </xf>
    <xf numFmtId="169" fontId="31" fillId="4" borderId="0" xfId="28" applyProtection="1">
      <protection locked="0"/>
    </xf>
    <xf numFmtId="0" fontId="0" fillId="7" borderId="58" xfId="0" applyFill="1" applyBorder="1" applyProtection="1">
      <protection locked="0"/>
    </xf>
    <xf numFmtId="165" fontId="69" fillId="7" borderId="0" xfId="8" applyNumberFormat="1" applyFont="1" applyFill="1" applyProtection="1">
      <protection hidden="1"/>
    </xf>
    <xf numFmtId="165" fontId="69" fillId="7" borderId="0" xfId="0" applyNumberFormat="1" applyFont="1" applyFill="1" applyProtection="1">
      <protection hidden="1"/>
    </xf>
    <xf numFmtId="165" fontId="69" fillId="7" borderId="58" xfId="10" applyNumberFormat="1" applyFont="1" applyFill="1" applyBorder="1" applyProtection="1">
      <protection hidden="1"/>
    </xf>
    <xf numFmtId="192" fontId="31" fillId="4" borderId="58" xfId="29" applyFill="1" applyBorder="1" applyProtection="1">
      <protection locked="0"/>
    </xf>
    <xf numFmtId="173" fontId="125" fillId="7" borderId="53" xfId="13" applyFill="1" applyBorder="1"/>
    <xf numFmtId="169" fontId="31" fillId="4" borderId="60" xfId="28" applyBorder="1" applyProtection="1">
      <protection locked="0"/>
    </xf>
    <xf numFmtId="169" fontId="31" fillId="4" borderId="61" xfId="28" applyBorder="1" applyProtection="1">
      <protection locked="0"/>
    </xf>
    <xf numFmtId="7" fontId="0" fillId="7" borderId="0" xfId="0" applyNumberFormat="1" applyFill="1" applyProtection="1">
      <protection locked="0"/>
    </xf>
    <xf numFmtId="169" fontId="31" fillId="4" borderId="62" xfId="28" applyBorder="1" applyProtection="1">
      <protection locked="0"/>
    </xf>
    <xf numFmtId="164" fontId="6" fillId="7" borderId="0" xfId="8" applyFont="1" applyFill="1" applyAlignment="1" applyProtection="1">
      <alignment horizontal="left" indent="1"/>
      <protection locked="0"/>
    </xf>
    <xf numFmtId="169" fontId="53" fillId="7" borderId="63" xfId="10" applyFont="1" applyFill="1" applyBorder="1"/>
    <xf numFmtId="173" fontId="6" fillId="7" borderId="63" xfId="13" applyFont="1" applyFill="1" applyBorder="1"/>
    <xf numFmtId="169" fontId="53" fillId="7" borderId="63" xfId="0" applyNumberFormat="1" applyFont="1" applyFill="1" applyBorder="1"/>
    <xf numFmtId="164" fontId="6" fillId="7" borderId="63" xfId="8" applyFont="1" applyFill="1" applyBorder="1" applyAlignment="1" applyProtection="1">
      <alignment horizontal="left"/>
      <protection locked="0"/>
    </xf>
    <xf numFmtId="0" fontId="0" fillId="7" borderId="63" xfId="0" applyFill="1" applyBorder="1" applyProtection="1">
      <protection locked="0"/>
    </xf>
    <xf numFmtId="169" fontId="6" fillId="7" borderId="63" xfId="10" applyFont="1" applyFill="1" applyBorder="1"/>
    <xf numFmtId="173" fontId="125" fillId="7" borderId="63" xfId="13" applyFill="1" applyBorder="1" applyAlignment="1" applyProtection="1">
      <alignment horizontal="right"/>
      <protection locked="0"/>
    </xf>
    <xf numFmtId="0" fontId="5" fillId="7" borderId="63" xfId="7" applyFill="1" applyBorder="1" applyAlignment="1" applyProtection="1">
      <alignment horizontal="left" indent="1"/>
      <protection locked="0"/>
    </xf>
    <xf numFmtId="164" fontId="125" fillId="7" borderId="0" xfId="8" applyFill="1" applyAlignment="1" applyProtection="1">
      <alignment horizontal="left"/>
      <protection locked="0"/>
    </xf>
    <xf numFmtId="173" fontId="0" fillId="0" borderId="0" xfId="0" applyNumberFormat="1" applyProtection="1">
      <protection locked="0"/>
    </xf>
    <xf numFmtId="175" fontId="19" fillId="8" borderId="0" xfId="23" applyFill="1" applyBorder="1" applyAlignment="1" applyProtection="1">
      <alignment horizontal="right"/>
      <protection locked="0"/>
    </xf>
    <xf numFmtId="175" fontId="19" fillId="3" borderId="0" xfId="26"/>
    <xf numFmtId="175" fontId="19" fillId="3" borderId="0" xfId="26" applyAlignment="1">
      <alignment horizontal="centerContinuous"/>
    </xf>
    <xf numFmtId="175" fontId="19" fillId="7" borderId="64" xfId="23" applyFill="1" applyBorder="1" applyAlignment="1" applyProtection="1">
      <alignment horizontal="right"/>
      <protection locked="0"/>
    </xf>
    <xf numFmtId="0" fontId="0" fillId="7" borderId="0" xfId="0" applyFill="1" applyAlignment="1" applyProtection="1">
      <alignment horizontal="right"/>
      <protection locked="0"/>
    </xf>
    <xf numFmtId="175" fontId="19" fillId="7" borderId="64" xfId="23" applyFill="1" applyBorder="1" applyAlignment="1" applyProtection="1">
      <alignment horizontal="centerContinuous"/>
      <protection locked="0"/>
    </xf>
    <xf numFmtId="175" fontId="19" fillId="7" borderId="0" xfId="23" applyFill="1" applyBorder="1" applyAlignment="1" applyProtection="1">
      <alignment horizontal="centerContinuous"/>
      <protection locked="0"/>
    </xf>
    <xf numFmtId="175" fontId="19" fillId="7" borderId="65" xfId="23" applyFill="1" applyBorder="1" applyAlignment="1" applyProtection="1">
      <alignment horizontal="centerContinuous"/>
      <protection locked="0"/>
    </xf>
    <xf numFmtId="175" fontId="19" fillId="7" borderId="64" xfId="23" applyFill="1" applyBorder="1" applyAlignment="1" applyProtection="1">
      <alignment horizontal="left"/>
      <protection locked="0"/>
    </xf>
    <xf numFmtId="175" fontId="70" fillId="7" borderId="0" xfId="23" applyFont="1" applyFill="1" applyBorder="1" applyAlignment="1" applyProtection="1">
      <alignment horizontal="right"/>
      <protection locked="0"/>
    </xf>
    <xf numFmtId="175" fontId="71" fillId="7" borderId="0" xfId="23" applyFont="1" applyFill="1" applyBorder="1" applyAlignment="1" applyProtection="1">
      <alignment horizontal="right"/>
      <protection locked="0"/>
    </xf>
    <xf numFmtId="175" fontId="71" fillId="7" borderId="0" xfId="23" applyFont="1" applyFill="1" applyBorder="1" applyAlignment="1">
      <alignment horizontal="right"/>
    </xf>
    <xf numFmtId="0" fontId="73" fillId="7" borderId="0" xfId="0" applyFont="1" applyFill="1" applyAlignment="1" applyProtection="1">
      <alignment horizontal="right"/>
      <protection locked="0"/>
    </xf>
    <xf numFmtId="175" fontId="74" fillId="7" borderId="0" xfId="23" applyFont="1" applyFill="1" applyBorder="1" applyAlignment="1" applyProtection="1">
      <alignment horizontal="right"/>
      <protection locked="0"/>
    </xf>
    <xf numFmtId="175" fontId="72" fillId="7" borderId="0" xfId="23" applyFont="1" applyFill="1" applyBorder="1" applyAlignment="1" applyProtection="1">
      <alignment horizontal="right"/>
      <protection locked="0"/>
    </xf>
    <xf numFmtId="175" fontId="19" fillId="7" borderId="2" xfId="23" applyFill="1" applyProtection="1">
      <protection locked="0"/>
    </xf>
    <xf numFmtId="0" fontId="0" fillId="7" borderId="2" xfId="0" applyFill="1" applyBorder="1" applyProtection="1">
      <protection locked="0"/>
    </xf>
    <xf numFmtId="175" fontId="19" fillId="7" borderId="2" xfId="23" applyFill="1" applyAlignment="1" applyProtection="1">
      <alignment horizontal="right"/>
      <protection locked="0"/>
    </xf>
    <xf numFmtId="197" fontId="31" fillId="4" borderId="0" xfId="32" applyNumberFormat="1" applyFill="1" applyAlignment="1" applyProtection="1">
      <alignment horizontal="left"/>
      <protection locked="0"/>
    </xf>
    <xf numFmtId="0" fontId="0" fillId="4" borderId="0" xfId="0" applyFill="1" applyProtection="1">
      <protection locked="0"/>
    </xf>
    <xf numFmtId="164" fontId="39" fillId="7" borderId="0" xfId="8" applyFont="1" applyFill="1" applyAlignment="1">
      <alignment horizontal="left"/>
    </xf>
    <xf numFmtId="174" fontId="31" fillId="7" borderId="78" xfId="35" applyFill="1" applyBorder="1" applyProtection="1">
      <protection locked="0"/>
    </xf>
    <xf numFmtId="198" fontId="31" fillId="7" borderId="79" xfId="36" applyFill="1" applyBorder="1" applyProtection="1">
      <protection locked="0"/>
    </xf>
    <xf numFmtId="168" fontId="31" fillId="7" borderId="18" xfId="37" applyFill="1" applyBorder="1" applyProtection="1">
      <protection locked="0"/>
    </xf>
    <xf numFmtId="168" fontId="20" fillId="7" borderId="64" xfId="9" applyFont="1" applyFill="1" applyBorder="1"/>
    <xf numFmtId="168" fontId="31" fillId="7" borderId="79" xfId="37" applyFill="1" applyBorder="1" applyProtection="1">
      <protection locked="0"/>
    </xf>
    <xf numFmtId="168" fontId="31" fillId="7" borderId="80" xfId="37" applyFill="1" applyBorder="1" applyProtection="1">
      <protection locked="0"/>
    </xf>
    <xf numFmtId="173" fontId="31" fillId="7" borderId="78" xfId="34" applyFill="1" applyBorder="1" applyProtection="1">
      <protection locked="0"/>
    </xf>
    <xf numFmtId="173" fontId="31" fillId="7" borderId="19" xfId="34" applyFill="1" applyBorder="1" applyProtection="1">
      <protection locked="0"/>
    </xf>
    <xf numFmtId="197" fontId="31" fillId="7" borderId="64" xfId="38" applyFill="1" applyBorder="1" applyProtection="1">
      <protection locked="0"/>
    </xf>
    <xf numFmtId="197" fontId="31" fillId="7" borderId="0" xfId="38" applyFill="1" applyProtection="1">
      <protection locked="0"/>
    </xf>
    <xf numFmtId="199" fontId="69" fillId="7" borderId="0" xfId="15" applyNumberFormat="1" applyFont="1" applyFill="1"/>
    <xf numFmtId="173" fontId="125" fillId="7" borderId="81" xfId="13" applyFill="1" applyBorder="1"/>
    <xf numFmtId="175" fontId="125" fillId="7" borderId="82" xfId="15" applyFill="1" applyBorder="1"/>
    <xf numFmtId="173" fontId="125" fillId="7" borderId="83" xfId="13" applyFill="1" applyBorder="1"/>
    <xf numFmtId="175" fontId="125" fillId="7" borderId="66" xfId="15" applyFill="1" applyBorder="1"/>
    <xf numFmtId="175" fontId="125" fillId="7" borderId="0" xfId="15" applyFill="1"/>
    <xf numFmtId="174" fontId="31" fillId="7" borderId="64" xfId="35" applyFill="1" applyBorder="1" applyProtection="1">
      <protection locked="0"/>
    </xf>
    <xf numFmtId="164" fontId="31" fillId="7" borderId="0" xfId="32" applyFill="1" applyProtection="1">
      <protection locked="0"/>
    </xf>
    <xf numFmtId="168" fontId="31" fillId="7" borderId="0" xfId="37" applyFill="1" applyProtection="1">
      <protection locked="0"/>
    </xf>
    <xf numFmtId="168" fontId="31" fillId="7" borderId="64" xfId="37" applyFill="1" applyBorder="1" applyProtection="1">
      <protection locked="0"/>
    </xf>
    <xf numFmtId="168" fontId="31" fillId="7" borderId="56" xfId="37" applyFill="1" applyBorder="1"/>
    <xf numFmtId="168" fontId="31" fillId="7" borderId="70" xfId="37" applyFill="1" applyBorder="1"/>
    <xf numFmtId="173" fontId="31" fillId="7" borderId="67" xfId="34" applyFill="1" applyBorder="1" applyProtection="1">
      <protection locked="0"/>
    </xf>
    <xf numFmtId="173" fontId="31" fillId="7" borderId="56" xfId="34" applyFill="1" applyBorder="1" applyProtection="1">
      <protection locked="0"/>
    </xf>
    <xf numFmtId="0" fontId="0" fillId="7" borderId="64" xfId="0" applyFill="1" applyBorder="1" applyProtection="1">
      <protection locked="0"/>
    </xf>
    <xf numFmtId="175" fontId="69" fillId="7" borderId="0" xfId="15" applyFont="1" applyFill="1" applyProtection="1">
      <protection locked="0"/>
    </xf>
    <xf numFmtId="175" fontId="24" fillId="7" borderId="0" xfId="15" applyFont="1" applyFill="1" applyProtection="1">
      <protection locked="0"/>
    </xf>
    <xf numFmtId="175" fontId="125" fillId="7" borderId="84" xfId="15" applyFill="1" applyBorder="1"/>
    <xf numFmtId="164" fontId="6" fillId="7" borderId="63" xfId="8" applyFont="1" applyFill="1" applyBorder="1" applyProtection="1">
      <protection locked="0"/>
    </xf>
    <xf numFmtId="174" fontId="6" fillId="7" borderId="85" xfId="14" applyFont="1" applyFill="1" applyBorder="1"/>
    <xf numFmtId="0" fontId="6" fillId="7" borderId="63" xfId="0" applyFont="1" applyFill="1" applyBorder="1" applyProtection="1">
      <protection locked="0"/>
    </xf>
    <xf numFmtId="168" fontId="6" fillId="7" borderId="63" xfId="9" applyFont="1" applyFill="1" applyBorder="1"/>
    <xf numFmtId="168" fontId="6" fillId="7" borderId="85" xfId="9" applyFont="1" applyFill="1" applyBorder="1"/>
    <xf numFmtId="168" fontId="6" fillId="7" borderId="86" xfId="9" applyFont="1" applyFill="1" applyBorder="1"/>
    <xf numFmtId="173" fontId="6" fillId="7" borderId="85" xfId="13" applyFont="1" applyFill="1" applyBorder="1"/>
    <xf numFmtId="0" fontId="0" fillId="7" borderId="87" xfId="0" applyFill="1" applyBorder="1" applyProtection="1">
      <protection locked="0"/>
    </xf>
    <xf numFmtId="0" fontId="0" fillId="7" borderId="88" xfId="0" applyFill="1" applyBorder="1" applyProtection="1">
      <protection locked="0"/>
    </xf>
    <xf numFmtId="173" fontId="74" fillId="7" borderId="0" xfId="13" applyFont="1" applyFill="1"/>
    <xf numFmtId="173" fontId="72" fillId="7" borderId="0" xfId="13" applyFont="1" applyFill="1" applyProtection="1">
      <protection locked="0"/>
    </xf>
    <xf numFmtId="175" fontId="6" fillId="7" borderId="63" xfId="15" applyFont="1" applyFill="1" applyBorder="1"/>
    <xf numFmtId="173" fontId="6" fillId="7" borderId="89" xfId="13" applyFont="1" applyFill="1" applyBorder="1"/>
    <xf numFmtId="175" fontId="6" fillId="7" borderId="86" xfId="15" applyFont="1" applyFill="1" applyBorder="1"/>
    <xf numFmtId="164" fontId="6" fillId="7" borderId="0" xfId="8" applyFont="1" applyFill="1" applyProtection="1">
      <protection locked="0"/>
    </xf>
    <xf numFmtId="174" fontId="6" fillId="7" borderId="0" xfId="14" applyFont="1" applyFill="1"/>
    <xf numFmtId="0" fontId="6" fillId="7" borderId="0" xfId="0" applyFont="1" applyFill="1" applyProtection="1">
      <protection locked="0"/>
    </xf>
    <xf numFmtId="168" fontId="6" fillId="7" borderId="0" xfId="9" applyFont="1" applyFill="1"/>
    <xf numFmtId="173" fontId="72" fillId="7" borderId="0" xfId="13" applyFont="1" applyFill="1"/>
    <xf numFmtId="0" fontId="0" fillId="7" borderId="0" xfId="1" applyNumberFormat="1" applyFont="1" applyFill="1" applyProtection="1">
      <protection locked="0"/>
    </xf>
    <xf numFmtId="169" fontId="20" fillId="7" borderId="0" xfId="10" applyFont="1" applyFill="1" applyProtection="1">
      <protection locked="0"/>
    </xf>
    <xf numFmtId="169" fontId="31" fillId="7" borderId="0" xfId="28" applyFill="1" applyProtection="1">
      <protection locked="0"/>
    </xf>
    <xf numFmtId="168" fontId="0" fillId="0" borderId="0" xfId="0" applyNumberFormat="1"/>
    <xf numFmtId="176" fontId="19" fillId="7" borderId="0" xfId="16" applyFont="1" applyFill="1" applyProtection="1">
      <protection locked="0"/>
    </xf>
    <xf numFmtId="176" fontId="19" fillId="7" borderId="0" xfId="16" applyFont="1" applyFill="1"/>
    <xf numFmtId="170" fontId="75" fillId="7" borderId="0" xfId="11" applyFont="1" applyFill="1" applyAlignment="1">
      <alignment horizontal="right"/>
    </xf>
    <xf numFmtId="176" fontId="19" fillId="7" borderId="2" xfId="16" applyFont="1" applyFill="1" applyBorder="1" applyProtection="1">
      <protection locked="0"/>
    </xf>
    <xf numFmtId="169" fontId="125" fillId="12" borderId="0" xfId="10" applyFill="1" applyProtection="1">
      <protection locked="0"/>
    </xf>
    <xf numFmtId="169" fontId="125" fillId="15" borderId="0" xfId="10" applyFill="1" applyProtection="1">
      <protection locked="0"/>
    </xf>
    <xf numFmtId="0" fontId="69" fillId="7" borderId="0" xfId="0" applyFont="1" applyFill="1" applyProtection="1">
      <protection hidden="1"/>
    </xf>
    <xf numFmtId="164" fontId="31" fillId="4" borderId="6" xfId="32" applyFill="1" applyBorder="1" applyAlignment="1" applyProtection="1">
      <alignment horizontal="left"/>
      <protection locked="0"/>
    </xf>
    <xf numFmtId="175" fontId="21" fillId="7" borderId="0" xfId="23" applyFont="1" applyFill="1" applyBorder="1" applyAlignment="1" applyProtection="1">
      <alignment horizontal="centerContinuous"/>
      <protection locked="0"/>
    </xf>
    <xf numFmtId="175" fontId="21" fillId="8" borderId="0" xfId="23" applyFont="1" applyFill="1" applyBorder="1" applyAlignment="1" applyProtection="1">
      <alignment horizontal="right"/>
      <protection locked="0"/>
    </xf>
    <xf numFmtId="176" fontId="19" fillId="7" borderId="0" xfId="16" applyFont="1" applyFill="1" applyAlignment="1" applyProtection="1">
      <alignment horizontal="centerContinuous"/>
      <protection locked="0"/>
    </xf>
    <xf numFmtId="176" fontId="19" fillId="8" borderId="0" xfId="16" applyFont="1" applyFill="1" applyAlignment="1" applyProtection="1">
      <alignment horizontal="right"/>
      <protection locked="0"/>
    </xf>
    <xf numFmtId="200" fontId="19" fillId="7" borderId="0" xfId="39" applyFont="1" applyFill="1" applyAlignment="1" applyProtection="1">
      <alignment horizontal="right"/>
      <protection locked="0"/>
    </xf>
    <xf numFmtId="164" fontId="76" fillId="0" borderId="0" xfId="8" applyFont="1"/>
    <xf numFmtId="175" fontId="21" fillId="7" borderId="2" xfId="23" applyFont="1" applyFill="1" applyAlignment="1" applyProtection="1">
      <alignment horizontal="right"/>
      <protection locked="0"/>
    </xf>
    <xf numFmtId="164" fontId="76" fillId="0" borderId="93" xfId="8" applyFont="1" applyBorder="1"/>
    <xf numFmtId="201" fontId="125" fillId="0" borderId="0" xfId="8" applyNumberFormat="1" applyAlignment="1">
      <alignment horizontal="left"/>
    </xf>
    <xf numFmtId="197" fontId="125" fillId="7" borderId="0" xfId="8" applyNumberFormat="1" applyFill="1" applyAlignment="1">
      <alignment horizontal="left"/>
    </xf>
    <xf numFmtId="173" fontId="31" fillId="7" borderId="18" xfId="34" applyFill="1" applyBorder="1" applyProtection="1">
      <protection locked="0"/>
    </xf>
    <xf numFmtId="173" fontId="125" fillId="8" borderId="0" xfId="13" applyFill="1"/>
    <xf numFmtId="168" fontId="0" fillId="8" borderId="0" xfId="0" applyNumberFormat="1" applyFill="1"/>
    <xf numFmtId="168" fontId="76" fillId="0" borderId="0" xfId="9" applyFont="1"/>
    <xf numFmtId="173" fontId="31" fillId="7" borderId="0" xfId="34" applyFill="1" applyProtection="1">
      <protection locked="0"/>
    </xf>
    <xf numFmtId="168" fontId="31" fillId="8" borderId="0" xfId="37" applyFill="1" applyProtection="1">
      <protection locked="0"/>
    </xf>
    <xf numFmtId="0" fontId="76" fillId="0" borderId="0" xfId="0" applyFont="1"/>
    <xf numFmtId="173" fontId="6" fillId="8" borderId="63" xfId="13" applyFont="1" applyFill="1" applyBorder="1"/>
    <xf numFmtId="168" fontId="6" fillId="8" borderId="63" xfId="9" applyFont="1" applyFill="1" applyBorder="1"/>
    <xf numFmtId="168" fontId="77" fillId="0" borderId="94" xfId="9" applyFont="1" applyBorder="1"/>
    <xf numFmtId="183" fontId="31" fillId="4" borderId="0" xfId="21" applyFill="1" applyProtection="1">
      <protection locked="0"/>
    </xf>
    <xf numFmtId="164" fontId="31" fillId="7" borderId="0" xfId="32" applyFill="1" applyAlignment="1">
      <alignment horizontal="center"/>
    </xf>
    <xf numFmtId="0" fontId="78" fillId="7" borderId="0" xfId="0" applyFont="1" applyFill="1" applyAlignment="1" applyProtection="1">
      <alignment horizontal="right"/>
      <protection hidden="1"/>
    </xf>
    <xf numFmtId="169" fontId="125" fillId="8" borderId="0" xfId="10" quotePrefix="1" applyFill="1" applyAlignment="1" applyProtection="1">
      <alignment horizontal="right"/>
      <protection hidden="1"/>
    </xf>
    <xf numFmtId="169" fontId="125" fillId="12" borderId="0" xfId="10" applyFill="1" applyAlignment="1" applyProtection="1">
      <alignment horizontal="right"/>
      <protection locked="0"/>
    </xf>
    <xf numFmtId="164" fontId="125" fillId="9" borderId="0" xfId="8" applyFill="1" applyAlignment="1">
      <alignment horizontal="left"/>
    </xf>
    <xf numFmtId="0" fontId="78" fillId="9" borderId="0" xfId="0" applyFont="1" applyFill="1" applyAlignment="1" applyProtection="1">
      <alignment horizontal="right"/>
      <protection hidden="1"/>
    </xf>
    <xf numFmtId="169" fontId="125" fillId="16" borderId="0" xfId="10" quotePrefix="1" applyFill="1" applyAlignment="1" applyProtection="1">
      <alignment horizontal="right"/>
      <protection hidden="1"/>
    </xf>
    <xf numFmtId="169" fontId="125" fillId="15" borderId="0" xfId="10" applyFill="1" applyAlignment="1" applyProtection="1">
      <alignment horizontal="right"/>
      <protection locked="0"/>
    </xf>
    <xf numFmtId="164" fontId="20" fillId="7" borderId="0" xfId="8" applyFont="1" applyFill="1" applyAlignment="1">
      <alignment horizontal="center"/>
    </xf>
    <xf numFmtId="0" fontId="0" fillId="17" borderId="0" xfId="0" applyFill="1" applyProtection="1">
      <protection locked="0"/>
    </xf>
    <xf numFmtId="169" fontId="31" fillId="17" borderId="0" xfId="28" applyFill="1" applyProtection="1">
      <protection locked="0"/>
    </xf>
    <xf numFmtId="169" fontId="31" fillId="7" borderId="63" xfId="28" applyFill="1" applyBorder="1" applyProtection="1">
      <protection locked="0"/>
    </xf>
    <xf numFmtId="175" fontId="79" fillId="7" borderId="0" xfId="23" applyFont="1" applyFill="1" applyBorder="1" applyProtection="1">
      <protection locked="0"/>
    </xf>
    <xf numFmtId="0" fontId="66" fillId="7" borderId="0" xfId="0" applyFont="1" applyFill="1" applyProtection="1">
      <protection locked="0"/>
    </xf>
    <xf numFmtId="175" fontId="80" fillId="7" borderId="0" xfId="23" applyFont="1" applyFill="1" applyBorder="1" applyAlignment="1" applyProtection="1">
      <alignment horizontal="right"/>
      <protection locked="0"/>
    </xf>
    <xf numFmtId="176" fontId="79" fillId="7" borderId="0" xfId="16" applyFont="1" applyFill="1" applyProtection="1">
      <protection locked="0"/>
    </xf>
    <xf numFmtId="164" fontId="66" fillId="7" borderId="0" xfId="0" applyNumberFormat="1" applyFont="1" applyFill="1" applyProtection="1">
      <protection locked="0"/>
    </xf>
    <xf numFmtId="169" fontId="66" fillId="7" borderId="0" xfId="10" applyFont="1" applyFill="1" applyProtection="1">
      <protection locked="0"/>
    </xf>
    <xf numFmtId="169" fontId="66" fillId="7" borderId="0" xfId="10" applyFont="1" applyFill="1"/>
    <xf numFmtId="164" fontId="81" fillId="7" borderId="0" xfId="8" applyFont="1" applyFill="1" applyAlignment="1" applyProtection="1">
      <alignment horizontal="left" indent="1"/>
      <protection locked="0"/>
    </xf>
    <xf numFmtId="0" fontId="81" fillId="7" borderId="0" xfId="0" applyFont="1" applyFill="1" applyProtection="1">
      <protection locked="0"/>
    </xf>
    <xf numFmtId="169" fontId="81" fillId="7" borderId="63" xfId="28" applyFont="1" applyFill="1" applyBorder="1"/>
    <xf numFmtId="175" fontId="6" fillId="3" borderId="0" xfId="26" applyFont="1" applyAlignment="1" applyProtection="1">
      <alignment horizontal="right" vertical="center"/>
      <protection locked="0"/>
    </xf>
    <xf numFmtId="164" fontId="31" fillId="3" borderId="0" xfId="32" applyFill="1" applyAlignment="1" applyProtection="1">
      <alignment horizontal="left" vertical="center"/>
      <protection locked="0"/>
    </xf>
    <xf numFmtId="175" fontId="6" fillId="3" borderId="0" xfId="26" applyFont="1" applyAlignment="1" applyProtection="1">
      <alignment horizontal="right"/>
      <protection locked="0"/>
    </xf>
    <xf numFmtId="164" fontId="31" fillId="3" borderId="0" xfId="32" applyFill="1" applyProtection="1">
      <protection locked="0"/>
    </xf>
    <xf numFmtId="164" fontId="31" fillId="4" borderId="95" xfId="32" applyFill="1" applyBorder="1" applyProtection="1">
      <protection locked="0"/>
    </xf>
    <xf numFmtId="164" fontId="31" fillId="4" borderId="96" xfId="32" applyFill="1" applyBorder="1" applyProtection="1">
      <protection locked="0"/>
    </xf>
    <xf numFmtId="173" fontId="31" fillId="4" borderId="0" xfId="34" applyFill="1" applyProtection="1">
      <protection locked="0"/>
    </xf>
    <xf numFmtId="173" fontId="125" fillId="12" borderId="0" xfId="13" applyFill="1" applyProtection="1">
      <protection locked="0"/>
    </xf>
    <xf numFmtId="164" fontId="125" fillId="9" borderId="0" xfId="8" applyFill="1"/>
    <xf numFmtId="0" fontId="0" fillId="9" borderId="0" xfId="0" applyFill="1" applyProtection="1">
      <protection locked="0"/>
    </xf>
    <xf numFmtId="164" fontId="31" fillId="18" borderId="97" xfId="32" applyFill="1" applyBorder="1" applyProtection="1">
      <protection locked="0"/>
    </xf>
    <xf numFmtId="164" fontId="31" fillId="18" borderId="98" xfId="32" applyFill="1" applyBorder="1" applyProtection="1">
      <protection locked="0"/>
    </xf>
    <xf numFmtId="173" fontId="31" fillId="18" borderId="0" xfId="34" applyFill="1" applyProtection="1">
      <protection locked="0"/>
    </xf>
    <xf numFmtId="173" fontId="125" fillId="15" borderId="0" xfId="13" applyFill="1" applyProtection="1">
      <protection locked="0"/>
    </xf>
    <xf numFmtId="164" fontId="31" fillId="4" borderId="0" xfId="32" applyFill="1" applyProtection="1">
      <protection locked="0"/>
    </xf>
    <xf numFmtId="164" fontId="31" fillId="4" borderId="97" xfId="32" applyFill="1" applyBorder="1" applyProtection="1">
      <protection locked="0"/>
    </xf>
    <xf numFmtId="164" fontId="31" fillId="4" borderId="98" xfId="32" applyFill="1" applyBorder="1" applyProtection="1">
      <protection locked="0"/>
    </xf>
    <xf numFmtId="164" fontId="31" fillId="18" borderId="0" xfId="32" applyFill="1" applyProtection="1">
      <protection locked="0"/>
    </xf>
    <xf numFmtId="164" fontId="31" fillId="17" borderId="0" xfId="32" applyFill="1" applyProtection="1">
      <protection locked="0"/>
    </xf>
    <xf numFmtId="169" fontId="31" fillId="17" borderId="99" xfId="28" applyFill="1" applyBorder="1" applyProtection="1">
      <protection locked="0"/>
    </xf>
    <xf numFmtId="173" fontId="31" fillId="17" borderId="68" xfId="34" applyFill="1" applyBorder="1" applyProtection="1">
      <protection locked="0"/>
    </xf>
    <xf numFmtId="173" fontId="31" fillId="17" borderId="0" xfId="34" applyFill="1" applyProtection="1">
      <protection locked="0"/>
    </xf>
    <xf numFmtId="164" fontId="20" fillId="7" borderId="0" xfId="8" applyFont="1" applyFill="1" applyAlignment="1" applyProtection="1">
      <alignment horizontal="left"/>
      <protection locked="0"/>
    </xf>
    <xf numFmtId="164" fontId="39" fillId="7" borderId="0" xfId="8" applyFont="1" applyFill="1" applyProtection="1">
      <protection locked="0"/>
    </xf>
    <xf numFmtId="169" fontId="7" fillId="7" borderId="0" xfId="28" applyFont="1" applyFill="1" applyProtection="1">
      <protection locked="0"/>
    </xf>
    <xf numFmtId="164" fontId="82" fillId="9" borderId="0" xfId="8" applyFont="1" applyFill="1"/>
    <xf numFmtId="164" fontId="26" fillId="9" borderId="0" xfId="19" applyNumberFormat="1" applyFill="1" applyAlignment="1">
      <alignment horizontal="right"/>
    </xf>
    <xf numFmtId="164" fontId="125" fillId="9" borderId="0" xfId="8" applyFill="1" applyProtection="1">
      <protection locked="0"/>
    </xf>
    <xf numFmtId="175" fontId="83" fillId="7" borderId="0" xfId="19" applyNumberFormat="1" applyFont="1" applyFill="1" applyAlignment="1" applyProtection="1">
      <alignment horizontal="right"/>
      <protection locked="0"/>
    </xf>
    <xf numFmtId="0" fontId="0" fillId="7" borderId="56" xfId="0" applyFill="1" applyBorder="1" applyProtection="1">
      <protection locked="0"/>
    </xf>
    <xf numFmtId="175" fontId="83" fillId="7" borderId="2" xfId="19" applyNumberFormat="1" applyFont="1" applyFill="1" applyBorder="1" applyAlignment="1" applyProtection="1">
      <alignment horizontal="right"/>
      <protection locked="0"/>
    </xf>
    <xf numFmtId="191" fontId="31" fillId="4" borderId="100" xfId="38" applyNumberFormat="1" applyFill="1" applyBorder="1" applyProtection="1">
      <protection locked="0"/>
    </xf>
    <xf numFmtId="173" fontId="125" fillId="7" borderId="101" xfId="13" applyFill="1" applyBorder="1" applyAlignment="1">
      <alignment horizontal="right"/>
    </xf>
    <xf numFmtId="173" fontId="31" fillId="4" borderId="102" xfId="34" applyFill="1" applyBorder="1" applyProtection="1">
      <protection locked="0"/>
    </xf>
    <xf numFmtId="164" fontId="125" fillId="12" borderId="80" xfId="8" applyFill="1" applyBorder="1" applyProtection="1">
      <protection locked="0"/>
    </xf>
    <xf numFmtId="169" fontId="69" fillId="7" borderId="64" xfId="10" applyFont="1" applyFill="1" applyBorder="1" applyProtection="1">
      <protection locked="0"/>
    </xf>
    <xf numFmtId="169" fontId="69" fillId="7" borderId="0" xfId="10" applyFont="1" applyFill="1" applyProtection="1">
      <protection locked="0"/>
    </xf>
    <xf numFmtId="165" fontId="84" fillId="8" borderId="0" xfId="0" applyNumberFormat="1" applyFont="1" applyFill="1"/>
    <xf numFmtId="173" fontId="125" fillId="9" borderId="84" xfId="13" applyFill="1" applyBorder="1" applyAlignment="1">
      <alignment horizontal="right"/>
    </xf>
    <xf numFmtId="173" fontId="31" fillId="18" borderId="18" xfId="34" applyFill="1" applyBorder="1" applyProtection="1">
      <protection locked="0"/>
    </xf>
    <xf numFmtId="164" fontId="125" fillId="15" borderId="80" xfId="8" applyFill="1" applyBorder="1" applyProtection="1">
      <protection locked="0"/>
    </xf>
    <xf numFmtId="169" fontId="85" fillId="9" borderId="64" xfId="10" applyFont="1" applyFill="1" applyBorder="1" applyProtection="1">
      <protection locked="0"/>
    </xf>
    <xf numFmtId="169" fontId="85" fillId="9" borderId="0" xfId="10" applyFont="1" applyFill="1" applyProtection="1">
      <protection locked="0"/>
    </xf>
    <xf numFmtId="165" fontId="84" fillId="16" borderId="0" xfId="0" applyNumberFormat="1" applyFont="1" applyFill="1"/>
    <xf numFmtId="173" fontId="125" fillId="7" borderId="84" xfId="13" applyFill="1" applyBorder="1" applyAlignment="1">
      <alignment horizontal="right"/>
    </xf>
    <xf numFmtId="173" fontId="31" fillId="4" borderId="18" xfId="34" applyFill="1" applyBorder="1" applyProtection="1">
      <protection locked="0"/>
    </xf>
    <xf numFmtId="0" fontId="0" fillId="18" borderId="0" xfId="0" applyFill="1" applyProtection="1">
      <protection locked="0"/>
    </xf>
    <xf numFmtId="173" fontId="26" fillId="7" borderId="84" xfId="19" applyNumberFormat="1" applyFill="1" applyBorder="1" applyAlignment="1">
      <alignment horizontal="left"/>
    </xf>
    <xf numFmtId="173" fontId="26" fillId="9" borderId="84" xfId="19" applyNumberFormat="1" applyFill="1" applyBorder="1" applyAlignment="1">
      <alignment horizontal="left"/>
    </xf>
    <xf numFmtId="0" fontId="0" fillId="7" borderId="99" xfId="0" applyFill="1" applyBorder="1" applyProtection="1">
      <protection locked="0"/>
    </xf>
    <xf numFmtId="0" fontId="0" fillId="7" borderId="68" xfId="0" applyFill="1" applyBorder="1" applyProtection="1">
      <protection locked="0"/>
    </xf>
    <xf numFmtId="177" fontId="31" fillId="4" borderId="0" xfId="40" applyFill="1" applyProtection="1">
      <protection locked="0"/>
    </xf>
    <xf numFmtId="175" fontId="19" fillId="3" borderId="0" xfId="26" applyAlignment="1" applyProtection="1">
      <alignment horizontal="right"/>
      <protection locked="0"/>
    </xf>
    <xf numFmtId="175" fontId="19" fillId="7" borderId="0" xfId="23" applyFill="1" applyBorder="1" applyProtection="1">
      <protection locked="0"/>
    </xf>
    <xf numFmtId="164" fontId="31" fillId="4" borderId="103" xfId="32" applyFill="1" applyBorder="1" applyAlignment="1" applyProtection="1">
      <alignment horizontal="right"/>
      <protection locked="0"/>
    </xf>
    <xf numFmtId="175" fontId="21" fillId="7" borderId="0" xfId="23" applyFont="1" applyFill="1" applyBorder="1" applyAlignment="1" applyProtection="1">
      <alignment horizontal="left"/>
      <protection locked="0"/>
    </xf>
    <xf numFmtId="164" fontId="125" fillId="7" borderId="0" xfId="8" applyFill="1" applyAlignment="1" applyProtection="1">
      <alignment horizontal="right" indent="1"/>
      <protection locked="0"/>
    </xf>
    <xf numFmtId="169" fontId="31" fillId="4" borderId="52" xfId="28" applyBorder="1" applyProtection="1">
      <protection locked="0"/>
    </xf>
    <xf numFmtId="169" fontId="31" fillId="4" borderId="6" xfId="28" applyBorder="1"/>
    <xf numFmtId="169" fontId="31" fillId="4" borderId="0" xfId="28"/>
    <xf numFmtId="204" fontId="31" fillId="4" borderId="5" xfId="41" applyNumberFormat="1" applyFill="1" applyBorder="1"/>
    <xf numFmtId="204" fontId="31" fillId="4" borderId="0" xfId="41" applyNumberFormat="1" applyFill="1"/>
    <xf numFmtId="205" fontId="31" fillId="4" borderId="6" xfId="42" applyNumberFormat="1" applyFill="1" applyBorder="1"/>
    <xf numFmtId="173" fontId="31" fillId="7" borderId="0" xfId="13" applyFont="1" applyFill="1" applyProtection="1">
      <protection locked="0"/>
    </xf>
    <xf numFmtId="173" fontId="31" fillId="4" borderId="104" xfId="34" applyFill="1" applyBorder="1" applyProtection="1">
      <protection locked="0"/>
    </xf>
    <xf numFmtId="173" fontId="20" fillId="12" borderId="58" xfId="13" applyFont="1" applyFill="1" applyBorder="1" applyProtection="1">
      <protection locked="0"/>
    </xf>
    <xf numFmtId="164" fontId="6" fillId="8" borderId="0" xfId="8" applyFont="1" applyFill="1" applyAlignment="1" applyProtection="1">
      <alignment horizontal="right" vertical="center"/>
      <protection locked="0"/>
    </xf>
    <xf numFmtId="164" fontId="31" fillId="8" borderId="0" xfId="32" applyFill="1" applyAlignment="1" applyProtection="1">
      <alignment horizontal="left" vertical="center"/>
      <protection locked="0"/>
    </xf>
    <xf numFmtId="164" fontId="31" fillId="8" borderId="0" xfId="32" applyFill="1" applyProtection="1">
      <protection locked="0"/>
    </xf>
    <xf numFmtId="164" fontId="31" fillId="4" borderId="6" xfId="32" applyFill="1" applyBorder="1" applyProtection="1">
      <protection locked="0"/>
    </xf>
    <xf numFmtId="0" fontId="0" fillId="7" borderId="0" xfId="0" applyFill="1" applyAlignment="1" applyProtection="1">
      <alignment horizontal="centerContinuous"/>
      <protection locked="0"/>
    </xf>
    <xf numFmtId="169" fontId="31" fillId="4" borderId="105" xfId="28" applyBorder="1" applyProtection="1">
      <protection locked="0"/>
    </xf>
    <xf numFmtId="206" fontId="125" fillId="8" borderId="0" xfId="39" applyNumberFormat="1" applyFill="1"/>
    <xf numFmtId="169" fontId="31" fillId="18" borderId="106" xfId="28" applyFill="1" applyBorder="1" applyProtection="1">
      <protection locked="0"/>
    </xf>
    <xf numFmtId="173" fontId="31" fillId="9" borderId="0" xfId="34" applyFill="1" applyProtection="1">
      <protection locked="0"/>
    </xf>
    <xf numFmtId="206" fontId="125" fillId="16" borderId="0" xfId="39" applyNumberFormat="1" applyFill="1"/>
    <xf numFmtId="169" fontId="31" fillId="4" borderId="106" xfId="28" applyBorder="1" applyProtection="1">
      <protection locked="0"/>
    </xf>
    <xf numFmtId="169" fontId="31" fillId="7" borderId="107" xfId="28" applyFill="1" applyBorder="1" applyProtection="1">
      <protection locked="0"/>
    </xf>
    <xf numFmtId="206" fontId="125" fillId="7" borderId="0" xfId="39" applyNumberFormat="1" applyFill="1" applyProtection="1">
      <protection locked="0"/>
    </xf>
    <xf numFmtId="175" fontId="86" fillId="3" borderId="0" xfId="26" applyFont="1" applyAlignment="1" applyProtection="1">
      <alignment horizontal="right"/>
      <protection hidden="1"/>
    </xf>
    <xf numFmtId="164" fontId="125" fillId="19" borderId="0" xfId="8" applyFill="1" applyProtection="1">
      <protection locked="0"/>
    </xf>
    <xf numFmtId="175" fontId="19" fillId="19" borderId="0" xfId="23" applyFill="1" applyBorder="1" applyAlignment="1" applyProtection="1">
      <alignment horizontal="right"/>
      <protection locked="0"/>
    </xf>
    <xf numFmtId="175" fontId="19" fillId="19" borderId="0" xfId="23" applyFill="1" applyBorder="1" applyAlignment="1" applyProtection="1">
      <alignment horizontal="left"/>
      <protection locked="0"/>
    </xf>
    <xf numFmtId="164" fontId="19" fillId="7" borderId="0" xfId="8" applyFont="1" applyFill="1" applyAlignment="1" applyProtection="1">
      <alignment horizontal="left"/>
      <protection locked="0"/>
    </xf>
    <xf numFmtId="170" fontId="87" fillId="7" borderId="0" xfId="11" applyFont="1" applyFill="1" applyProtection="1">
      <protection hidden="1"/>
    </xf>
    <xf numFmtId="170" fontId="87" fillId="7" borderId="0" xfId="11" applyFont="1" applyFill="1" applyProtection="1">
      <protection locked="0"/>
    </xf>
    <xf numFmtId="178" fontId="31" fillId="4" borderId="5" xfId="43" applyFill="1" applyBorder="1" applyProtection="1">
      <protection locked="0"/>
    </xf>
    <xf numFmtId="200" fontId="31" fillId="4" borderId="5" xfId="44" applyFill="1" applyBorder="1" applyProtection="1">
      <protection locked="0"/>
    </xf>
    <xf numFmtId="164" fontId="0" fillId="0" borderId="0" xfId="0" applyNumberFormat="1" applyProtection="1">
      <protection locked="0"/>
    </xf>
    <xf numFmtId="178" fontId="31" fillId="4" borderId="52" xfId="43" applyFill="1" applyBorder="1" applyProtection="1">
      <protection locked="0"/>
    </xf>
    <xf numFmtId="178" fontId="31" fillId="4" borderId="6" xfId="43" applyFill="1" applyBorder="1" applyProtection="1">
      <protection locked="0"/>
    </xf>
    <xf numFmtId="169" fontId="125" fillId="12" borderId="0" xfId="10" applyFill="1"/>
    <xf numFmtId="200" fontId="20" fillId="12" borderId="6" xfId="39" applyFont="1" applyFill="1" applyBorder="1" applyProtection="1">
      <protection locked="0"/>
    </xf>
    <xf numFmtId="170" fontId="125" fillId="9" borderId="0" xfId="11" applyFill="1" applyAlignment="1">
      <alignment horizontal="left"/>
    </xf>
    <xf numFmtId="169" fontId="125" fillId="15" borderId="0" xfId="10" applyFill="1"/>
    <xf numFmtId="173" fontId="31" fillId="4" borderId="5" xfId="34" applyFill="1" applyBorder="1" applyProtection="1">
      <protection locked="0"/>
    </xf>
    <xf numFmtId="169" fontId="31" fillId="4" borderId="5" xfId="28" applyBorder="1" applyProtection="1">
      <protection locked="0"/>
    </xf>
    <xf numFmtId="208" fontId="89" fillId="7" borderId="0" xfId="41" applyNumberFormat="1" applyFont="1" applyFill="1" applyProtection="1">
      <protection locked="0"/>
    </xf>
    <xf numFmtId="209" fontId="31" fillId="4" borderId="6" xfId="41" applyNumberFormat="1" applyFill="1" applyBorder="1"/>
    <xf numFmtId="3" fontId="0" fillId="0" borderId="0" xfId="0" applyNumberFormat="1" applyProtection="1">
      <protection locked="0"/>
    </xf>
    <xf numFmtId="210" fontId="0" fillId="0" borderId="0" xfId="4" applyNumberFormat="1" applyFont="1" applyProtection="1">
      <protection locked="0"/>
    </xf>
    <xf numFmtId="164" fontId="81" fillId="7" borderId="0" xfId="8" applyFont="1" applyFill="1" applyProtection="1">
      <protection locked="0"/>
    </xf>
    <xf numFmtId="164" fontId="125" fillId="0" borderId="0" xfId="8" applyProtection="1">
      <protection locked="0"/>
    </xf>
    <xf numFmtId="0" fontId="5" fillId="7" borderId="0" xfId="7" applyFill="1" applyAlignment="1" applyProtection="1">
      <alignment horizontal="left" indent="1"/>
      <protection locked="0"/>
    </xf>
    <xf numFmtId="171" fontId="31" fillId="4" borderId="5" xfId="31" applyFill="1" applyBorder="1" applyProtection="1">
      <protection locked="0"/>
    </xf>
    <xf numFmtId="178" fontId="31" fillId="14" borderId="52" xfId="43" applyFill="1" applyBorder="1"/>
    <xf numFmtId="164" fontId="20" fillId="7" borderId="63" xfId="8" applyFont="1" applyFill="1" applyBorder="1" applyAlignment="1" applyProtection="1">
      <alignment horizontal="left"/>
      <protection locked="0"/>
    </xf>
    <xf numFmtId="164" fontId="31" fillId="4" borderId="52" xfId="32" applyFill="1" applyBorder="1" applyAlignment="1" applyProtection="1">
      <alignment horizontal="right"/>
      <protection locked="0"/>
    </xf>
    <xf numFmtId="169" fontId="31" fillId="14" borderId="5" xfId="28" applyFill="1" applyBorder="1"/>
    <xf numFmtId="164" fontId="31" fillId="14" borderId="6" xfId="32" applyFill="1" applyBorder="1" applyAlignment="1" applyProtection="1">
      <alignment horizontal="right"/>
      <protection locked="0"/>
    </xf>
    <xf numFmtId="169" fontId="31" fillId="14" borderId="6" xfId="28" applyFill="1" applyBorder="1"/>
    <xf numFmtId="164" fontId="43" fillId="7" borderId="0" xfId="8" applyFont="1" applyFill="1" applyAlignment="1" applyProtection="1">
      <alignment horizontal="right"/>
      <protection locked="0"/>
    </xf>
    <xf numFmtId="192" fontId="31" fillId="4" borderId="108" xfId="29" applyFill="1" applyBorder="1"/>
    <xf numFmtId="175" fontId="19" fillId="7" borderId="58" xfId="23" applyFill="1" applyBorder="1" applyAlignment="1" applyProtection="1">
      <alignment horizontal="right"/>
      <protection locked="0"/>
    </xf>
    <xf numFmtId="164" fontId="89" fillId="7" borderId="0" xfId="8" applyFont="1" applyFill="1" applyAlignment="1" applyProtection="1">
      <alignment horizontal="right"/>
      <protection locked="0"/>
    </xf>
    <xf numFmtId="192" fontId="20" fillId="7" borderId="0" xfId="33" applyFont="1" applyFill="1"/>
    <xf numFmtId="169" fontId="31" fillId="18" borderId="0" xfId="28" applyFill="1" applyProtection="1">
      <protection locked="0"/>
    </xf>
    <xf numFmtId="169" fontId="31" fillId="18" borderId="56" xfId="28" applyFill="1" applyBorder="1" applyProtection="1">
      <protection locked="0"/>
    </xf>
    <xf numFmtId="169" fontId="31" fillId="4" borderId="6" xfId="28" applyBorder="1" applyProtection="1">
      <protection locked="0"/>
    </xf>
    <xf numFmtId="169" fontId="6" fillId="7" borderId="57" xfId="10" applyFont="1" applyFill="1" applyBorder="1"/>
    <xf numFmtId="175" fontId="32" fillId="7" borderId="58" xfId="23" applyFont="1" applyFill="1" applyBorder="1" applyAlignment="1" applyProtection="1">
      <alignment horizontal="right"/>
      <protection locked="0"/>
    </xf>
    <xf numFmtId="164" fontId="69" fillId="7" borderId="0" xfId="8" applyFont="1" applyFill="1" applyProtection="1">
      <protection hidden="1"/>
    </xf>
    <xf numFmtId="169" fontId="125" fillId="7" borderId="0" xfId="10" applyFill="1" applyProtection="1">
      <protection locked="0"/>
    </xf>
    <xf numFmtId="173" fontId="125" fillId="7" borderId="0" xfId="13" applyFill="1" applyProtection="1">
      <protection locked="0"/>
    </xf>
    <xf numFmtId="175" fontId="125" fillId="7" borderId="5" xfId="15" applyFill="1" applyBorder="1"/>
    <xf numFmtId="173" fontId="91" fillId="7" borderId="0" xfId="13" applyFont="1" applyFill="1" applyAlignment="1">
      <alignment horizontal="right"/>
    </xf>
    <xf numFmtId="169" fontId="6" fillId="7" borderId="0" xfId="10" applyFont="1" applyFill="1"/>
    <xf numFmtId="175" fontId="20" fillId="7" borderId="0" xfId="15" applyFont="1" applyFill="1"/>
    <xf numFmtId="175" fontId="125" fillId="7" borderId="6" xfId="15" applyFill="1" applyBorder="1"/>
    <xf numFmtId="0" fontId="90" fillId="7" borderId="0" xfId="8" applyNumberFormat="1" applyFont="1" applyFill="1" applyAlignment="1" applyProtection="1">
      <alignment horizontal="right" textRotation="90"/>
      <protection locked="0"/>
    </xf>
    <xf numFmtId="171" fontId="6" fillId="7" borderId="0" xfId="12" applyFont="1" applyFill="1"/>
    <xf numFmtId="169" fontId="125" fillId="7" borderId="117" xfId="10" applyFill="1" applyBorder="1" applyAlignment="1">
      <alignment horizontal="right"/>
    </xf>
    <xf numFmtId="169" fontId="125" fillId="7" borderId="118" xfId="10" applyFill="1" applyBorder="1" applyAlignment="1">
      <alignment horizontal="right"/>
    </xf>
    <xf numFmtId="169" fontId="125" fillId="9" borderId="118" xfId="10" applyFill="1" applyBorder="1" applyAlignment="1">
      <alignment horizontal="right"/>
    </xf>
    <xf numFmtId="169" fontId="125" fillId="7" borderId="119" xfId="10" applyFill="1" applyBorder="1" applyAlignment="1">
      <alignment horizontal="right"/>
    </xf>
    <xf numFmtId="175" fontId="125" fillId="12" borderId="52" xfId="15" applyFill="1" applyBorder="1" applyProtection="1">
      <protection locked="0"/>
    </xf>
    <xf numFmtId="190" fontId="20" fillId="9" borderId="0" xfId="45" applyFont="1" applyFill="1" applyProtection="1"/>
    <xf numFmtId="180" fontId="125" fillId="9" borderId="0" xfId="20" applyFill="1" applyAlignment="1">
      <alignment horizontal="right"/>
    </xf>
    <xf numFmtId="173" fontId="91" fillId="9" borderId="0" xfId="13" applyFont="1" applyFill="1" applyAlignment="1">
      <alignment horizontal="right"/>
    </xf>
    <xf numFmtId="169" fontId="125" fillId="7" borderId="120" xfId="10" applyFill="1" applyBorder="1" applyAlignment="1">
      <alignment horizontal="right"/>
    </xf>
    <xf numFmtId="169" fontId="125" fillId="7" borderId="121" xfId="10" applyFill="1" applyBorder="1" applyAlignment="1">
      <alignment horizontal="right"/>
    </xf>
    <xf numFmtId="169" fontId="125" fillId="7" borderId="122" xfId="10" applyFill="1" applyBorder="1" applyAlignment="1">
      <alignment horizontal="right"/>
    </xf>
    <xf numFmtId="169" fontId="125" fillId="7" borderId="116" xfId="10" applyFill="1" applyBorder="1" applyAlignment="1">
      <alignment horizontal="right"/>
    </xf>
    <xf numFmtId="169" fontId="125" fillId="9" borderId="116" xfId="10" applyFill="1" applyBorder="1" applyAlignment="1">
      <alignment horizontal="right"/>
    </xf>
    <xf numFmtId="169" fontId="125" fillId="7" borderId="123" xfId="10" applyFill="1" applyBorder="1" applyAlignment="1">
      <alignment horizontal="right"/>
    </xf>
    <xf numFmtId="164" fontId="21" fillId="7" borderId="0" xfId="8" applyFont="1" applyFill="1" applyAlignment="1" applyProtection="1">
      <alignment textRotation="90"/>
      <protection locked="0"/>
    </xf>
    <xf numFmtId="173" fontId="125" fillId="12" borderId="52" xfId="13" applyFill="1" applyBorder="1" applyProtection="1">
      <protection locked="0"/>
    </xf>
    <xf numFmtId="165" fontId="125" fillId="7" borderId="0" xfId="10" applyNumberFormat="1" applyFill="1"/>
    <xf numFmtId="180" fontId="125" fillId="7" borderId="117" xfId="20" applyFill="1" applyBorder="1"/>
    <xf numFmtId="180" fontId="125" fillId="7" borderId="118" xfId="20" applyFill="1" applyBorder="1"/>
    <xf numFmtId="180" fontId="125" fillId="9" borderId="118" xfId="20" applyFill="1" applyBorder="1"/>
    <xf numFmtId="180" fontId="125" fillId="7" borderId="119" xfId="20" applyFill="1" applyBorder="1"/>
    <xf numFmtId="0" fontId="0" fillId="7" borderId="5" xfId="0" applyFill="1" applyBorder="1"/>
    <xf numFmtId="169" fontId="125" fillId="7" borderId="5" xfId="10" applyFill="1" applyBorder="1"/>
    <xf numFmtId="165" fontId="125" fillId="9" borderId="0" xfId="10" applyNumberFormat="1" applyFill="1"/>
    <xf numFmtId="180" fontId="125" fillId="7" borderId="120" xfId="20" applyFill="1" applyBorder="1"/>
    <xf numFmtId="180" fontId="125" fillId="7" borderId="121" xfId="20" applyFill="1" applyBorder="1"/>
    <xf numFmtId="192" fontId="31" fillId="4" borderId="0" xfId="29" applyFill="1" applyProtection="1">
      <protection locked="0"/>
    </xf>
    <xf numFmtId="180" fontId="125" fillId="7" borderId="122" xfId="20" applyFill="1" applyBorder="1"/>
    <xf numFmtId="180" fontId="125" fillId="7" borderId="116" xfId="20" applyFill="1" applyBorder="1"/>
    <xf numFmtId="180" fontId="125" fillId="9" borderId="116" xfId="20" applyFill="1" applyBorder="1"/>
    <xf numFmtId="180" fontId="125" fillId="7" borderId="123" xfId="20" applyFill="1" applyBorder="1"/>
    <xf numFmtId="164" fontId="34" fillId="7" borderId="0" xfId="8" applyFont="1" applyFill="1" applyAlignment="1">
      <alignment horizontal="left"/>
    </xf>
    <xf numFmtId="173" fontId="34" fillId="7" borderId="0" xfId="13" applyFont="1" applyFill="1"/>
    <xf numFmtId="173" fontId="91" fillId="7" borderId="88" xfId="13" applyFont="1" applyFill="1" applyBorder="1"/>
    <xf numFmtId="173" fontId="125" fillId="7" borderId="117" xfId="13" applyFill="1" applyBorder="1" applyAlignment="1">
      <alignment horizontal="right"/>
    </xf>
    <xf numFmtId="173" fontId="125" fillId="7" borderId="118" xfId="13" applyFill="1" applyBorder="1" applyAlignment="1">
      <alignment horizontal="right"/>
    </xf>
    <xf numFmtId="173" fontId="125" fillId="9" borderId="118" xfId="13" applyFill="1" applyBorder="1" applyAlignment="1">
      <alignment horizontal="right"/>
    </xf>
    <xf numFmtId="173" fontId="125" fillId="7" borderId="119" xfId="13" applyFill="1" applyBorder="1" applyAlignment="1">
      <alignment horizontal="right"/>
    </xf>
    <xf numFmtId="173" fontId="125" fillId="7" borderId="120" xfId="13" applyFill="1" applyBorder="1" applyAlignment="1">
      <alignment horizontal="right"/>
    </xf>
    <xf numFmtId="173" fontId="125" fillId="7" borderId="121" xfId="13" applyFill="1" applyBorder="1" applyAlignment="1">
      <alignment horizontal="right"/>
    </xf>
    <xf numFmtId="180" fontId="125" fillId="7" borderId="122" xfId="20" applyFill="1" applyBorder="1" applyAlignment="1">
      <alignment horizontal="right"/>
    </xf>
    <xf numFmtId="180" fontId="125" fillId="7" borderId="116" xfId="20" applyFill="1" applyBorder="1" applyAlignment="1">
      <alignment horizontal="right"/>
    </xf>
    <xf numFmtId="180" fontId="125" fillId="9" borderId="116" xfId="20" applyFill="1" applyBorder="1" applyAlignment="1">
      <alignment horizontal="right"/>
    </xf>
    <xf numFmtId="180" fontId="125" fillId="7" borderId="123" xfId="20" applyFill="1" applyBorder="1" applyAlignment="1">
      <alignment horizontal="right"/>
    </xf>
    <xf numFmtId="0" fontId="35" fillId="0" borderId="0" xfId="0" applyFont="1" applyProtection="1">
      <protection locked="0"/>
    </xf>
    <xf numFmtId="165" fontId="0" fillId="0" borderId="0" xfId="0" applyNumberFormat="1" applyProtection="1">
      <protection locked="0"/>
    </xf>
    <xf numFmtId="170" fontId="0" fillId="0" borderId="0" xfId="0" applyNumberFormat="1" applyProtection="1">
      <protection locked="0"/>
    </xf>
    <xf numFmtId="0" fontId="0" fillId="0" borderId="0" xfId="0" applyAlignment="1" applyProtection="1">
      <alignment vertical="center"/>
      <protection locked="0"/>
    </xf>
    <xf numFmtId="14" fontId="0" fillId="0" borderId="0" xfId="0" applyNumberFormat="1" applyProtection="1">
      <protection locked="0"/>
    </xf>
    <xf numFmtId="173" fontId="6" fillId="7" borderId="118" xfId="13" applyFont="1" applyFill="1" applyBorder="1" applyAlignment="1">
      <alignment horizontal="right"/>
    </xf>
    <xf numFmtId="173" fontId="6" fillId="9" borderId="118" xfId="13" applyFont="1" applyFill="1" applyBorder="1" applyAlignment="1">
      <alignment horizontal="right"/>
    </xf>
    <xf numFmtId="173" fontId="6" fillId="7" borderId="118" xfId="13" applyFont="1" applyFill="1" applyBorder="1"/>
    <xf numFmtId="0" fontId="0" fillId="9" borderId="0" xfId="0" applyFill="1" applyAlignment="1">
      <alignment horizontal="right"/>
    </xf>
    <xf numFmtId="173" fontId="6" fillId="7" borderId="0" xfId="13" applyFont="1" applyFill="1" applyAlignment="1">
      <alignment horizontal="right"/>
    </xf>
    <xf numFmtId="173" fontId="6" fillId="9" borderId="0" xfId="13" applyFont="1" applyFill="1" applyAlignment="1">
      <alignment horizontal="right"/>
    </xf>
    <xf numFmtId="0" fontId="0" fillId="0" borderId="0" xfId="0" applyAlignment="1" applyProtection="1">
      <alignment horizontal="right"/>
      <protection locked="0"/>
    </xf>
    <xf numFmtId="0" fontId="92" fillId="0" borderId="0" xfId="0" applyFont="1" applyAlignment="1">
      <alignment horizontal="centerContinuous"/>
    </xf>
    <xf numFmtId="0" fontId="6" fillId="7" borderId="0" xfId="0" applyFont="1" applyFill="1" applyAlignment="1">
      <alignment horizontal="left"/>
    </xf>
    <xf numFmtId="173" fontId="6" fillId="8" borderId="0" xfId="13" applyFont="1" applyFill="1" applyAlignment="1">
      <alignment horizontal="right"/>
    </xf>
    <xf numFmtId="0" fontId="17" fillId="8" borderId="0" xfId="0" applyFont="1" applyFill="1" applyProtection="1">
      <protection locked="0"/>
    </xf>
    <xf numFmtId="0" fontId="17" fillId="8" borderId="0" xfId="0" applyFont="1" applyFill="1" applyAlignment="1" applyProtection="1">
      <alignment horizontal="left"/>
      <protection locked="0"/>
    </xf>
    <xf numFmtId="176" fontId="19" fillId="0" borderId="0" xfId="16" applyFont="1" applyAlignment="1" applyProtection="1">
      <alignment horizontal="centerContinuous" vertical="center"/>
      <protection locked="0"/>
    </xf>
    <xf numFmtId="0" fontId="0" fillId="0" borderId="0" xfId="0" applyAlignment="1" applyProtection="1">
      <alignment horizontal="centerContinuous"/>
      <protection locked="0"/>
    </xf>
    <xf numFmtId="176" fontId="19" fillId="0" borderId="0" xfId="16" applyFont="1" applyAlignment="1" applyProtection="1">
      <alignment horizontal="center" vertical="center"/>
      <protection locked="0"/>
    </xf>
    <xf numFmtId="176" fontId="19" fillId="0" borderId="0" xfId="16" applyFont="1" applyAlignment="1" applyProtection="1">
      <alignment horizontal="center"/>
      <protection locked="0"/>
    </xf>
    <xf numFmtId="173" fontId="125" fillId="9" borderId="53" xfId="13" applyFill="1" applyBorder="1"/>
    <xf numFmtId="175" fontId="125" fillId="7" borderId="53" xfId="15" applyFill="1" applyBorder="1"/>
    <xf numFmtId="169" fontId="125" fillId="7" borderId="53" xfId="10" applyFill="1" applyBorder="1"/>
    <xf numFmtId="0" fontId="31" fillId="4" borderId="13" xfId="32" applyNumberFormat="1" applyFill="1" applyBorder="1" applyProtection="1">
      <protection locked="0"/>
    </xf>
    <xf numFmtId="0" fontId="31" fillId="4" borderId="14" xfId="32" applyNumberFormat="1" applyFill="1" applyBorder="1" applyProtection="1">
      <protection locked="0"/>
    </xf>
    <xf numFmtId="173" fontId="6" fillId="9" borderId="118" xfId="13" applyFont="1" applyFill="1" applyBorder="1"/>
    <xf numFmtId="169" fontId="6" fillId="7" borderId="118" xfId="10" applyFont="1" applyFill="1" applyBorder="1"/>
    <xf numFmtId="173" fontId="6" fillId="9" borderId="126" xfId="13" applyFont="1" applyFill="1" applyBorder="1"/>
    <xf numFmtId="175" fontId="6" fillId="7" borderId="126" xfId="15" applyFont="1" applyFill="1" applyBorder="1"/>
    <xf numFmtId="169" fontId="6" fillId="7" borderId="126" xfId="10" applyFont="1" applyFill="1" applyBorder="1"/>
    <xf numFmtId="164" fontId="31" fillId="7" borderId="0" xfId="32" applyFill="1"/>
    <xf numFmtId="0" fontId="0" fillId="9" borderId="53" xfId="0" applyFill="1" applyBorder="1"/>
    <xf numFmtId="0" fontId="0" fillId="7" borderId="53" xfId="0" applyFill="1" applyBorder="1"/>
    <xf numFmtId="173" fontId="31" fillId="4" borderId="127" xfId="34" applyFill="1" applyBorder="1" applyProtection="1">
      <protection locked="0"/>
    </xf>
    <xf numFmtId="0" fontId="0" fillId="7" borderId="116" xfId="0" applyFill="1" applyBorder="1"/>
    <xf numFmtId="173" fontId="6" fillId="9" borderId="53" xfId="13" applyFont="1" applyFill="1" applyBorder="1"/>
    <xf numFmtId="173" fontId="6" fillId="7" borderId="53" xfId="13" applyFont="1" applyFill="1" applyBorder="1"/>
    <xf numFmtId="169" fontId="6" fillId="8" borderId="0" xfId="10" applyFont="1" applyFill="1"/>
    <xf numFmtId="173" fontId="93" fillId="7" borderId="128" xfId="34" applyFont="1" applyFill="1" applyBorder="1" applyProtection="1">
      <protection locked="0"/>
    </xf>
    <xf numFmtId="173" fontId="93" fillId="9" borderId="53" xfId="34" applyFont="1" applyFill="1" applyBorder="1" applyProtection="1">
      <protection locked="0"/>
    </xf>
    <xf numFmtId="175" fontId="125" fillId="7" borderId="53" xfId="15" applyFill="1" applyBorder="1" applyProtection="1">
      <protection locked="0"/>
    </xf>
    <xf numFmtId="169" fontId="125" fillId="7" borderId="53" xfId="10" applyFill="1" applyBorder="1" applyProtection="1">
      <protection locked="0"/>
    </xf>
    <xf numFmtId="173" fontId="125" fillId="9" borderId="53" xfId="13" applyFill="1" applyBorder="1" applyProtection="1">
      <protection locked="0"/>
    </xf>
    <xf numFmtId="173" fontId="125" fillId="7" borderId="53" xfId="13" applyFill="1" applyBorder="1" applyProtection="1">
      <protection locked="0"/>
    </xf>
    <xf numFmtId="170" fontId="125" fillId="7" borderId="0" xfId="11" applyFill="1" applyProtection="1">
      <protection locked="0"/>
    </xf>
    <xf numFmtId="171" fontId="125" fillId="7" borderId="0" xfId="12" applyFill="1" applyProtection="1">
      <protection locked="0"/>
    </xf>
    <xf numFmtId="0" fontId="0" fillId="14" borderId="0" xfId="0" applyFill="1"/>
    <xf numFmtId="164" fontId="125" fillId="14" borderId="0" xfId="8" applyFill="1"/>
    <xf numFmtId="178" fontId="31" fillId="4" borderId="129" xfId="43" applyFill="1" applyBorder="1" applyProtection="1">
      <protection locked="0"/>
    </xf>
    <xf numFmtId="178" fontId="31" fillId="4" borderId="130" xfId="43" applyFill="1" applyBorder="1" applyProtection="1">
      <protection locked="0"/>
    </xf>
    <xf numFmtId="178" fontId="31" fillId="4" borderId="131" xfId="43" applyFill="1" applyBorder="1" applyProtection="1">
      <protection locked="0"/>
    </xf>
    <xf numFmtId="0" fontId="0" fillId="14" borderId="132" xfId="0" applyFill="1" applyBorder="1"/>
    <xf numFmtId="178" fontId="31" fillId="4" borderId="133" xfId="43" applyFill="1" applyBorder="1" applyProtection="1">
      <protection locked="0"/>
    </xf>
    <xf numFmtId="178" fontId="31" fillId="4" borderId="134" xfId="43" applyFill="1" applyBorder="1" applyProtection="1">
      <protection locked="0"/>
    </xf>
    <xf numFmtId="178" fontId="31" fillId="4" borderId="135" xfId="43" applyFill="1" applyBorder="1" applyProtection="1">
      <protection locked="0"/>
    </xf>
    <xf numFmtId="170" fontId="125" fillId="14" borderId="0" xfId="11" applyFill="1" applyAlignment="1">
      <alignment horizontal="left"/>
    </xf>
    <xf numFmtId="200" fontId="125" fillId="12" borderId="133" xfId="39" applyFill="1" applyBorder="1" applyProtection="1">
      <protection locked="0"/>
    </xf>
    <xf numFmtId="200" fontId="125" fillId="12" borderId="134" xfId="39" applyFill="1" applyBorder="1" applyProtection="1">
      <protection locked="0"/>
    </xf>
    <xf numFmtId="173" fontId="31" fillId="4" borderId="129" xfId="34" applyFill="1" applyBorder="1" applyProtection="1">
      <protection locked="0"/>
    </xf>
    <xf numFmtId="173" fontId="31" fillId="4" borderId="130" xfId="34" applyFill="1" applyBorder="1" applyProtection="1">
      <protection locked="0"/>
    </xf>
    <xf numFmtId="173" fontId="31" fillId="4" borderId="131" xfId="34" applyFill="1" applyBorder="1" applyProtection="1">
      <protection locked="0"/>
    </xf>
    <xf numFmtId="173" fontId="125" fillId="7" borderId="136" xfId="13" applyFill="1" applyBorder="1"/>
    <xf numFmtId="173" fontId="125" fillId="7" borderId="137" xfId="13" applyFill="1" applyBorder="1"/>
    <xf numFmtId="173" fontId="125" fillId="7" borderId="138" xfId="13" applyFill="1" applyBorder="1"/>
    <xf numFmtId="0" fontId="4" fillId="0" borderId="0" xfId="0" applyFont="1"/>
    <xf numFmtId="164" fontId="22" fillId="14" borderId="0" xfId="8" applyFont="1" applyFill="1"/>
    <xf numFmtId="0" fontId="22" fillId="14" borderId="0" xfId="0" applyFont="1" applyFill="1"/>
    <xf numFmtId="173" fontId="22" fillId="7" borderId="133" xfId="13" applyFont="1" applyFill="1" applyBorder="1"/>
    <xf numFmtId="173" fontId="22" fillId="7" borderId="134" xfId="13" applyFont="1" applyFill="1" applyBorder="1"/>
    <xf numFmtId="173" fontId="22" fillId="7" borderId="135" xfId="13" applyFont="1" applyFill="1" applyBorder="1"/>
    <xf numFmtId="171" fontId="31" fillId="4" borderId="129" xfId="31" applyFill="1" applyBorder="1" applyAlignment="1" applyProtection="1">
      <alignment horizontal="right"/>
      <protection locked="0"/>
    </xf>
    <xf numFmtId="171" fontId="31" fillId="4" borderId="130" xfId="31" applyFill="1" applyBorder="1" applyAlignment="1" applyProtection="1">
      <alignment horizontal="right"/>
      <protection locked="0"/>
    </xf>
    <xf numFmtId="171" fontId="31" fillId="4" borderId="131" xfId="31" applyFill="1" applyBorder="1" applyAlignment="1" applyProtection="1">
      <alignment horizontal="right"/>
      <protection locked="0"/>
    </xf>
    <xf numFmtId="178" fontId="31" fillId="14" borderId="136" xfId="43" applyFill="1" applyBorder="1" applyAlignment="1">
      <alignment horizontal="right"/>
    </xf>
    <xf numFmtId="178" fontId="31" fillId="14" borderId="137" xfId="43" applyFill="1" applyBorder="1" applyAlignment="1">
      <alignment horizontal="right"/>
    </xf>
    <xf numFmtId="178" fontId="31" fillId="14" borderId="138" xfId="43" applyFill="1" applyBorder="1" applyAlignment="1">
      <alignment horizontal="right"/>
    </xf>
    <xf numFmtId="0" fontId="0" fillId="14" borderId="139" xfId="0" applyFill="1" applyBorder="1"/>
    <xf numFmtId="164" fontId="31" fillId="4" borderId="136" xfId="32" applyFill="1" applyBorder="1" applyAlignment="1" applyProtection="1">
      <alignment horizontal="right"/>
      <protection locked="0"/>
    </xf>
    <xf numFmtId="164" fontId="31" fillId="4" borderId="137" xfId="32" applyFill="1" applyBorder="1" applyAlignment="1" applyProtection="1">
      <alignment horizontal="right"/>
      <protection locked="0"/>
    </xf>
    <xf numFmtId="164" fontId="31" fillId="4" borderId="138" xfId="32" applyFill="1" applyBorder="1" applyAlignment="1" applyProtection="1">
      <alignment horizontal="right"/>
      <protection locked="0"/>
    </xf>
    <xf numFmtId="169" fontId="31" fillId="14" borderId="129" xfId="28" applyFill="1" applyBorder="1"/>
    <xf numFmtId="169" fontId="31" fillId="14" borderId="130" xfId="28" applyFill="1" applyBorder="1"/>
    <xf numFmtId="169" fontId="31" fillId="14" borderId="131" xfId="28" applyFill="1" applyBorder="1"/>
    <xf numFmtId="164" fontId="31" fillId="7" borderId="133" xfId="32" applyFill="1" applyBorder="1" applyAlignment="1" applyProtection="1">
      <alignment horizontal="right"/>
      <protection locked="0"/>
    </xf>
    <xf numFmtId="164" fontId="31" fillId="7" borderId="134" xfId="32" applyFill="1" applyBorder="1" applyAlignment="1" applyProtection="1">
      <alignment horizontal="right"/>
      <protection locked="0"/>
    </xf>
    <xf numFmtId="164" fontId="31" fillId="7" borderId="135" xfId="32" applyFill="1" applyBorder="1" applyAlignment="1" applyProtection="1">
      <alignment horizontal="right"/>
      <protection locked="0"/>
    </xf>
    <xf numFmtId="169" fontId="31" fillId="14" borderId="133" xfId="28" applyFill="1" applyBorder="1"/>
    <xf numFmtId="169" fontId="31" fillId="14" borderId="134" xfId="28" applyFill="1" applyBorder="1"/>
    <xf numFmtId="169" fontId="31" fillId="14" borderId="135" xfId="28" applyFill="1" applyBorder="1"/>
    <xf numFmtId="164" fontId="31" fillId="4" borderId="129" xfId="32" applyFill="1" applyBorder="1" applyAlignment="1" applyProtection="1">
      <alignment horizontal="right"/>
      <protection locked="0"/>
    </xf>
    <xf numFmtId="164" fontId="31" fillId="4" borderId="130" xfId="32" applyFill="1" applyBorder="1" applyAlignment="1" applyProtection="1">
      <alignment horizontal="right"/>
      <protection locked="0"/>
    </xf>
    <xf numFmtId="164" fontId="31" fillId="4" borderId="131" xfId="32" applyFill="1" applyBorder="1" applyAlignment="1" applyProtection="1">
      <alignment horizontal="right"/>
      <protection locked="0"/>
    </xf>
    <xf numFmtId="169" fontId="31" fillId="4" borderId="136" xfId="28" applyBorder="1" applyProtection="1">
      <protection locked="0"/>
    </xf>
    <xf numFmtId="169" fontId="31" fillId="4" borderId="137" xfId="28" applyBorder="1" applyProtection="1">
      <protection locked="0"/>
    </xf>
    <xf numFmtId="169" fontId="31" fillId="4" borderId="138" xfId="28" applyBorder="1" applyProtection="1">
      <protection locked="0"/>
    </xf>
    <xf numFmtId="192" fontId="31" fillId="4" borderId="136" xfId="29" applyFill="1" applyBorder="1"/>
    <xf numFmtId="192" fontId="31" fillId="4" borderId="137" xfId="29" applyFill="1" applyBorder="1"/>
    <xf numFmtId="192" fontId="31" fillId="4" borderId="138" xfId="29" applyFill="1" applyBorder="1"/>
    <xf numFmtId="169" fontId="125" fillId="7" borderId="133" xfId="10" applyFill="1" applyBorder="1"/>
    <xf numFmtId="169" fontId="31" fillId="4" borderId="129" xfId="28" applyBorder="1" applyProtection="1">
      <protection locked="0"/>
    </xf>
    <xf numFmtId="169" fontId="31" fillId="4" borderId="130" xfId="28" applyBorder="1" applyProtection="1">
      <protection locked="0"/>
    </xf>
    <xf numFmtId="169" fontId="31" fillId="4" borderId="131" xfId="28" applyBorder="1" applyProtection="1">
      <protection locked="0"/>
    </xf>
    <xf numFmtId="173" fontId="31" fillId="4" borderId="133" xfId="34" applyFill="1" applyBorder="1" applyProtection="1">
      <protection locked="0"/>
    </xf>
    <xf numFmtId="173" fontId="31" fillId="4" borderId="134" xfId="34" applyFill="1" applyBorder="1" applyProtection="1">
      <protection locked="0"/>
    </xf>
    <xf numFmtId="173" fontId="31" fillId="4" borderId="135" xfId="34" applyFill="1" applyBorder="1" applyProtection="1">
      <protection locked="0"/>
    </xf>
    <xf numFmtId="169" fontId="42" fillId="7" borderId="51" xfId="10" applyFont="1" applyFill="1" applyBorder="1" applyAlignment="1" applyProtection="1">
      <alignment horizontal="center"/>
      <protection locked="0"/>
    </xf>
    <xf numFmtId="174" fontId="31" fillId="4" borderId="0" xfId="35" applyFill="1" applyProtection="1">
      <protection locked="0"/>
    </xf>
    <xf numFmtId="174" fontId="31" fillId="7" borderId="0" xfId="35" applyFill="1" applyProtection="1">
      <protection locked="0"/>
    </xf>
    <xf numFmtId="0" fontId="6" fillId="7" borderId="0" xfId="0" applyFont="1" applyFill="1" applyAlignment="1" applyProtection="1">
      <alignment horizontal="left" indent="1"/>
      <protection locked="0"/>
    </xf>
    <xf numFmtId="173" fontId="6" fillId="7" borderId="0" xfId="13" applyFont="1" applyFill="1" applyProtection="1">
      <protection locked="0"/>
    </xf>
    <xf numFmtId="200" fontId="19" fillId="3" borderId="0" xfId="39" applyFont="1" applyFill="1" applyProtection="1">
      <protection locked="0"/>
    </xf>
    <xf numFmtId="200" fontId="19" fillId="7" borderId="2" xfId="39" applyFont="1" applyFill="1" applyBorder="1" applyAlignment="1" applyProtection="1">
      <alignment horizontal="right"/>
      <protection locked="0"/>
    </xf>
    <xf numFmtId="164" fontId="125" fillId="9" borderId="0" xfId="8" applyFill="1" applyAlignment="1" applyProtection="1">
      <alignment horizontal="left"/>
      <protection locked="0"/>
    </xf>
    <xf numFmtId="164" fontId="95" fillId="0" borderId="0" xfId="8" applyFont="1" applyAlignment="1">
      <alignment horizontal="centerContinuous" vertical="center"/>
    </xf>
    <xf numFmtId="0" fontId="9" fillId="0" borderId="0" xfId="0" applyFont="1" applyAlignment="1">
      <alignment horizontal="centerContinuous"/>
    </xf>
    <xf numFmtId="164" fontId="96" fillId="0" borderId="0" xfId="8" applyFont="1" applyAlignment="1">
      <alignment horizontal="centerContinuous" vertical="center"/>
    </xf>
    <xf numFmtId="170" fontId="41" fillId="0" borderId="0" xfId="11" applyFont="1" applyProtection="1">
      <protection locked="0"/>
    </xf>
    <xf numFmtId="189" fontId="97" fillId="0" borderId="0" xfId="24" applyFont="1" applyProtection="1">
      <protection locked="0"/>
    </xf>
    <xf numFmtId="176" fontId="97" fillId="0" borderId="0" xfId="16" applyFont="1" applyProtection="1">
      <protection locked="0"/>
    </xf>
    <xf numFmtId="197" fontId="125" fillId="7" borderId="0" xfId="8" applyNumberFormat="1" applyFill="1" applyAlignment="1" applyProtection="1">
      <alignment horizontal="left"/>
      <protection locked="0"/>
    </xf>
    <xf numFmtId="164" fontId="125" fillId="7" borderId="0" xfId="8" applyFill="1" applyProtection="1">
      <protection hidden="1"/>
    </xf>
    <xf numFmtId="223" fontId="52" fillId="7" borderId="0" xfId="46" applyFill="1" applyProtection="1">
      <protection hidden="1"/>
    </xf>
    <xf numFmtId="164" fontId="22" fillId="7" borderId="0" xfId="8" applyFont="1" applyFill="1" applyAlignment="1" applyProtection="1">
      <alignment horizontal="left" indent="1"/>
      <protection locked="0"/>
    </xf>
    <xf numFmtId="164" fontId="22" fillId="7" borderId="118" xfId="8" applyFont="1" applyFill="1" applyBorder="1" applyProtection="1">
      <protection locked="0"/>
    </xf>
    <xf numFmtId="0" fontId="22" fillId="0" borderId="0" xfId="0" applyFont="1" applyProtection="1">
      <protection locked="0"/>
    </xf>
    <xf numFmtId="164" fontId="22" fillId="7" borderId="118" xfId="8" applyFont="1" applyFill="1" applyBorder="1" applyProtection="1">
      <protection hidden="1"/>
    </xf>
    <xf numFmtId="223" fontId="98" fillId="7" borderId="118" xfId="46" applyFont="1" applyFill="1" applyBorder="1" applyProtection="1">
      <protection locked="0"/>
    </xf>
    <xf numFmtId="164" fontId="125" fillId="7" borderId="0" xfId="22" applyNumberFormat="1" applyFill="1"/>
    <xf numFmtId="164" fontId="52" fillId="7" borderId="0" xfId="47" applyNumberFormat="1" applyFill="1"/>
    <xf numFmtId="164" fontId="99" fillId="7" borderId="0" xfId="8" applyFont="1" applyFill="1" applyProtection="1">
      <protection locked="0"/>
    </xf>
    <xf numFmtId="164" fontId="22" fillId="7" borderId="118" xfId="22" applyNumberFormat="1" applyFont="1" applyFill="1" applyBorder="1"/>
    <xf numFmtId="164" fontId="125" fillId="7" borderId="0" xfId="22" applyNumberFormat="1" applyFill="1" applyProtection="1">
      <protection locked="0"/>
    </xf>
    <xf numFmtId="164" fontId="52" fillId="7" borderId="0" xfId="22" applyNumberFormat="1" applyFont="1" applyFill="1" applyProtection="1">
      <protection locked="0"/>
    </xf>
    <xf numFmtId="164" fontId="22" fillId="7" borderId="118" xfId="22" applyNumberFormat="1" applyFont="1" applyFill="1" applyBorder="1" applyProtection="1">
      <protection locked="0"/>
    </xf>
    <xf numFmtId="43" fontId="0" fillId="7" borderId="0" xfId="4" applyFont="1" applyFill="1" applyProtection="1">
      <protection locked="0"/>
    </xf>
    <xf numFmtId="173" fontId="52" fillId="7" borderId="0" xfId="27" applyFill="1" applyProtection="1">
      <protection locked="0"/>
    </xf>
    <xf numFmtId="173" fontId="22" fillId="7" borderId="118" xfId="13" applyFont="1" applyFill="1" applyBorder="1" applyProtection="1">
      <protection locked="0"/>
    </xf>
    <xf numFmtId="9" fontId="0" fillId="7" borderId="0" xfId="1" applyFont="1" applyFill="1" applyProtection="1">
      <protection locked="0"/>
    </xf>
    <xf numFmtId="173" fontId="125" fillId="7" borderId="0" xfId="13" applyFill="1" applyAlignment="1" applyProtection="1">
      <alignment horizontal="left"/>
      <protection locked="0"/>
    </xf>
    <xf numFmtId="7" fontId="0" fillId="0" borderId="0" xfId="0" applyNumberFormat="1" applyProtection="1">
      <protection locked="0"/>
    </xf>
    <xf numFmtId="173" fontId="125" fillId="7" borderId="116" xfId="13" applyFill="1" applyBorder="1" applyProtection="1">
      <protection locked="0"/>
    </xf>
    <xf numFmtId="173" fontId="20" fillId="7" borderId="0" xfId="13" applyFont="1" applyFill="1" applyProtection="1">
      <protection locked="0"/>
    </xf>
    <xf numFmtId="7" fontId="125" fillId="7" borderId="0" xfId="13" applyNumberFormat="1" applyFill="1" applyProtection="1">
      <protection locked="0"/>
    </xf>
    <xf numFmtId="173" fontId="6" fillId="7" borderId="118" xfId="13" applyFont="1" applyFill="1" applyBorder="1" applyProtection="1">
      <protection locked="0"/>
    </xf>
    <xf numFmtId="0" fontId="4" fillId="7" borderId="0" xfId="0" applyFont="1" applyFill="1" applyProtection="1">
      <protection locked="0"/>
    </xf>
    <xf numFmtId="169" fontId="4" fillId="7" borderId="0" xfId="10" applyFont="1" applyFill="1" applyProtection="1">
      <protection locked="0"/>
    </xf>
    <xf numFmtId="39" fontId="0" fillId="7" borderId="0" xfId="0" applyNumberFormat="1" applyFill="1" applyProtection="1">
      <protection locked="0"/>
    </xf>
    <xf numFmtId="173" fontId="0" fillId="7" borderId="0" xfId="0" applyNumberFormat="1" applyFill="1" applyProtection="1">
      <protection locked="0"/>
    </xf>
    <xf numFmtId="173" fontId="22" fillId="7" borderId="118" xfId="0" applyNumberFormat="1" applyFont="1" applyFill="1" applyBorder="1" applyProtection="1">
      <protection locked="0"/>
    </xf>
    <xf numFmtId="0" fontId="22" fillId="7" borderId="0" xfId="0" applyFont="1" applyFill="1" applyProtection="1">
      <protection locked="0"/>
    </xf>
    <xf numFmtId="165" fontId="41" fillId="0" borderId="0" xfId="11" applyNumberFormat="1" applyFont="1"/>
    <xf numFmtId="176" fontId="97" fillId="0" borderId="0" xfId="16" applyFont="1"/>
    <xf numFmtId="175" fontId="19" fillId="8" borderId="0" xfId="26" applyFill="1" applyAlignment="1" applyProtection="1">
      <alignment horizontal="centerContinuous"/>
      <protection locked="0"/>
    </xf>
    <xf numFmtId="173" fontId="125" fillId="7" borderId="116" xfId="13" applyFill="1" applyBorder="1"/>
    <xf numFmtId="173" fontId="125" fillId="9" borderId="116" xfId="13" applyFill="1" applyBorder="1"/>
    <xf numFmtId="175" fontId="39" fillId="3" borderId="0" xfId="7" applyNumberFormat="1" applyFont="1" applyFill="1" applyAlignment="1" applyProtection="1">
      <alignment horizontal="left"/>
      <protection locked="0"/>
    </xf>
    <xf numFmtId="8" fontId="0" fillId="0" borderId="0" xfId="0" applyNumberFormat="1"/>
    <xf numFmtId="173" fontId="20" fillId="14" borderId="0" xfId="13" applyFont="1" applyFill="1"/>
    <xf numFmtId="173" fontId="20" fillId="14" borderId="116" xfId="13" applyFont="1" applyFill="1" applyBorder="1"/>
    <xf numFmtId="10" fontId="0" fillId="7" borderId="0" xfId="1" applyNumberFormat="1" applyFill="1"/>
    <xf numFmtId="224" fontId="125" fillId="7" borderId="0" xfId="11" applyNumberFormat="1" applyFill="1"/>
    <xf numFmtId="225" fontId="125" fillId="0" borderId="0" xfId="10" applyNumberFormat="1"/>
    <xf numFmtId="225" fontId="67" fillId="0" borderId="0" xfId="10" applyNumberFormat="1" applyFont="1"/>
    <xf numFmtId="0" fontId="67" fillId="0" borderId="0" xfId="0" applyFont="1"/>
    <xf numFmtId="226" fontId="0" fillId="0" borderId="0" xfId="1" applyNumberFormat="1" applyFont="1"/>
    <xf numFmtId="173" fontId="20" fillId="9" borderId="0" xfId="13" applyFont="1" applyFill="1"/>
    <xf numFmtId="173" fontId="53" fillId="7" borderId="118" xfId="13" applyFont="1" applyFill="1" applyBorder="1"/>
    <xf numFmtId="173" fontId="53" fillId="9" borderId="118" xfId="13" applyFont="1" applyFill="1" applyBorder="1"/>
    <xf numFmtId="173" fontId="53" fillId="14" borderId="118" xfId="13" applyFont="1" applyFill="1" applyBorder="1"/>
    <xf numFmtId="173" fontId="53" fillId="7" borderId="0" xfId="13" applyFont="1" applyFill="1"/>
    <xf numFmtId="173" fontId="53" fillId="9" borderId="0" xfId="13" applyFont="1" applyFill="1"/>
    <xf numFmtId="173" fontId="53" fillId="14" borderId="0" xfId="13" applyFont="1" applyFill="1"/>
    <xf numFmtId="169" fontId="20" fillId="14" borderId="0" xfId="10" applyFont="1" applyFill="1"/>
    <xf numFmtId="164" fontId="125" fillId="14" borderId="0" xfId="8" applyFill="1" applyAlignment="1">
      <alignment horizontal="left"/>
    </xf>
    <xf numFmtId="169" fontId="20" fillId="7" borderId="0" xfId="10" applyFont="1" applyFill="1"/>
    <xf numFmtId="164" fontId="6" fillId="14" borderId="0" xfId="8" applyFont="1" applyFill="1" applyAlignment="1">
      <alignment horizontal="left" indent="1"/>
    </xf>
    <xf numFmtId="169" fontId="53" fillId="7" borderId="118" xfId="10" applyFont="1" applyFill="1" applyBorder="1"/>
    <xf numFmtId="173" fontId="20" fillId="9" borderId="118" xfId="13" applyFont="1" applyFill="1" applyBorder="1"/>
    <xf numFmtId="169" fontId="53" fillId="14" borderId="118" xfId="10" applyFont="1" applyFill="1" applyBorder="1"/>
    <xf numFmtId="224" fontId="20" fillId="7" borderId="0" xfId="11" applyNumberFormat="1" applyFont="1" applyFill="1"/>
    <xf numFmtId="164" fontId="20" fillId="14" borderId="0" xfId="8" applyFont="1" applyFill="1"/>
    <xf numFmtId="175" fontId="101" fillId="3" borderId="0" xfId="26" applyFont="1" applyProtection="1">
      <protection locked="0"/>
    </xf>
    <xf numFmtId="175" fontId="101" fillId="3" borderId="0" xfId="26" applyFont="1" applyAlignment="1" applyProtection="1">
      <alignment horizontal="centerContinuous"/>
      <protection locked="0"/>
    </xf>
    <xf numFmtId="10" fontId="20" fillId="14" borderId="0" xfId="1" applyNumberFormat="1" applyFont="1" applyFill="1"/>
    <xf numFmtId="10" fontId="20" fillId="7" borderId="0" xfId="1" applyNumberFormat="1" applyFont="1" applyFill="1"/>
    <xf numFmtId="173" fontId="125" fillId="9" borderId="118" xfId="13" applyFill="1" applyBorder="1"/>
    <xf numFmtId="164" fontId="61" fillId="7" borderId="0" xfId="8" applyFont="1" applyFill="1" applyAlignment="1" applyProtection="1">
      <alignment horizontal="left"/>
      <protection locked="0"/>
    </xf>
    <xf numFmtId="223" fontId="52" fillId="7" borderId="0" xfId="46" applyFill="1"/>
    <xf numFmtId="7" fontId="0" fillId="0" borderId="0" xfId="0" applyNumberFormat="1"/>
    <xf numFmtId="0" fontId="6" fillId="7" borderId="0" xfId="0" applyFont="1" applyFill="1"/>
    <xf numFmtId="164" fontId="20" fillId="7" borderId="0" xfId="8" applyFont="1" applyFill="1" applyAlignment="1">
      <alignment horizontal="left"/>
    </xf>
    <xf numFmtId="173" fontId="125" fillId="0" borderId="0" xfId="13" applyAlignment="1">
      <alignment horizontal="right"/>
    </xf>
    <xf numFmtId="164" fontId="22" fillId="7" borderId="0" xfId="8" applyFont="1" applyFill="1" applyAlignment="1">
      <alignment horizontal="left" indent="2"/>
    </xf>
    <xf numFmtId="164" fontId="102" fillId="7" borderId="0" xfId="8" applyFont="1" applyFill="1" applyAlignment="1">
      <alignment horizontal="left"/>
    </xf>
    <xf numFmtId="0" fontId="102" fillId="7" borderId="0" xfId="0" applyFont="1" applyFill="1" applyAlignment="1">
      <alignment horizontal="left"/>
    </xf>
    <xf numFmtId="173" fontId="102" fillId="7" borderId="0" xfId="13" applyFont="1" applyFill="1"/>
    <xf numFmtId="173" fontId="102" fillId="9" borderId="0" xfId="13" applyFont="1" applyFill="1"/>
    <xf numFmtId="173" fontId="102" fillId="0" borderId="0" xfId="13" applyFont="1"/>
    <xf numFmtId="173" fontId="102" fillId="0" borderId="0" xfId="13" applyFont="1" applyAlignment="1">
      <alignment horizontal="right"/>
    </xf>
    <xf numFmtId="0" fontId="102" fillId="0" borderId="0" xfId="0" applyFont="1"/>
    <xf numFmtId="3" fontId="0" fillId="0" borderId="0" xfId="0" applyNumberFormat="1"/>
    <xf numFmtId="0" fontId="0" fillId="0" borderId="0" xfId="0" applyAlignment="1">
      <alignment wrapText="1"/>
    </xf>
    <xf numFmtId="0" fontId="105" fillId="20" borderId="140" xfId="0" applyFont="1" applyFill="1" applyBorder="1" applyAlignment="1">
      <alignment horizontal="center" wrapText="1"/>
    </xf>
    <xf numFmtId="0" fontId="0" fillId="21" borderId="141" xfId="0" applyFill="1" applyBorder="1"/>
    <xf numFmtId="0" fontId="0" fillId="20" borderId="142" xfId="0" applyFill="1" applyBorder="1"/>
    <xf numFmtId="49" fontId="0" fillId="21" borderId="143" xfId="0" applyNumberFormat="1" applyFill="1" applyBorder="1"/>
    <xf numFmtId="0" fontId="0" fillId="0" borderId="116" xfId="0" applyBorder="1"/>
    <xf numFmtId="0" fontId="0" fillId="21" borderId="143" xfId="0" applyFill="1" applyBorder="1"/>
    <xf numFmtId="0" fontId="6" fillId="0" borderId="116" xfId="0" applyFont="1" applyBorder="1"/>
    <xf numFmtId="0" fontId="6" fillId="0" borderId="123" xfId="0" applyFont="1" applyBorder="1"/>
    <xf numFmtId="0" fontId="6" fillId="0" borderId="116" xfId="0" applyFont="1" applyBorder="1" applyAlignment="1">
      <alignment horizontal="centerContinuous"/>
    </xf>
    <xf numFmtId="175" fontId="32" fillId="3" borderId="0" xfId="26" applyFont="1" applyAlignment="1" applyProtection="1">
      <alignment horizontal="left"/>
      <protection locked="0"/>
    </xf>
    <xf numFmtId="14" fontId="0" fillId="0" borderId="116" xfId="0" applyNumberFormat="1" applyBorder="1"/>
    <xf numFmtId="14" fontId="0" fillId="0" borderId="0" xfId="0" applyNumberFormat="1"/>
    <xf numFmtId="0" fontId="0" fillId="0" borderId="0" xfId="0" applyAlignment="1">
      <alignment horizontal="center"/>
    </xf>
    <xf numFmtId="164" fontId="0" fillId="7" borderId="0" xfId="0" applyNumberFormat="1" applyFill="1" applyProtection="1">
      <protection locked="0"/>
    </xf>
    <xf numFmtId="227" fontId="125" fillId="7" borderId="0" xfId="11" applyNumberFormat="1" applyFill="1"/>
    <xf numFmtId="14" fontId="125" fillId="7" borderId="0" xfId="13" applyNumberFormat="1" applyFill="1"/>
    <xf numFmtId="14" fontId="0" fillId="0" borderId="117" xfId="0" applyNumberFormat="1" applyBorder="1"/>
    <xf numFmtId="14" fontId="0" fillId="0" borderId="118" xfId="0" applyNumberFormat="1" applyBorder="1"/>
    <xf numFmtId="0" fontId="0" fillId="0" borderId="118" xfId="0" applyBorder="1"/>
    <xf numFmtId="0" fontId="0" fillId="0" borderId="119" xfId="0" applyBorder="1"/>
    <xf numFmtId="0" fontId="0" fillId="0" borderId="120" xfId="0" applyBorder="1"/>
    <xf numFmtId="0" fontId="0" fillId="0" borderId="121" xfId="0" applyBorder="1"/>
    <xf numFmtId="0" fontId="0" fillId="0" borderId="122" xfId="0" applyBorder="1"/>
    <xf numFmtId="0" fontId="0" fillId="0" borderId="123" xfId="0" applyBorder="1"/>
    <xf numFmtId="0" fontId="0" fillId="4" borderId="0" xfId="0" applyFill="1"/>
    <xf numFmtId="0" fontId="0" fillId="4" borderId="0" xfId="0" quotePrefix="1" applyFill="1"/>
    <xf numFmtId="228" fontId="0" fillId="4" borderId="0" xfId="0" applyNumberFormat="1" applyFill="1" applyAlignment="1">
      <alignment horizontal="center"/>
    </xf>
    <xf numFmtId="0" fontId="0" fillId="4" borderId="0" xfId="0" applyFill="1" applyAlignment="1">
      <alignment horizontal="center"/>
    </xf>
    <xf numFmtId="0" fontId="106" fillId="4" borderId="0" xfId="0" applyFont="1" applyFill="1" applyAlignment="1">
      <alignment horizontal="center"/>
    </xf>
    <xf numFmtId="0" fontId="106" fillId="4" borderId="0" xfId="0" quotePrefix="1" applyFont="1" applyFill="1" applyAlignment="1">
      <alignment horizontal="center"/>
    </xf>
    <xf numFmtId="0" fontId="0" fillId="21" borderId="144" xfId="0" applyFill="1" applyBorder="1"/>
    <xf numFmtId="0" fontId="0" fillId="4" borderId="0" xfId="0" applyFill="1" applyAlignment="1">
      <alignment horizontal="right"/>
    </xf>
    <xf numFmtId="0" fontId="0" fillId="21" borderId="145" xfId="0" applyFill="1" applyBorder="1"/>
    <xf numFmtId="0" fontId="0" fillId="21" borderId="146" xfId="0" applyFill="1" applyBorder="1"/>
    <xf numFmtId="0" fontId="6" fillId="4" borderId="0" xfId="0" applyFont="1" applyFill="1" applyAlignment="1">
      <alignment horizontal="right"/>
    </xf>
    <xf numFmtId="177" fontId="125" fillId="4" borderId="0" xfId="17" applyFill="1"/>
    <xf numFmtId="173" fontId="125" fillId="4" borderId="0" xfId="13" applyFill="1" applyAlignment="1">
      <alignment horizontal="center"/>
    </xf>
    <xf numFmtId="170" fontId="125" fillId="4" borderId="0" xfId="11" applyFill="1" applyAlignment="1">
      <alignment horizontal="center"/>
    </xf>
    <xf numFmtId="0" fontId="0" fillId="21" borderId="147" xfId="0" applyFill="1" applyBorder="1"/>
    <xf numFmtId="178" fontId="125" fillId="4" borderId="0" xfId="18" applyFill="1" applyAlignment="1">
      <alignment horizontal="center"/>
    </xf>
    <xf numFmtId="229" fontId="0" fillId="21" borderId="147" xfId="0" applyNumberFormat="1" applyFill="1" applyBorder="1"/>
    <xf numFmtId="169" fontId="125" fillId="4" borderId="0" xfId="10" applyFill="1" applyAlignment="1">
      <alignment horizontal="center"/>
    </xf>
    <xf numFmtId="171" fontId="125" fillId="4" borderId="0" xfId="12" applyFill="1" applyAlignment="1">
      <alignment horizontal="center"/>
    </xf>
    <xf numFmtId="0" fontId="0" fillId="22" borderId="143" xfId="0" applyFill="1" applyBorder="1"/>
    <xf numFmtId="0" fontId="0" fillId="22" borderId="145" xfId="0" applyFill="1" applyBorder="1"/>
    <xf numFmtId="0" fontId="0" fillId="5" borderId="148" xfId="0" quotePrefix="1" applyFill="1" applyBorder="1"/>
    <xf numFmtId="0" fontId="0" fillId="0" borderId="116" xfId="0" applyBorder="1" applyAlignment="1">
      <alignment horizontal="centerContinuous"/>
    </xf>
    <xf numFmtId="0" fontId="0" fillId="21" borderId="148" xfId="0" applyFill="1" applyBorder="1"/>
    <xf numFmtId="14" fontId="0" fillId="0" borderId="149" xfId="0" applyNumberFormat="1" applyBorder="1"/>
    <xf numFmtId="0" fontId="0" fillId="21" borderId="150" xfId="0" applyFill="1" applyBorder="1"/>
    <xf numFmtId="0" fontId="0" fillId="21" borderId="151" xfId="0" applyFill="1" applyBorder="1"/>
    <xf numFmtId="0" fontId="0" fillId="21" borderId="0" xfId="0" applyFill="1"/>
    <xf numFmtId="0" fontId="20" fillId="0" borderId="117" xfId="0" applyFont="1" applyBorder="1" applyProtection="1">
      <protection locked="0"/>
    </xf>
    <xf numFmtId="0" fontId="20" fillId="0" borderId="118" xfId="0" applyFont="1" applyBorder="1" applyProtection="1">
      <protection locked="0"/>
    </xf>
    <xf numFmtId="0" fontId="20" fillId="0" borderId="119" xfId="0" applyFont="1" applyBorder="1" applyProtection="1">
      <protection locked="0"/>
    </xf>
    <xf numFmtId="0" fontId="0" fillId="21" borderId="152" xfId="0" applyFill="1" applyBorder="1"/>
    <xf numFmtId="164" fontId="20" fillId="0" borderId="153" xfId="8" applyFont="1" applyBorder="1" applyProtection="1">
      <protection locked="0"/>
    </xf>
    <xf numFmtId="164" fontId="20" fillId="0" borderId="154" xfId="8" applyFont="1" applyBorder="1" applyProtection="1">
      <protection locked="0"/>
    </xf>
    <xf numFmtId="164" fontId="20" fillId="0" borderId="0" xfId="8" applyFont="1" applyProtection="1">
      <protection locked="0"/>
    </xf>
    <xf numFmtId="187" fontId="20" fillId="0" borderId="154" xfId="22" applyFont="1" applyBorder="1" applyProtection="1">
      <protection locked="0"/>
    </xf>
    <xf numFmtId="164" fontId="20" fillId="0" borderId="0" xfId="8" quotePrefix="1" applyFont="1" applyProtection="1">
      <protection locked="0"/>
    </xf>
    <xf numFmtId="164" fontId="20" fillId="0" borderId="121" xfId="8" quotePrefix="1" applyFont="1" applyBorder="1" applyProtection="1">
      <protection locked="0"/>
    </xf>
    <xf numFmtId="164" fontId="20" fillId="0" borderId="155" xfId="8" applyFont="1" applyBorder="1" applyProtection="1">
      <protection locked="0"/>
    </xf>
    <xf numFmtId="164" fontId="20" fillId="0" borderId="156" xfId="8" applyFont="1" applyBorder="1" applyProtection="1">
      <protection locked="0"/>
    </xf>
    <xf numFmtId="164" fontId="20" fillId="0" borderId="157" xfId="8" applyFont="1" applyBorder="1" applyProtection="1">
      <protection locked="0"/>
    </xf>
    <xf numFmtId="164" fontId="20" fillId="0" borderId="158" xfId="8" applyFont="1" applyBorder="1" applyProtection="1">
      <protection locked="0"/>
    </xf>
    <xf numFmtId="169" fontId="20" fillId="0" borderId="158" xfId="10" applyFont="1" applyBorder="1" applyProtection="1">
      <protection locked="0"/>
    </xf>
    <xf numFmtId="169" fontId="20" fillId="0" borderId="159" xfId="10" applyFont="1" applyBorder="1" applyProtection="1">
      <protection locked="0"/>
    </xf>
    <xf numFmtId="164" fontId="20" fillId="0" borderId="160" xfId="8" applyFont="1" applyBorder="1" applyProtection="1">
      <protection locked="0"/>
    </xf>
    <xf numFmtId="164" fontId="20" fillId="0" borderId="161" xfId="8" applyFont="1" applyBorder="1" applyProtection="1">
      <protection locked="0"/>
    </xf>
    <xf numFmtId="14" fontId="20" fillId="0" borderId="161" xfId="8" applyNumberFormat="1" applyFont="1" applyBorder="1" applyProtection="1">
      <protection locked="0"/>
    </xf>
    <xf numFmtId="164" fontId="20" fillId="0" borderId="162" xfId="8" applyFont="1" applyBorder="1" applyProtection="1">
      <protection locked="0"/>
    </xf>
    <xf numFmtId="164" fontId="20" fillId="0" borderId="163" xfId="8" applyFont="1" applyBorder="1" applyProtection="1">
      <protection locked="0"/>
    </xf>
    <xf numFmtId="169" fontId="20" fillId="0" borderId="163" xfId="10" applyFont="1" applyBorder="1" applyProtection="1">
      <protection locked="0"/>
    </xf>
    <xf numFmtId="169" fontId="20" fillId="0" borderId="164" xfId="10" applyFont="1" applyBorder="1" applyProtection="1">
      <protection locked="0"/>
    </xf>
    <xf numFmtId="0" fontId="20" fillId="0" borderId="122" xfId="0" applyFont="1" applyBorder="1"/>
    <xf numFmtId="0" fontId="20" fillId="0" borderId="116" xfId="0" applyFont="1" applyBorder="1"/>
    <xf numFmtId="0" fontId="20" fillId="0" borderId="123" xfId="0" applyFont="1" applyBorder="1"/>
    <xf numFmtId="0" fontId="0" fillId="21" borderId="165" xfId="0" applyFill="1" applyBorder="1"/>
    <xf numFmtId="0" fontId="6" fillId="0" borderId="0" xfId="0" applyFont="1" applyAlignment="1">
      <alignment wrapText="1"/>
    </xf>
    <xf numFmtId="164" fontId="125" fillId="0" borderId="0" xfId="8"/>
    <xf numFmtId="164" fontId="125" fillId="0" borderId="116" xfId="8" applyBorder="1"/>
    <xf numFmtId="173" fontId="125" fillId="0" borderId="116" xfId="13" applyBorder="1"/>
    <xf numFmtId="173" fontId="6" fillId="0" borderId="0" xfId="13" applyFont="1" applyFill="1" applyBorder="1"/>
    <xf numFmtId="0" fontId="0" fillId="23" borderId="0" xfId="0" applyFill="1" applyAlignment="1">
      <alignment horizontal="center"/>
    </xf>
    <xf numFmtId="177" fontId="125" fillId="23" borderId="0" xfId="17" applyFill="1"/>
    <xf numFmtId="164" fontId="5" fillId="7" borderId="0" xfId="8" applyFont="1" applyFill="1"/>
    <xf numFmtId="164" fontId="125" fillId="0" borderId="117" xfId="8" applyBorder="1"/>
    <xf numFmtId="164" fontId="125" fillId="0" borderId="118" xfId="8" applyBorder="1" applyAlignment="1">
      <alignment horizontal="left"/>
    </xf>
    <xf numFmtId="164" fontId="125" fillId="0" borderId="120" xfId="8" applyBorder="1"/>
    <xf numFmtId="164" fontId="125" fillId="0" borderId="0" xfId="8" applyBorder="1" applyAlignment="1">
      <alignment horizontal="left"/>
    </xf>
    <xf numFmtId="169" fontId="125" fillId="0" borderId="119" xfId="10" applyBorder="1" applyAlignment="1">
      <alignment horizontal="left"/>
    </xf>
    <xf numFmtId="169" fontId="125" fillId="0" borderId="121" xfId="10" applyBorder="1" applyAlignment="1">
      <alignment horizontal="left"/>
    </xf>
    <xf numFmtId="178" fontId="125" fillId="0" borderId="121" xfId="18" applyBorder="1" applyAlignment="1">
      <alignment horizontal="left"/>
    </xf>
    <xf numFmtId="164" fontId="125" fillId="0" borderId="122" xfId="8" applyBorder="1"/>
    <xf numFmtId="169" fontId="125" fillId="0" borderId="123" xfId="10" applyBorder="1" applyAlignment="1">
      <alignment horizontal="left"/>
    </xf>
    <xf numFmtId="164" fontId="125" fillId="0" borderId="121" xfId="8" applyBorder="1" applyAlignment="1">
      <alignment horizontal="left"/>
    </xf>
    <xf numFmtId="164" fontId="125" fillId="0" borderId="121" xfId="8" applyBorder="1"/>
    <xf numFmtId="164" fontId="125" fillId="0" borderId="123" xfId="8" applyBorder="1"/>
    <xf numFmtId="164" fontId="125" fillId="0" borderId="118" xfId="8" applyBorder="1"/>
    <xf numFmtId="164" fontId="125" fillId="0" borderId="0" xfId="8" applyBorder="1"/>
    <xf numFmtId="164" fontId="107" fillId="0" borderId="0" xfId="8" applyFont="1" applyBorder="1" applyAlignment="1">
      <alignment horizontal="center"/>
    </xf>
    <xf numFmtId="173" fontId="125" fillId="0" borderId="0" xfId="13" applyBorder="1"/>
    <xf numFmtId="164" fontId="6" fillId="0" borderId="120" xfId="8" applyFont="1" applyBorder="1"/>
    <xf numFmtId="173" fontId="6" fillId="0" borderId="0" xfId="13" applyFont="1" applyBorder="1"/>
    <xf numFmtId="170" fontId="87" fillId="7" borderId="0" xfId="11" applyFont="1" applyFill="1" applyProtection="1">
      <protection locked="0" hidden="1"/>
    </xf>
    <xf numFmtId="178" fontId="31" fillId="14" borderId="52" xfId="43" applyFill="1" applyBorder="1" applyProtection="1">
      <protection locked="0"/>
    </xf>
    <xf numFmtId="192" fontId="31" fillId="4" borderId="108" xfId="29" applyFill="1" applyBorder="1" applyProtection="1">
      <protection locked="0"/>
    </xf>
    <xf numFmtId="169" fontId="81" fillId="7" borderId="63" xfId="28" applyFont="1" applyFill="1" applyBorder="1" applyProtection="1">
      <protection locked="0"/>
    </xf>
    <xf numFmtId="164" fontId="69" fillId="7" borderId="0" xfId="8" applyFont="1" applyFill="1" applyProtection="1">
      <protection locked="0" hidden="1"/>
    </xf>
    <xf numFmtId="169" fontId="31" fillId="4" borderId="0" xfId="28" applyFill="1" applyProtection="1">
      <protection locked="0"/>
    </xf>
    <xf numFmtId="173" fontId="31" fillId="9" borderId="84" xfId="34" applyFill="1" applyBorder="1" applyProtection="1">
      <protection locked="0"/>
    </xf>
    <xf numFmtId="173" fontId="31" fillId="14" borderId="84" xfId="34" applyFill="1" applyBorder="1" applyProtection="1">
      <protection locked="0"/>
    </xf>
    <xf numFmtId="173" fontId="31" fillId="14" borderId="0" xfId="34" applyFill="1" applyProtection="1">
      <protection locked="0"/>
    </xf>
    <xf numFmtId="0" fontId="108" fillId="8" borderId="0" xfId="0" applyFont="1" applyFill="1" applyAlignment="1" applyProtection="1">
      <alignment horizontal="left"/>
      <protection locked="0"/>
    </xf>
    <xf numFmtId="0" fontId="108" fillId="8" borderId="0" xfId="0" applyFont="1" applyFill="1" applyAlignment="1" applyProtection="1">
      <alignment horizontal="left" indent="4"/>
      <protection locked="0"/>
    </xf>
    <xf numFmtId="0" fontId="108" fillId="8" borderId="0" xfId="0" applyFont="1" applyFill="1" applyAlignment="1" applyProtection="1">
      <alignment horizontal="center"/>
      <protection locked="0"/>
    </xf>
    <xf numFmtId="0" fontId="108" fillId="8" borderId="0" xfId="6" applyFont="1" applyFill="1" applyBorder="1" applyAlignment="1" applyProtection="1">
      <alignment horizontal="centerContinuous"/>
      <protection locked="0"/>
    </xf>
    <xf numFmtId="0" fontId="108" fillId="0" borderId="0" xfId="0" applyFont="1" applyAlignment="1" applyProtection="1">
      <alignment horizontal="left" indent="8"/>
      <protection locked="0"/>
    </xf>
    <xf numFmtId="0" fontId="108" fillId="8" borderId="0" xfId="0" applyFont="1" applyFill="1" applyAlignment="1" applyProtection="1">
      <alignment horizontal="left" indent="2"/>
      <protection locked="0"/>
    </xf>
    <xf numFmtId="0" fontId="108" fillId="8" borderId="0" xfId="0" applyFont="1" applyFill="1" applyAlignment="1" applyProtection="1">
      <alignment horizontal="left" indent="1"/>
      <protection locked="0"/>
    </xf>
    <xf numFmtId="0" fontId="108" fillId="8" borderId="0" xfId="0" applyFont="1" applyFill="1" applyAlignment="1">
      <alignment horizontal="left" indent="4"/>
    </xf>
    <xf numFmtId="0" fontId="108" fillId="8" borderId="0" xfId="0" applyFont="1" applyFill="1" applyAlignment="1">
      <alignment horizontal="left" indent="5"/>
    </xf>
    <xf numFmtId="164" fontId="108" fillId="8" borderId="0" xfId="8" applyFont="1" applyFill="1" applyAlignment="1">
      <alignment horizontal="left" indent="1"/>
    </xf>
    <xf numFmtId="0" fontId="108" fillId="8" borderId="0" xfId="0" applyFont="1" applyFill="1" applyAlignment="1">
      <alignment horizontal="left" indent="6"/>
    </xf>
    <xf numFmtId="164" fontId="108" fillId="8" borderId="0" xfId="8" applyFont="1" applyFill="1" applyAlignment="1">
      <alignment horizontal="center"/>
    </xf>
    <xf numFmtId="164" fontId="108" fillId="8" borderId="0" xfId="8" applyFont="1" applyFill="1" applyAlignment="1">
      <alignment horizontal="left" indent="9"/>
    </xf>
    <xf numFmtId="164" fontId="18" fillId="26" borderId="0" xfId="8" applyFont="1" applyFill="1" applyAlignment="1" applyProtection="1">
      <alignment vertical="center"/>
      <protection locked="0"/>
    </xf>
    <xf numFmtId="0" fontId="18" fillId="26" borderId="0" xfId="25" applyFont="1" applyFill="1" applyProtection="1">
      <protection locked="0"/>
    </xf>
    <xf numFmtId="0" fontId="50" fillId="26" borderId="0" xfId="25" applyFill="1" applyProtection="1">
      <protection locked="0"/>
    </xf>
    <xf numFmtId="0" fontId="18" fillId="26" borderId="0" xfId="25" applyFont="1" applyFill="1" applyAlignment="1" applyProtection="1">
      <alignment horizontal="right"/>
      <protection locked="0"/>
    </xf>
    <xf numFmtId="0" fontId="18" fillId="26" borderId="0" xfId="25" applyFont="1" applyFill="1" applyAlignment="1" applyProtection="1">
      <alignment horizontal="centerContinuous"/>
      <protection locked="0"/>
    </xf>
    <xf numFmtId="0" fontId="9" fillId="26" borderId="0" xfId="0" applyFont="1" applyFill="1" applyAlignment="1">
      <alignment horizontal="centerContinuous"/>
    </xf>
    <xf numFmtId="164" fontId="18" fillId="26" borderId="0" xfId="8" applyFont="1" applyFill="1" applyProtection="1">
      <protection locked="0"/>
    </xf>
    <xf numFmtId="164" fontId="18" fillId="26" borderId="0" xfId="8" applyFont="1" applyFill="1" applyAlignment="1" applyProtection="1">
      <alignment horizontal="left" vertical="center"/>
      <protection locked="0"/>
    </xf>
    <xf numFmtId="164" fontId="18" fillId="26" borderId="0" xfId="8" applyFont="1" applyFill="1" applyAlignment="1" applyProtection="1">
      <alignment horizontal="left" vertical="center" indent="1"/>
      <protection locked="0"/>
    </xf>
    <xf numFmtId="164" fontId="18" fillId="26" borderId="0" xfId="8" applyFont="1" applyFill="1"/>
    <xf numFmtId="0" fontId="37" fillId="26" borderId="0" xfId="0" applyFont="1" applyFill="1"/>
    <xf numFmtId="164" fontId="18" fillId="26" borderId="0" xfId="8" applyFont="1" applyFill="1" applyAlignment="1">
      <alignment vertical="center"/>
    </xf>
    <xf numFmtId="0" fontId="0" fillId="26" borderId="0" xfId="0" applyFill="1" applyAlignment="1">
      <alignment vertical="center"/>
    </xf>
    <xf numFmtId="0" fontId="18" fillId="26" borderId="0" xfId="25" applyFont="1" applyFill="1"/>
    <xf numFmtId="165" fontId="7" fillId="26" borderId="0" xfId="0" applyNumberFormat="1" applyFont="1" applyFill="1" applyAlignment="1">
      <alignment vertical="center"/>
    </xf>
    <xf numFmtId="165" fontId="0" fillId="26" borderId="0" xfId="0" applyNumberFormat="1" applyFill="1" applyAlignment="1">
      <alignment vertical="center"/>
    </xf>
    <xf numFmtId="0" fontId="0" fillId="26" borderId="0" xfId="0" applyFill="1" applyAlignment="1">
      <alignment horizontal="center" vertical="center"/>
    </xf>
    <xf numFmtId="164" fontId="109" fillId="26" borderId="0" xfId="8" applyFont="1" applyFill="1" applyAlignment="1" applyProtection="1">
      <alignment vertical="center"/>
      <protection locked="0"/>
    </xf>
    <xf numFmtId="164" fontId="110" fillId="26" borderId="0" xfId="8" applyFont="1" applyFill="1" applyAlignment="1">
      <alignment horizontal="centerContinuous" vertical="center"/>
    </xf>
    <xf numFmtId="164" fontId="109" fillId="26" borderId="0" xfId="8" applyFont="1" applyFill="1" applyAlignment="1" applyProtection="1">
      <alignment horizontal="left" vertical="center"/>
      <protection locked="0"/>
    </xf>
    <xf numFmtId="0" fontId="109" fillId="26" borderId="0" xfId="25" applyFont="1" applyFill="1" applyAlignment="1" applyProtection="1">
      <alignment vertical="center"/>
      <protection locked="0"/>
    </xf>
    <xf numFmtId="164" fontId="109" fillId="26" borderId="0" xfId="8" applyFont="1" applyFill="1" applyProtection="1">
      <protection locked="0"/>
    </xf>
    <xf numFmtId="164" fontId="109" fillId="26" borderId="0" xfId="8" applyFont="1" applyFill="1"/>
    <xf numFmtId="164" fontId="109" fillId="26" borderId="0" xfId="8" applyFont="1" applyFill="1" applyAlignment="1">
      <alignment vertical="center"/>
    </xf>
    <xf numFmtId="164" fontId="111" fillId="8" borderId="0" xfId="8" applyFont="1" applyFill="1" applyProtection="1">
      <protection locked="0"/>
    </xf>
    <xf numFmtId="0" fontId="112" fillId="8" borderId="0" xfId="6" applyFont="1" applyFill="1" applyBorder="1" applyAlignment="1">
      <alignment horizontal="right"/>
    </xf>
    <xf numFmtId="175" fontId="113" fillId="3" borderId="0" xfId="26" applyFont="1" applyProtection="1">
      <protection locked="0"/>
    </xf>
    <xf numFmtId="175" fontId="113" fillId="3" borderId="181" xfId="26" applyFont="1" applyBorder="1" applyProtection="1">
      <protection locked="0"/>
    </xf>
    <xf numFmtId="164" fontId="113" fillId="7" borderId="0" xfId="8" applyFont="1" applyFill="1" applyAlignment="1" applyProtection="1">
      <alignment horizontal="left"/>
      <protection locked="0"/>
    </xf>
    <xf numFmtId="175" fontId="113" fillId="0" borderId="0" xfId="23" applyFont="1" applyBorder="1" applyAlignment="1">
      <alignment horizontal="right"/>
    </xf>
    <xf numFmtId="189" fontId="113" fillId="0" borderId="0" xfId="24" applyFont="1"/>
    <xf numFmtId="176" fontId="113" fillId="0" borderId="0" xfId="16" applyFont="1" applyAlignment="1">
      <alignment horizontal="right"/>
    </xf>
    <xf numFmtId="176" fontId="113" fillId="0" borderId="0" xfId="16" applyFont="1"/>
    <xf numFmtId="200" fontId="113" fillId="0" borderId="0" xfId="39" applyFont="1"/>
    <xf numFmtId="175" fontId="113" fillId="7" borderId="0" xfId="26" applyFont="1" applyFill="1" applyProtection="1">
      <protection locked="0"/>
    </xf>
    <xf numFmtId="176" fontId="113" fillId="0" borderId="0" xfId="16" applyFont="1" applyProtection="1">
      <protection locked="0"/>
    </xf>
    <xf numFmtId="0" fontId="112" fillId="8" borderId="0" xfId="6" applyFont="1" applyFill="1" applyBorder="1" applyAlignment="1" applyProtection="1">
      <alignment horizontal="right"/>
      <protection locked="0"/>
    </xf>
    <xf numFmtId="175" fontId="113" fillId="0" borderId="0" xfId="23" applyFont="1" applyBorder="1" applyAlignment="1" applyProtection="1">
      <alignment horizontal="right"/>
      <protection locked="0"/>
    </xf>
    <xf numFmtId="200" fontId="113" fillId="0" borderId="0" xfId="39" applyFont="1" applyAlignment="1" applyProtection="1">
      <alignment horizontal="right"/>
      <protection locked="0"/>
    </xf>
    <xf numFmtId="200" fontId="113" fillId="0" borderId="0" xfId="39" applyFont="1" applyProtection="1">
      <protection locked="0"/>
    </xf>
    <xf numFmtId="164" fontId="111" fillId="8" borderId="0" xfId="8" applyFont="1" applyFill="1"/>
    <xf numFmtId="175" fontId="113" fillId="3" borderId="0" xfId="26" applyFont="1" applyAlignment="1" applyProtection="1">
      <alignment horizontal="right"/>
      <protection locked="0"/>
    </xf>
    <xf numFmtId="175" fontId="113" fillId="7" borderId="2" xfId="23" applyFont="1" applyFill="1" applyProtection="1">
      <protection locked="0"/>
    </xf>
    <xf numFmtId="200" fontId="113" fillId="7" borderId="2" xfId="39" applyFont="1" applyFill="1" applyBorder="1" applyAlignment="1">
      <alignment horizontal="right"/>
    </xf>
    <xf numFmtId="175" fontId="113" fillId="7" borderId="56" xfId="23" applyFont="1" applyFill="1" applyBorder="1" applyAlignment="1" applyProtection="1">
      <alignment horizontal="right"/>
      <protection locked="0"/>
    </xf>
    <xf numFmtId="164" fontId="114" fillId="7" borderId="69" xfId="8" applyFont="1" applyFill="1" applyBorder="1" applyAlignment="1" applyProtection="1">
      <alignment horizontal="centerContinuous"/>
      <protection locked="0"/>
    </xf>
    <xf numFmtId="0" fontId="115" fillId="7" borderId="69" xfId="0" applyFont="1" applyFill="1" applyBorder="1" applyAlignment="1" applyProtection="1">
      <alignment horizontal="centerContinuous"/>
      <protection locked="0"/>
    </xf>
    <xf numFmtId="0" fontId="115" fillId="7" borderId="116" xfId="0" applyFont="1" applyFill="1" applyBorder="1" applyAlignment="1" applyProtection="1">
      <alignment horizontal="centerContinuous"/>
      <protection locked="0"/>
    </xf>
    <xf numFmtId="175" fontId="113" fillId="7" borderId="64" xfId="23" applyFont="1" applyFill="1" applyBorder="1" applyAlignment="1">
      <alignment horizontal="centerContinuous"/>
    </xf>
    <xf numFmtId="175" fontId="115" fillId="7" borderId="0" xfId="23" applyFont="1" applyFill="1" applyBorder="1" applyAlignment="1">
      <alignment horizontal="centerContinuous"/>
    </xf>
    <xf numFmtId="175" fontId="113" fillId="7" borderId="0" xfId="23" applyFont="1" applyFill="1" applyBorder="1" applyAlignment="1">
      <alignment horizontal="centerContinuous"/>
    </xf>
    <xf numFmtId="175" fontId="113" fillId="7" borderId="67" xfId="23" applyFont="1" applyFill="1" applyBorder="1" applyAlignment="1">
      <alignment horizontal="centerContinuous"/>
    </xf>
    <xf numFmtId="175" fontId="115" fillId="7" borderId="56" xfId="23" applyFont="1" applyFill="1" applyBorder="1" applyAlignment="1">
      <alignment horizontal="centerContinuous"/>
    </xf>
    <xf numFmtId="175" fontId="113" fillId="7" borderId="56" xfId="23" applyFont="1" applyFill="1" applyBorder="1" applyAlignment="1">
      <alignment horizontal="centerContinuous"/>
    </xf>
    <xf numFmtId="175" fontId="115" fillId="7" borderId="77" xfId="23" applyFont="1" applyFill="1" applyBorder="1" applyAlignment="1">
      <alignment horizontal="right"/>
    </xf>
    <xf numFmtId="175" fontId="115" fillId="7" borderId="72" xfId="23" applyFont="1" applyFill="1" applyBorder="1" applyAlignment="1">
      <alignment horizontal="right"/>
    </xf>
    <xf numFmtId="175" fontId="115" fillId="7" borderId="2" xfId="23" applyFont="1" applyFill="1" applyAlignment="1">
      <alignment horizontal="right"/>
    </xf>
    <xf numFmtId="0" fontId="116" fillId="7" borderId="0" xfId="0" applyFont="1" applyFill="1" applyProtection="1">
      <protection locked="0"/>
    </xf>
    <xf numFmtId="0" fontId="116" fillId="7" borderId="56" xfId="0" applyFont="1" applyFill="1" applyBorder="1" applyProtection="1">
      <protection locked="0"/>
    </xf>
    <xf numFmtId="175" fontId="113" fillId="7" borderId="91" xfId="23" applyFont="1" applyFill="1" applyBorder="1" applyAlignment="1" applyProtection="1">
      <alignment horizontal="right"/>
      <protection locked="0"/>
    </xf>
    <xf numFmtId="175" fontId="113" fillId="7" borderId="109" xfId="23" applyFont="1" applyFill="1" applyBorder="1" applyAlignment="1" applyProtection="1">
      <alignment horizontal="right"/>
      <protection locked="0"/>
    </xf>
    <xf numFmtId="175" fontId="113" fillId="7" borderId="110" xfId="23" applyFont="1" applyFill="1" applyBorder="1" applyAlignment="1" applyProtection="1">
      <alignment horizontal="right"/>
      <protection locked="0"/>
    </xf>
    <xf numFmtId="175" fontId="113" fillId="7" borderId="58" xfId="23" applyFont="1" applyFill="1" applyBorder="1" applyAlignment="1" applyProtection="1">
      <alignment horizontal="right"/>
      <protection locked="0"/>
    </xf>
    <xf numFmtId="175" fontId="113" fillId="7" borderId="182" xfId="23" applyFont="1" applyFill="1" applyBorder="1" applyAlignment="1" applyProtection="1">
      <alignment horizontal="right"/>
      <protection locked="0"/>
    </xf>
    <xf numFmtId="175" fontId="113" fillId="7" borderId="0" xfId="23" applyFont="1" applyFill="1" applyBorder="1" applyAlignment="1" applyProtection="1">
      <alignment horizontal="left"/>
      <protection locked="0"/>
    </xf>
    <xf numFmtId="175" fontId="113" fillId="7" borderId="54" xfId="23" applyFont="1" applyFill="1" applyBorder="1" applyAlignment="1" applyProtection="1">
      <alignment horizontal="right"/>
      <protection locked="0"/>
    </xf>
    <xf numFmtId="175" fontId="113" fillId="7" borderId="55" xfId="23" applyFont="1" applyFill="1" applyBorder="1" applyAlignment="1" applyProtection="1">
      <alignment horizontal="right"/>
      <protection locked="0"/>
    </xf>
    <xf numFmtId="175" fontId="113" fillId="7" borderId="71" xfId="23" applyFont="1" applyFill="1" applyBorder="1" applyAlignment="1" applyProtection="1">
      <alignment horizontal="right"/>
      <protection locked="0"/>
    </xf>
    <xf numFmtId="175" fontId="113" fillId="7" borderId="2" xfId="23" applyFont="1" applyFill="1" applyAlignment="1" applyProtection="1">
      <alignment horizontal="right"/>
      <protection locked="0"/>
    </xf>
    <xf numFmtId="175" fontId="113" fillId="7" borderId="72" xfId="23" applyFont="1" applyFill="1" applyBorder="1" applyAlignment="1" applyProtection="1">
      <alignment horizontal="right"/>
      <protection locked="0"/>
    </xf>
    <xf numFmtId="175" fontId="113" fillId="7" borderId="67" xfId="23" applyFont="1" applyFill="1" applyBorder="1" applyAlignment="1" applyProtection="1">
      <alignment horizontal="centerContinuous"/>
      <protection locked="0"/>
    </xf>
    <xf numFmtId="175" fontId="113" fillId="7" borderId="56" xfId="23" applyFont="1" applyFill="1" applyBorder="1" applyAlignment="1" applyProtection="1">
      <alignment horizontal="centerContinuous"/>
      <protection locked="0"/>
    </xf>
    <xf numFmtId="175" fontId="113" fillId="7" borderId="68" xfId="23" applyFont="1" applyFill="1" applyBorder="1" applyAlignment="1" applyProtection="1">
      <alignment horizontal="centerContinuous"/>
      <protection locked="0"/>
    </xf>
    <xf numFmtId="175" fontId="113" fillId="7" borderId="84" xfId="23" applyFont="1" applyFill="1" applyBorder="1" applyAlignment="1" applyProtection="1">
      <alignment horizontal="centerContinuous"/>
      <protection locked="0"/>
    </xf>
    <xf numFmtId="175" fontId="113" fillId="7" borderId="66" xfId="23" applyFont="1" applyFill="1" applyBorder="1" applyAlignment="1" applyProtection="1">
      <alignment horizontal="centerContinuous"/>
      <protection locked="0"/>
    </xf>
    <xf numFmtId="175" fontId="113" fillId="7" borderId="183" xfId="23" applyFont="1" applyFill="1" applyBorder="1" applyAlignment="1" applyProtection="1">
      <alignment horizontal="centerContinuous"/>
      <protection locked="0"/>
    </xf>
    <xf numFmtId="0" fontId="116" fillId="7" borderId="184" xfId="0" applyFont="1" applyFill="1" applyBorder="1" applyAlignment="1" applyProtection="1">
      <alignment horizontal="centerContinuous"/>
      <protection locked="0"/>
    </xf>
    <xf numFmtId="175" fontId="113" fillId="7" borderId="73" xfId="23" applyFont="1" applyFill="1" applyBorder="1" applyAlignment="1" applyProtection="1">
      <alignment horizontal="right"/>
      <protection locked="0"/>
    </xf>
    <xf numFmtId="175" fontId="113" fillId="7" borderId="74" xfId="23" applyFont="1" applyFill="1" applyBorder="1" applyAlignment="1" applyProtection="1">
      <alignment horizontal="right"/>
      <protection locked="0"/>
    </xf>
    <xf numFmtId="175" fontId="113" fillId="7" borderId="64" xfId="23" applyFont="1" applyFill="1" applyBorder="1" applyAlignment="1" applyProtection="1">
      <alignment horizontal="left" indent="1"/>
      <protection locked="0"/>
    </xf>
    <xf numFmtId="196" fontId="113" fillId="7" borderId="71" xfId="23" applyNumberFormat="1" applyFont="1" applyFill="1" applyBorder="1" applyAlignment="1" applyProtection="1">
      <alignment horizontal="left"/>
      <protection locked="0"/>
    </xf>
    <xf numFmtId="175" fontId="113" fillId="7" borderId="75" xfId="23" applyFont="1" applyFill="1" applyBorder="1" applyAlignment="1" applyProtection="1">
      <alignment horizontal="left"/>
      <protection locked="0"/>
    </xf>
    <xf numFmtId="175" fontId="113" fillId="3" borderId="0" xfId="26" applyFont="1"/>
    <xf numFmtId="175" fontId="115" fillId="7" borderId="76" xfId="23" applyFont="1" applyFill="1" applyBorder="1" applyAlignment="1">
      <alignment horizontal="right"/>
    </xf>
    <xf numFmtId="175" fontId="115" fillId="7" borderId="185" xfId="23" applyFont="1" applyFill="1" applyBorder="1" applyAlignment="1">
      <alignment horizontal="right"/>
    </xf>
    <xf numFmtId="175" fontId="115" fillId="7" borderId="66" xfId="23" applyFont="1" applyFill="1" applyBorder="1" applyAlignment="1">
      <alignment horizontal="centerContinuous"/>
    </xf>
    <xf numFmtId="175" fontId="115" fillId="7" borderId="70" xfId="23" applyFont="1" applyFill="1" applyBorder="1" applyAlignment="1">
      <alignment horizontal="centerContinuous"/>
    </xf>
    <xf numFmtId="170" fontId="113" fillId="7" borderId="2" xfId="19" applyNumberFormat="1" applyFont="1" applyFill="1" applyBorder="1"/>
    <xf numFmtId="170" fontId="113" fillId="7" borderId="2" xfId="11" applyFont="1" applyFill="1" applyBorder="1"/>
    <xf numFmtId="170" fontId="113" fillId="14" borderId="2" xfId="11" applyFont="1" applyFill="1" applyBorder="1"/>
    <xf numFmtId="176" fontId="113" fillId="7" borderId="2" xfId="16" applyFont="1" applyFill="1" applyBorder="1" applyProtection="1">
      <protection locked="0"/>
    </xf>
    <xf numFmtId="176" fontId="113" fillId="7" borderId="90" xfId="16" applyFont="1" applyFill="1" applyBorder="1" applyProtection="1">
      <protection locked="0"/>
    </xf>
    <xf numFmtId="176" fontId="113" fillId="7" borderId="186" xfId="16" applyFont="1" applyFill="1" applyBorder="1" applyProtection="1">
      <protection locked="0"/>
    </xf>
    <xf numFmtId="176" fontId="113" fillId="7" borderId="2" xfId="16" applyFont="1" applyFill="1" applyBorder="1"/>
    <xf numFmtId="176" fontId="113" fillId="8" borderId="0" xfId="16" applyFont="1" applyFill="1" applyAlignment="1" applyProtection="1">
      <alignment horizontal="right"/>
      <protection locked="0"/>
    </xf>
    <xf numFmtId="176" fontId="113" fillId="8" borderId="2" xfId="16" applyFont="1" applyFill="1" applyBorder="1" applyAlignment="1" applyProtection="1">
      <alignment horizontal="right"/>
      <protection locked="0"/>
    </xf>
    <xf numFmtId="176" fontId="113" fillId="7" borderId="92" xfId="16" applyFont="1" applyFill="1" applyBorder="1"/>
    <xf numFmtId="176" fontId="113" fillId="7" borderId="91" xfId="16" applyFont="1" applyFill="1" applyBorder="1" applyAlignment="1" applyProtection="1">
      <alignment horizontal="centerContinuous"/>
      <protection locked="0"/>
    </xf>
    <xf numFmtId="164" fontId="115" fillId="7" borderId="0" xfId="8" applyFont="1" applyFill="1" applyAlignment="1" applyProtection="1">
      <alignment horizontal="right"/>
      <protection locked="0"/>
    </xf>
    <xf numFmtId="175" fontId="115" fillId="7" borderId="0" xfId="23" applyFont="1" applyFill="1" applyBorder="1" applyAlignment="1" applyProtection="1">
      <alignment horizontal="center"/>
      <protection locked="0"/>
    </xf>
    <xf numFmtId="175" fontId="115" fillId="8" borderId="0" xfId="23" applyFont="1" applyFill="1" applyBorder="1" applyAlignment="1" applyProtection="1">
      <alignment horizontal="right"/>
      <protection locked="0"/>
    </xf>
    <xf numFmtId="175" fontId="115" fillId="7" borderId="2" xfId="23" applyFont="1" applyFill="1" applyAlignment="1" applyProtection="1">
      <alignment horizontal="right"/>
      <protection locked="0"/>
    </xf>
    <xf numFmtId="175" fontId="115" fillId="8" borderId="2" xfId="23" applyFont="1" applyFill="1" applyAlignment="1" applyProtection="1">
      <alignment horizontal="right"/>
      <protection locked="0"/>
    </xf>
    <xf numFmtId="176" fontId="113" fillId="8" borderId="2" xfId="16" applyFont="1" applyFill="1" applyBorder="1"/>
    <xf numFmtId="175" fontId="113" fillId="7" borderId="0" xfId="23" applyFont="1" applyFill="1" applyBorder="1" applyAlignment="1" applyProtection="1">
      <alignment horizontal="right"/>
      <protection locked="0"/>
    </xf>
    <xf numFmtId="175" fontId="113" fillId="7" borderId="187" xfId="23" applyFont="1" applyFill="1" applyBorder="1" applyAlignment="1" applyProtection="1">
      <alignment horizontal="right"/>
      <protection locked="0"/>
    </xf>
    <xf numFmtId="0" fontId="116" fillId="7" borderId="56" xfId="0" applyFont="1" applyFill="1" applyBorder="1" applyAlignment="1" applyProtection="1">
      <alignment horizontal="centerContinuous"/>
      <protection locked="0"/>
    </xf>
    <xf numFmtId="176" fontId="113" fillId="7" borderId="188" xfId="16" applyFont="1" applyFill="1" applyBorder="1"/>
    <xf numFmtId="202" fontId="113" fillId="7" borderId="0" xfId="19" applyNumberFormat="1" applyFont="1" applyFill="1" applyAlignment="1" applyProtection="1">
      <alignment horizontal="right"/>
      <protection locked="0"/>
    </xf>
    <xf numFmtId="189" fontId="113" fillId="7" borderId="2" xfId="24" applyFont="1" applyFill="1" applyBorder="1"/>
    <xf numFmtId="175" fontId="113" fillId="7" borderId="2" xfId="23" applyFont="1" applyFill="1" applyAlignment="1" applyProtection="1">
      <alignment horizontal="left"/>
      <protection locked="0"/>
    </xf>
    <xf numFmtId="0" fontId="116" fillId="7" borderId="2" xfId="0" applyFont="1" applyFill="1" applyBorder="1" applyProtection="1">
      <protection locked="0"/>
    </xf>
    <xf numFmtId="203" fontId="113" fillId="7" borderId="2" xfId="11" applyNumberFormat="1" applyFont="1" applyFill="1" applyBorder="1" applyAlignment="1">
      <alignment horizontal="right"/>
    </xf>
    <xf numFmtId="164" fontId="113" fillId="8" borderId="2" xfId="8" applyFont="1" applyFill="1" applyBorder="1" applyAlignment="1" applyProtection="1">
      <alignment horizontal="right"/>
      <protection locked="0"/>
    </xf>
    <xf numFmtId="175" fontId="113" fillId="8" borderId="0" xfId="23" applyFont="1" applyFill="1" applyBorder="1" applyAlignment="1" applyProtection="1">
      <alignment horizontal="right"/>
      <protection locked="0"/>
    </xf>
    <xf numFmtId="175" fontId="113" fillId="3" borderId="0" xfId="26" applyFont="1" applyAlignment="1" applyProtection="1">
      <alignment horizontal="centerContinuous"/>
      <protection locked="0"/>
    </xf>
    <xf numFmtId="175" fontId="113" fillId="3" borderId="0" xfId="26" applyFont="1" applyAlignment="1" applyProtection="1">
      <alignment horizontal="left" indent="2"/>
      <protection locked="0"/>
    </xf>
    <xf numFmtId="164" fontId="113" fillId="7" borderId="56" xfId="8" applyFont="1" applyFill="1" applyBorder="1" applyAlignment="1" applyProtection="1">
      <alignment horizontal="left"/>
      <protection locked="0"/>
    </xf>
    <xf numFmtId="164" fontId="113" fillId="19" borderId="0" xfId="8" applyFont="1" applyFill="1" applyAlignment="1" applyProtection="1">
      <alignment horizontal="left"/>
      <protection locked="0"/>
    </xf>
    <xf numFmtId="164" fontId="113" fillId="8" borderId="0" xfId="8" applyFont="1" applyFill="1" applyAlignment="1">
      <alignment horizontal="left"/>
    </xf>
    <xf numFmtId="175" fontId="113" fillId="8" borderId="0" xfId="23" applyFont="1" applyFill="1" applyBorder="1" applyAlignment="1">
      <alignment horizontal="right"/>
    </xf>
    <xf numFmtId="175" fontId="113" fillId="7" borderId="56" xfId="23" applyFont="1" applyFill="1" applyBorder="1" applyAlignment="1">
      <alignment horizontal="right"/>
    </xf>
    <xf numFmtId="211" fontId="113" fillId="7" borderId="56" xfId="10" applyNumberFormat="1" applyFont="1" applyFill="1" applyBorder="1"/>
    <xf numFmtId="212" fontId="113" fillId="7" borderId="56" xfId="10" applyNumberFormat="1" applyFont="1" applyFill="1" applyBorder="1"/>
    <xf numFmtId="213" fontId="113" fillId="7" borderId="56" xfId="20" applyNumberFormat="1" applyFont="1" applyFill="1" applyBorder="1"/>
    <xf numFmtId="214" fontId="113" fillId="7" borderId="56" xfId="10" applyNumberFormat="1" applyFont="1" applyFill="1" applyBorder="1"/>
    <xf numFmtId="215" fontId="113" fillId="7" borderId="56" xfId="10" applyNumberFormat="1" applyFont="1" applyFill="1" applyBorder="1"/>
    <xf numFmtId="216" fontId="113" fillId="7" borderId="56" xfId="13" applyNumberFormat="1" applyFont="1" applyFill="1" applyBorder="1"/>
    <xf numFmtId="173" fontId="113" fillId="7" borderId="56" xfId="13" applyFont="1" applyFill="1" applyBorder="1" applyAlignment="1">
      <alignment horizontal="right"/>
    </xf>
    <xf numFmtId="165" fontId="113" fillId="7" borderId="56" xfId="13" applyNumberFormat="1" applyFont="1" applyFill="1" applyBorder="1" applyAlignment="1">
      <alignment horizontal="right"/>
    </xf>
    <xf numFmtId="217" fontId="113" fillId="7" borderId="56" xfId="0" applyNumberFormat="1" applyFont="1" applyFill="1" applyBorder="1"/>
    <xf numFmtId="218" fontId="113" fillId="7" borderId="56" xfId="0" applyNumberFormat="1" applyFont="1" applyFill="1" applyBorder="1"/>
    <xf numFmtId="219" fontId="113" fillId="7" borderId="56" xfId="0" applyNumberFormat="1" applyFont="1" applyFill="1" applyBorder="1"/>
    <xf numFmtId="220" fontId="113" fillId="7" borderId="56" xfId="0" applyNumberFormat="1" applyFont="1" applyFill="1" applyBorder="1"/>
    <xf numFmtId="221" fontId="113" fillId="7" borderId="56" xfId="0" applyNumberFormat="1" applyFont="1" applyFill="1" applyBorder="1"/>
    <xf numFmtId="0" fontId="112" fillId="0" borderId="0" xfId="6" applyFont="1" applyBorder="1" applyAlignment="1">
      <alignment horizontal="right" indent="7"/>
    </xf>
    <xf numFmtId="170" fontId="113" fillId="0" borderId="124" xfId="11" applyFont="1" applyBorder="1" applyAlignment="1">
      <alignment horizontal="right"/>
    </xf>
    <xf numFmtId="176" fontId="113" fillId="0" borderId="189" xfId="16" applyFont="1" applyBorder="1" applyAlignment="1" applyProtection="1">
      <alignment horizontal="right"/>
      <protection locked="0"/>
    </xf>
    <xf numFmtId="176" fontId="113" fillId="0" borderId="190" xfId="16" applyFont="1" applyBorder="1" applyAlignment="1" applyProtection="1">
      <alignment horizontal="right" vertical="center"/>
      <protection locked="0"/>
    </xf>
    <xf numFmtId="41" fontId="117" fillId="0" borderId="0" xfId="16" applyNumberFormat="1" applyFont="1" applyAlignment="1" applyProtection="1">
      <alignment horizontal="centerContinuous" vertical="center"/>
      <protection locked="0"/>
    </xf>
    <xf numFmtId="41" fontId="118" fillId="0" borderId="0" xfId="16" applyNumberFormat="1" applyFont="1" applyAlignment="1" applyProtection="1">
      <alignment horizontal="centerContinuous" vertical="center"/>
      <protection locked="0"/>
    </xf>
    <xf numFmtId="0" fontId="113" fillId="0" borderId="0" xfId="16" applyNumberFormat="1" applyFont="1" applyAlignment="1" applyProtection="1">
      <alignment horizontal="right" vertical="center"/>
      <protection locked="0"/>
    </xf>
    <xf numFmtId="41" fontId="119" fillId="0" borderId="0" xfId="16" applyNumberFormat="1" applyFont="1" applyAlignment="1" applyProtection="1">
      <alignment horizontal="centerContinuous" vertical="center"/>
      <protection locked="0"/>
    </xf>
    <xf numFmtId="176" fontId="113" fillId="0" borderId="0" xfId="16" applyFont="1" applyAlignment="1" applyProtection="1">
      <alignment horizontal="right"/>
      <protection locked="0"/>
    </xf>
    <xf numFmtId="176" fontId="113" fillId="0" borderId="125" xfId="16" applyFont="1" applyBorder="1" applyAlignment="1" applyProtection="1">
      <alignment horizontal="right"/>
      <protection locked="0"/>
    </xf>
    <xf numFmtId="170" fontId="113" fillId="0" borderId="0" xfId="11" applyFont="1" applyAlignment="1">
      <alignment horizontal="right"/>
    </xf>
    <xf numFmtId="200" fontId="113" fillId="0" borderId="0" xfId="39" applyFont="1" applyAlignment="1">
      <alignment horizontal="right" vertical="center"/>
    </xf>
    <xf numFmtId="175" fontId="113" fillId="14" borderId="0" xfId="26" applyFont="1" applyFill="1"/>
    <xf numFmtId="175" fontId="113" fillId="14" borderId="132" xfId="26" applyFont="1" applyFill="1" applyBorder="1"/>
    <xf numFmtId="164" fontId="111" fillId="8" borderId="0" xfId="8" applyFont="1" applyFill="1" applyAlignment="1">
      <alignment vertical="center"/>
    </xf>
    <xf numFmtId="164" fontId="111" fillId="8" borderId="0" xfId="8" applyFont="1" applyFill="1" applyAlignment="1">
      <alignment horizontal="right" vertical="center"/>
    </xf>
    <xf numFmtId="43" fontId="118" fillId="0" borderId="0" xfId="0" applyNumberFormat="1" applyFont="1" applyAlignment="1">
      <alignment horizontal="centerContinuous"/>
    </xf>
    <xf numFmtId="43" fontId="120" fillId="0" borderId="0" xfId="0" applyNumberFormat="1" applyFont="1" applyAlignment="1">
      <alignment horizontal="centerContinuous"/>
    </xf>
    <xf numFmtId="0" fontId="121" fillId="0" borderId="0" xfId="0" applyFont="1"/>
    <xf numFmtId="184" fontId="122" fillId="0" borderId="0" xfId="11" applyNumberFormat="1" applyFont="1" applyAlignment="1">
      <alignment horizontal="right"/>
    </xf>
    <xf numFmtId="49" fontId="123" fillId="0" borderId="0" xfId="16" applyNumberFormat="1" applyFont="1"/>
    <xf numFmtId="170" fontId="113" fillId="0" borderId="0" xfId="11" applyFont="1"/>
    <xf numFmtId="185" fontId="113" fillId="0" borderId="0" xfId="16" applyNumberFormat="1" applyFont="1" applyAlignment="1">
      <alignment horizontal="right"/>
    </xf>
    <xf numFmtId="49" fontId="113" fillId="0" borderId="0" xfId="16" applyNumberFormat="1" applyFont="1" applyAlignment="1">
      <alignment shrinkToFit="1"/>
    </xf>
    <xf numFmtId="164" fontId="113" fillId="8" borderId="0" xfId="8" applyFont="1" applyFill="1"/>
    <xf numFmtId="184" fontId="118" fillId="0" borderId="0" xfId="11" applyNumberFormat="1" applyFont="1" applyAlignment="1">
      <alignment horizontal="right"/>
    </xf>
    <xf numFmtId="164" fontId="111" fillId="8" borderId="0" xfId="8" applyFont="1" applyFill="1" applyAlignment="1">
      <alignment horizontal="right"/>
    </xf>
    <xf numFmtId="164" fontId="113" fillId="7" borderId="3" xfId="8" applyFont="1" applyFill="1" applyBorder="1" applyAlignment="1">
      <alignment horizontal="right"/>
    </xf>
    <xf numFmtId="44" fontId="117" fillId="7" borderId="0" xfId="8" applyNumberFormat="1" applyFont="1" applyFill="1" applyAlignment="1">
      <alignment horizontal="centerContinuous"/>
    </xf>
    <xf numFmtId="164" fontId="113" fillId="7" borderId="10" xfId="8" applyFont="1" applyFill="1" applyBorder="1" applyAlignment="1">
      <alignment horizontal="right"/>
    </xf>
    <xf numFmtId="44" fontId="113" fillId="7" borderId="0" xfId="8" applyNumberFormat="1" applyFont="1" applyFill="1" applyAlignment="1">
      <alignment horizontal="centerContinuous"/>
    </xf>
    <xf numFmtId="164" fontId="113" fillId="7" borderId="9" xfId="8" applyFont="1" applyFill="1" applyBorder="1" applyAlignment="1">
      <alignment horizontal="right"/>
    </xf>
    <xf numFmtId="176" fontId="113" fillId="7" borderId="3" xfId="16" applyFont="1" applyFill="1" applyBorder="1" applyAlignment="1">
      <alignment horizontal="right"/>
    </xf>
    <xf numFmtId="0" fontId="119" fillId="8" borderId="0" xfId="0" applyFont="1" applyFill="1"/>
    <xf numFmtId="173" fontId="113" fillId="8" borderId="0" xfId="13" applyFont="1" applyFill="1" applyAlignment="1">
      <alignment horizontal="center"/>
    </xf>
    <xf numFmtId="0" fontId="119" fillId="8" borderId="0" xfId="0" applyFont="1" applyFill="1" applyAlignment="1">
      <alignment horizontal="center"/>
    </xf>
    <xf numFmtId="0" fontId="119" fillId="8" borderId="7" xfId="0" applyFont="1" applyFill="1" applyBorder="1" applyAlignment="1">
      <alignment horizontal="center"/>
    </xf>
    <xf numFmtId="173" fontId="113" fillId="8" borderId="48" xfId="13" applyFont="1" applyFill="1" applyBorder="1" applyAlignment="1">
      <alignment horizontal="center"/>
    </xf>
    <xf numFmtId="0" fontId="119" fillId="8" borderId="8" xfId="0" applyFont="1" applyFill="1" applyBorder="1" applyAlignment="1">
      <alignment horizontal="center"/>
    </xf>
    <xf numFmtId="0" fontId="116" fillId="8" borderId="0" xfId="0" applyFont="1" applyFill="1" applyAlignment="1">
      <alignment vertical="center"/>
    </xf>
    <xf numFmtId="164" fontId="113" fillId="8" borderId="0" xfId="8" applyFont="1" applyFill="1" applyAlignment="1">
      <alignment horizontal="centerContinuous" vertical="center"/>
    </xf>
    <xf numFmtId="0" fontId="116" fillId="8" borderId="0" xfId="0" applyFont="1" applyFill="1"/>
    <xf numFmtId="0" fontId="113" fillId="8" borderId="0" xfId="0" applyFont="1" applyFill="1" applyAlignment="1">
      <alignment horizontal="right" vertical="center" textRotation="90"/>
    </xf>
    <xf numFmtId="164" fontId="113" fillId="8" borderId="0" xfId="8" applyFont="1" applyFill="1" applyAlignment="1">
      <alignment horizontal="right" textRotation="90"/>
    </xf>
    <xf numFmtId="0" fontId="113" fillId="8" borderId="0" xfId="0" applyFont="1" applyFill="1" applyAlignment="1">
      <alignment vertical="center" textRotation="90"/>
    </xf>
    <xf numFmtId="164" fontId="116" fillId="8" borderId="0" xfId="8" applyFont="1" applyFill="1" applyAlignment="1">
      <alignment horizontal="left" vertical="center"/>
    </xf>
    <xf numFmtId="164" fontId="113" fillId="8" borderId="39" xfId="8" applyFont="1" applyFill="1" applyBorder="1" applyAlignment="1">
      <alignment horizontal="centerContinuous" vertical="center"/>
    </xf>
    <xf numFmtId="0" fontId="116" fillId="8" borderId="0" xfId="0" applyFont="1" applyFill="1" applyAlignment="1">
      <alignment horizontal="centerContinuous" vertical="center"/>
    </xf>
    <xf numFmtId="164" fontId="113" fillId="8" borderId="0" xfId="8" applyFont="1" applyFill="1" applyAlignment="1">
      <alignment horizontal="left" vertical="center"/>
    </xf>
    <xf numFmtId="164" fontId="116" fillId="8" borderId="0" xfId="8" applyFont="1" applyFill="1"/>
    <xf numFmtId="164" fontId="113" fillId="7" borderId="0" xfId="8" applyFont="1" applyFill="1"/>
    <xf numFmtId="164" fontId="116" fillId="7" borderId="0" xfId="8" applyFont="1" applyFill="1"/>
    <xf numFmtId="0" fontId="116" fillId="7" borderId="0" xfId="0" applyFont="1" applyFill="1"/>
    <xf numFmtId="164" fontId="113" fillId="8" borderId="0" xfId="8" applyFont="1" applyFill="1" applyAlignment="1">
      <alignment horizontal="right"/>
    </xf>
    <xf numFmtId="164" fontId="115" fillId="7" borderId="0" xfId="8" applyFont="1" applyFill="1"/>
    <xf numFmtId="164" fontId="123" fillId="7" borderId="3" xfId="8" applyFont="1" applyFill="1" applyBorder="1" applyAlignment="1">
      <alignment horizontal="right"/>
    </xf>
    <xf numFmtId="164" fontId="123" fillId="7" borderId="10" xfId="8" applyFont="1" applyFill="1" applyBorder="1" applyAlignment="1">
      <alignment horizontal="right"/>
    </xf>
    <xf numFmtId="164" fontId="123" fillId="7" borderId="9" xfId="8" applyFont="1" applyFill="1" applyBorder="1" applyAlignment="1">
      <alignment horizontal="right"/>
    </xf>
    <xf numFmtId="44" fontId="117" fillId="7" borderId="8" xfId="8" applyNumberFormat="1" applyFont="1" applyFill="1" applyBorder="1" applyAlignment="1">
      <alignment horizontal="centerContinuous"/>
    </xf>
    <xf numFmtId="164" fontId="124" fillId="7" borderId="3" xfId="8" applyFont="1" applyFill="1" applyBorder="1" applyAlignment="1">
      <alignment horizontal="right"/>
    </xf>
    <xf numFmtId="164" fontId="124" fillId="7" borderId="10" xfId="8" applyFont="1" applyFill="1" applyBorder="1" applyAlignment="1">
      <alignment horizontal="right"/>
    </xf>
    <xf numFmtId="164" fontId="124" fillId="7" borderId="9" xfId="8" applyFont="1" applyFill="1" applyBorder="1" applyAlignment="1">
      <alignment horizontal="right"/>
    </xf>
    <xf numFmtId="173" fontId="53" fillId="27" borderId="26" xfId="13" applyFont="1" applyFill="1" applyBorder="1" applyAlignment="1">
      <alignment horizontal="right" vertical="center"/>
    </xf>
    <xf numFmtId="173" fontId="54" fillId="27" borderId="26" xfId="13" applyFont="1" applyFill="1" applyBorder="1" applyAlignment="1">
      <alignment horizontal="right"/>
    </xf>
    <xf numFmtId="173" fontId="54" fillId="27" borderId="28" xfId="13" applyFont="1" applyFill="1" applyBorder="1" applyAlignment="1">
      <alignment horizontal="right"/>
    </xf>
    <xf numFmtId="169" fontId="125" fillId="27" borderId="31" xfId="10" applyFill="1" applyBorder="1" applyAlignment="1">
      <alignment horizontal="right"/>
    </xf>
    <xf numFmtId="169" fontId="125" fillId="27" borderId="26" xfId="10" applyFill="1" applyBorder="1" applyAlignment="1">
      <alignment horizontal="right"/>
    </xf>
    <xf numFmtId="169" fontId="6" fillId="27" borderId="28" xfId="10" applyFont="1" applyFill="1" applyBorder="1" applyAlignment="1">
      <alignment horizontal="center" vertical="center"/>
    </xf>
    <xf numFmtId="169" fontId="125" fillId="27" borderId="29" xfId="10" applyFill="1" applyBorder="1" applyAlignment="1">
      <alignment horizontal="left"/>
    </xf>
    <xf numFmtId="169" fontId="125" fillId="27" borderId="191" xfId="10" applyFill="1" applyBorder="1" applyAlignment="1">
      <alignment horizontal="left"/>
    </xf>
    <xf numFmtId="169" fontId="125" fillId="27" borderId="31" xfId="10" applyFill="1" applyBorder="1" applyAlignment="1">
      <alignment horizontal="left"/>
    </xf>
    <xf numFmtId="169" fontId="125" fillId="27" borderId="32" xfId="10" applyFill="1" applyBorder="1" applyAlignment="1">
      <alignment horizontal="left"/>
    </xf>
    <xf numFmtId="169" fontId="125" fillId="27" borderId="33" xfId="10" applyFill="1" applyBorder="1" applyAlignment="1">
      <alignment horizontal="left"/>
    </xf>
    <xf numFmtId="180" fontId="125" fillId="27" borderId="36" xfId="20" applyFill="1" applyBorder="1" applyAlignment="1">
      <alignment horizontal="right"/>
    </xf>
    <xf numFmtId="180" fontId="125" fillId="27" borderId="192" xfId="20" applyFill="1" applyBorder="1" applyAlignment="1">
      <alignment horizontal="right"/>
    </xf>
    <xf numFmtId="180" fontId="125" fillId="27" borderId="28" xfId="20" applyFill="1" applyBorder="1" applyAlignment="1">
      <alignment horizontal="right"/>
    </xf>
    <xf numFmtId="180" fontId="125" fillId="27" borderId="37" xfId="20" applyFill="1" applyBorder="1" applyAlignment="1">
      <alignment horizontal="right"/>
    </xf>
    <xf numFmtId="180" fontId="125" fillId="27" borderId="38" xfId="20" applyFill="1" applyBorder="1" applyAlignment="1">
      <alignment horizontal="right"/>
    </xf>
    <xf numFmtId="180" fontId="125" fillId="27" borderId="45" xfId="20" applyFill="1" applyBorder="1" applyAlignment="1">
      <alignment horizontal="right"/>
    </xf>
    <xf numFmtId="169" fontId="125" fillId="27" borderId="48" xfId="10" applyFill="1" applyBorder="1" applyAlignment="1">
      <alignment horizontal="left"/>
    </xf>
    <xf numFmtId="175" fontId="6" fillId="27" borderId="28" xfId="15" applyFont="1" applyFill="1" applyBorder="1" applyAlignment="1">
      <alignment horizontal="right" vertical="center"/>
    </xf>
    <xf numFmtId="0" fontId="0" fillId="27" borderId="31" xfId="0" applyFill="1" applyBorder="1" applyAlignment="1">
      <alignment horizontal="right"/>
    </xf>
    <xf numFmtId="169" fontId="125" fillId="27" borderId="28" xfId="10" applyFill="1" applyBorder="1" applyAlignment="1">
      <alignment horizontal="right"/>
    </xf>
    <xf numFmtId="173" fontId="22" fillId="27" borderId="26" xfId="13" applyFont="1" applyFill="1" applyBorder="1" applyAlignment="1">
      <alignment horizontal="right"/>
    </xf>
    <xf numFmtId="169" fontId="6" fillId="27" borderId="26" xfId="10" applyFont="1" applyFill="1" applyBorder="1" applyAlignment="1">
      <alignment horizontal="right" vertical="center"/>
    </xf>
    <xf numFmtId="173" fontId="125" fillId="27" borderId="31" xfId="13" applyFill="1" applyBorder="1" applyAlignment="1">
      <alignment horizontal="right"/>
    </xf>
    <xf numFmtId="169" fontId="125" fillId="27" borderId="31" xfId="10" applyFill="1" applyBorder="1" applyAlignment="1">
      <alignment horizontal="right" vertical="center"/>
    </xf>
    <xf numFmtId="173" fontId="125" fillId="27" borderId="193" xfId="13" applyFill="1" applyBorder="1"/>
    <xf numFmtId="173" fontId="125" fillId="27" borderId="26" xfId="13" applyFill="1" applyBorder="1"/>
    <xf numFmtId="173" fontId="125" fillId="27" borderId="42" xfId="13" applyFill="1" applyBorder="1"/>
    <xf numFmtId="173" fontId="125" fillId="27" borderId="28" xfId="13" applyFill="1" applyBorder="1"/>
    <xf numFmtId="173" fontId="125" fillId="27" borderId="26" xfId="13" applyFill="1" applyBorder="1" applyAlignment="1">
      <alignment horizontal="right"/>
    </xf>
    <xf numFmtId="173" fontId="22" fillId="27" borderId="28" xfId="13" applyFont="1" applyFill="1" applyBorder="1"/>
    <xf numFmtId="173" fontId="6" fillId="9" borderId="3" xfId="13" applyFont="1" applyFill="1" applyBorder="1" applyAlignment="1">
      <alignment horizontal="center"/>
    </xf>
    <xf numFmtId="173" fontId="6" fillId="9" borderId="10" xfId="13" applyFont="1" applyFill="1" applyBorder="1" applyAlignment="1">
      <alignment horizontal="center"/>
    </xf>
    <xf numFmtId="173" fontId="22" fillId="7" borderId="4" xfId="13" applyFont="1" applyFill="1" applyBorder="1" applyAlignment="1">
      <alignment horizontal="center"/>
    </xf>
    <xf numFmtId="173" fontId="22" fillId="7" borderId="11" xfId="13" applyFont="1" applyFill="1" applyBorder="1" applyAlignment="1">
      <alignment horizontal="center"/>
    </xf>
    <xf numFmtId="173" fontId="22" fillId="9" borderId="12" xfId="13" applyFont="1" applyFill="1" applyBorder="1" applyAlignment="1">
      <alignment horizontal="center"/>
    </xf>
    <xf numFmtId="173" fontId="22" fillId="9" borderId="4" xfId="13" applyFont="1" applyFill="1" applyBorder="1" applyAlignment="1">
      <alignment horizontal="center"/>
    </xf>
    <xf numFmtId="173" fontId="22" fillId="9" borderId="11" xfId="13" applyFont="1" applyFill="1" applyBorder="1" applyAlignment="1">
      <alignment horizontal="center"/>
    </xf>
    <xf numFmtId="173" fontId="22" fillId="7" borderId="12" xfId="13" applyFont="1" applyFill="1" applyBorder="1" applyAlignment="1">
      <alignment horizontal="center"/>
    </xf>
    <xf numFmtId="173" fontId="125" fillId="7" borderId="0" xfId="13" applyFill="1"/>
    <xf numFmtId="178" fontId="125" fillId="7" borderId="0" xfId="18" applyFill="1" applyAlignment="1">
      <alignment horizontal="right"/>
    </xf>
    <xf numFmtId="173" fontId="125" fillId="7" borderId="4" xfId="13" applyFill="1" applyBorder="1" applyAlignment="1">
      <alignment horizontal="right"/>
    </xf>
    <xf numFmtId="173" fontId="125" fillId="7" borderId="0" xfId="13" applyFill="1" applyAlignment="1">
      <alignment horizontal="right"/>
    </xf>
    <xf numFmtId="164" fontId="124" fillId="7" borderId="3" xfId="8" applyFont="1" applyFill="1" applyBorder="1" applyAlignment="1">
      <alignment horizontal="right"/>
    </xf>
    <xf numFmtId="164" fontId="27" fillId="7" borderId="3" xfId="8" applyFont="1" applyFill="1" applyBorder="1" applyAlignment="1">
      <alignment horizontal="right"/>
    </xf>
    <xf numFmtId="177" fontId="125" fillId="7" borderId="0" xfId="17" applyFill="1"/>
    <xf numFmtId="182" fontId="125" fillId="7" borderId="0" xfId="13" applyNumberFormat="1" applyFill="1"/>
    <xf numFmtId="183" fontId="20" fillId="7" borderId="0" xfId="21" applyFont="1" applyFill="1" applyProtection="1">
      <protection locked="0"/>
    </xf>
    <xf numFmtId="169" fontId="125" fillId="7" borderId="0" xfId="10" applyFill="1"/>
    <xf numFmtId="178" fontId="125" fillId="7" borderId="0" xfId="18" applyFill="1"/>
    <xf numFmtId="168" fontId="125" fillId="7" borderId="0" xfId="9" applyFill="1"/>
    <xf numFmtId="170" fontId="125" fillId="7" borderId="0" xfId="11" applyFill="1"/>
    <xf numFmtId="0" fontId="125" fillId="7" borderId="0" xfId="8" applyNumberFormat="1" applyFill="1" applyAlignment="1">
      <alignment vertical="top" wrapText="1"/>
    </xf>
    <xf numFmtId="164" fontId="113" fillId="8" borderId="0" xfId="8" applyFont="1" applyFill="1" applyAlignment="1">
      <alignment horizontal="right" textRotation="90"/>
    </xf>
    <xf numFmtId="164" fontId="116" fillId="0" borderId="0" xfId="8" applyFont="1"/>
    <xf numFmtId="0" fontId="113" fillId="8" borderId="0" xfId="0" applyFont="1" applyFill="1" applyAlignment="1">
      <alignment horizontal="right" vertical="center" textRotation="90"/>
    </xf>
    <xf numFmtId="171" fontId="6" fillId="27" borderId="35" xfId="12" applyFont="1" applyFill="1" applyBorder="1" applyAlignment="1">
      <alignment horizontal="right" vertical="center"/>
    </xf>
    <xf numFmtId="171" fontId="6" fillId="7" borderId="35" xfId="12" applyFont="1" applyFill="1" applyBorder="1" applyAlignment="1">
      <alignment horizontal="right" vertical="center"/>
    </xf>
    <xf numFmtId="164" fontId="116" fillId="0" borderId="0" xfId="8" applyFont="1" applyAlignment="1">
      <alignment textRotation="90"/>
    </xf>
    <xf numFmtId="171" fontId="6" fillId="7" borderId="0" xfId="12" applyFont="1" applyFill="1" applyAlignment="1">
      <alignment horizontal="right" vertical="center"/>
    </xf>
    <xf numFmtId="164" fontId="113" fillId="8" borderId="0" xfId="8" applyFont="1" applyFill="1" applyAlignment="1">
      <alignment horizontal="right" vertical="center" textRotation="90"/>
    </xf>
    <xf numFmtId="0" fontId="0" fillId="0" borderId="0" xfId="0"/>
    <xf numFmtId="0" fontId="116" fillId="0" borderId="0" xfId="0" applyFont="1" applyAlignment="1">
      <alignment vertical="center"/>
    </xf>
    <xf numFmtId="164" fontId="114" fillId="7" borderId="66" xfId="8" applyFont="1" applyFill="1" applyBorder="1" applyAlignment="1" applyProtection="1">
      <alignment horizontal="right" vertical="center" textRotation="90"/>
      <protection locked="0"/>
    </xf>
    <xf numFmtId="164" fontId="90" fillId="7" borderId="66" xfId="8" applyFont="1" applyFill="1" applyBorder="1" applyAlignment="1" applyProtection="1">
      <alignment horizontal="right" vertical="center" textRotation="90"/>
      <protection locked="0"/>
    </xf>
    <xf numFmtId="0" fontId="114" fillId="7" borderId="175" xfId="8" applyNumberFormat="1" applyFont="1" applyFill="1" applyBorder="1" applyAlignment="1" applyProtection="1">
      <alignment horizontal="right" textRotation="90"/>
      <protection locked="0"/>
    </xf>
    <xf numFmtId="0" fontId="90" fillId="7" borderId="175" xfId="8" applyNumberFormat="1" applyFont="1" applyFill="1" applyBorder="1" applyAlignment="1" applyProtection="1">
      <alignment horizontal="right" textRotation="90"/>
      <protection locked="0"/>
    </xf>
    <xf numFmtId="173" fontId="125" fillId="7" borderId="52" xfId="13" applyFill="1" applyBorder="1" applyAlignment="1">
      <alignment horizontal="right"/>
    </xf>
    <xf numFmtId="173" fontId="31" fillId="4" borderId="0" xfId="34" applyFill="1" applyProtection="1">
      <protection locked="0"/>
    </xf>
    <xf numFmtId="173" fontId="6" fillId="7" borderId="170" xfId="13" applyFont="1" applyFill="1" applyBorder="1"/>
    <xf numFmtId="173" fontId="6" fillId="7" borderId="115" xfId="13" applyFont="1" applyFill="1" applyBorder="1"/>
    <xf numFmtId="173" fontId="125" fillId="9" borderId="0" xfId="13" applyFill="1"/>
    <xf numFmtId="173" fontId="81" fillId="7" borderId="0" xfId="13" applyFont="1" applyFill="1" applyProtection="1">
      <protection locked="0"/>
    </xf>
    <xf numFmtId="173" fontId="81" fillId="7" borderId="0" xfId="13" applyFont="1" applyFill="1"/>
    <xf numFmtId="164" fontId="31" fillId="4" borderId="0" xfId="32" applyFill="1" applyAlignment="1" applyProtection="1">
      <alignment horizontal="right"/>
      <protection locked="0"/>
    </xf>
    <xf numFmtId="164" fontId="31" fillId="4" borderId="53" xfId="32" applyFill="1" applyBorder="1" applyAlignment="1" applyProtection="1">
      <alignment horizontal="right"/>
      <protection locked="0"/>
    </xf>
    <xf numFmtId="164" fontId="31" fillId="4" borderId="58" xfId="32" applyFill="1" applyBorder="1" applyAlignment="1" applyProtection="1">
      <alignment horizontal="right"/>
      <protection locked="0"/>
    </xf>
    <xf numFmtId="173" fontId="31" fillId="4" borderId="5" xfId="34" applyFill="1" applyBorder="1" applyProtection="1">
      <protection locked="0"/>
    </xf>
    <xf numFmtId="173" fontId="6" fillId="7" borderId="63" xfId="13" applyFont="1" applyFill="1" applyBorder="1"/>
    <xf numFmtId="173" fontId="125" fillId="14" borderId="0" xfId="13" applyFill="1" applyProtection="1">
      <protection locked="0"/>
    </xf>
    <xf numFmtId="173" fontId="20" fillId="7" borderId="0" xfId="13" applyFont="1" applyFill="1" applyProtection="1">
      <protection locked="0"/>
    </xf>
    <xf numFmtId="173" fontId="31" fillId="4" borderId="6" xfId="34" applyFill="1" applyBorder="1" applyProtection="1">
      <protection locked="0"/>
    </xf>
    <xf numFmtId="173" fontId="31" fillId="25" borderId="6" xfId="34" applyFill="1" applyBorder="1" applyProtection="1">
      <protection locked="0"/>
    </xf>
    <xf numFmtId="173" fontId="31" fillId="4" borderId="59" xfId="34" applyFill="1" applyBorder="1" applyProtection="1">
      <protection locked="0"/>
    </xf>
    <xf numFmtId="173" fontId="31" fillId="4" borderId="61" xfId="34" applyFill="1" applyBorder="1" applyProtection="1">
      <protection locked="0"/>
    </xf>
    <xf numFmtId="164" fontId="22" fillId="9" borderId="0" xfId="8" applyFont="1" applyFill="1" applyAlignment="1" applyProtection="1">
      <alignment horizontal="left" vertical="center"/>
      <protection locked="0"/>
    </xf>
    <xf numFmtId="173" fontId="31" fillId="18" borderId="6" xfId="34" applyFill="1" applyBorder="1" applyProtection="1">
      <protection locked="0"/>
    </xf>
    <xf numFmtId="207" fontId="88" fillId="4" borderId="0" xfId="32" applyNumberFormat="1" applyFont="1" applyFill="1" applyAlignment="1" applyProtection="1">
      <alignment horizontal="left" vertical="center"/>
      <protection locked="0"/>
    </xf>
    <xf numFmtId="207" fontId="88" fillId="4" borderId="56" xfId="32" applyNumberFormat="1" applyFont="1" applyFill="1" applyBorder="1" applyAlignment="1" applyProtection="1">
      <alignment horizontal="left" vertical="center"/>
      <protection locked="0"/>
    </xf>
    <xf numFmtId="164" fontId="22" fillId="7" borderId="0" xfId="8" applyFont="1" applyFill="1" applyAlignment="1" applyProtection="1">
      <alignment vertical="center"/>
      <protection locked="0"/>
    </xf>
    <xf numFmtId="164" fontId="22" fillId="7" borderId="56" xfId="8" applyFont="1" applyFill="1" applyBorder="1" applyAlignment="1" applyProtection="1">
      <alignment vertical="center"/>
      <protection locked="0"/>
    </xf>
    <xf numFmtId="173" fontId="31" fillId="4" borderId="108" xfId="34" applyFill="1" applyBorder="1" applyProtection="1">
      <protection locked="0"/>
    </xf>
    <xf numFmtId="164" fontId="31" fillId="4" borderId="166" xfId="32" applyFill="1" applyBorder="1" applyProtection="1">
      <protection locked="0"/>
    </xf>
    <xf numFmtId="164" fontId="31" fillId="4" borderId="59" xfId="32" applyFill="1" applyBorder="1" applyProtection="1">
      <protection locked="0"/>
    </xf>
    <xf numFmtId="164" fontId="113" fillId="7" borderId="0" xfId="8" applyFont="1" applyFill="1" applyAlignment="1">
      <alignment horizontal="right" wrapText="1"/>
    </xf>
    <xf numFmtId="164" fontId="113" fillId="7" borderId="56" xfId="8" applyFont="1" applyFill="1" applyBorder="1" applyAlignment="1">
      <alignment horizontal="right" wrapText="1"/>
    </xf>
    <xf numFmtId="164" fontId="113" fillId="7" borderId="69" xfId="8" applyFont="1" applyFill="1" applyBorder="1" applyAlignment="1">
      <alignment horizontal="right" wrapText="1"/>
    </xf>
    <xf numFmtId="173" fontId="31" fillId="18" borderId="5" xfId="34" applyFill="1" applyBorder="1" applyProtection="1">
      <protection locked="0"/>
    </xf>
    <xf numFmtId="164" fontId="31" fillId="4" borderId="6" xfId="32" applyFill="1" applyBorder="1" applyAlignment="1" applyProtection="1">
      <alignment horizontal="left"/>
      <protection locked="0"/>
    </xf>
    <xf numFmtId="173" fontId="125" fillId="12" borderId="0" xfId="13" applyFill="1"/>
    <xf numFmtId="173" fontId="20" fillId="7" borderId="0" xfId="13" applyFont="1" applyFill="1" applyAlignment="1">
      <alignment horizontal="right"/>
    </xf>
    <xf numFmtId="164" fontId="31" fillId="4" borderId="173" xfId="32" applyFill="1" applyBorder="1" applyProtection="1">
      <protection locked="0"/>
    </xf>
    <xf numFmtId="164" fontId="31" fillId="4" borderId="174" xfId="32" applyFill="1" applyBorder="1" applyProtection="1">
      <protection locked="0"/>
    </xf>
    <xf numFmtId="164" fontId="125" fillId="9" borderId="0" xfId="8" applyFill="1" applyProtection="1">
      <protection locked="0"/>
    </xf>
    <xf numFmtId="165" fontId="34" fillId="9" borderId="0" xfId="32" applyNumberFormat="1" applyFont="1" applyFill="1" applyProtection="1">
      <protection locked="0"/>
    </xf>
    <xf numFmtId="165" fontId="34" fillId="9" borderId="65" xfId="32" applyNumberFormat="1" applyFont="1" applyFill="1" applyBorder="1" applyProtection="1">
      <protection locked="0"/>
    </xf>
    <xf numFmtId="197" fontId="31" fillId="4" borderId="19" xfId="38" applyFill="1" applyBorder="1" applyProtection="1">
      <protection locked="0"/>
    </xf>
    <xf numFmtId="197" fontId="31" fillId="4" borderId="0" xfId="38" applyFill="1" applyProtection="1">
      <protection locked="0"/>
    </xf>
    <xf numFmtId="165" fontId="34" fillId="7" borderId="0" xfId="32" applyNumberFormat="1" applyFont="1" applyFill="1" applyProtection="1">
      <protection locked="0"/>
    </xf>
    <xf numFmtId="165" fontId="34" fillId="7" borderId="65" xfId="32" applyNumberFormat="1" applyFont="1" applyFill="1" applyBorder="1" applyProtection="1">
      <protection locked="0"/>
    </xf>
    <xf numFmtId="197" fontId="31" fillId="18" borderId="19" xfId="38" applyFill="1" applyBorder="1" applyProtection="1">
      <protection locked="0"/>
    </xf>
    <xf numFmtId="197" fontId="31" fillId="18" borderId="0" xfId="38" applyFill="1" applyProtection="1">
      <protection locked="0"/>
    </xf>
    <xf numFmtId="164" fontId="125" fillId="7" borderId="0" xfId="8" applyFill="1" applyProtection="1">
      <protection locked="0"/>
    </xf>
    <xf numFmtId="164" fontId="31" fillId="4" borderId="53" xfId="32" applyFill="1" applyBorder="1" applyAlignment="1" applyProtection="1">
      <alignment horizontal="left"/>
      <protection locked="0"/>
    </xf>
    <xf numFmtId="0" fontId="0" fillId="4" borderId="0" xfId="0" applyFill="1" applyAlignment="1" applyProtection="1">
      <alignment horizontal="left"/>
      <protection locked="0"/>
    </xf>
    <xf numFmtId="0" fontId="0" fillId="4" borderId="58" xfId="0" applyFill="1" applyBorder="1" applyAlignment="1" applyProtection="1">
      <alignment horizontal="left"/>
      <protection locked="0"/>
    </xf>
    <xf numFmtId="164" fontId="31" fillId="18" borderId="53" xfId="32" applyFill="1" applyBorder="1" applyAlignment="1" applyProtection="1">
      <alignment horizontal="left"/>
      <protection locked="0"/>
    </xf>
    <xf numFmtId="0" fontId="0" fillId="18" borderId="0" xfId="0" applyFill="1" applyAlignment="1" applyProtection="1">
      <alignment horizontal="left"/>
      <protection locked="0"/>
    </xf>
    <xf numFmtId="0" fontId="0" fillId="18" borderId="58" xfId="0" applyFill="1" applyBorder="1" applyAlignment="1" applyProtection="1">
      <alignment horizontal="left"/>
      <protection locked="0"/>
    </xf>
    <xf numFmtId="164" fontId="31" fillId="4" borderId="0" xfId="32" applyFill="1" applyAlignment="1" applyProtection="1">
      <alignment horizontal="left"/>
      <protection locked="0"/>
    </xf>
    <xf numFmtId="164" fontId="125" fillId="7" borderId="104" xfId="8" applyFill="1" applyBorder="1" applyProtection="1">
      <protection locked="0"/>
    </xf>
    <xf numFmtId="165" fontId="34" fillId="7" borderId="104" xfId="32" applyNumberFormat="1" applyFont="1" applyFill="1" applyBorder="1" applyProtection="1">
      <protection locked="0"/>
    </xf>
    <xf numFmtId="165" fontId="34" fillId="7" borderId="172" xfId="32" applyNumberFormat="1" applyFont="1" applyFill="1" applyBorder="1" applyProtection="1">
      <protection locked="0"/>
    </xf>
    <xf numFmtId="173" fontId="6" fillId="7" borderId="63" xfId="0" applyNumberFormat="1" applyFont="1" applyFill="1" applyBorder="1"/>
    <xf numFmtId="0" fontId="6" fillId="7" borderId="63" xfId="0" applyFont="1" applyFill="1" applyBorder="1"/>
    <xf numFmtId="173" fontId="125" fillId="7" borderId="0" xfId="13" applyFill="1" applyAlignment="1" applyProtection="1">
      <alignment horizontal="right"/>
      <protection locked="0"/>
    </xf>
    <xf numFmtId="164" fontId="39" fillId="7" borderId="0" xfId="8" applyFont="1" applyFill="1" applyAlignment="1" applyProtection="1">
      <alignment horizontal="left"/>
      <protection hidden="1"/>
    </xf>
    <xf numFmtId="173" fontId="31" fillId="4" borderId="166" xfId="34" applyFill="1" applyBorder="1" applyProtection="1">
      <protection locked="0"/>
    </xf>
    <xf numFmtId="173" fontId="31" fillId="4" borderId="168" xfId="34" applyFill="1" applyBorder="1" applyProtection="1">
      <protection locked="0"/>
    </xf>
    <xf numFmtId="173" fontId="31" fillId="4" borderId="53" xfId="34" applyFill="1" applyBorder="1" applyProtection="1">
      <protection locked="0"/>
    </xf>
    <xf numFmtId="173" fontId="31" fillId="4" borderId="111" xfId="34" applyFill="1" applyBorder="1" applyProtection="1">
      <protection locked="0"/>
    </xf>
    <xf numFmtId="173" fontId="31" fillId="4" borderId="112" xfId="34" applyFill="1" applyBorder="1" applyProtection="1">
      <protection locked="0"/>
    </xf>
    <xf numFmtId="173" fontId="31" fillId="4" borderId="171" xfId="34" applyFill="1" applyBorder="1" applyProtection="1">
      <protection locked="0"/>
    </xf>
    <xf numFmtId="173" fontId="31" fillId="4" borderId="128" xfId="34" applyFill="1" applyBorder="1" applyProtection="1">
      <protection locked="0"/>
    </xf>
    <xf numFmtId="173" fontId="125" fillId="7" borderId="168" xfId="13" applyFill="1" applyBorder="1"/>
    <xf numFmtId="173" fontId="125" fillId="7" borderId="53" xfId="13" applyFill="1" applyBorder="1"/>
    <xf numFmtId="173" fontId="20" fillId="7" borderId="63" xfId="13" applyFont="1" applyFill="1" applyBorder="1"/>
    <xf numFmtId="173" fontId="31" fillId="4" borderId="167" xfId="34" applyFill="1" applyBorder="1" applyProtection="1">
      <protection locked="0"/>
    </xf>
    <xf numFmtId="173" fontId="31" fillId="4" borderId="114" xfId="34" applyFill="1" applyBorder="1" applyProtection="1">
      <protection locked="0"/>
    </xf>
    <xf numFmtId="173" fontId="125" fillId="7" borderId="168" xfId="13" applyFill="1" applyBorder="1" applyAlignment="1">
      <alignment horizontal="right"/>
    </xf>
    <xf numFmtId="173" fontId="125" fillId="7" borderId="53" xfId="13" applyFill="1" applyBorder="1" applyAlignment="1">
      <alignment horizontal="right"/>
    </xf>
    <xf numFmtId="164" fontId="68" fillId="7" borderId="0" xfId="19" applyNumberFormat="1" applyFont="1" applyFill="1" applyAlignment="1" applyProtection="1">
      <alignment horizontal="right"/>
      <protection hidden="1"/>
    </xf>
    <xf numFmtId="164" fontId="68" fillId="0" borderId="0" xfId="19" applyNumberFormat="1" applyFont="1" applyAlignment="1">
      <alignment horizontal="right"/>
    </xf>
    <xf numFmtId="169" fontId="31" fillId="4" borderId="0" xfId="28" applyFill="1" applyProtection="1">
      <protection locked="0"/>
    </xf>
    <xf numFmtId="169" fontId="31" fillId="4" borderId="0" xfId="28" applyAlignment="1" applyProtection="1">
      <alignment horizontal="right"/>
      <protection locked="0"/>
    </xf>
    <xf numFmtId="173" fontId="125" fillId="7" borderId="168" xfId="13" applyFill="1" applyBorder="1" applyAlignment="1" applyProtection="1">
      <alignment horizontal="right"/>
      <protection locked="0"/>
    </xf>
    <xf numFmtId="173" fontId="125" fillId="7" borderId="53" xfId="13" applyFill="1" applyBorder="1" applyAlignment="1" applyProtection="1">
      <alignment horizontal="right"/>
      <protection locked="0"/>
    </xf>
    <xf numFmtId="165" fontId="69" fillId="7" borderId="166" xfId="34" applyNumberFormat="1" applyFont="1" applyFill="1" applyBorder="1" applyProtection="1">
      <protection hidden="1"/>
    </xf>
    <xf numFmtId="165" fontId="69" fillId="7" borderId="59" xfId="34" applyNumberFormat="1" applyFont="1" applyFill="1" applyBorder="1" applyProtection="1">
      <protection hidden="1"/>
    </xf>
    <xf numFmtId="0" fontId="31" fillId="24" borderId="0" xfId="32" applyNumberFormat="1" applyFill="1" applyAlignment="1" applyProtection="1">
      <alignment vertical="top" wrapText="1"/>
      <protection locked="0"/>
    </xf>
    <xf numFmtId="164" fontId="31" fillId="4" borderId="5" xfId="32" applyFill="1" applyBorder="1" applyAlignment="1" applyProtection="1">
      <alignment horizontal="right"/>
      <protection locked="0"/>
    </xf>
    <xf numFmtId="173" fontId="31" fillId="4" borderId="169" xfId="34" applyFill="1" applyBorder="1" applyProtection="1">
      <protection locked="0"/>
    </xf>
    <xf numFmtId="173" fontId="31" fillId="4" borderId="113" xfId="34" applyFill="1" applyBorder="1" applyProtection="1">
      <protection locked="0"/>
    </xf>
    <xf numFmtId="173" fontId="125" fillId="7" borderId="170" xfId="13" applyFill="1" applyBorder="1"/>
    <xf numFmtId="173" fontId="125" fillId="7" borderId="115" xfId="13" applyFill="1" applyBorder="1"/>
    <xf numFmtId="173" fontId="125" fillId="14" borderId="0" xfId="13" applyFill="1" applyProtection="1"/>
    <xf numFmtId="173" fontId="20" fillId="7" borderId="6" xfId="13" applyFont="1" applyFill="1" applyBorder="1" applyProtection="1">
      <protection locked="0"/>
    </xf>
    <xf numFmtId="173" fontId="125" fillId="4" borderId="52" xfId="13" applyFill="1" applyBorder="1" applyProtection="1">
      <protection locked="0"/>
    </xf>
    <xf numFmtId="222" fontId="19" fillId="11" borderId="176" xfId="16" applyNumberFormat="1" applyFont="1" applyFill="1" applyBorder="1" applyAlignment="1" applyProtection="1">
      <alignment horizontal="center" vertical="center"/>
      <protection locked="0"/>
    </xf>
    <xf numFmtId="222" fontId="0" fillId="11" borderId="177" xfId="0" applyNumberFormat="1" applyFill="1" applyBorder="1" applyAlignment="1" applyProtection="1">
      <alignment horizontal="center" vertical="center"/>
      <protection locked="0"/>
    </xf>
    <xf numFmtId="222" fontId="19" fillId="11" borderId="178" xfId="16" applyNumberFormat="1" applyFont="1" applyFill="1" applyBorder="1" applyAlignment="1" applyProtection="1">
      <alignment horizontal="center" vertical="center"/>
      <protection locked="0"/>
    </xf>
    <xf numFmtId="222" fontId="0" fillId="11" borderId="179" xfId="0" applyNumberFormat="1" applyFill="1" applyBorder="1" applyAlignment="1" applyProtection="1">
      <alignment horizontal="center" vertical="center"/>
      <protection locked="0"/>
    </xf>
    <xf numFmtId="222" fontId="19" fillId="11" borderId="180" xfId="16" applyNumberFormat="1" applyFont="1" applyFill="1" applyBorder="1" applyAlignment="1" applyProtection="1">
      <alignment horizontal="center" vertical="center"/>
      <protection locked="0"/>
    </xf>
    <xf numFmtId="0" fontId="0" fillId="0" borderId="177" xfId="0" applyBorder="1" applyAlignment="1">
      <alignment horizontal="center" vertical="center"/>
    </xf>
    <xf numFmtId="0" fontId="94" fillId="14" borderId="0" xfId="0" applyFont="1" applyFill="1" applyAlignment="1">
      <alignment horizontal="right" wrapText="1"/>
    </xf>
    <xf numFmtId="0" fontId="94" fillId="14" borderId="132" xfId="0" applyFont="1" applyFill="1" applyBorder="1" applyAlignment="1">
      <alignment horizontal="right" wrapText="1"/>
    </xf>
    <xf numFmtId="173" fontId="125" fillId="12" borderId="52" xfId="13" applyFill="1" applyBorder="1" applyProtection="1">
      <protection locked="0"/>
    </xf>
    <xf numFmtId="169" fontId="125" fillId="14" borderId="0" xfId="10" applyFill="1" applyProtection="1"/>
    <xf numFmtId="169" fontId="31" fillId="4" borderId="0" xfId="28" applyFill="1" applyAlignment="1" applyProtection="1">
      <alignment horizontal="right"/>
      <protection locked="0"/>
    </xf>
    <xf numFmtId="169" fontId="31" fillId="18" borderId="0" xfId="28" applyFill="1" applyAlignment="1" applyProtection="1">
      <alignment horizontal="right"/>
      <protection locked="0"/>
    </xf>
    <xf numFmtId="164" fontId="31" fillId="4" borderId="80" xfId="32" applyFill="1" applyBorder="1" applyProtection="1">
      <protection locked="0"/>
    </xf>
    <xf numFmtId="17" fontId="127" fillId="0" borderId="116" xfId="0" applyNumberFormat="1" applyFont="1" applyBorder="1" applyAlignment="1">
      <alignment horizontal="right"/>
    </xf>
    <xf numFmtId="0" fontId="127" fillId="0" borderId="0" xfId="0" applyFont="1"/>
    <xf numFmtId="17" fontId="128" fillId="0" borderId="118" xfId="0" applyNumberFormat="1" applyFont="1" applyBorder="1" applyAlignment="1">
      <alignment horizontal="right"/>
    </xf>
    <xf numFmtId="0" fontId="129" fillId="28" borderId="0" xfId="0" applyFont="1" applyFill="1"/>
    <xf numFmtId="0" fontId="0" fillId="28" borderId="0" xfId="0" applyFill="1"/>
    <xf numFmtId="0" fontId="129" fillId="29" borderId="0" xfId="0" applyFont="1" applyFill="1"/>
    <xf numFmtId="41" fontId="129" fillId="29" borderId="0" xfId="0" applyNumberFormat="1" applyFont="1" applyFill="1" applyAlignment="1">
      <alignment horizontal="left"/>
    </xf>
    <xf numFmtId="0" fontId="0" fillId="29" borderId="0" xfId="0" applyFill="1"/>
    <xf numFmtId="0" fontId="129" fillId="30" borderId="0" xfId="0" applyFont="1" applyFill="1"/>
    <xf numFmtId="41" fontId="129" fillId="30" borderId="0" xfId="0" applyNumberFormat="1" applyFont="1" applyFill="1" applyAlignment="1">
      <alignment horizontal="left"/>
    </xf>
    <xf numFmtId="0" fontId="0" fillId="30" borderId="0" xfId="0" applyFill="1"/>
    <xf numFmtId="0" fontId="129" fillId="31" borderId="0" xfId="0" applyFont="1" applyFill="1"/>
    <xf numFmtId="41" fontId="129" fillId="31" borderId="0" xfId="0" applyNumberFormat="1" applyFont="1" applyFill="1" applyAlignment="1">
      <alignment horizontal="left"/>
    </xf>
    <xf numFmtId="0" fontId="0" fillId="31" borderId="0" xfId="0" applyFill="1"/>
    <xf numFmtId="0" fontId="0" fillId="0" borderId="0" xfId="0" applyAlignment="1">
      <alignment vertical="top"/>
    </xf>
    <xf numFmtId="0" fontId="25" fillId="0" borderId="0" xfId="0" applyFont="1" applyAlignment="1">
      <alignment horizontal="right"/>
    </xf>
    <xf numFmtId="17" fontId="127" fillId="0" borderId="194" xfId="0" applyNumberFormat="1" applyFont="1" applyFill="1" applyBorder="1" applyAlignment="1">
      <alignment horizontal="right"/>
    </xf>
    <xf numFmtId="17" fontId="130" fillId="0" borderId="194" xfId="0" applyNumberFormat="1" applyFont="1" applyBorder="1" applyAlignment="1">
      <alignment horizontal="right"/>
    </xf>
    <xf numFmtId="0" fontId="130" fillId="0" borderId="194" xfId="0" applyFont="1" applyBorder="1" applyAlignment="1">
      <alignment horizontal="right"/>
    </xf>
    <xf numFmtId="0" fontId="130" fillId="0" borderId="194" xfId="0" applyFont="1" applyFill="1" applyBorder="1" applyAlignment="1">
      <alignment horizontal="right"/>
    </xf>
    <xf numFmtId="255" fontId="1" fillId="28" borderId="0" xfId="0" applyNumberFormat="1" applyFont="1" applyFill="1" applyAlignment="1">
      <alignment horizontal="left"/>
    </xf>
    <xf numFmtId="255" fontId="1" fillId="32" borderId="0" xfId="0" applyNumberFormat="1" applyFont="1" applyFill="1" applyAlignment="1">
      <alignment horizontal="left"/>
    </xf>
    <xf numFmtId="0" fontId="131" fillId="33" borderId="0" xfId="0" applyFont="1" applyFill="1"/>
    <xf numFmtId="0" fontId="0" fillId="33" borderId="0" xfId="0" applyFill="1"/>
    <xf numFmtId="0" fontId="132" fillId="14" borderId="0" xfId="0" applyFont="1" applyFill="1"/>
    <xf numFmtId="17" fontId="6" fillId="14" borderId="0" xfId="0" applyNumberFormat="1" applyFont="1" applyFill="1" applyAlignment="1">
      <alignment horizontal="right"/>
    </xf>
    <xf numFmtId="0" fontId="0" fillId="0" borderId="0" xfId="0" applyFont="1"/>
    <xf numFmtId="0" fontId="6" fillId="14" borderId="0" xfId="0" applyFont="1" applyFill="1" applyAlignment="1">
      <alignment horizontal="right"/>
    </xf>
    <xf numFmtId="0" fontId="0" fillId="34" borderId="0" xfId="0" applyFont="1" applyFill="1"/>
    <xf numFmtId="0" fontId="6" fillId="34" borderId="0" xfId="0" applyFont="1" applyFill="1"/>
    <xf numFmtId="0" fontId="134" fillId="0" borderId="0" xfId="0" applyFont="1"/>
    <xf numFmtId="255" fontId="0" fillId="0" borderId="0" xfId="0" applyNumberFormat="1" applyFont="1" applyAlignment="1">
      <alignment horizontal="right"/>
    </xf>
    <xf numFmtId="255" fontId="0" fillId="34" borderId="0" xfId="0" applyNumberFormat="1" applyFont="1" applyFill="1" applyAlignment="1">
      <alignment horizontal="right"/>
    </xf>
    <xf numFmtId="255" fontId="6" fillId="0" borderId="0" xfId="0" applyNumberFormat="1" applyFont="1" applyAlignment="1">
      <alignment horizontal="right"/>
    </xf>
    <xf numFmtId="255" fontId="6" fillId="0" borderId="194" xfId="0" applyNumberFormat="1" applyFont="1" applyBorder="1" applyAlignment="1">
      <alignment horizontal="right"/>
    </xf>
    <xf numFmtId="0" fontId="135" fillId="11" borderId="0" xfId="0" applyFont="1" applyFill="1" applyAlignment="1">
      <alignment horizontal="right"/>
    </xf>
    <xf numFmtId="0" fontId="135" fillId="11" borderId="0" xfId="0" applyFont="1" applyFill="1" applyAlignment="1">
      <alignment horizontal="center"/>
    </xf>
    <xf numFmtId="0" fontId="136" fillId="26" borderId="0" xfId="0" applyFont="1" applyFill="1" applyAlignment="1">
      <alignment horizontal="right"/>
    </xf>
    <xf numFmtId="3" fontId="0" fillId="0" borderId="0" xfId="0" applyNumberFormat="1" applyFont="1" applyAlignment="1">
      <alignment horizontal="right"/>
    </xf>
    <xf numFmtId="3" fontId="6" fillId="12" borderId="0" xfId="0" applyNumberFormat="1" applyFont="1" applyFill="1" applyAlignment="1">
      <alignment horizontal="right"/>
    </xf>
    <xf numFmtId="0" fontId="134" fillId="34" borderId="0" xfId="0" applyFont="1" applyFill="1"/>
    <xf numFmtId="3" fontId="0" fillId="34" borderId="0" xfId="0" applyNumberFormat="1" applyFont="1" applyFill="1" applyAlignment="1">
      <alignment horizontal="right"/>
    </xf>
    <xf numFmtId="3" fontId="6" fillId="0" borderId="0" xfId="0" applyNumberFormat="1" applyFont="1" applyAlignment="1">
      <alignment horizontal="right"/>
    </xf>
    <xf numFmtId="3" fontId="6" fillId="0" borderId="194" xfId="0" applyNumberFormat="1" applyFont="1" applyBorder="1" applyAlignment="1">
      <alignment horizontal="right"/>
    </xf>
    <xf numFmtId="0" fontId="129" fillId="5" borderId="0" xfId="0" applyFont="1" applyFill="1"/>
    <xf numFmtId="41" fontId="129" fillId="5" borderId="0" xfId="0" applyNumberFormat="1" applyFont="1" applyFill="1" applyAlignment="1">
      <alignment horizontal="left"/>
    </xf>
    <xf numFmtId="255" fontId="1" fillId="5" borderId="0" xfId="0" applyNumberFormat="1" applyFont="1" applyFill="1" applyAlignment="1">
      <alignment horizontal="left"/>
    </xf>
    <xf numFmtId="255" fontId="1" fillId="30" borderId="0" xfId="0" applyNumberFormat="1" applyFont="1" applyFill="1" applyAlignment="1">
      <alignment horizontal="left"/>
    </xf>
    <xf numFmtId="255" fontId="1" fillId="31" borderId="0" xfId="0" applyNumberFormat="1" applyFont="1" applyFill="1" applyAlignment="1">
      <alignment horizontal="left"/>
    </xf>
    <xf numFmtId="0" fontId="132" fillId="14" borderId="0" xfId="0" applyFont="1" applyFill="1" applyAlignment="1">
      <alignment horizontal="left"/>
    </xf>
    <xf numFmtId="0" fontId="0" fillId="14" borderId="0" xfId="0" applyFill="1" applyAlignment="1">
      <alignment horizontal="left"/>
    </xf>
    <xf numFmtId="0" fontId="0" fillId="0" borderId="0" xfId="0" applyAlignment="1">
      <alignment horizontal="left"/>
    </xf>
    <xf numFmtId="0" fontId="0" fillId="0" borderId="0" xfId="0" applyFont="1" applyAlignment="1">
      <alignment horizontal="left"/>
    </xf>
    <xf numFmtId="0" fontId="134" fillId="0" borderId="0" xfId="0" applyFont="1" applyAlignment="1">
      <alignment horizontal="left"/>
    </xf>
    <xf numFmtId="0" fontId="0" fillId="34" borderId="0" xfId="0" applyFont="1" applyFill="1" applyAlignment="1">
      <alignment horizontal="left"/>
    </xf>
    <xf numFmtId="0" fontId="6" fillId="34" borderId="0" xfId="0" applyFont="1" applyFill="1" applyAlignment="1">
      <alignment horizontal="left"/>
    </xf>
    <xf numFmtId="0" fontId="0" fillId="0" borderId="0" xfId="0" applyAlignment="1"/>
    <xf numFmtId="17" fontId="6" fillId="14" borderId="0" xfId="0" applyNumberFormat="1" applyFont="1" applyFill="1" applyAlignment="1">
      <alignment horizontal="center"/>
    </xf>
    <xf numFmtId="0" fontId="0" fillId="14" borderId="0" xfId="0" applyFill="1" applyAlignment="1">
      <alignment horizontal="center"/>
    </xf>
    <xf numFmtId="0" fontId="6" fillId="14" borderId="0" xfId="0" applyFont="1" applyFill="1" applyAlignment="1">
      <alignment horizontal="center"/>
    </xf>
    <xf numFmtId="0" fontId="136" fillId="26" borderId="0" xfId="0" applyFont="1" applyFill="1" applyAlignment="1">
      <alignment horizontal="center"/>
    </xf>
    <xf numFmtId="255" fontId="0" fillId="0" borderId="0" xfId="0" applyNumberFormat="1" applyFont="1" applyAlignment="1">
      <alignment horizontal="center"/>
    </xf>
    <xf numFmtId="0" fontId="31" fillId="0" borderId="0" xfId="0" applyFont="1" applyAlignment="1">
      <alignment horizontal="center"/>
    </xf>
    <xf numFmtId="0" fontId="134" fillId="0" borderId="0" xfId="0" applyFont="1" applyAlignment="1">
      <alignment horizontal="center"/>
    </xf>
    <xf numFmtId="4" fontId="0" fillId="0" borderId="0" xfId="0" applyNumberFormat="1" applyFont="1" applyAlignment="1">
      <alignment horizontal="center"/>
    </xf>
    <xf numFmtId="3" fontId="0" fillId="0" borderId="0" xfId="0" applyNumberFormat="1" applyFont="1" applyAlignment="1">
      <alignment horizontal="center"/>
    </xf>
    <xf numFmtId="3" fontId="6" fillId="12" borderId="0" xfId="0" applyNumberFormat="1" applyFont="1" applyFill="1" applyAlignment="1">
      <alignment horizontal="center"/>
    </xf>
    <xf numFmtId="255" fontId="0" fillId="34" borderId="0" xfId="0" applyNumberFormat="1" applyFont="1" applyFill="1" applyAlignment="1">
      <alignment horizontal="center"/>
    </xf>
    <xf numFmtId="0" fontId="31" fillId="34" borderId="0" xfId="0" applyFont="1" applyFill="1" applyAlignment="1">
      <alignment horizontal="center"/>
    </xf>
    <xf numFmtId="0" fontId="134" fillId="34" borderId="0" xfId="0" applyFont="1" applyFill="1" applyAlignment="1">
      <alignment horizontal="center"/>
    </xf>
    <xf numFmtId="4" fontId="0" fillId="34" borderId="0" xfId="0" applyNumberFormat="1" applyFont="1" applyFill="1" applyAlignment="1">
      <alignment horizontal="center"/>
    </xf>
    <xf numFmtId="3" fontId="0" fillId="34" borderId="0" xfId="0" applyNumberFormat="1" applyFont="1" applyFill="1" applyAlignment="1">
      <alignment horizontal="center"/>
    </xf>
    <xf numFmtId="0" fontId="133" fillId="0" borderId="0" xfId="0" applyFont="1" applyAlignment="1">
      <alignment horizontal="center"/>
    </xf>
    <xf numFmtId="0" fontId="0" fillId="0" borderId="0" xfId="0" applyFont="1" applyAlignment="1">
      <alignment horizontal="center"/>
    </xf>
    <xf numFmtId="0" fontId="0" fillId="34" borderId="0" xfId="0" applyFont="1" applyFill="1" applyAlignment="1">
      <alignment horizontal="center"/>
    </xf>
    <xf numFmtId="0" fontId="133" fillId="34" borderId="0" xfId="0" applyFont="1" applyFill="1" applyAlignment="1">
      <alignment horizontal="center"/>
    </xf>
    <xf numFmtId="255" fontId="0" fillId="0" borderId="0" xfId="0" applyNumberFormat="1" applyAlignment="1">
      <alignment horizontal="center"/>
    </xf>
    <xf numFmtId="255" fontId="6" fillId="0" borderId="194" xfId="0" applyNumberFormat="1" applyFont="1" applyBorder="1" applyAlignment="1">
      <alignment horizontal="center"/>
    </xf>
    <xf numFmtId="255" fontId="6" fillId="0" borderId="118" xfId="0" applyNumberFormat="1" applyFont="1" applyBorder="1" applyAlignment="1">
      <alignment horizontal="center"/>
    </xf>
    <xf numFmtId="0" fontId="6" fillId="0" borderId="0" xfId="0" applyFont="1" applyAlignment="1">
      <alignment horizontal="center"/>
    </xf>
    <xf numFmtId="3" fontId="136" fillId="26" borderId="194" xfId="0" applyNumberFormat="1" applyFont="1" applyFill="1" applyBorder="1" applyAlignment="1">
      <alignment horizontal="center"/>
    </xf>
    <xf numFmtId="3" fontId="6" fillId="0" borderId="194" xfId="0" applyNumberFormat="1" applyFont="1" applyBorder="1" applyAlignment="1">
      <alignment horizontal="center"/>
    </xf>
    <xf numFmtId="0" fontId="139" fillId="14" borderId="0" xfId="0" applyFont="1" applyFill="1"/>
    <xf numFmtId="0" fontId="140" fillId="31" borderId="0" xfId="0" applyFont="1" applyFill="1"/>
    <xf numFmtId="255" fontId="6" fillId="34" borderId="0" xfId="0" applyNumberFormat="1" applyFont="1" applyFill="1" applyAlignment="1">
      <alignment horizontal="right"/>
    </xf>
    <xf numFmtId="255" fontId="140" fillId="31" borderId="0" xfId="0" applyNumberFormat="1" applyFont="1" applyFill="1" applyAlignment="1">
      <alignment horizontal="right"/>
    </xf>
    <xf numFmtId="3" fontId="6" fillId="12" borderId="194" xfId="0" applyNumberFormat="1" applyFont="1" applyFill="1" applyBorder="1" applyAlignment="1">
      <alignment horizontal="right"/>
    </xf>
    <xf numFmtId="3" fontId="6" fillId="34" borderId="0" xfId="0" applyNumberFormat="1" applyFont="1" applyFill="1" applyAlignment="1">
      <alignment horizontal="right"/>
    </xf>
    <xf numFmtId="3" fontId="140" fillId="31" borderId="0" xfId="0" applyNumberFormat="1" applyFont="1" applyFill="1" applyAlignment="1">
      <alignment horizontal="right"/>
    </xf>
    <xf numFmtId="3" fontId="140" fillId="0" borderId="0" xfId="0" applyNumberFormat="1" applyFont="1" applyAlignment="1">
      <alignment horizontal="right"/>
    </xf>
    <xf numFmtId="0" fontId="136" fillId="35" borderId="0" xfId="0" applyFont="1" applyFill="1" applyAlignment="1"/>
    <xf numFmtId="49" fontId="0" fillId="0" borderId="0" xfId="0" applyNumberFormat="1" applyAlignment="1">
      <alignment vertical="top"/>
    </xf>
    <xf numFmtId="49" fontId="0" fillId="0" borderId="0" xfId="0" applyNumberFormat="1" applyAlignment="1"/>
  </cellXfs>
  <cellStyles count="48">
    <cellStyle name="Box (Ext)" xfId="25" xr:uid="{00000000-0005-0000-0000-000019000000}"/>
    <cellStyle name="Box (Int)" xfId="26" xr:uid="{00000000-0005-0000-0000-00001A000000}"/>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Explanatory Text" xfId="7" xr:uid="{00000000-0005-0000-0000-000007000000}"/>
    <cellStyle name="Heading 1" xfId="6" xr:uid="{00000000-0005-0000-0000-000006000000}"/>
    <cellStyle name="Headings" xfId="23" xr:uid="{00000000-0005-0000-0000-000017000000}"/>
    <cellStyle name="Hyperlink" xfId="19" xr:uid="{00000000-0005-0000-0000-000013000000}"/>
    <cellStyle name="Inp ($0)" xfId="34" xr:uid="{00000000-0005-0000-0000-000022000000}"/>
    <cellStyle name="Inp ($0.00)" xfId="45" xr:uid="{00000000-0005-0000-0000-00002D000000}"/>
    <cellStyle name="Inp (0 bps)" xfId="29" xr:uid="{00000000-0005-0000-0000-00001D000000}"/>
    <cellStyle name="Inp (0%)" xfId="40" xr:uid="{00000000-0005-0000-0000-000028000000}"/>
    <cellStyle name="Inp (0)" xfId="32" xr:uid="{00000000-0005-0000-0000-000020000000}"/>
    <cellStyle name="Inp (0.00%)" xfId="28" xr:uid="{00000000-0005-0000-0000-00001C000000}"/>
    <cellStyle name="Inp (0.00)" xfId="41" xr:uid="{00000000-0005-0000-0000-000029000000}"/>
    <cellStyle name="Inp (days)" xfId="21" xr:uid="{00000000-0005-0000-0000-000015000000}"/>
    <cellStyle name="Inp (MMM-YY)" xfId="30" xr:uid="{00000000-0005-0000-0000-00001E000000}"/>
    <cellStyle name="Inp (Month 0)" xfId="44" xr:uid="{00000000-0005-0000-0000-00002C000000}"/>
    <cellStyle name="Inp (months)" xfId="43" xr:uid="{00000000-0005-0000-0000-00002B000000}"/>
    <cellStyle name="Inp (sf)" xfId="35" xr:uid="{00000000-0005-0000-0000-000023000000}"/>
    <cellStyle name="Inp (Studio)" xfId="36" xr:uid="{00000000-0005-0000-0000-000024000000}"/>
    <cellStyle name="Inp (text)" xfId="38" xr:uid="{00000000-0005-0000-0000-000026000000}"/>
    <cellStyle name="Inp (units)" xfId="37" xr:uid="{00000000-0005-0000-0000-000025000000}"/>
    <cellStyle name="Inp (Year 0)" xfId="42" xr:uid="{00000000-0005-0000-0000-00002A000000}"/>
    <cellStyle name="Inp (years)" xfId="31" xr:uid="{00000000-0005-0000-0000-00001F000000}"/>
    <cellStyle name="Mod ($0)" xfId="27" xr:uid="{00000000-0005-0000-0000-00001B000000}"/>
    <cellStyle name="Mod (0)" xfId="46" xr:uid="{00000000-0005-0000-0000-00002E000000}"/>
    <cellStyle name="Mod (0.00)" xfId="47" xr:uid="{00000000-0005-0000-0000-00002F000000}"/>
    <cellStyle name="Norm ($0)" xfId="13" xr:uid="{00000000-0005-0000-0000-00000D000000}"/>
    <cellStyle name="Norm ($0.00)" xfId="15" xr:uid="{00000000-0005-0000-0000-00000F000000}"/>
    <cellStyle name="Norm (0 bps)" xfId="33" xr:uid="{00000000-0005-0000-0000-000021000000}"/>
    <cellStyle name="Norm (0%)" xfId="17" xr:uid="{00000000-0005-0000-0000-000011000000}"/>
    <cellStyle name="Norm (0)" xfId="8" xr:uid="{00000000-0005-0000-0000-000008000000}"/>
    <cellStyle name="Norm (0.00%)" xfId="10" xr:uid="{00000000-0005-0000-0000-00000A000000}"/>
    <cellStyle name="Norm (0.00)" xfId="22" xr:uid="{00000000-0005-0000-0000-000016000000}"/>
    <cellStyle name="Norm (0.00x)" xfId="20" xr:uid="{00000000-0005-0000-0000-000014000000}"/>
    <cellStyle name="Norm (MMM-YY)" xfId="11" xr:uid="{00000000-0005-0000-0000-00000B000000}"/>
    <cellStyle name="Norm (Month 0)" xfId="39" xr:uid="{00000000-0005-0000-0000-000027000000}"/>
    <cellStyle name="Norm (months)" xfId="18" xr:uid="{00000000-0005-0000-0000-000012000000}"/>
    <cellStyle name="Norm (sf)" xfId="14" xr:uid="{00000000-0005-0000-0000-00000E000000}"/>
    <cellStyle name="Norm (units)" xfId="9" xr:uid="{00000000-0005-0000-0000-000009000000}"/>
    <cellStyle name="Norm (Year 0)" xfId="16" xr:uid="{00000000-0005-0000-0000-000010000000}"/>
    <cellStyle name="Norm (Year 0-)" xfId="24" xr:uid="{00000000-0005-0000-0000-000018000000}"/>
    <cellStyle name="Norm (years)" xfId="12" xr:uid="{00000000-0005-0000-0000-00000C000000}"/>
    <cellStyle name="Normal" xfId="0" builtinId="0"/>
    <cellStyle name="Percent" xfId="1" xr:uid="{00000000-0005-0000-0000-000001000000}"/>
  </cellStyles>
  <dxfs count="232">
    <dxf>
      <font>
        <b/>
        <i val="0"/>
      </font>
      <numFmt numFmtId="230" formatCode="\ \ \ \ @_)"/>
    </dxf>
    <dxf>
      <font>
        <b/>
        <i val="0"/>
      </font>
    </dxf>
    <dxf>
      <fill>
        <patternFill>
          <bgColor theme="0" tint="-4.9958800012207406E-2"/>
        </patternFill>
      </fill>
    </dxf>
    <dxf>
      <numFmt numFmtId="165" formatCode=";;;"/>
      <fill>
        <patternFill>
          <bgColor theme="0"/>
        </patternFill>
      </fill>
      <border>
        <left/>
        <right/>
        <top/>
        <bottom/>
        <vertical/>
        <horizontal/>
      </border>
    </dxf>
    <dxf>
      <fill>
        <patternFill>
          <bgColor rgb="FFEAEAEA"/>
        </patternFill>
      </fill>
    </dxf>
    <dxf>
      <fill>
        <patternFill>
          <bgColor theme="0" tint="-4.9958800012207406E-2"/>
        </patternFill>
      </fill>
    </dxf>
    <dxf>
      <numFmt numFmtId="165" formatCode=";;;"/>
      <fill>
        <patternFill>
          <bgColor theme="0"/>
        </patternFill>
      </fill>
    </dxf>
    <dxf>
      <fill>
        <patternFill>
          <bgColor rgb="FFD2E7F4"/>
        </patternFill>
      </fill>
    </dxf>
    <dxf>
      <fill>
        <patternFill>
          <bgColor rgb="FFD2E7F4"/>
        </patternFill>
      </fill>
    </dxf>
    <dxf>
      <fill>
        <patternFill>
          <bgColor rgb="FFF2F2F2"/>
        </patternFill>
      </fill>
    </dxf>
    <dxf>
      <font>
        <color rgb="FF0000FF"/>
      </font>
      <fill>
        <patternFill>
          <bgColor rgb="FFFFFFC8"/>
        </patternFill>
      </fill>
    </dxf>
    <dxf>
      <font>
        <color rgb="FF0000FF"/>
      </font>
      <fill>
        <patternFill>
          <bgColor rgb="FFFFFFC8"/>
        </patternFill>
      </fill>
    </dxf>
    <dxf>
      <font>
        <color rgb="FF0000FF"/>
      </font>
      <fill>
        <patternFill>
          <bgColor rgb="FFFFFFC8"/>
        </patternFill>
      </fill>
    </dxf>
    <dxf>
      <fill>
        <patternFill>
          <bgColor rgb="FFD2E7F4"/>
        </patternFill>
      </fill>
    </dxf>
    <dxf>
      <fill>
        <patternFill>
          <bgColor rgb="FFD2E7F4"/>
        </patternFill>
      </fill>
    </dxf>
    <dxf>
      <numFmt numFmtId="165" formatCode=";;;"/>
    </dxf>
    <dxf>
      <numFmt numFmtId="231" formatCode="_(&quot;Int. Only&quot;_);_(&quot;$&quot;* \(#,##0\);_(&quot;Int. Only&quot;_);_(@_)"/>
    </dxf>
    <dxf>
      <numFmt numFmtId="165" formatCode=";;;"/>
      <fill>
        <patternFill>
          <bgColor rgb="FFF2F2F2"/>
        </patternFill>
      </fill>
    </dxf>
    <dxf>
      <font>
        <color theme="1"/>
      </font>
    </dxf>
    <dxf>
      <font>
        <color theme="1"/>
      </font>
      <numFmt numFmtId="232" formatCode="#,##0_);\(#,##0\);_(&quot;-&quot;_);\ &quot;Variable (IO)&quot;_)"/>
      <fill>
        <patternFill>
          <bgColor rgb="FFF2F2F2"/>
        </patternFill>
      </fill>
    </dxf>
    <dxf>
      <numFmt numFmtId="233" formatCode="#,##0_);\(#,##0\);_(&quot;-&quot;_);\ &quot;Fixed (IO)&quot;_)"/>
      <fill>
        <patternFill>
          <bgColor rgb="FFF2F2F2"/>
        </patternFill>
      </fill>
    </dxf>
    <dxf>
      <numFmt numFmtId="165" formatCode=";;;"/>
      <fill>
        <patternFill>
          <bgColor rgb="FFF2F2F2"/>
        </patternFill>
      </fill>
    </dxf>
    <dxf>
      <numFmt numFmtId="165" formatCode=";;;"/>
      <fill>
        <patternFill>
          <bgColor rgb="FFF2F2F2"/>
        </patternFill>
      </fill>
    </dxf>
    <dxf>
      <numFmt numFmtId="165" formatCode=";;;"/>
      <fill>
        <patternFill>
          <bgColor rgb="FFF2F2F2"/>
        </patternFill>
      </fill>
    </dxf>
    <dxf>
      <numFmt numFmtId="165" formatCode=";;;"/>
      <fill>
        <patternFill>
          <bgColor rgb="FFF2F2F2"/>
        </patternFill>
      </fill>
    </dxf>
    <dxf>
      <numFmt numFmtId="165" formatCode=";;;"/>
      <fill>
        <patternFill>
          <bgColor rgb="FFF2F2F2"/>
        </patternFill>
      </fill>
    </dxf>
    <dxf>
      <font>
        <color rgb="FF0000FF"/>
      </font>
      <fill>
        <patternFill>
          <bgColor rgb="FFFFFFC8"/>
        </patternFill>
      </fill>
    </dxf>
    <dxf>
      <font>
        <color rgb="FF0000FF"/>
      </font>
      <fill>
        <patternFill>
          <bgColor rgb="FFFFFFC8"/>
        </patternFill>
      </fill>
    </dxf>
    <dxf>
      <font>
        <color rgb="FF0000FF"/>
      </font>
      <fill>
        <patternFill>
          <bgColor rgb="FFF8F4CA"/>
        </patternFill>
      </fill>
    </dxf>
    <dxf>
      <numFmt numFmtId="234" formatCode="&quot;At Exit&quot;_);\(#,##0\)"/>
    </dxf>
    <dxf>
      <numFmt numFmtId="165" formatCode=";;;"/>
      <fill>
        <patternFill>
          <bgColor rgb="FFF2F2F2"/>
        </patternFill>
      </fill>
    </dxf>
    <dxf>
      <font>
        <color theme="1"/>
      </font>
      <fill>
        <patternFill>
          <bgColor rgb="FFF2F2F2"/>
        </patternFill>
      </fill>
    </dxf>
    <dxf>
      <font>
        <color theme="1"/>
      </font>
      <fill>
        <patternFill>
          <bgColor rgb="FFEAEAEA"/>
        </patternFill>
      </fill>
    </dxf>
    <dxf>
      <font>
        <color theme="1"/>
      </font>
      <fill>
        <patternFill>
          <bgColor theme="0" tint="-4.9958800012207406E-2"/>
        </patternFill>
      </fill>
    </dxf>
    <dxf>
      <fill>
        <patternFill>
          <bgColor rgb="FFFFFFC8"/>
        </patternFill>
      </fill>
    </dxf>
    <dxf>
      <font>
        <b/>
        <i val="0"/>
        <color auto="1"/>
      </font>
      <numFmt numFmtId="235" formatCode="&quot;[Insufficient # of Months]&quot;;&quot;[Invalid Input]&quot;;&quot;[Invalid Input]&quot;;&quot;[Invalid Input]&quot;"/>
      <fill>
        <patternFill>
          <bgColor rgb="FFECC7CE"/>
        </patternFill>
      </fill>
    </dxf>
    <dxf>
      <font>
        <b val="0"/>
        <i/>
        <color theme="0" tint="-0.49995422223578601"/>
      </font>
      <numFmt numFmtId="236" formatCode="&quot;Reassessed &quot;;&quot;Reassessed &quot;;&quot;Reassessed &quot;"/>
      <fill>
        <patternFill>
          <bgColor theme="0" tint="-4.9958800012207406E-2"/>
        </patternFill>
      </fill>
    </dxf>
    <dxf>
      <font>
        <b val="0"/>
        <i/>
        <color theme="0" tint="-0.49995422223578601"/>
      </font>
      <numFmt numFmtId="237" formatCode="&quot;Proforma Taxes&quot;;&quot;Proforma Taxes&quot;;&quot;Proforma Taxes&quot;"/>
      <fill>
        <patternFill>
          <bgColor theme="0" tint="-4.9958800012207406E-2"/>
        </patternFill>
      </fill>
    </dxf>
    <dxf>
      <numFmt numFmtId="238" formatCode="&quot;[No Historicals Added]&quot;;&quot;[No Historicals Added]&quot;;&quot;[No Historicals Added]&quot;;&quot;[No Historicals Added]&quot;"/>
      <fill>
        <patternFill>
          <bgColor rgb="FFECC7CE"/>
        </patternFill>
      </fill>
    </dxf>
    <dxf>
      <fill>
        <patternFill patternType="none"/>
      </fill>
    </dxf>
    <dxf>
      <fill>
        <patternFill>
          <bgColor theme="0" tint="-4.9958800012207406E-2"/>
        </patternFill>
      </fill>
    </dxf>
    <dxf>
      <font>
        <b/>
        <i val="0"/>
        <color auto="1"/>
      </font>
      <numFmt numFmtId="235" formatCode="&quot;[Insufficient # of Months]&quot;;&quot;[Invalid Input]&quot;;&quot;[Invalid Input]&quot;;&quot;[Invalid Input]&quot;"/>
      <fill>
        <patternFill>
          <bgColor rgb="FFECC7CE"/>
        </patternFill>
      </fill>
    </dxf>
    <dxf>
      <fill>
        <patternFill patternType="none"/>
      </fill>
    </dxf>
    <dxf>
      <numFmt numFmtId="165" formatCode=";;;"/>
      <fill>
        <patternFill>
          <bgColor theme="0"/>
        </patternFill>
      </fill>
      <border>
        <left/>
        <right/>
        <top/>
        <bottom/>
        <vertical/>
        <horizontal/>
      </border>
    </dxf>
    <dxf>
      <numFmt numFmtId="165" formatCode=";;;"/>
      <fill>
        <patternFill>
          <bgColor theme="0" tint="-4.9958800012207406E-2"/>
        </patternFill>
      </fill>
    </dxf>
    <dxf>
      <fill>
        <patternFill>
          <bgColor rgb="FFD2E7F4"/>
        </patternFill>
      </fill>
    </dxf>
    <dxf>
      <fill>
        <patternFill>
          <bgColor rgb="FFD2E7F4"/>
        </patternFill>
      </fill>
    </dxf>
    <dxf>
      <fill>
        <patternFill>
          <bgColor rgb="FFD2E7F4"/>
        </patternFill>
      </fill>
    </dxf>
    <dxf>
      <fill>
        <patternFill>
          <bgColor rgb="FFFFFFC8"/>
        </patternFill>
      </fill>
    </dxf>
    <dxf>
      <fill>
        <patternFill>
          <bgColor rgb="FFF8F4CA"/>
        </patternFill>
      </fill>
    </dxf>
    <dxf>
      <fill>
        <patternFill>
          <bgColor rgb="FFFFFFC8"/>
        </patternFill>
      </fill>
    </dxf>
    <dxf>
      <fill>
        <patternFill>
          <bgColor rgb="FFF8F4CA"/>
        </patternFill>
      </fill>
    </dxf>
    <dxf>
      <fill>
        <patternFill>
          <bgColor rgb="FFFFFFC8"/>
        </patternFill>
      </fill>
    </dxf>
    <dxf>
      <fill>
        <patternFill>
          <bgColor rgb="FFF8F4CA"/>
        </patternFill>
      </fill>
    </dxf>
    <dxf>
      <fill>
        <patternFill>
          <bgColor rgb="FFEAEAEA"/>
        </patternFill>
      </fill>
    </dxf>
    <dxf>
      <fill>
        <patternFill>
          <bgColor rgb="FFD2E7F4"/>
        </patternFill>
      </fill>
    </dxf>
    <dxf>
      <fill>
        <patternFill>
          <bgColor rgb="FFBFDDEF"/>
        </patternFill>
      </fill>
    </dxf>
    <dxf>
      <font>
        <color theme="0" tint="-0.34995574816125979"/>
      </font>
    </dxf>
    <dxf>
      <font>
        <color theme="0" tint="-0.34995574816125979"/>
      </font>
      <fill>
        <patternFill>
          <bgColor theme="0" tint="-4.9958800012207406E-2"/>
        </patternFill>
      </fill>
      <border>
        <left/>
        <right/>
        <top/>
        <bottom/>
        <vertical/>
        <horizontal/>
      </border>
    </dxf>
    <dxf>
      <font>
        <color theme="0" tint="-0.34995574816125979"/>
      </font>
      <fill>
        <patternFill>
          <bgColor theme="0" tint="-4.9958800012207406E-2"/>
        </patternFill>
      </fill>
      <border>
        <left/>
        <right/>
        <top/>
        <bottom/>
        <vertical/>
        <horizontal/>
      </border>
    </dxf>
    <dxf>
      <numFmt numFmtId="165" formatCode=";;;"/>
      <fill>
        <patternFill>
          <bgColor theme="0" tint="-4.9958800012207406E-2"/>
        </patternFill>
      </fill>
    </dxf>
    <dxf>
      <numFmt numFmtId="165" formatCode=";;;"/>
      <fill>
        <patternFill>
          <bgColor theme="0" tint="-4.9958800012207406E-2"/>
        </patternFill>
      </fill>
    </dxf>
    <dxf>
      <font>
        <color theme="1"/>
      </font>
    </dxf>
    <dxf>
      <font>
        <color auto="1"/>
      </font>
      <numFmt numFmtId="232" formatCode="#,##0_);\(#,##0\);_(&quot;-&quot;_);\ &quot;Variable (IO)&quot;_)"/>
      <fill>
        <patternFill>
          <bgColor theme="0" tint="-4.9958800012207406E-2"/>
        </patternFill>
      </fill>
    </dxf>
    <dxf>
      <font>
        <color auto="1"/>
      </font>
      <numFmt numFmtId="233" formatCode="#,##0_);\(#,##0\);_(&quot;-&quot;_);\ &quot;Fixed (IO)&quot;_)"/>
      <fill>
        <patternFill>
          <bgColor theme="0" tint="-4.9958800012207406E-2"/>
        </patternFill>
      </fill>
    </dxf>
    <dxf>
      <font>
        <color rgb="FF9C0006"/>
      </font>
      <fill>
        <patternFill>
          <bgColor rgb="FFFFC7CE"/>
        </patternFill>
      </fill>
    </dxf>
    <dxf>
      <numFmt numFmtId="231" formatCode="_(&quot;Int. Only&quot;_);_(&quot;$&quot;* \(#,##0\);_(&quot;Int. Only&quot;_);_(@_)"/>
    </dxf>
    <dxf>
      <fill>
        <patternFill>
          <bgColor rgb="FFD2E7F4"/>
        </patternFill>
      </fill>
    </dxf>
    <dxf>
      <numFmt numFmtId="165" formatCode=";;;"/>
      <fill>
        <patternFill>
          <bgColor theme="0" tint="-4.9958800012207406E-2"/>
        </patternFill>
      </fill>
      <border>
        <left/>
        <right/>
        <top/>
        <bottom/>
      </border>
    </dxf>
    <dxf>
      <font>
        <color theme="0" tint="-0.34995574816125979"/>
      </font>
    </dxf>
    <dxf>
      <numFmt numFmtId="165" formatCode=";;;"/>
      <fill>
        <patternFill>
          <bgColor theme="0" tint="-4.9958800012207406E-2"/>
        </patternFill>
      </fill>
      <border>
        <left/>
        <right/>
        <top/>
        <bottom/>
      </border>
    </dxf>
    <dxf>
      <numFmt numFmtId="165" formatCode=";;;"/>
      <fill>
        <patternFill>
          <bgColor theme="0" tint="-4.9958800012207406E-2"/>
        </patternFill>
      </fill>
      <border>
        <left/>
        <right/>
        <top/>
        <bottom/>
      </border>
    </dxf>
    <dxf>
      <numFmt numFmtId="165" formatCode=";;;"/>
      <fill>
        <patternFill>
          <bgColor theme="0" tint="-4.9958800012207406E-2"/>
        </patternFill>
      </fill>
      <border>
        <left/>
        <right/>
        <top/>
        <bottom/>
      </border>
    </dxf>
    <dxf>
      <fill>
        <patternFill>
          <bgColor theme="0" tint="-4.9958800012207406E-2"/>
        </patternFill>
      </fill>
    </dxf>
    <dxf>
      <font>
        <color rgb="FF0000FF"/>
      </font>
      <fill>
        <patternFill>
          <bgColor rgb="FFFFFFC8"/>
        </patternFill>
      </fill>
    </dxf>
    <dxf>
      <font>
        <color rgb="FF0000FF"/>
      </font>
      <fill>
        <patternFill>
          <bgColor rgb="FFFFFFC8"/>
        </patternFill>
      </fill>
    </dxf>
    <dxf>
      <font>
        <color rgb="FF0000FF"/>
      </font>
      <fill>
        <patternFill>
          <bgColor rgb="FFF8F4CA"/>
        </patternFill>
      </fill>
    </dxf>
    <dxf>
      <numFmt numFmtId="165" formatCode=";;;"/>
      <fill>
        <patternFill>
          <bgColor theme="0" tint="-4.9958800012207406E-2"/>
        </patternFill>
      </fill>
    </dxf>
    <dxf>
      <font>
        <color theme="1"/>
      </font>
    </dxf>
    <dxf>
      <fill>
        <patternFill>
          <bgColor rgb="FFEAEAEA"/>
        </patternFill>
      </fill>
    </dxf>
    <dxf>
      <font>
        <u/>
      </font>
    </dxf>
    <dxf>
      <font>
        <color theme="1"/>
      </font>
    </dxf>
    <dxf>
      <font>
        <u/>
      </font>
    </dxf>
    <dxf>
      <font>
        <color theme="3"/>
      </font>
    </dxf>
    <dxf>
      <fill>
        <patternFill>
          <bgColor rgb="FFDBE6C4"/>
        </patternFill>
      </fill>
    </dxf>
    <dxf>
      <numFmt numFmtId="165" formatCode=";;;"/>
      <fill>
        <patternFill>
          <bgColor theme="0" tint="-4.9958800012207406E-2"/>
        </patternFill>
      </fill>
    </dxf>
    <dxf>
      <font>
        <b val="0"/>
        <i/>
        <color theme="0" tint="-0.49995422223578601"/>
      </font>
      <numFmt numFmtId="239" formatCode="#,##0_);\(#,##0\);_(&quot;-&quot;_);\ &quot;Reassessed&quot;_)"/>
      <fill>
        <patternFill>
          <bgColor theme="0" tint="-4.9958800012207406E-2"/>
        </patternFill>
      </fill>
    </dxf>
    <dxf>
      <font>
        <b/>
        <i val="0"/>
        <color theme="3"/>
      </font>
      <numFmt numFmtId="191" formatCode="#,##0_);\(#,##0\);_(&quot;-&quot;_);\ &quot;(&quot;@&quot;)&quot;_)"/>
      <fill>
        <patternFill>
          <bgColor theme="0" tint="-4.9958800012207406E-2"/>
        </patternFill>
      </fill>
    </dxf>
    <dxf>
      <numFmt numFmtId="240" formatCode="#,##0_);\(#,##0\);_(&quot;-&quot;_);\ &quot;(% over Hist.)&quot;_)"/>
    </dxf>
    <dxf>
      <font>
        <color rgb="FF0000FF"/>
      </font>
      <numFmt numFmtId="241" formatCode="#,##0.00%_);\(#,##0.00%\)_);&quot;-&quot;_);\ @_)"/>
      <fill>
        <patternFill>
          <bgColor rgb="FFFFFFC8"/>
        </patternFill>
      </fill>
    </dxf>
    <dxf>
      <font>
        <color rgb="FF0000FF"/>
      </font>
      <numFmt numFmtId="241" formatCode="#,##0.00%_);\(#,##0.00%\)_);&quot;-&quot;_);\ @_)"/>
      <fill>
        <patternFill>
          <bgColor rgb="FFF8F4CA"/>
        </patternFill>
      </fill>
    </dxf>
    <dxf>
      <numFmt numFmtId="242" formatCode="#,##0.00%_);\(#,##0.00%\);&quot;-&quot;_);&quot;-&quot;_)"/>
      <fill>
        <patternFill>
          <bgColor rgb="FFFFFFC8"/>
        </patternFill>
      </fill>
    </dxf>
    <dxf>
      <numFmt numFmtId="242" formatCode="#,##0.00%_);\(#,##0.00%\);&quot;-&quot;_);&quot;-&quot;_)"/>
      <fill>
        <patternFill>
          <bgColor rgb="FFF8F4CA"/>
        </patternFill>
      </fill>
    </dxf>
    <dxf>
      <font>
        <color rgb="FF0000FF"/>
      </font>
      <fill>
        <patternFill>
          <bgColor rgb="FFF8F4CA"/>
        </patternFill>
      </fill>
    </dxf>
    <dxf>
      <font>
        <color theme="0"/>
      </font>
      <numFmt numFmtId="165" formatCode=";;;"/>
      <fill>
        <patternFill>
          <bgColor theme="0"/>
        </patternFill>
      </fill>
      <border>
        <left/>
        <right/>
        <top/>
        <bottom/>
        <vertical/>
        <horizontal/>
      </border>
    </dxf>
    <dxf>
      <fill>
        <patternFill>
          <bgColor rgb="FFFFFFC8"/>
        </patternFill>
      </fill>
    </dxf>
    <dxf>
      <fill>
        <patternFill>
          <bgColor rgb="FFF8F4CA"/>
        </patternFill>
      </fill>
    </dxf>
    <dxf>
      <fill>
        <patternFill>
          <bgColor rgb="FFEAEAEA"/>
        </patternFill>
      </fill>
    </dxf>
    <dxf>
      <numFmt numFmtId="164" formatCode="#,##0_);\(#,##0\);_(&quot;-&quot;_);\ @_)"/>
    </dxf>
    <dxf>
      <fill>
        <patternFill>
          <bgColor rgb="FFD2E7F4"/>
        </patternFill>
      </fill>
    </dxf>
    <dxf>
      <fill>
        <patternFill>
          <bgColor rgb="FFBFDDEF"/>
        </patternFill>
      </fill>
    </dxf>
    <dxf>
      <fill>
        <patternFill>
          <bgColor rgb="FFD2E7F4"/>
        </patternFill>
      </fill>
    </dxf>
    <dxf>
      <fill>
        <patternFill>
          <bgColor rgb="FFBFDDEF"/>
        </patternFill>
      </fill>
    </dxf>
    <dxf>
      <numFmt numFmtId="243" formatCode="_(&quot;-&quot;_);_(&quot;-&quot;_);_(&quot;-&quot;_);_(&quot;-&quot;_)"/>
    </dxf>
    <dxf>
      <numFmt numFmtId="243" formatCode="_(&quot;-&quot;_);_(&quot;-&quot;_);_(&quot;-&quot;_);_(&quot;-&quot;_)"/>
    </dxf>
    <dxf>
      <font>
        <b/>
        <i val="0"/>
        <color rgb="FFFF0000"/>
      </font>
      <numFmt numFmtId="244" formatCode="&quot;&gt;  &quot;#,##0\ &quot;units&quot;_);\(#,##0\ &quot;units&quot;\)_);_(&quot;-&quot;_);\ @_)"/>
      <fill>
        <patternFill>
          <bgColor theme="9" tint="0.59993285927915285"/>
        </patternFill>
      </fill>
    </dxf>
    <dxf>
      <fill>
        <patternFill>
          <bgColor rgb="FFD1D1D1"/>
        </patternFill>
      </fill>
    </dxf>
    <dxf>
      <fill>
        <patternFill>
          <bgColor rgb="FFD1D1D1"/>
        </patternFill>
      </fill>
    </dxf>
    <dxf>
      <fill>
        <patternFill>
          <bgColor rgb="FFEAEAEA"/>
        </patternFill>
      </fill>
    </dxf>
    <dxf>
      <fill>
        <patternFill>
          <bgColor rgb="FFEAEAEA"/>
        </patternFill>
      </fill>
    </dxf>
    <dxf>
      <fill>
        <patternFill>
          <bgColor rgb="FFEAEAEA"/>
        </patternFill>
      </fill>
    </dxf>
    <dxf>
      <fill>
        <patternFill>
          <bgColor rgb="FFEAEAEA"/>
        </patternFill>
      </fill>
    </dxf>
    <dxf>
      <fill>
        <patternFill>
          <bgColor rgb="FFF8F4CA"/>
        </patternFill>
      </fill>
    </dxf>
    <dxf>
      <fill>
        <patternFill>
          <bgColor rgb="FFEAEAEA"/>
        </patternFill>
      </fill>
    </dxf>
    <dxf>
      <numFmt numFmtId="169" formatCode="#,##0.00%_);\(#,##0.00%\);&quot;-&quot;_);\ @_)"/>
    </dxf>
    <dxf>
      <border>
        <left style="thin">
          <color rgb="FFFF0000"/>
        </left>
        <right style="thin">
          <color rgb="FFFF0000"/>
        </right>
        <top style="thin">
          <color rgb="FFFF0000"/>
        </top>
        <bottom style="thin">
          <color rgb="FFFF0000"/>
        </bottom>
        <vertical/>
        <horizontal/>
      </border>
    </dxf>
    <dxf>
      <fill>
        <patternFill>
          <bgColor rgb="FFD2E7F4"/>
        </patternFill>
      </fill>
    </dxf>
    <dxf>
      <fill>
        <patternFill>
          <bgColor rgb="FFDBE6C4"/>
        </patternFill>
      </fill>
    </dxf>
    <dxf>
      <font>
        <color rgb="FF0000FF"/>
      </font>
      <fill>
        <patternFill>
          <bgColor rgb="FFFFFFC8"/>
        </patternFill>
      </fill>
    </dxf>
    <dxf>
      <numFmt numFmtId="165" formatCode=";;;"/>
      <fill>
        <patternFill>
          <bgColor theme="0" tint="-4.9958800012207406E-2"/>
        </patternFill>
      </fill>
      <border>
        <left/>
        <right/>
        <top/>
        <bottom/>
      </border>
    </dxf>
    <dxf>
      <fill>
        <patternFill>
          <bgColor rgb="FFEAEAEA"/>
        </patternFill>
      </fill>
    </dxf>
    <dxf>
      <fill>
        <patternFill>
          <bgColor rgb="FFEAEAEA"/>
        </patternFill>
      </fill>
    </dxf>
    <dxf>
      <fill>
        <patternFill>
          <bgColor rgb="FFEAEAEA"/>
        </patternFill>
      </fill>
    </dxf>
    <dxf>
      <border>
        <left style="thin">
          <color rgb="FFFF0000"/>
        </left>
        <right style="thin">
          <color rgb="FFFF0000"/>
        </right>
        <top style="thin">
          <color rgb="FFFF0000"/>
        </top>
        <bottom style="thin">
          <color rgb="FFFF0000"/>
        </bottom>
        <vertical/>
        <horizontal/>
      </border>
    </dxf>
    <dxf>
      <fill>
        <patternFill>
          <bgColor rgb="FFD2E7F4"/>
        </patternFill>
      </fill>
    </dxf>
    <dxf>
      <font>
        <color rgb="FFFF0000"/>
      </font>
      <numFmt numFmtId="245" formatCode="&quot;$&quot;\ #,##0.00_);\(&quot;$&quot;\ #,##0.00\)_);_(&quot;Negative Residual NOI&quot;_);\ @_)"/>
      <fill>
        <patternFill>
          <bgColor theme="9" tint="0.39994506668294322"/>
        </patternFill>
      </fill>
    </dxf>
    <dxf>
      <border>
        <top style="thin">
          <color theme="4" tint="0.39994506668294322"/>
        </top>
        <vertical/>
        <horizontal/>
      </border>
    </dxf>
    <dxf>
      <font>
        <color theme="0" tint="-0.34995574816125979"/>
      </font>
    </dxf>
    <dxf>
      <font>
        <color rgb="FF0000FF"/>
      </font>
      <fill>
        <patternFill>
          <bgColor rgb="FFFFFFC8"/>
        </patternFill>
      </fill>
    </dxf>
    <dxf>
      <font>
        <color rgb="FF0000FF"/>
      </font>
      <fill>
        <patternFill>
          <bgColor rgb="FFF8F4CA"/>
        </patternFill>
      </fill>
    </dxf>
    <dxf>
      <font>
        <color rgb="FF0000FF"/>
      </font>
      <fill>
        <patternFill>
          <bgColor rgb="FFFFFFC8"/>
        </patternFill>
      </fill>
    </dxf>
    <dxf>
      <font>
        <color rgb="FF0000FF"/>
      </font>
      <fill>
        <patternFill>
          <bgColor rgb="FFFFFFC8"/>
        </patternFill>
      </fill>
    </dxf>
    <dxf>
      <font>
        <color rgb="FF0000FF"/>
      </font>
      <fill>
        <patternFill>
          <bgColor rgb="FFFFFFC8"/>
        </patternFill>
      </fill>
    </dxf>
    <dxf>
      <font>
        <color rgb="FF0000FF"/>
      </font>
      <fill>
        <patternFill>
          <bgColor rgb="FFFFFFC8"/>
        </patternFill>
      </fill>
    </dxf>
    <dxf>
      <fill>
        <patternFill>
          <bgColor theme="0" tint="-4.9958800012207406E-2"/>
        </patternFill>
      </fill>
    </dxf>
    <dxf>
      <numFmt numFmtId="165" formatCode=";;;"/>
      <fill>
        <patternFill>
          <bgColor theme="0" tint="-4.9958800012207406E-2"/>
        </patternFill>
      </fill>
    </dxf>
    <dxf>
      <numFmt numFmtId="165" formatCode=";;;"/>
    </dxf>
    <dxf>
      <font>
        <color rgb="FF0000FF"/>
      </font>
    </dxf>
    <dxf>
      <font>
        <color rgb="FF0000FF"/>
      </font>
      <fill>
        <patternFill>
          <bgColor rgb="FFFFFFC8"/>
        </patternFill>
      </fill>
    </dxf>
    <dxf>
      <font>
        <color rgb="FF0000FF"/>
      </font>
    </dxf>
    <dxf>
      <font>
        <color rgb="FF0000FF"/>
      </font>
      <fill>
        <patternFill>
          <bgColor rgb="FFF8F4CA"/>
        </patternFill>
      </fill>
    </dxf>
    <dxf>
      <font>
        <color rgb="FF0000FF"/>
      </font>
    </dxf>
    <dxf>
      <font>
        <color rgb="FF0000FF"/>
      </font>
      <fill>
        <patternFill>
          <bgColor rgb="FFFFFFC8"/>
        </patternFill>
      </fill>
    </dxf>
    <dxf>
      <fill>
        <patternFill>
          <bgColor rgb="FFEAEAEA"/>
        </patternFill>
      </fill>
    </dxf>
    <dxf>
      <fill>
        <patternFill>
          <bgColor rgb="FFEAEAEA"/>
        </patternFill>
      </fill>
    </dxf>
    <dxf>
      <fill>
        <patternFill>
          <bgColor rgb="FFEAEAEA"/>
        </patternFill>
      </fill>
    </dxf>
    <dxf>
      <fill>
        <patternFill>
          <bgColor rgb="FFEAEAEA"/>
        </patternFill>
      </fill>
    </dxf>
    <dxf>
      <font>
        <color auto="1"/>
      </font>
      <fill>
        <patternFill>
          <bgColor rgb="FFEAF1DE"/>
        </patternFill>
      </fill>
    </dxf>
    <dxf>
      <numFmt numFmtId="165" formatCode=";;;"/>
      <fill>
        <patternFill>
          <bgColor theme="0" tint="-4.9958800012207406E-2"/>
        </patternFill>
      </fill>
    </dxf>
    <dxf>
      <fill>
        <patternFill>
          <bgColor rgb="FFFFFFC8"/>
        </patternFill>
      </fill>
    </dxf>
    <dxf>
      <fill>
        <patternFill>
          <bgColor rgb="FFF8F4CA"/>
        </patternFill>
      </fill>
    </dxf>
    <dxf>
      <fill>
        <patternFill>
          <bgColor rgb="FFFFFFC8"/>
        </patternFill>
      </fill>
    </dxf>
    <dxf>
      <fill>
        <patternFill>
          <bgColor rgb="FFF8F4CA"/>
        </patternFill>
      </fill>
    </dxf>
    <dxf>
      <font>
        <color rgb="FF0000FF"/>
      </font>
      <fill>
        <patternFill>
          <bgColor rgb="FFFFFFC8"/>
        </patternFill>
      </fill>
    </dxf>
    <dxf>
      <font>
        <color theme="0" tint="-0.34995574816125979"/>
      </font>
      <fill>
        <patternFill>
          <bgColor theme="0" tint="-4.9958800012207406E-2"/>
        </patternFill>
      </fill>
      <border>
        <left/>
        <right/>
        <top/>
        <bottom/>
      </border>
    </dxf>
    <dxf>
      <border>
        <left style="thin">
          <color rgb="FFFF0000"/>
        </left>
        <right style="thin">
          <color rgb="FFFF0000"/>
        </right>
        <top style="thin">
          <color rgb="FFFF0000"/>
        </top>
        <bottom style="thin">
          <color rgb="FFFF0000"/>
        </bottom>
        <vertical/>
        <horizontal/>
      </border>
    </dxf>
    <dxf>
      <fill>
        <patternFill>
          <bgColor rgb="FFD2E7F4"/>
        </patternFill>
      </fill>
    </dxf>
    <dxf>
      <font>
        <color theme="0" tint="-0.34995574816125979"/>
      </font>
      <fill>
        <patternFill>
          <bgColor theme="0" tint="-4.9958800012207406E-2"/>
        </patternFill>
      </fill>
    </dxf>
    <dxf>
      <font>
        <color theme="0" tint="-0.34995574816125979"/>
      </font>
      <fill>
        <patternFill>
          <bgColor theme="0" tint="-4.9958800012207406E-2"/>
        </patternFill>
      </fill>
    </dxf>
    <dxf>
      <font>
        <color theme="0" tint="-0.34995574816125979"/>
      </font>
      <fill>
        <patternFill>
          <bgColor theme="0" tint="-4.9958800012207406E-2"/>
        </patternFill>
      </fill>
    </dxf>
    <dxf>
      <numFmt numFmtId="246" formatCode="&quot;$&quot;\ #,##0&quot; (DSC Limit)&quot;;\(&quot;$&quot;\ #,##0\);_(&quot;-&quot;_);\ @_)"/>
    </dxf>
    <dxf>
      <numFmt numFmtId="247" formatCode="&quot;$&quot;\ #,##0&quot; (LTV Limit)&quot;;\(&quot;$&quot;\ #,##0\);_(&quot;-&quot;_);\ @_)"/>
    </dxf>
    <dxf>
      <fill>
        <patternFill>
          <bgColor rgb="FFD2E7F4"/>
        </patternFill>
      </fill>
    </dxf>
    <dxf>
      <fill>
        <patternFill>
          <bgColor rgb="FFD2E7F4"/>
        </patternFill>
      </fill>
    </dxf>
    <dxf>
      <numFmt numFmtId="248" formatCode="&quot;Max &quot;#,##0.00%_);\(#,##0.00%\)_);&quot;-&quot;_);\ @_)"/>
    </dxf>
    <dxf>
      <fill>
        <patternFill>
          <bgColor rgb="FFD2E7F4"/>
        </patternFill>
      </fill>
    </dxf>
    <dxf>
      <border>
        <left style="thin">
          <color rgb="FFFF0000"/>
        </left>
        <right style="thin">
          <color rgb="FFFF0000"/>
        </right>
        <top style="thin">
          <color rgb="FFFF0000"/>
        </top>
        <bottom style="thin">
          <color rgb="FFFF0000"/>
        </bottom>
        <vertical/>
        <horizontal/>
      </border>
    </dxf>
    <dxf>
      <font>
        <color rgb="FFFF0000"/>
      </font>
      <numFmt numFmtId="249" formatCode="&quot;$&quot;\ #,##0.00_);\(&quot;$&quot;\ #,##0.00\)_);_(&quot;Negative Historical NOI&quot;_);\ @_)"/>
      <fill>
        <patternFill>
          <bgColor theme="9" tint="0.39994506668294322"/>
        </patternFill>
      </fill>
    </dxf>
    <dxf>
      <numFmt numFmtId="0" formatCode="General"/>
      <fill>
        <patternFill>
          <bgColor rgb="FFD2E7F4"/>
        </patternFill>
      </fill>
    </dxf>
    <dxf>
      <font>
        <color rgb="FFFF0000"/>
      </font>
      <numFmt numFmtId="250" formatCode="&quot;$&quot;\ #,##0.00_);\(&quot;$&quot;\ #,##0.00\)_);_(&quot;Negative Pro Forma NOI&quot;_);\ @_)"/>
      <fill>
        <patternFill>
          <bgColor theme="9" tint="0.39994506668294322"/>
        </patternFill>
      </fill>
    </dxf>
    <dxf>
      <fill>
        <patternFill>
          <bgColor theme="0" tint="-4.9958800012207406E-2"/>
        </patternFill>
      </fill>
    </dxf>
    <dxf>
      <fill>
        <patternFill>
          <bgColor rgb="FFEAEAEA"/>
        </patternFill>
      </fill>
    </dxf>
    <dxf>
      <fill>
        <patternFill>
          <bgColor theme="0" tint="-4.9958800012207406E-2"/>
        </patternFill>
      </fill>
    </dxf>
    <dxf>
      <fill>
        <patternFill>
          <bgColor rgb="FFEAEAEA"/>
        </patternFill>
      </fill>
    </dxf>
    <dxf>
      <fill>
        <patternFill>
          <bgColor theme="0" tint="-4.9958800012207406E-2"/>
        </patternFill>
      </fill>
    </dxf>
    <dxf>
      <fill>
        <patternFill>
          <bgColor rgb="FFEAEAEA"/>
        </patternFill>
      </fill>
    </dxf>
    <dxf>
      <font>
        <color theme="1" tint="0.24994659260841701"/>
      </font>
      <numFmt numFmtId="251" formatCode="&quot;n/a&quot;_);&quot;n/a&quot;_);&quot;n/a&quot;_)"/>
    </dxf>
    <dxf>
      <fill>
        <patternFill>
          <bgColor theme="0" tint="-4.9958800012207406E-2"/>
        </patternFill>
      </fill>
    </dxf>
    <dxf>
      <fill>
        <patternFill>
          <bgColor rgb="FFEAEAEA"/>
        </patternFill>
      </fill>
    </dxf>
    <dxf>
      <font>
        <color theme="1" tint="0.24994659260841701"/>
      </font>
      <numFmt numFmtId="251" formatCode="&quot;n/a&quot;_);&quot;n/a&quot;_);&quot;n/a&quot;_)"/>
    </dxf>
    <dxf>
      <font>
        <color theme="1" tint="0.24994659260841701"/>
      </font>
      <numFmt numFmtId="251" formatCode="&quot;n/a&quot;_);&quot;n/a&quot;_);&quot;n/a&quot;_)"/>
    </dxf>
    <dxf>
      <font>
        <color rgb="FF0000FF"/>
      </font>
      <numFmt numFmtId="169" formatCode="#,##0.00%_);\(#,##0.00%\);&quot;-&quot;_);\ @_)"/>
      <fill>
        <patternFill>
          <bgColor rgb="FFFFFFC8"/>
        </patternFill>
      </fill>
    </dxf>
    <dxf>
      <font>
        <color rgb="FF0000FF"/>
      </font>
      <numFmt numFmtId="169" formatCode="#,##0.00%_);\(#,##0.00%\);&quot;-&quot;_);\ @_)"/>
      <fill>
        <patternFill>
          <bgColor rgb="FFF8F4CA"/>
        </patternFill>
      </fill>
    </dxf>
    <dxf>
      <font>
        <color rgb="FF0000FF"/>
      </font>
      <numFmt numFmtId="169" formatCode="#,##0.00%_);\(#,##0.00%\);&quot;-&quot;_);\ @_)"/>
      <fill>
        <patternFill>
          <bgColor rgb="FFFFFFC8"/>
        </patternFill>
      </fill>
    </dxf>
    <dxf>
      <font>
        <color rgb="FF0000FF"/>
      </font>
      <numFmt numFmtId="169" formatCode="#,##0.00%_);\(#,##0.00%\);&quot;-&quot;_);\ @_)"/>
      <fill>
        <patternFill>
          <bgColor rgb="FFF8F4CA"/>
        </patternFill>
      </fill>
    </dxf>
    <dxf>
      <font>
        <color theme="0" tint="-0.34995574816125979"/>
      </font>
    </dxf>
    <dxf>
      <fill>
        <patternFill>
          <bgColor rgb="FFD2E7F4"/>
        </patternFill>
      </fill>
    </dxf>
    <dxf>
      <font>
        <color theme="1"/>
      </font>
    </dxf>
    <dxf>
      <font>
        <color auto="1"/>
      </font>
      <numFmt numFmtId="232" formatCode="#,##0_);\(#,##0\);_(&quot;-&quot;_);\ &quot;Variable (IO)&quot;_)"/>
      <fill>
        <patternFill>
          <bgColor theme="0" tint="-4.9958800012207406E-2"/>
        </patternFill>
      </fill>
    </dxf>
    <dxf>
      <font>
        <color auto="1"/>
      </font>
      <numFmt numFmtId="233" formatCode="#,##0_);\(#,##0\);_(&quot;-&quot;_);\ &quot;Fixed (IO)&quot;_)"/>
      <fill>
        <patternFill>
          <bgColor theme="0" tint="-4.9958800012207406E-2"/>
        </patternFill>
      </fill>
    </dxf>
    <dxf>
      <fill>
        <patternFill>
          <bgColor rgb="FFD2E7F4"/>
        </patternFill>
      </fill>
    </dxf>
    <dxf>
      <fill>
        <patternFill>
          <bgColor rgb="FFD2E7F4"/>
        </patternFill>
      </fill>
    </dxf>
    <dxf>
      <numFmt numFmtId="165" formatCode=";;;"/>
      <fill>
        <patternFill>
          <bgColor theme="0" tint="-4.9958800012207406E-2"/>
        </patternFill>
      </fill>
    </dxf>
    <dxf>
      <numFmt numFmtId="165" formatCode=";;;"/>
      <fill>
        <patternFill>
          <bgColor theme="0" tint="-4.9958800012207406E-2"/>
        </patternFill>
      </fill>
      <border>
        <left/>
        <right/>
        <top/>
        <bottom/>
        <vertical/>
        <horizontal/>
      </border>
    </dxf>
    <dxf>
      <numFmt numFmtId="165" formatCode=";;;"/>
      <fill>
        <patternFill>
          <bgColor theme="0" tint="-4.9958800012207406E-2"/>
        </patternFill>
      </fill>
      <border>
        <left/>
        <right/>
        <top/>
        <bottom/>
      </border>
    </dxf>
    <dxf>
      <numFmt numFmtId="165" formatCode=";;;"/>
      <fill>
        <patternFill>
          <bgColor theme="0" tint="-4.9958800012207406E-2"/>
        </patternFill>
      </fill>
      <border>
        <left/>
        <right/>
        <top/>
        <bottom/>
        <vertical/>
        <horizontal/>
      </border>
    </dxf>
    <dxf>
      <numFmt numFmtId="165" formatCode=";;;"/>
      <fill>
        <patternFill>
          <bgColor theme="0" tint="-4.9958800012207406E-2"/>
        </patternFill>
      </fill>
      <border>
        <left/>
        <right/>
        <top/>
        <bottom/>
      </border>
    </dxf>
    <dxf>
      <fill>
        <patternFill>
          <bgColor rgb="FFFFFFC8"/>
        </patternFill>
      </fill>
    </dxf>
    <dxf>
      <fill>
        <patternFill>
          <bgColor rgb="FFF8F4CA"/>
        </patternFill>
      </fill>
    </dxf>
    <dxf>
      <fill>
        <patternFill>
          <bgColor rgb="FFD2E7F4"/>
        </patternFill>
      </fill>
    </dxf>
    <dxf>
      <fill>
        <patternFill>
          <bgColor rgb="FFEAEAEA"/>
        </patternFill>
      </fill>
    </dxf>
    <dxf>
      <numFmt numFmtId="168" formatCode="#,##0\ &quot;units&quot;_);\(#,##0\ &quot;units&quot;\)_);_(&quot;-&quot;_);\ @_)"/>
      <fill>
        <patternFill>
          <bgColor rgb="FFFFFFC8"/>
        </patternFill>
      </fill>
    </dxf>
    <dxf>
      <numFmt numFmtId="168" formatCode="#,##0\ &quot;units&quot;_);\(#,##0\ &quot;units&quot;\)_);_(&quot;-&quot;_);\ @_)"/>
      <fill>
        <patternFill>
          <bgColor rgb="FFF8F4CA"/>
        </patternFill>
      </fill>
    </dxf>
    <dxf>
      <fill>
        <patternFill>
          <bgColor rgb="FFD2E7F4"/>
        </patternFill>
      </fill>
    </dxf>
    <dxf>
      <numFmt numFmtId="165" formatCode=";;;"/>
      <fill>
        <patternFill>
          <bgColor theme="0" tint="-4.9958800012207406E-2"/>
        </patternFill>
      </fill>
      <border>
        <left/>
        <right/>
        <top/>
        <bottom/>
        <vertical/>
        <horizontal/>
      </border>
    </dxf>
    <dxf>
      <font>
        <color theme="0" tint="-0.34995574816125979"/>
      </font>
    </dxf>
    <dxf>
      <numFmt numFmtId="165" formatCode=";;;"/>
      <fill>
        <patternFill>
          <bgColor theme="0" tint="-4.9958800012207406E-2"/>
        </patternFill>
      </fill>
      <border>
        <left/>
        <right/>
        <top/>
        <bottom/>
        <vertical/>
        <horizontal/>
      </border>
    </dxf>
    <dxf>
      <fill>
        <patternFill>
          <bgColor rgb="FFD2E7F4"/>
        </patternFill>
      </fill>
    </dxf>
    <dxf>
      <font>
        <color theme="0" tint="-0.34995574816125979"/>
      </font>
    </dxf>
    <dxf>
      <numFmt numFmtId="165" formatCode=";;;"/>
      <fill>
        <patternFill>
          <bgColor theme="0" tint="-4.9958800012207406E-2"/>
        </patternFill>
      </fill>
    </dxf>
    <dxf>
      <font>
        <color theme="0" tint="-0.34995574816125979"/>
      </font>
    </dxf>
    <dxf>
      <font>
        <color rgb="FF0000FF"/>
      </font>
      <fill>
        <patternFill>
          <bgColor rgb="FFFFFFC8"/>
        </patternFill>
      </fill>
    </dxf>
    <dxf>
      <numFmt numFmtId="234" formatCode="&quot;At Exit&quot;_);\(#,##0\)"/>
    </dxf>
    <dxf>
      <font>
        <color theme="0" tint="-0.34995574816125979"/>
      </font>
      <fill>
        <patternFill>
          <bgColor theme="0" tint="-4.9958800012207406E-2"/>
        </patternFill>
      </fill>
    </dxf>
    <dxf>
      <numFmt numFmtId="165" formatCode=";;;"/>
      <fill>
        <patternFill>
          <bgColor theme="0" tint="-4.9958800012207406E-2"/>
        </patternFill>
      </fill>
    </dxf>
    <dxf>
      <numFmt numFmtId="165" formatCode=";;;"/>
      <fill>
        <patternFill>
          <bgColor theme="0" tint="-4.9958800012207406E-2"/>
        </patternFill>
      </fill>
    </dxf>
    <dxf>
      <numFmt numFmtId="165" formatCode=";;;"/>
      <fill>
        <patternFill>
          <bgColor theme="0" tint="-4.9958800012207406E-2"/>
        </patternFill>
      </fill>
      <border>
        <left/>
        <right/>
        <top/>
        <bottom/>
        <vertical/>
        <horizontal/>
      </border>
    </dxf>
    <dxf>
      <numFmt numFmtId="165" formatCode=";;;"/>
      <fill>
        <patternFill>
          <bgColor theme="0" tint="-4.9958800012207406E-2"/>
        </patternFill>
      </fill>
      <border>
        <left/>
        <right/>
        <top/>
        <bottom/>
        <vertical/>
        <horizontal/>
      </border>
    </dxf>
    <dxf>
      <numFmt numFmtId="165" formatCode=";;;"/>
      <fill>
        <patternFill>
          <bgColor theme="0" tint="-4.9958800012207406E-2"/>
        </patternFill>
      </fill>
      <border>
        <left/>
        <right/>
        <top/>
        <bottom/>
      </border>
    </dxf>
    <dxf>
      <font>
        <color theme="0" tint="-4.9958800012207406E-2"/>
      </font>
      <numFmt numFmtId="165" formatCode=";;;"/>
    </dxf>
    <dxf>
      <font>
        <color rgb="FF9C0006"/>
      </font>
      <fill>
        <patternFill>
          <bgColor rgb="FFFFC7CE"/>
        </patternFill>
      </fill>
    </dxf>
    <dxf>
      <numFmt numFmtId="231" formatCode="_(&quot;Int. Only&quot;_);_(&quot;$&quot;* \(#,##0\);_(&quot;Int. Only&quot;_);_(@_)"/>
    </dxf>
    <dxf>
      <border>
        <top style="thin">
          <color theme="0" tint="-0.24991607409894101"/>
        </top>
        <vertical/>
        <horizontal/>
      </border>
    </dxf>
    <dxf>
      <border>
        <top style="thin">
          <color theme="0" tint="-0.24991607409894101"/>
        </top>
        <vertical/>
        <horizontal/>
      </border>
    </dxf>
    <dxf>
      <border>
        <top style="thin">
          <color theme="0" tint="-0.24991607409894101"/>
        </top>
        <vertical/>
        <horizontal/>
      </border>
    </dxf>
    <dxf>
      <numFmt numFmtId="252" formatCode="#,##0_);\(#,##0\);_(&quot;-&quot;_);\ &quot;%&quot;_)"/>
    </dxf>
    <dxf>
      <numFmt numFmtId="165" formatCode=";;;"/>
      <fill>
        <patternFill>
          <bgColor theme="0" tint="-4.9958800012207406E-2"/>
        </patternFill>
      </fill>
      <border>
        <left/>
        <right/>
        <top/>
        <bottom/>
        <vertical/>
        <horizontal/>
      </border>
    </dxf>
    <dxf>
      <font>
        <color rgb="FFFF0000"/>
      </font>
      <fill>
        <patternFill>
          <bgColor rgb="FFECC7CE"/>
        </patternFill>
      </fill>
    </dxf>
    <dxf>
      <numFmt numFmtId="165" formatCode=";;;"/>
      <fill>
        <patternFill>
          <bgColor theme="0" tint="-4.9958800012207406E-2"/>
        </patternFill>
      </fill>
      <border>
        <left/>
        <right/>
        <top/>
        <bottom/>
        <vertical/>
        <horizontal/>
      </border>
    </dxf>
    <dxf>
      <font>
        <color rgb="FFFF0000"/>
      </font>
      <fill>
        <patternFill>
          <bgColor rgb="FFECC7CE"/>
        </patternFill>
      </fill>
    </dxf>
    <dxf>
      <border>
        <top style="thin">
          <color theme="0" tint="-0.24991607409894101"/>
        </top>
        <vertical/>
        <horizontal/>
      </border>
    </dxf>
    <dxf>
      <border>
        <top style="thin">
          <color theme="0" tint="-0.24991607409894101"/>
        </top>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 Id="rId35" Type="http://schemas.microsoft.com/office/2006/relationships/vbaProject" Target="vbaProject.bin"/><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6.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7.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8.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9.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16.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17.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18.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20.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21.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314325</xdr:colOff>
          <xdr:row>4</xdr:row>
          <xdr:rowOff>28575</xdr:rowOff>
        </xdr:from>
        <xdr:to>
          <xdr:col>8</xdr:col>
          <xdr:colOff>114300</xdr:colOff>
          <xdr:row>9</xdr:row>
          <xdr:rowOff>228600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20FD3833-9BA8-9B31-9619-14562631AEE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36576" rIns="36576" bIns="36576" anchor="ctr" upright="1"/>
            <a:lstStyle/>
            <a:p>
              <a:pPr algn="ctr" rtl="0">
                <a:defRPr sz="1000"/>
              </a:pPr>
              <a:r>
                <a:rPr lang="en-US" sz="1600" b="0" i="0" u="none" strike="noStrike" baseline="0">
                  <a:solidFill>
                    <a:srgbClr val="FF0000"/>
                  </a:solidFill>
                  <a:latin typeface="Calibri"/>
                  <a:ea typeface="Calibri"/>
                  <a:cs typeface="Calibri"/>
                </a:rPr>
                <a:t>Please enable macros and then click on this box in order to access the model</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Theme2">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ResiModel">
      <a:majorFont>
        <a:latin typeface="Century Gothic"/>
        <a:ea typeface=""/>
        <a:cs typeface=""/>
      </a:majorFont>
      <a:minorFont>
        <a:latin typeface="Calibri"/>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627"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1378E747-EE40-4052-B806-EDB6677E239C}">
  <we:reference id="wa200009404" version="1.0.0.8" store="en-US" storeType="OMEX"/>
  <we:alternateReferences>
    <we:reference id="WA200009404" version="1.0.0.8" store="" storeType="OMEX"/>
  </we:alternateReferences>
  <we:properties>
    <we:property name="Office.AutoShowTaskpaneWithDocument" value="true"/>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vmlDrawing" Target="../drawings/vmlDrawing8.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vmlDrawing" Target="../drawings/vmlDrawing9.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vmlDrawing" Target="../drawings/vmlDrawing10.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vmlDrawing" Target="../drawings/vmlDrawing11.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vmlDrawing" Target="../drawings/vmlDrawing12.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vmlDrawing" Target="../drawings/vmlDrawing14.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vmlDrawing" Target="../drawings/vmlDrawing1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vmlDrawing" Target="../drawings/vmlDrawing16.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vmlDrawing" Target="../drawings/vmlDrawing17.v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vmlDrawing" Target="../drawings/vmlDrawing18.v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vmlDrawing" Target="../drawings/vmlDrawing19.vml"/><Relationship Id="rId1" Type="http://schemas.openxmlformats.org/officeDocument/2006/relationships/printerSettings" Target="../printerSettings/printerSettings22.bin"/><Relationship Id="rId4" Type="http://schemas.openxmlformats.org/officeDocument/2006/relationships/comments" Target="../comments1.xml"/></Relationships>
</file>

<file path=xl/worksheets/_rels/sheet23.xml.rels><?xml version="1.0" encoding="UTF-8" standalone="yes"?>
<Relationships xmlns="http://schemas.openxmlformats.org/package/2006/relationships"><Relationship Id="rId2" Type="http://schemas.openxmlformats.org/officeDocument/2006/relationships/vmlDrawing" Target="../drawings/vmlDrawing21.v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7.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945B50-9167-44CF-B534-9CB0E1CED884}">
  <sheetPr codeName="Sheet1"/>
  <dimension ref="B4:I11"/>
  <sheetViews>
    <sheetView showGridLines="0" workbookViewId="0">
      <selection activeCell="Z9" sqref="Z9"/>
    </sheetView>
  </sheetViews>
  <sheetFormatPr defaultColWidth="9.140625" defaultRowHeight="12.75"/>
  <cols>
    <col min="1" max="1" width="14" customWidth="1"/>
    <col min="2" max="2" width="4.28515625" customWidth="1"/>
    <col min="9" max="9" width="4.28515625" customWidth="1"/>
  </cols>
  <sheetData>
    <row r="4" spans="2:9">
      <c r="B4" s="15"/>
      <c r="C4" s="15"/>
      <c r="D4" s="15"/>
      <c r="E4" s="15"/>
      <c r="F4" s="15"/>
      <c r="G4" s="15"/>
      <c r="H4" s="15"/>
      <c r="I4" s="15"/>
    </row>
    <row r="5" spans="2:9">
      <c r="B5" s="15"/>
      <c r="I5" s="15"/>
    </row>
    <row r="6" spans="2:9">
      <c r="B6" s="15"/>
      <c r="I6" s="15"/>
    </row>
    <row r="7" spans="2:9">
      <c r="B7" s="15"/>
      <c r="I7" s="15"/>
    </row>
    <row r="8" spans="2:9">
      <c r="B8" s="15"/>
      <c r="I8" s="15"/>
    </row>
    <row r="9" spans="2:9">
      <c r="B9" s="15"/>
      <c r="I9" s="15"/>
    </row>
    <row r="10" spans="2:9">
      <c r="B10" s="15"/>
      <c r="I10" s="15"/>
    </row>
    <row r="11" spans="2:9">
      <c r="B11" s="15"/>
      <c r="C11" s="15"/>
      <c r="D11" s="15"/>
      <c r="E11" s="15"/>
      <c r="F11" s="15"/>
      <c r="G11" s="15"/>
      <c r="H11" s="15"/>
      <c r="I11" s="15"/>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Line="0" autoPict="0" macro="[0]!EnableMacros">
                <anchor moveWithCells="1" sizeWithCells="1">
                  <from>
                    <xdr:col>1</xdr:col>
                    <xdr:colOff>314325</xdr:colOff>
                    <xdr:row>4</xdr:row>
                    <xdr:rowOff>28575</xdr:rowOff>
                  </from>
                  <to>
                    <xdr:col>8</xdr:col>
                    <xdr:colOff>114300</xdr:colOff>
                    <xdr:row>9</xdr:row>
                    <xdr:rowOff>228600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7005DA-E04F-487B-A363-E728A3848D67}">
  <sheetPr codeName="Divider1">
    <tabColor theme="1"/>
  </sheetPr>
  <dimension ref="B1:K28"/>
  <sheetViews>
    <sheetView showGridLines="0" zoomScale="80" zoomScaleNormal="80" zoomScaleSheetLayoutView="100" workbookViewId="0">
      <selection activeCell="R19" sqref="R19"/>
    </sheetView>
  </sheetViews>
  <sheetFormatPr defaultColWidth="9.140625" defaultRowHeight="13.5"/>
  <cols>
    <col min="1" max="1" width="1.28515625" style="17" customWidth="1"/>
    <col min="2" max="11" width="13.28515625" style="17" customWidth="1"/>
    <col min="12" max="12" width="9.140625" style="17" customWidth="1"/>
    <col min="13" max="16384" width="9.140625" style="17"/>
  </cols>
  <sheetData>
    <row r="1" spans="2:11" ht="15" customHeight="1">
      <c r="B1" s="16" t="s">
        <v>0</v>
      </c>
    </row>
    <row r="2" spans="2:11" ht="15" customHeight="1"/>
    <row r="3" spans="2:11" ht="15" customHeight="1"/>
    <row r="4" spans="2:11" ht="38.25" customHeight="1">
      <c r="B4" s="1035" t="s">
        <v>1</v>
      </c>
      <c r="C4" s="1022"/>
      <c r="D4" s="1022"/>
      <c r="E4" s="1022"/>
      <c r="F4" s="1022"/>
      <c r="G4" s="1022"/>
      <c r="H4" s="1022"/>
      <c r="I4" s="1022"/>
      <c r="J4" s="1022"/>
      <c r="K4" s="1022"/>
    </row>
    <row r="5" spans="2:11" ht="15" customHeight="1"/>
    <row r="6" spans="2:11" ht="15" customHeight="1"/>
    <row r="7" spans="2:11" ht="50.25" customHeight="1">
      <c r="B7" s="18" t="str">
        <f>Input!E10</f>
        <v>Chaney Place Townhomes</v>
      </c>
      <c r="C7" s="19"/>
      <c r="D7" s="19"/>
      <c r="E7" s="19"/>
      <c r="F7" s="19"/>
      <c r="G7" s="19"/>
      <c r="H7" s="19"/>
      <c r="I7" s="19"/>
      <c r="J7" s="19"/>
      <c r="K7" s="19"/>
    </row>
    <row r="8" spans="2:11" ht="39" customHeight="1">
      <c r="B8" s="20" t="str">
        <f>Input!$M$4</f>
        <v>Huntsville, AL</v>
      </c>
      <c r="C8" s="19"/>
      <c r="D8" s="19"/>
      <c r="E8" s="19"/>
      <c r="F8" s="19"/>
      <c r="G8" s="19"/>
      <c r="H8" s="19"/>
      <c r="I8" s="19"/>
      <c r="J8" s="19"/>
      <c r="K8" s="19"/>
    </row>
    <row r="9" spans="2:11" ht="15" customHeight="1"/>
    <row r="10" spans="2:11" ht="15" customHeight="1"/>
    <row r="11" spans="2:11" ht="35.25" customHeight="1">
      <c r="B11" s="21" t="s">
        <v>2</v>
      </c>
      <c r="C11" s="22"/>
      <c r="D11" s="22"/>
      <c r="E11" s="22"/>
      <c r="F11" s="23"/>
      <c r="G11" s="23"/>
      <c r="H11" s="23"/>
      <c r="I11" s="23"/>
      <c r="J11" s="23"/>
      <c r="K11" s="23"/>
    </row>
    <row r="12" spans="2:11" ht="15" customHeight="1">
      <c r="B12" s="24"/>
      <c r="C12" s="24"/>
      <c r="D12" s="24"/>
      <c r="E12" s="24"/>
      <c r="F12" s="24"/>
      <c r="G12" s="24"/>
      <c r="H12" s="24"/>
      <c r="I12" s="24"/>
      <c r="J12" s="24"/>
      <c r="K12" s="24"/>
    </row>
    <row r="13" spans="2:11" ht="15" customHeight="1">
      <c r="B13" s="24"/>
      <c r="C13" s="24"/>
      <c r="D13" s="24"/>
      <c r="E13" s="24"/>
      <c r="F13" s="24"/>
      <c r="G13" s="24"/>
      <c r="H13" s="24"/>
      <c r="I13" s="24"/>
      <c r="J13" s="24"/>
      <c r="K13" s="24"/>
    </row>
    <row r="14" spans="2:11" ht="26.25" customHeight="1">
      <c r="B14" s="24"/>
      <c r="C14" s="24"/>
      <c r="D14" s="24"/>
      <c r="E14" s="25" t="str">
        <f>SUMPRODUCT(--(E12:E13&lt;&gt;""))+1&amp;". "&amp;IF(Summary!G2&lt;&gt;"",Summary!G2,'Summary '!H2)</f>
        <v>1.   Investment Summary</v>
      </c>
      <c r="F14" s="24"/>
      <c r="G14" s="24"/>
      <c r="H14" s="24"/>
      <c r="I14" s="24"/>
      <c r="J14" s="24"/>
      <c r="K14" s="24"/>
    </row>
    <row r="15" spans="2:11" ht="26.25" customHeight="1">
      <c r="B15" s="24"/>
      <c r="C15" s="24"/>
      <c r="D15" s="24"/>
      <c r="E15" s="25"/>
      <c r="F15" s="24"/>
      <c r="G15" s="24"/>
      <c r="H15" s="24"/>
      <c r="I15" s="24"/>
      <c r="J15" s="24"/>
      <c r="K15" s="24"/>
    </row>
    <row r="16" spans="2:11" ht="26.25" hidden="1" customHeight="1">
      <c r="B16" s="24"/>
      <c r="C16" s="24"/>
      <c r="D16" s="24"/>
      <c r="E16" s="25" t="str">
        <f>IF(IsRenov,SUMPRODUCT(--(E12:E15&lt;&gt;""))+1&amp;". "&amp;Renovations!H2,"")</f>
        <v/>
      </c>
      <c r="F16" s="24"/>
      <c r="G16" s="24"/>
      <c r="H16" s="24"/>
      <c r="I16" s="24"/>
      <c r="J16" s="24"/>
      <c r="K16" s="24"/>
    </row>
    <row r="17" spans="2:11" ht="26.25" hidden="1" customHeight="1">
      <c r="B17" s="24"/>
      <c r="C17" s="24"/>
      <c r="D17" s="24"/>
      <c r="E17" s="26"/>
      <c r="F17" s="24"/>
      <c r="G17" s="24"/>
      <c r="H17" s="24"/>
      <c r="I17" s="24"/>
      <c r="J17" s="24"/>
      <c r="K17" s="24"/>
    </row>
    <row r="18" spans="2:11" ht="26.25" customHeight="1">
      <c r="B18" s="24"/>
      <c r="C18" s="24"/>
      <c r="D18" s="24"/>
      <c r="E18" s="25" t="str">
        <f>IF(IsHistoricalComponent,SUMPRODUCT(--(E12:E17&lt;&gt;""))+1&amp;". "&amp;'Historical CF'!G2,"")</f>
        <v>2. Historical Operating Statements</v>
      </c>
      <c r="F18" s="24"/>
      <c r="G18" s="24"/>
      <c r="H18" s="24"/>
      <c r="I18" s="24"/>
      <c r="J18" s="24"/>
      <c r="K18" s="24"/>
    </row>
    <row r="19" spans="2:11" ht="26.25" customHeight="1">
      <c r="B19" s="24"/>
      <c r="C19" s="24"/>
      <c r="D19" s="24"/>
      <c r="E19" s="26"/>
      <c r="F19" s="24"/>
      <c r="G19" s="24"/>
      <c r="H19" s="24"/>
      <c r="I19" s="24"/>
      <c r="J19" s="24"/>
      <c r="K19" s="24"/>
    </row>
    <row r="20" spans="2:11" ht="26.25" customHeight="1">
      <c r="B20" s="24"/>
      <c r="C20" s="24"/>
      <c r="D20" s="24"/>
      <c r="E20" s="25" t="str">
        <f>SUMPRODUCT(--(E12:E19&lt;&gt;""))+1&amp;". "&amp;'Property CF'!D2</f>
        <v>3. Property Cash Flow Projections</v>
      </c>
      <c r="F20" s="24"/>
      <c r="G20" s="24"/>
      <c r="H20" s="24"/>
      <c r="I20" s="24"/>
      <c r="J20" s="24"/>
      <c r="K20" s="24"/>
    </row>
    <row r="21" spans="2:11" ht="26.25" customHeight="1">
      <c r="B21" s="24"/>
      <c r="C21" s="24"/>
      <c r="D21" s="24"/>
      <c r="E21" s="26"/>
      <c r="F21" s="24"/>
      <c r="G21" s="24"/>
      <c r="H21" s="24"/>
      <c r="I21" s="24"/>
      <c r="J21" s="24"/>
      <c r="K21" s="24"/>
    </row>
    <row r="22" spans="2:11" ht="26.25" customHeight="1">
      <c r="B22" s="24"/>
      <c r="C22" s="24"/>
      <c r="D22" s="24"/>
      <c r="E22" s="25" t="str">
        <f>SUMPRODUCT(--(E12:E21&lt;&gt;""))+1&amp;". "&amp;'Cash Flow'!E2</f>
        <v>4. Investment Cash Flow</v>
      </c>
      <c r="F22" s="24"/>
      <c r="G22" s="24"/>
      <c r="H22" s="24"/>
      <c r="I22" s="24"/>
      <c r="J22" s="24"/>
      <c r="K22" s="24"/>
    </row>
    <row r="23" spans="2:11" ht="26.25" customHeight="1">
      <c r="B23" s="24"/>
      <c r="C23" s="24"/>
      <c r="D23" s="24"/>
      <c r="E23" s="26"/>
      <c r="F23" s="24"/>
      <c r="G23" s="24"/>
      <c r="H23" s="24"/>
      <c r="I23" s="24"/>
      <c r="J23" s="24"/>
      <c r="K23" s="24"/>
    </row>
    <row r="24" spans="2:11" ht="26.25" customHeight="1">
      <c r="B24" s="24"/>
      <c r="C24" s="24"/>
      <c r="D24" s="24"/>
      <c r="E24" s="25" t="str">
        <f>SUMPRODUCT(--(E12:E23&lt;&gt;""))+1&amp;". "&amp;'Sensitivity Analysis'!H2</f>
        <v>5. Sensitivity Analysis</v>
      </c>
      <c r="F24" s="24"/>
      <c r="G24" s="24"/>
      <c r="H24" s="24"/>
      <c r="I24" s="24"/>
      <c r="J24" s="24"/>
      <c r="K24" s="24"/>
    </row>
    <row r="25" spans="2:11" ht="26.25" customHeight="1">
      <c r="B25" s="24"/>
      <c r="C25" s="24"/>
      <c r="D25" s="24"/>
      <c r="E25" s="27"/>
      <c r="F25" s="24"/>
      <c r="G25" s="24"/>
      <c r="H25" s="24"/>
      <c r="I25" s="24"/>
      <c r="J25" s="24"/>
      <c r="K25" s="24"/>
    </row>
    <row r="26" spans="2:11" ht="26.25" customHeight="1">
      <c r="B26" s="24"/>
      <c r="C26" s="24"/>
      <c r="D26" s="24"/>
      <c r="E26" s="25" t="str">
        <f>SUMPRODUCT(--(E12:E25&lt;&gt;""))+1&amp;". "&amp;'Sources &amp; Uses'!F2</f>
        <v>6. Sources &amp; Uses</v>
      </c>
      <c r="F26" s="24"/>
      <c r="G26" s="24"/>
      <c r="H26" s="24"/>
      <c r="I26" s="24"/>
      <c r="J26" s="24"/>
      <c r="K26" s="24"/>
    </row>
    <row r="27" spans="2:11" ht="26.25" customHeight="1">
      <c r="B27" s="24"/>
      <c r="C27" s="24"/>
      <c r="D27" s="24"/>
      <c r="E27" s="27"/>
      <c r="F27" s="24"/>
      <c r="G27" s="24"/>
      <c r="H27" s="24"/>
      <c r="I27" s="24"/>
      <c r="J27" s="24"/>
      <c r="K27" s="24"/>
    </row>
    <row r="28" spans="2:11">
      <c r="B28" s="24"/>
      <c r="C28" s="24"/>
      <c r="D28" s="24"/>
      <c r="E28" s="24"/>
      <c r="F28" s="24"/>
      <c r="G28" s="24"/>
      <c r="H28" s="24"/>
      <c r="I28" s="24"/>
      <c r="J28" s="24"/>
      <c r="K28" s="24"/>
    </row>
  </sheetData>
  <printOptions horizontalCentered="1"/>
  <pageMargins left="0.45" right="0.45" top="0.7" bottom="0.5" header="0.25" footer="0.31"/>
  <pageSetup scale="80" orientation="portrait" r:id="rId1"/>
  <headerFooter scaleWithDoc="0">
    <oddHeader>&amp;C&amp;"Gill Sans for CW,Regular"&amp;8&amp;KFF0000STRICTLY CONFIDENTIAL</oddHeader>
    <oddFooter>&amp;L&amp;8&amp;F&amp;C&amp;8Page &amp;P of &amp;N&amp;R&amp;8&amp;D  &amp;T</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806ED5-13F1-463A-8364-AA6C8256D9A5}">
  <sheetPr codeName="OutSummary_CW"/>
  <dimension ref="A1"/>
  <sheetViews>
    <sheetView showGridLines="0" zoomScale="90" zoomScaleNormal="90" zoomScaleSheetLayoutView="100" workbookViewId="0">
      <pane ySplit="4" topLeftCell="A5" activePane="bottomLeft" state="frozen"/>
      <selection activeCell="L26" sqref="L26"/>
      <selection pane="bottomLeft" activeCell="H2" sqref="H2"/>
    </sheetView>
  </sheetViews>
  <sheetFormatPr defaultColWidth="9.140625" defaultRowHeight="12.75"/>
  <sheetData/>
  <pageMargins left="0.2" right="0.2" top="0.65" bottom="0.27" header="0.3" footer="0.13"/>
  <pageSetup scale="78" orientation="portrait" r:id="rId1"/>
  <headerFooter scaleWithDoc="0">
    <oddHeader>&amp;C&amp;"+,Regular"&amp;9&amp;KFF0000STRICTLY CONFIDENTIAL&amp;R&amp;G</oddHeader>
    <oddFooter>&amp;L&amp;8&amp;F&amp;C&amp;8Page &amp;P of &amp;N&amp;R&amp;8&amp;D &amp;T</oddFooter>
  </headerFooter>
  <legacyDrawingHF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28504B-A19C-49DF-A699-EFA7520D40CE}">
  <sheetPr codeName="OutAssumptions_CW"/>
  <dimension ref="A1"/>
  <sheetViews>
    <sheetView showGridLines="0" zoomScale="90" zoomScaleNormal="90" zoomScaleSheetLayoutView="100" workbookViewId="0">
      <pane ySplit="4" topLeftCell="A5" activePane="bottomLeft" state="frozen"/>
      <selection activeCell="L26" sqref="L26"/>
      <selection pane="bottomLeft" activeCell="H2" sqref="H2"/>
    </sheetView>
  </sheetViews>
  <sheetFormatPr defaultColWidth="9.140625" defaultRowHeight="12.75"/>
  <sheetData/>
  <pageMargins left="0.3" right="0.3" top="0.7" bottom="0.4" header="0.3" footer="0.24"/>
  <pageSetup scale="78" orientation="portrait" r:id="rId1"/>
  <headerFooter scaleWithDoc="0">
    <oddHeader>&amp;C&amp;"+,Regular"&amp;9&amp;KFF0000STRICTLY CONFIDENTIAL&amp;R&amp;G</oddHeader>
    <oddFooter>&amp;L&amp;8&amp;F&amp;C&amp;8Page &amp;P of &amp;N&amp;R&amp;8&amp;D &amp;T</oddFooter>
  </headerFooter>
  <legacyDrawingHF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56D461-1BEC-49B7-A0F2-BE5B73633F3F}">
  <sheetPr codeName="OutIncomeBuild_CW"/>
  <dimension ref="A1"/>
  <sheetViews>
    <sheetView showGridLines="0" zoomScale="90" zoomScaleNormal="90" zoomScaleSheetLayoutView="100" workbookViewId="0">
      <pane ySplit="4" topLeftCell="A5" activePane="bottomLeft" state="frozen"/>
      <selection activeCell="L26" sqref="L26"/>
      <selection pane="bottomLeft" activeCell="G2" sqref="G2"/>
    </sheetView>
  </sheetViews>
  <sheetFormatPr defaultColWidth="9.140625" defaultRowHeight="12.75"/>
  <sheetData/>
  <pageMargins left="0.3" right="0.3" top="0.7" bottom="0.4" header="0.3" footer="0.24"/>
  <pageSetup scale="80" orientation="portrait" r:id="rId1"/>
  <headerFooter scaleWithDoc="0">
    <oddHeader>&amp;C&amp;"+,Regular"&amp;9&amp;KFF0000STRICTLY CONFIDENTIAL&amp;R&amp;G</oddHeader>
    <oddFooter>&amp;L&amp;8&amp;F&amp;C&amp;8Page &amp;P of &amp;N&amp;R&amp;8&amp;D &amp;T</oddFooter>
  </headerFooter>
  <legacyDrawingHF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D4AC56-04E9-4397-B575-9B97C4913CC8}">
  <sheetPr codeName="OutSummary"/>
  <dimension ref="B1:AR79"/>
  <sheetViews>
    <sheetView showGridLines="0" zoomScaleSheetLayoutView="100" workbookViewId="0">
      <pane ySplit="4" topLeftCell="A5" activePane="bottomLeft" state="frozen"/>
      <selection activeCell="L26" sqref="L26"/>
      <selection pane="bottomLeft"/>
    </sheetView>
  </sheetViews>
  <sheetFormatPr defaultColWidth="9.140625" defaultRowHeight="12.75" outlineLevelRow="1"/>
  <cols>
    <col min="1" max="1" width="1.7109375" customWidth="1"/>
    <col min="2" max="2" width="0.28515625" customWidth="1"/>
    <col min="3" max="11" width="9.7109375" customWidth="1"/>
    <col min="12" max="12" width="9.5703125" customWidth="1"/>
    <col min="13" max="15" width="9.7109375" customWidth="1"/>
    <col min="16" max="16" width="9.5703125" customWidth="1"/>
  </cols>
  <sheetData>
    <row r="1" spans="2:44" ht="14.25">
      <c r="B1" s="16" t="s">
        <v>0</v>
      </c>
      <c r="C1" s="16"/>
    </row>
    <row r="2" spans="2:44" ht="18.75" customHeight="1">
      <c r="B2" s="1057" t="str">
        <f>Input!$E$10</f>
        <v>Chaney Place Townhomes</v>
      </c>
      <c r="C2" s="28"/>
      <c r="D2" s="29"/>
      <c r="E2" s="29"/>
      <c r="F2" s="29"/>
      <c r="G2" s="1016" t="s">
        <v>54</v>
      </c>
      <c r="H2" s="92"/>
      <c r="I2" s="93"/>
      <c r="J2" s="94"/>
      <c r="K2" s="95"/>
      <c r="L2" s="29"/>
      <c r="M2" s="29"/>
      <c r="N2" s="29"/>
      <c r="O2" s="29"/>
      <c r="P2" s="1178" t="str">
        <f>Input!$M$4</f>
        <v>Huntsville, AL</v>
      </c>
    </row>
    <row r="3" spans="2:44" ht="12.75" customHeight="1"/>
    <row r="5" spans="2:44" s="31" customFormat="1" ht="15.75" customHeight="1">
      <c r="B5" s="1040" t="s">
        <v>55</v>
      </c>
      <c r="C5" s="1028"/>
      <c r="D5" s="1029"/>
      <c r="E5" s="1029"/>
      <c r="F5" s="1029"/>
      <c r="G5" s="1029"/>
      <c r="H5" s="1029"/>
      <c r="K5" s="1040" t="s">
        <v>56</v>
      </c>
      <c r="L5" s="1029"/>
      <c r="M5" s="1029"/>
      <c r="N5" s="1029"/>
      <c r="O5" s="1029"/>
      <c r="P5" s="1029"/>
      <c r="Q5"/>
      <c r="R5"/>
      <c r="S5"/>
      <c r="T5"/>
      <c r="U5"/>
      <c r="V5"/>
      <c r="W5"/>
      <c r="X5"/>
      <c r="Y5"/>
      <c r="Z5"/>
      <c r="AA5"/>
      <c r="AB5"/>
      <c r="AC5"/>
      <c r="AD5"/>
      <c r="AE5"/>
      <c r="AF5"/>
      <c r="AG5"/>
      <c r="AH5"/>
      <c r="AI5"/>
      <c r="AJ5"/>
      <c r="AK5"/>
      <c r="AL5"/>
      <c r="AM5"/>
      <c r="AN5"/>
      <c r="AO5"/>
      <c r="AP5"/>
      <c r="AQ5"/>
      <c r="AR5"/>
    </row>
    <row r="6" spans="2:44" ht="15" customHeight="1">
      <c r="B6" s="32"/>
      <c r="C6" s="32"/>
      <c r="D6" s="32"/>
      <c r="E6" s="32"/>
      <c r="F6" s="32"/>
      <c r="G6" s="32"/>
      <c r="H6" s="32"/>
      <c r="K6" s="32"/>
      <c r="L6" s="32"/>
      <c r="M6" s="35"/>
      <c r="N6" s="1181" t="s">
        <v>57</v>
      </c>
      <c r="O6" s="1183" t="s">
        <v>58</v>
      </c>
      <c r="P6" s="1179" t="s">
        <v>59</v>
      </c>
    </row>
    <row r="7" spans="2:44">
      <c r="B7" s="32" t="s">
        <v>5</v>
      </c>
      <c r="C7" s="32"/>
      <c r="D7" s="32"/>
      <c r="E7" s="33" t="str">
        <f>Address1</f>
        <v>1060 Southeast Chaney Place Drive</v>
      </c>
      <c r="F7" s="32"/>
      <c r="G7" s="32"/>
      <c r="H7" s="32"/>
      <c r="K7" s="32" t="s">
        <v>60</v>
      </c>
      <c r="L7" s="32"/>
      <c r="M7" s="1255">
        <f>-IF(IrrCalculationType=170,SUMIF('CF Calculations'!$D$86:$N$86,"&lt;0"),SUMIF('CF Calculations'!$S$86:$EI$86,"&lt;0"))</f>
        <v>13009400</v>
      </c>
      <c r="N7" s="1255"/>
      <c r="O7" s="97">
        <f>IF(M7,'CF Calculations'!C86,)</f>
        <v>0.16421136998081587</v>
      </c>
      <c r="P7" s="98">
        <f>IF($M7,('CF Calculations'!O86/$M7)+1,)</f>
        <v>2.5172372550407625</v>
      </c>
    </row>
    <row r="8" spans="2:44">
      <c r="B8" s="32"/>
      <c r="C8" s="32"/>
      <c r="D8" s="32"/>
      <c r="E8" s="34" t="str">
        <f>IF(Address2&lt;&gt;"",Address2,IF(City&lt;&gt;"",City&amp;IF(OR(State&lt;&gt;"",Zip&lt;&gt;""),", ","")&amp;IF(State&lt;&gt;"",State&amp;IF(Zip&lt;&gt;""," "&amp;Zip,""),Zip),IF(State&lt;&gt;"",State&amp;" "&amp;IF(Zip&lt;&gt;"",Zip,""),IF(Zip&lt;&gt;"",Zip,""))))</f>
        <v>Huntsville, AL 35803</v>
      </c>
      <c r="F8" s="32"/>
      <c r="G8" s="32"/>
      <c r="H8" s="32"/>
      <c r="K8" s="32" t="s">
        <v>61</v>
      </c>
      <c r="L8" s="32"/>
      <c r="M8" s="1256">
        <f>'CF Calculations'!O318</f>
        <v>13009400</v>
      </c>
      <c r="N8" s="1256"/>
      <c r="O8" s="97">
        <f>IF(M8,LeveredIRR,)</f>
        <v>0.16421136998081587</v>
      </c>
      <c r="P8" s="98">
        <f>IF($M8,('CF Calculations'!O108/$M8)+1,)</f>
        <v>2.5172372550407625</v>
      </c>
    </row>
    <row r="9" spans="2:44">
      <c r="B9" s="32"/>
      <c r="C9" s="32"/>
      <c r="D9" s="32"/>
      <c r="E9" s="34" t="str">
        <f>IF(Address2&lt;&gt;"",IF(City&lt;&gt;"",City&amp;IF(OR(State&lt;&gt;"",Zip&lt;&gt;""),", ","")&amp;IF(State&lt;&gt;"",State&amp;IF(Zip&lt;&gt;""," "&amp;Zip,""),Zip),IF(State&lt;&gt;"",State&amp;" "&amp;IF(Zip&lt;&gt;"",Zip,""),IF(Zip&lt;&gt;"",Zip,""))),"")</f>
        <v/>
      </c>
      <c r="F9" s="32"/>
      <c r="G9" s="32"/>
      <c r="H9" s="32"/>
      <c r="K9" s="32"/>
      <c r="L9" s="32"/>
      <c r="M9" s="32"/>
      <c r="N9" s="86"/>
      <c r="O9" s="99"/>
      <c r="P9" s="86"/>
    </row>
    <row r="10" spans="2:44">
      <c r="B10" s="32"/>
      <c r="C10" s="32"/>
      <c r="D10" s="32"/>
      <c r="E10" s="32"/>
      <c r="F10" s="32"/>
      <c r="G10" s="32"/>
      <c r="H10" s="32"/>
      <c r="K10" s="32"/>
      <c r="L10" s="32"/>
      <c r="M10" s="1256"/>
      <c r="N10" s="1256"/>
      <c r="O10" s="97"/>
      <c r="P10" s="98">
        <f>IF($M10,('CF Calculations'!#REF!/$M10)+1,)</f>
        <v>0</v>
      </c>
    </row>
    <row r="11" spans="2:44">
      <c r="B11" s="32" t="s">
        <v>8</v>
      </c>
      <c r="C11" s="32"/>
      <c r="D11" s="32"/>
      <c r="E11" s="34">
        <f>YearBuilt</f>
        <v>2014</v>
      </c>
      <c r="F11" s="32" t="s">
        <v>9</v>
      </c>
      <c r="G11" s="32"/>
      <c r="H11" s="41">
        <f>AssetQualityId</f>
        <v>0</v>
      </c>
      <c r="K11" s="32"/>
      <c r="L11" s="32"/>
      <c r="M11" s="1256"/>
      <c r="N11" s="1256"/>
      <c r="O11" s="97"/>
      <c r="P11" s="98">
        <f>IF($M11,('CF Calculations'!#REF!/$M11)+1,)</f>
        <v>0</v>
      </c>
    </row>
    <row r="12" spans="2:44">
      <c r="B12" s="32" t="s">
        <v>12</v>
      </c>
      <c r="C12" s="32"/>
      <c r="D12" s="32"/>
      <c r="E12" s="34">
        <f>YearRenovated</f>
        <v>0</v>
      </c>
      <c r="F12" s="32" t="s">
        <v>13</v>
      </c>
      <c r="G12" s="32"/>
      <c r="H12" s="41">
        <f>LocationQualityId</f>
        <v>0</v>
      </c>
      <c r="K12" s="27"/>
      <c r="L12" s="27"/>
      <c r="M12" s="27"/>
      <c r="N12" s="27"/>
      <c r="O12" s="27"/>
      <c r="P12" s="27"/>
    </row>
    <row r="13" spans="2:44">
      <c r="B13" s="32"/>
      <c r="C13" s="32"/>
      <c r="D13" s="32"/>
      <c r="E13" s="32"/>
      <c r="F13" s="32"/>
      <c r="G13" s="32"/>
      <c r="H13" s="32"/>
      <c r="K13" s="27"/>
      <c r="L13" s="27"/>
      <c r="M13" s="27"/>
      <c r="N13" s="27"/>
      <c r="O13" s="27"/>
      <c r="P13" s="27"/>
    </row>
    <row r="14" spans="2:44">
      <c r="B14" s="32" t="s">
        <v>10</v>
      </c>
      <c r="C14" s="32"/>
      <c r="D14" s="32"/>
      <c r="E14" s="42">
        <f>AnalysisStartDate</f>
        <v>46113</v>
      </c>
      <c r="F14" s="32" t="s">
        <v>14</v>
      </c>
      <c r="G14" s="32"/>
      <c r="H14" s="45">
        <f>YrOfExit</f>
        <v>7</v>
      </c>
      <c r="K14" s="27"/>
      <c r="L14" s="27"/>
      <c r="M14" s="27"/>
      <c r="N14" s="27"/>
      <c r="O14" s="27"/>
      <c r="P14" s="27"/>
    </row>
    <row r="15" spans="2:44">
      <c r="B15" s="27"/>
      <c r="C15" s="27"/>
      <c r="D15" s="27"/>
      <c r="E15" s="27"/>
      <c r="F15" s="27"/>
      <c r="G15" s="27"/>
      <c r="H15" s="27"/>
      <c r="K15" s="27"/>
      <c r="L15" s="27"/>
      <c r="M15" s="27"/>
      <c r="N15" s="27"/>
      <c r="O15" s="27"/>
      <c r="P15" s="27"/>
    </row>
    <row r="16" spans="2:44" ht="12.75" customHeight="1"/>
    <row r="17" spans="2:44" ht="12.75" customHeight="1"/>
    <row r="18" spans="2:44" s="31" customFormat="1" ht="15.75" customHeight="1">
      <c r="B18" s="1040" t="s">
        <v>62</v>
      </c>
      <c r="C18" s="1028"/>
      <c r="D18" s="1029"/>
      <c r="E18" s="1029"/>
      <c r="F18" s="1029"/>
      <c r="G18" s="1029"/>
      <c r="H18" s="1029"/>
      <c r="I18" s="1029"/>
      <c r="J18" s="1029"/>
      <c r="K18" s="1029"/>
      <c r="L18" s="1029"/>
      <c r="M18" s="1029"/>
      <c r="N18" s="1029"/>
      <c r="O18" s="1029"/>
      <c r="P18" s="1033"/>
      <c r="Q18"/>
      <c r="R18"/>
      <c r="S18"/>
      <c r="T18"/>
      <c r="U18"/>
      <c r="V18"/>
      <c r="W18"/>
      <c r="X18"/>
      <c r="Y18"/>
      <c r="Z18"/>
      <c r="AA18"/>
      <c r="AB18"/>
      <c r="AC18"/>
      <c r="AD18"/>
      <c r="AE18"/>
      <c r="AF18"/>
      <c r="AG18"/>
      <c r="AH18"/>
      <c r="AI18"/>
      <c r="AJ18"/>
      <c r="AK18"/>
      <c r="AL18"/>
      <c r="AM18"/>
      <c r="AN18"/>
      <c r="AO18"/>
      <c r="AP18"/>
      <c r="AQ18"/>
      <c r="AR18"/>
    </row>
    <row r="19" spans="2:44" ht="15.75" customHeight="1">
      <c r="B19" s="27"/>
      <c r="C19" s="27"/>
      <c r="D19" s="27"/>
      <c r="E19" s="27"/>
      <c r="F19" s="27"/>
      <c r="G19" s="1180" t="s">
        <v>63</v>
      </c>
      <c r="H19" s="60"/>
      <c r="I19" s="60"/>
      <c r="J19" s="60"/>
      <c r="K19" s="100"/>
      <c r="L19" s="27"/>
      <c r="M19" s="1180" t="str">
        <f>"Trailing"&amp;IF(IsHistoricalComponent,"¹","")</f>
        <v>Trailing¹</v>
      </c>
      <c r="N19" s="62"/>
      <c r="O19" s="1210" t="s">
        <v>64</v>
      </c>
      <c r="P19" s="60"/>
    </row>
    <row r="20" spans="2:44" ht="13.5">
      <c r="B20" s="27"/>
      <c r="C20" s="27"/>
      <c r="D20" s="27"/>
      <c r="E20" s="27"/>
      <c r="F20" s="27"/>
      <c r="G20" s="1257" t="s">
        <v>28</v>
      </c>
      <c r="H20" s="1258"/>
      <c r="I20" s="1211" t="s">
        <v>29</v>
      </c>
      <c r="J20" s="1211" t="s">
        <v>30</v>
      </c>
      <c r="K20" s="101"/>
      <c r="L20" s="101"/>
      <c r="M20" s="1211" t="s">
        <v>65</v>
      </c>
      <c r="N20" s="1212" t="s">
        <v>66</v>
      </c>
      <c r="O20" s="1213" t="s">
        <v>65</v>
      </c>
      <c r="P20" s="1211" t="s">
        <v>66</v>
      </c>
    </row>
    <row r="21" spans="2:44">
      <c r="B21" s="32" t="str">
        <f>"Purchase Price ("&amp;TEXT(AnalysisStartDate,"mmm. Yyyy")&amp;")"</f>
        <v>Purchase Price (Apr. 2026)</v>
      </c>
      <c r="C21" s="32"/>
      <c r="D21" s="27"/>
      <c r="E21" s="27"/>
      <c r="F21" s="27"/>
      <c r="G21" s="1253">
        <f>-'CF Calculations'!D10</f>
        <v>13009400</v>
      </c>
      <c r="H21" s="1253"/>
      <c r="I21" s="67">
        <f>IF(TotalDealUnits,$G21/TotalDealUnits,)</f>
        <v>162617.5</v>
      </c>
      <c r="J21" s="67">
        <f>IF(Input!$F$56,$G21/(Input!$F$56*TotalDealUnits),)</f>
        <v>120.46409985739949</v>
      </c>
      <c r="K21" s="27"/>
      <c r="L21" s="27"/>
      <c r="M21" s="44">
        <f>IF($G21,InPlaceNOI/$G21,)</f>
        <v>5.5E-2</v>
      </c>
      <c r="N21" s="102">
        <f>IF('Adjustments &amp; Notes'!$D$33,$G21/'Adjustments &amp; Notes'!$D$33,"n/a")</f>
        <v>9.9481160029822782</v>
      </c>
      <c r="O21" s="97">
        <f>IF($G21,Year1NOI/$G21,)</f>
        <v>7.7923329182826365E-2</v>
      </c>
      <c r="P21" s="98">
        <f>IF('CF Calculations'!$E$34,$G21/'CF Calculations'!$E$34,"n/a")</f>
        <v>8.9528424073035122</v>
      </c>
    </row>
    <row r="22" spans="2:44">
      <c r="B22" s="32" t="s">
        <v>67</v>
      </c>
      <c r="C22" s="32"/>
      <c r="D22" s="27"/>
      <c r="E22" s="27"/>
      <c r="F22" s="27"/>
      <c r="G22" s="1253">
        <f>'CF Calculations'!O115</f>
        <v>13009400</v>
      </c>
      <c r="H22" s="1253"/>
      <c r="I22" s="67">
        <f>IF(TotalDealUnits,$G22/TotalDealUnits,)</f>
        <v>162617.5</v>
      </c>
      <c r="J22" s="67">
        <f>IF(Input!$F$56,$G22/(Input!$F$56*TotalDealUnits),)</f>
        <v>120.46409985739949</v>
      </c>
      <c r="K22" s="27"/>
      <c r="L22" s="27"/>
      <c r="M22" s="44">
        <f>IF($G22,InPlaceNOI/$G22,)</f>
        <v>5.5E-2</v>
      </c>
      <c r="N22" s="102">
        <f>IF('Adjustments &amp; Notes'!$D$33,$G22/'Adjustments &amp; Notes'!$D$33,"n/a")</f>
        <v>9.9481160029822782</v>
      </c>
      <c r="O22" s="97">
        <f>IF($G22,Year1NOI/$G22,)</f>
        <v>7.7923329182826365E-2</v>
      </c>
      <c r="P22" s="98">
        <f>IF('CF Calculations'!$E$34,$G22/'CF Calculations'!$E$34,"n/a")</f>
        <v>8.9528424073035122</v>
      </c>
    </row>
    <row r="23" spans="2:44">
      <c r="B23" s="32" t="str">
        <f>"Gross Sales Proceeds ("&amp;TEXT(Input!$M$12,"mmm. Yyyy"&amp;")")</f>
        <v>Gross Sales Proceeds (Mar. 2033)</v>
      </c>
      <c r="C23" s="32"/>
      <c r="D23" s="27"/>
      <c r="E23" s="27"/>
      <c r="F23" s="27"/>
      <c r="G23" s="1253">
        <f>IF(SalesPrice="",,SalesPrice)</f>
        <v>24605672.299141534</v>
      </c>
      <c r="H23" s="1253"/>
      <c r="I23" s="67">
        <f>IF(TotalDealUnits,$G23/TotalDealUnits,)</f>
        <v>307570.90373926918</v>
      </c>
      <c r="J23" s="67">
        <f>IF(Input!$F$56,$G23/(Input!$F$56*TotalDealUnits),)</f>
        <v>227.84295700818132</v>
      </c>
      <c r="K23" s="27"/>
      <c r="L23" s="27"/>
      <c r="M23" s="44">
        <f>IF(SalesPrice,IF(ExitValBasis=Forward,SUMIF(CFYears,YrOfExit,AnnualNOI)/SalesPrice,ExitCapRate),)</f>
        <v>5.3107375811148987E-2</v>
      </c>
      <c r="N23" s="102">
        <f>IFERROR(SalesPrice/IF(ExitValBasis=Forward,SUMIF(CFYears,YrOfExit,AnnualEGRCF),'CF Calculations'!$Q$34),"n/a")</f>
        <v>14.091710559861147</v>
      </c>
      <c r="O23" s="97">
        <f>IF(SalesPrice,IF(ExitValBasis=Forward,ExitCapRate,SUMIF('Property CF'!D5:N5,YrOfExit+1,'Property CF'!D55:N55)/SalesPrice),)</f>
        <v>5.5E-2</v>
      </c>
      <c r="P23" s="98">
        <f>IFERROR(SalesPrice/IF(ExitValBasis=Forward,'CF Calculations'!$Q$34,SUMIF('Operating Calculations'!C5:M5,YrOfExit+1,AnnualEGRCF)),"n/a")</f>
        <v>13.725643365232827</v>
      </c>
    </row>
    <row r="24" spans="2:44" ht="6" customHeight="1">
      <c r="B24" s="32"/>
      <c r="C24" s="32"/>
      <c r="D24" s="27"/>
      <c r="E24" s="27"/>
      <c r="F24" s="27"/>
      <c r="G24" s="78"/>
      <c r="H24" s="78"/>
      <c r="I24" s="67"/>
      <c r="J24" s="67"/>
      <c r="K24" s="67"/>
      <c r="L24" s="27"/>
      <c r="M24" s="44"/>
      <c r="N24" s="98"/>
      <c r="O24" s="44"/>
      <c r="P24" s="98"/>
    </row>
    <row r="25" spans="2:44">
      <c r="B25" s="27"/>
      <c r="C25" s="27"/>
      <c r="D25" s="27"/>
      <c r="E25" s="27"/>
      <c r="F25" s="27"/>
      <c r="G25" s="27"/>
      <c r="H25" s="27"/>
      <c r="I25" s="27"/>
      <c r="J25" s="27"/>
      <c r="K25" s="27"/>
      <c r="L25" s="27"/>
      <c r="M25" s="103" t="str">
        <f>IF(IsHistoricalComponent,"¹ Going-in Cap Rate based on "&amp;IFERROR("T"&amp;AdjstedHistSelection*1&amp;IF(OR(IsAdjustedHistoricalNOIWithReassessedTaxes,AdjustedHistoricalNOI)," Adjusted NOI"," Annualized NOI"),"YE "&amp;'Adjustments &amp; Notes'!D10&amp;IF(OR(IsAdjustedHistoricalNOIWithReassessedTaxes,AdjustedHistoricalNOI)," Adj'd NOI"," NOI")),"")</f>
        <v>¹ Going-in Cap Rate based on T12 Adjusted NOI</v>
      </c>
      <c r="N25" s="27"/>
      <c r="O25" s="27"/>
      <c r="P25" s="27"/>
    </row>
    <row r="26" spans="2:44" ht="6" customHeight="1">
      <c r="B26" s="27"/>
      <c r="C26" s="27"/>
      <c r="D26" s="27"/>
      <c r="E26" s="27"/>
      <c r="F26" s="27"/>
      <c r="G26" s="27"/>
      <c r="H26" s="27"/>
      <c r="I26" s="27"/>
      <c r="J26" s="27"/>
      <c r="K26" s="27"/>
      <c r="L26" s="27"/>
      <c r="M26" s="59"/>
      <c r="N26" s="27"/>
      <c r="O26" s="27"/>
      <c r="P26" s="27"/>
    </row>
    <row r="27" spans="2:44" ht="12.75" customHeight="1"/>
    <row r="28" spans="2:44" ht="12.75" customHeight="1"/>
    <row r="29" spans="2:44" s="31" customFormat="1" ht="15.75" customHeight="1">
      <c r="B29" s="1040" t="s">
        <v>17</v>
      </c>
      <c r="C29" s="1028"/>
      <c r="D29" s="1029"/>
      <c r="E29" s="1029"/>
      <c r="F29" s="1029"/>
      <c r="G29" s="1029"/>
      <c r="H29" s="1029"/>
      <c r="I29" s="1029"/>
      <c r="J29" s="1029"/>
      <c r="K29" s="1029"/>
      <c r="L29" s="1029"/>
      <c r="M29" s="1029"/>
      <c r="N29" s="1029"/>
      <c r="O29" s="1029"/>
      <c r="P29" s="1029"/>
      <c r="Q29"/>
      <c r="R29"/>
      <c r="S29"/>
      <c r="T29"/>
      <c r="U29"/>
      <c r="V29"/>
      <c r="W29"/>
      <c r="X29"/>
      <c r="Y29"/>
      <c r="Z29"/>
      <c r="AA29"/>
      <c r="AB29"/>
      <c r="AC29"/>
      <c r="AD29"/>
      <c r="AE29"/>
      <c r="AF29"/>
      <c r="AG29"/>
      <c r="AH29"/>
      <c r="AI29"/>
      <c r="AJ29"/>
      <c r="AK29"/>
      <c r="AL29"/>
      <c r="AM29"/>
      <c r="AN29"/>
      <c r="AO29"/>
      <c r="AP29"/>
      <c r="AQ29"/>
      <c r="AR29"/>
    </row>
    <row r="30" spans="2:44" ht="15.75" customHeight="1">
      <c r="B30" s="27"/>
      <c r="C30" s="59" t="str">
        <f>CHOOSE(33-RevenueInpMethodType,"Rent Roll as of "&amp;TEXT(LatestRRDateStamp,"m/d/yy"),"Rent Roll as of "&amp;TEXT(RentRollDateStamp,"m/d/yy"),CHOOSE(33-RevenueInpMethodTypeOverride,"Rent Roll as of "&amp;TEXT(LatestRRDateStamp,"m/d/yy")&amp;" (adjusted)","Rent Roll as of "&amp;TEXT(RentRollDateStamp,"m/d/yy")&amp;" (adjusted)",""))</f>
        <v>Rent Roll as of 11/30/25 (adjusted)</v>
      </c>
      <c r="D30" s="27"/>
      <c r="E30" s="27"/>
      <c r="F30" s="1180" t="s">
        <v>20</v>
      </c>
      <c r="G30" s="60"/>
      <c r="H30" s="60"/>
      <c r="I30" s="60"/>
      <c r="J30" s="60"/>
      <c r="K30" s="104"/>
      <c r="L30" s="89"/>
      <c r="M30" s="1180" t="s">
        <v>23</v>
      </c>
      <c r="N30" s="62"/>
      <c r="O30" s="1210" t="s">
        <v>21</v>
      </c>
      <c r="P30" s="60"/>
    </row>
    <row r="31" spans="2:44" ht="13.5">
      <c r="B31" s="63"/>
      <c r="C31" s="63"/>
      <c r="D31" s="76"/>
      <c r="E31" s="76"/>
      <c r="F31" s="1207" t="s">
        <v>24</v>
      </c>
      <c r="G31" s="1207" t="s">
        <v>25</v>
      </c>
      <c r="H31" s="1207" t="s">
        <v>26</v>
      </c>
      <c r="I31" s="1207" t="s">
        <v>27</v>
      </c>
      <c r="J31" s="1207" t="s">
        <v>28</v>
      </c>
      <c r="K31" s="27"/>
      <c r="L31" s="27"/>
      <c r="M31" s="1207" t="s">
        <v>29</v>
      </c>
      <c r="N31" s="1208" t="s">
        <v>30</v>
      </c>
      <c r="O31" s="1209" t="s">
        <v>29</v>
      </c>
      <c r="P31" s="1207" t="s">
        <v>30</v>
      </c>
    </row>
    <row r="32" spans="2:44">
      <c r="B32" s="32" t="str">
        <f>GenValidation!AO5</f>
        <v>Studio</v>
      </c>
      <c r="C32" s="32"/>
      <c r="D32" s="27"/>
      <c r="E32" s="27"/>
      <c r="F32" s="64">
        <f>IF(J32,SUMPRODUCT((FPBeds&lt;&gt;"")*(FloorPlanNames&lt;&gt;"")*(FPBeds=GenValidation!AP5)*FPNumOfUnits*Input!$F$53:$F$54)/J32,)</f>
        <v>0</v>
      </c>
      <c r="G32" s="65">
        <f>SUMIF(FPBeds,GenValidation!$AP5,FPOccupiedUnits)*(SUMPRODUCT((FPBeds&lt;&gt;"")*(FloorPlanNames&lt;&gt;""))&gt;0)</f>
        <v>0</v>
      </c>
      <c r="H32" s="65">
        <f>SUMIF(FPBeds,GenValidation!$AP5,Input!J$53:J$54)*(SUMPRODUCT((FPBeds&lt;&gt;"")*(FloorPlanNames&lt;&gt;""))&gt;0)</f>
        <v>0</v>
      </c>
      <c r="I32" s="65">
        <f>SUMIF(FPBeds,GenValidation!$AP5,Input!K$53:K$54)*(SUMPRODUCT((FPBeds&lt;&gt;"")*(FloorPlanNames&lt;&gt;""))&gt;0)</f>
        <v>0</v>
      </c>
      <c r="J32" s="66">
        <f>SUM(G32:I32)</f>
        <v>0</v>
      </c>
      <c r="K32" s="27"/>
      <c r="L32" s="27"/>
      <c r="M32" s="67">
        <f>IF($J32,SUMPRODUCT((FPBeds&lt;&gt;"")*(FloorPlanNames&lt;&gt;"")*(FPBeds=GenValidation!AP5)*FPNumOfUnits,Input!$L$53:$L$54)/$J32,)</f>
        <v>0</v>
      </c>
      <c r="N32" s="69">
        <f t="shared" ref="N32:N37" si="0">IF($F32,M32/$F32,0)</f>
        <v>0</v>
      </c>
      <c r="O32" s="105">
        <f>IF($G32,SUMPRODUCT((FPBeds&lt;&gt;"")*(FloorPlanNames&lt;&gt;"")*(FPBeds=GenValidation!AP5)*FPOccupiedUnits,Input!$M$53:$M$54)/$G32,)</f>
        <v>0</v>
      </c>
      <c r="P32" s="68">
        <f>IFERROR(IF($G32,O32*G32/SUMPRODUCT((FPBeds=GenValidation!AP5)*(Input!$M$53:$M$54/(FPInPlacePerSF*(FPInPlacePerSF&lt;&gt;0)+1*(FPInPlacePerSF=0))*FPOccupiedUnits)),0),)</f>
        <v>0</v>
      </c>
    </row>
    <row r="33" spans="2:44">
      <c r="B33" s="32" t="str">
        <f>GenValidation!AO6</f>
        <v>1 Bedroom</v>
      </c>
      <c r="C33" s="32"/>
      <c r="D33" s="27"/>
      <c r="E33" s="27"/>
      <c r="F33" s="64">
        <f>IF(J33,SUMPRODUCT((FPBeds&lt;&gt;"")*(FloorPlanNames&lt;&gt;"")*(FPBeds=GenValidation!AP6)*FPNumOfUnits*Input!$F$53:$F$54)/J33,)</f>
        <v>0</v>
      </c>
      <c r="G33" s="65">
        <f>SUMIF(FPBeds,GenValidation!$AP6,FPOccupiedUnits)*(SUMPRODUCT((FPBeds&lt;&gt;"")*(FloorPlanNames&lt;&gt;""))&gt;0)</f>
        <v>0</v>
      </c>
      <c r="H33" s="65">
        <f>SUMIF(FPBeds,GenValidation!$AP6,Input!J$53:J$54)*(SUMPRODUCT((FPBeds&lt;&gt;"")*(FloorPlanNames&lt;&gt;""))&gt;0)</f>
        <v>0</v>
      </c>
      <c r="I33" s="65">
        <f>SUMIF(FPBeds,GenValidation!$AP6,Input!K$53:K$54)*(SUMPRODUCT((FPBeds&lt;&gt;"")*(FloorPlanNames&lt;&gt;""))&gt;0)</f>
        <v>0</v>
      </c>
      <c r="J33" s="38">
        <f>SUM(G33:I33)</f>
        <v>0</v>
      </c>
      <c r="K33" s="27"/>
      <c r="L33" s="27"/>
      <c r="M33" s="67">
        <f>IF($J33,SUMPRODUCT((FPBeds&lt;&gt;"")*(FloorPlanNames&lt;&gt;"")*(FPBeds=GenValidation!AP6)*FPNumOfUnits,Input!$L$53:$L$54)/$J33,)</f>
        <v>0</v>
      </c>
      <c r="N33" s="69">
        <f t="shared" si="0"/>
        <v>0</v>
      </c>
      <c r="O33" s="105">
        <f>IF($G33,SUMPRODUCT((FPBeds&lt;&gt;"")*(FloorPlanNames&lt;&gt;"")*(FPBeds=GenValidation!AP6)*FPOccupiedUnits,Input!$M$53:$M$54)/$G33,)</f>
        <v>0</v>
      </c>
      <c r="P33" s="68">
        <f>IFERROR(IF($G33,O33*G33/SUMPRODUCT((FPBeds=GenValidation!AP6)*(Input!$M$53:$M$54/(FPInPlacePerSF*(FPInPlacePerSF&lt;&gt;0)+1*(FPInPlacePerSF=0))*FPOccupiedUnits)),0),)</f>
        <v>0</v>
      </c>
    </row>
    <row r="34" spans="2:44">
      <c r="B34" s="32" t="str">
        <f>GenValidation!AO7</f>
        <v>2 Bedroom</v>
      </c>
      <c r="C34" s="32"/>
      <c r="D34" s="27"/>
      <c r="E34" s="27"/>
      <c r="F34" s="64">
        <f>IF(J34,SUMPRODUCT((FPBeds&lt;&gt;"")*(FloorPlanNames&lt;&gt;"")*(FPBeds=GenValidation!AP7)*FPNumOfUnits*Input!$F$53:$F$54)/J34,)</f>
        <v>1273</v>
      </c>
      <c r="G34" s="65">
        <f>SUMIF(FPBeds,GenValidation!$AP7,FPOccupiedUnits)*(SUMPRODUCT((FPBeds&lt;&gt;"")*(FloorPlanNames&lt;&gt;""))&gt;0)</f>
        <v>55</v>
      </c>
      <c r="H34" s="65">
        <f>SUMIF(FPBeds,GenValidation!$AP7,Input!J$53:J$54)*(SUMPRODUCT((FPBeds&lt;&gt;"")*(FloorPlanNames&lt;&gt;""))&gt;0)</f>
        <v>7</v>
      </c>
      <c r="I34" s="65">
        <f>SUMIF(FPBeds,GenValidation!$AP7,Input!K$53:K$54)*(SUMPRODUCT((FPBeds&lt;&gt;"")*(FloorPlanNames&lt;&gt;""))&gt;0)</f>
        <v>1</v>
      </c>
      <c r="J34" s="38">
        <f>SUM(G34:I34)</f>
        <v>63</v>
      </c>
      <c r="K34" s="27"/>
      <c r="L34" s="27"/>
      <c r="M34" s="67">
        <f>IF($J34,SUMPRODUCT((FPBeds&lt;&gt;"")*(FloorPlanNames&lt;&gt;"")*(FPBeds=GenValidation!AP7)*FPNumOfUnits,Input!$L$53:$L$54)/$J34,)</f>
        <v>1649.0952380952399</v>
      </c>
      <c r="N34" s="69">
        <f t="shared" si="0"/>
        <v>1.295440092769238</v>
      </c>
      <c r="O34" s="105">
        <f>IF($G34,SUMPRODUCT((FPBeds&lt;&gt;"")*(FloorPlanNames&lt;&gt;"")*(FPBeds=GenValidation!AP7)*FPOccupiedUnits,Input!$M$53:$M$54)/$G34,)</f>
        <v>1455.9642857142901</v>
      </c>
      <c r="P34" s="68">
        <f>IFERROR(IF($G34,O34*G34/SUMPRODUCT((FPBeds=GenValidation!AP7)*(Input!$M$53:$M$54/(FPInPlacePerSF*(FPInPlacePerSF&lt;&gt;0)+1*(FPInPlacePerSF=0))*FPOccupiedUnits)),0),)</f>
        <v>1.1437268544495602</v>
      </c>
    </row>
    <row r="35" spans="2:44">
      <c r="B35" s="32" t="str">
        <f>GenValidation!AO8</f>
        <v>3 Bedroom</v>
      </c>
      <c r="C35" s="32"/>
      <c r="D35" s="27"/>
      <c r="E35" s="27"/>
      <c r="F35" s="64">
        <f>IF(J35,SUMPRODUCT((FPBeds&lt;&gt;"")*(FloorPlanNames&lt;&gt;"")*(FPBeds=GenValidation!AP8)*FPNumOfUnits*Input!$F$53:$F$54)/J35,)</f>
        <v>1635</v>
      </c>
      <c r="G35" s="65">
        <f>SUMIF(FPBeds,GenValidation!$AP8,FPOccupiedUnits)*(SUMPRODUCT((FPBeds&lt;&gt;"")*(FloorPlanNames&lt;&gt;""))&gt;0)</f>
        <v>17</v>
      </c>
      <c r="H35" s="65">
        <f>SUMIF(FPBeds,GenValidation!$AP8,Input!J$53:J$54)*(SUMPRODUCT((FPBeds&lt;&gt;"")*(FloorPlanNames&lt;&gt;""))&gt;0)</f>
        <v>0</v>
      </c>
      <c r="I35" s="65">
        <f>SUMIF(FPBeds,GenValidation!$AP8,Input!K$53:K$54)*(SUMPRODUCT((FPBeds&lt;&gt;"")*(FloorPlanNames&lt;&gt;""))&gt;0)</f>
        <v>0</v>
      </c>
      <c r="J35" s="38">
        <f>SUM(G35:I35)</f>
        <v>17</v>
      </c>
      <c r="K35" s="27"/>
      <c r="L35" s="27"/>
      <c r="M35" s="67">
        <f>IF($J35,SUMPRODUCT((FPBeds&lt;&gt;"")*(FloorPlanNames&lt;&gt;"")*(FPBeds=GenValidation!AP8)*FPNumOfUnits,Input!$L$53:$L$54)/$J35,)</f>
        <v>1748.76470588235</v>
      </c>
      <c r="N35" s="69">
        <f t="shared" si="0"/>
        <v>1.0695808598668808</v>
      </c>
      <c r="O35" s="105">
        <f>IF($G35,SUMPRODUCT((FPBeds&lt;&gt;"")*(FloorPlanNames&lt;&gt;"")*(FPBeds=GenValidation!AP8)*FPOccupiedUnits,Input!$M$53:$M$54)/$G35,)</f>
        <v>1634.11764705882</v>
      </c>
      <c r="P35" s="68">
        <f>IFERROR(IF($G35,O35*G35/SUMPRODUCT((FPBeds=GenValidation!AP8)*(Input!$M$53:$M$54/(FPInPlacePerSF*(FPInPlacePerSF&lt;&gt;0)+1*(FPInPlacePerSF=0))*FPOccupiedUnits)),0),)</f>
        <v>0.99946033459255301</v>
      </c>
    </row>
    <row r="36" spans="2:44">
      <c r="B36" s="32" t="str">
        <f>GenValidation!AO9</f>
        <v>4+ Bedroom</v>
      </c>
      <c r="C36" s="32"/>
      <c r="D36" s="27"/>
      <c r="E36" s="27"/>
      <c r="F36" s="64">
        <f>IF(J36,SUMPRODUCT((FPBeds&lt;&gt;"")*(FloorPlanNames&lt;&gt;"")*(FPBeds&gt;GenValidation!AP8)*FPNumOfUnits*Input!$F$53:$F$54)/J36,)</f>
        <v>0</v>
      </c>
      <c r="G36" s="65">
        <f>SUMIF(FPBeds,GenValidation!$AP9,FPOccupiedUnits)*(SUMPRODUCT((FPBeds&lt;&gt;"")*(FloorPlanNames&lt;&gt;""))&gt;0)</f>
        <v>0</v>
      </c>
      <c r="H36" s="65">
        <f>SUMIF(FPBeds,GenValidation!$AP9,Input!J$53:J$54)*(SUMPRODUCT((FPBeds&lt;&gt;"")*(FloorPlanNames&lt;&gt;""))&gt;0)</f>
        <v>0</v>
      </c>
      <c r="I36" s="65">
        <f>SUMIF(FPBeds,GenValidation!$AP9,Input!K$53:K$54)*(SUMPRODUCT((FPBeds&lt;&gt;"")*(FloorPlanNames&lt;&gt;""))&gt;0)</f>
        <v>0</v>
      </c>
      <c r="J36" s="70">
        <f>SUM(G36:I36)</f>
        <v>0</v>
      </c>
      <c r="K36" s="27"/>
      <c r="L36" s="27"/>
      <c r="M36" s="67">
        <f>IF($J36,SUMPRODUCT((FPBeds&lt;&gt;"")*(FloorPlanNames&lt;&gt;"")*(FPBeds&gt;GenValidation!AP8)*FPNumOfUnits,Input!$L$53:$L$54)/$J36,)</f>
        <v>0</v>
      </c>
      <c r="N36" s="69">
        <f t="shared" si="0"/>
        <v>0</v>
      </c>
      <c r="O36" s="105">
        <f>IF($G36,SUMPRODUCT((FPBeds&lt;&gt;"")*(FloorPlanNames&lt;&gt;"")*(FPBeds&gt;GenValidation!AP8)*FPOccupiedUnits,Input!$M$53:$M$54)/$G36,)</f>
        <v>0</v>
      </c>
      <c r="P36" s="68">
        <f>IFERROR(IF($G36,O36*G36/SUMPRODUCT((FPBeds&gt;GenValidation!AP8)*(Input!$M$53:$M$54/(FPInPlacePerSF*(FPInPlacePerSF&lt;&gt;0)+1*(FPInPlacePerSF=0))*FPOccupiedUnits)),0),)</f>
        <v>0</v>
      </c>
    </row>
    <row r="37" spans="2:44">
      <c r="B37" s="46" t="s">
        <v>31</v>
      </c>
      <c r="C37" s="46"/>
      <c r="D37" s="27"/>
      <c r="E37" s="27"/>
      <c r="F37" s="71">
        <f>IF(J37,SUMPRODUCT(F32:F36,J32:J36)/J37,)</f>
        <v>1349.925</v>
      </c>
      <c r="G37" s="72">
        <f>SUM(G32:G36)</f>
        <v>72</v>
      </c>
      <c r="H37" s="72">
        <f>SUM(H32:H36)</f>
        <v>7</v>
      </c>
      <c r="I37" s="72">
        <f>SUM(I32:I36)</f>
        <v>1</v>
      </c>
      <c r="J37" s="47">
        <f>SUM(J32:J36)</f>
        <v>80</v>
      </c>
      <c r="K37" s="27"/>
      <c r="L37" s="27"/>
      <c r="M37" s="73">
        <f>IF($J$37,SUMPRODUCT(M32:M36,$J$32:$J$36)/$J$37,)</f>
        <v>1670.2750000000008</v>
      </c>
      <c r="N37" s="75">
        <f t="shared" si="0"/>
        <v>1.2373094801563056</v>
      </c>
      <c r="O37" s="106">
        <f>IF($G$37,SUMPRODUCT(O32:O36,$G$32:$G$36)/$G$37,)</f>
        <v>1498.0282738095264</v>
      </c>
      <c r="P37" s="74">
        <f>IFERROR(IF($G37,O37*G37/SUMPRODUCT((Input!$M$53:$M$54/(FPInPlacePerSF*(FPInPlacePerSF&lt;&gt;0)+1*(FPInPlacePerSF=0))*FPOccupiedUnits)),0),)</f>
        <v>1.1027301473702686</v>
      </c>
    </row>
    <row r="38" spans="2:44">
      <c r="B38" s="27"/>
      <c r="C38" s="27"/>
      <c r="D38" s="27"/>
      <c r="E38" s="27"/>
      <c r="F38" s="27"/>
      <c r="G38" s="27"/>
      <c r="H38" s="27"/>
      <c r="I38" s="27"/>
      <c r="J38" s="27"/>
      <c r="K38" s="27"/>
      <c r="L38" s="27"/>
      <c r="M38" s="27"/>
      <c r="N38" s="27"/>
      <c r="O38" s="27"/>
      <c r="P38" s="27"/>
    </row>
    <row r="39" spans="2:44" ht="12.75" customHeight="1"/>
    <row r="40" spans="2:44" ht="12.75" customHeight="1"/>
    <row r="41" spans="2:44" s="31" customFormat="1" ht="15.75" customHeight="1">
      <c r="B41" s="1040" t="s">
        <v>40</v>
      </c>
      <c r="C41" s="1028"/>
      <c r="D41" s="1029"/>
      <c r="E41" s="1029"/>
      <c r="F41" s="1031" t="str">
        <f>IF((COLUMN()-COLUMN($C$41)-1)/2&lt;=NumLoansOutput,(COLUMN()-COLUMN($C$41)-1)/2,"")</f>
        <v/>
      </c>
      <c r="G41" s="1032"/>
      <c r="H41" s="1031" t="str">
        <f>IF((COLUMN()-COLUMN($C$41)-1)/2&lt;=NumLoansOutput,(COLUMN()-COLUMN($C$41)-1)/2,"")</f>
        <v/>
      </c>
      <c r="I41" s="1032"/>
      <c r="J41" s="1031" t="str">
        <f>IF((COLUMN()-COLUMN($C$41)-1)/2&lt;=NumLoansOutput,(COLUMN()-COLUMN($C$41)-1)/2,"")</f>
        <v/>
      </c>
      <c r="K41" s="1032"/>
      <c r="L41" s="1031" t="str">
        <f>IF((COLUMN()-COLUMN($C$41)-1)/2&lt;=NumLoansOutput,(COLUMN()-COLUMN($C$41)-1)/2,"")</f>
        <v/>
      </c>
      <c r="M41" s="1032"/>
      <c r="N41" s="1031" t="str">
        <f>IF((COLUMN()-COLUMN($C$41)-1)/2&lt;=NumLoansOutput,(COLUMN()-COLUMN($C$41)-1)/2,"")</f>
        <v/>
      </c>
      <c r="O41" s="1032"/>
      <c r="P41" s="1031" t="str">
        <f>IF((COLUMN()-COLUMN($C$41)-1)/2&lt;=NumLoansOutput,(COLUMN()-COLUMN($C$41)-1)/2,"")</f>
        <v/>
      </c>
      <c r="Q41"/>
      <c r="R41"/>
      <c r="S41"/>
      <c r="T41"/>
      <c r="U41"/>
      <c r="V41"/>
      <c r="W41"/>
      <c r="X41"/>
      <c r="Y41"/>
      <c r="Z41"/>
      <c r="AA41"/>
      <c r="AB41"/>
      <c r="AC41"/>
      <c r="AD41"/>
      <c r="AE41"/>
      <c r="AF41"/>
      <c r="AG41"/>
      <c r="AH41"/>
      <c r="AI41"/>
      <c r="AJ41"/>
      <c r="AK41"/>
      <c r="AL41"/>
      <c r="AM41"/>
      <c r="AN41"/>
      <c r="AO41"/>
      <c r="AP41"/>
      <c r="AQ41"/>
      <c r="AR41"/>
    </row>
    <row r="42" spans="2:44" ht="15" customHeight="1">
      <c r="B42" s="1206" t="s">
        <v>41</v>
      </c>
      <c r="C42" s="49"/>
      <c r="D42" s="27"/>
      <c r="E42" s="80"/>
      <c r="F42" s="1179">
        <f>IF(F$41="",0,INDEX(GenValidation!$AL$15:$AQ$15,0,MATCH(F$41,GenValidation!$AL$17:$AQ$17,0)))</f>
        <v>0</v>
      </c>
      <c r="G42" s="80"/>
      <c r="H42" s="1179">
        <f>IF(H$41="",0,INDEX(GenValidation!$AL$15:$AQ$15,0,MATCH(H$41,GenValidation!$AL$17:$AQ$17,0)))</f>
        <v>0</v>
      </c>
      <c r="I42" s="80"/>
      <c r="J42" s="1179">
        <f>IF(J$41="",0,INDEX(GenValidation!$AL$15:$AQ$15,0,MATCH(J$41,GenValidation!$AL$17:$AQ$17,0)))</f>
        <v>0</v>
      </c>
      <c r="K42" s="80"/>
      <c r="L42" s="1179">
        <f>IF(L$41="",0,INDEX(GenValidation!$AL$15:$AQ$15,0,MATCH(L$41,GenValidation!$AL$17:$AQ$17,0)))</f>
        <v>0</v>
      </c>
      <c r="M42" s="80"/>
      <c r="N42" s="1179">
        <f>IF(N$41="",0,INDEX(GenValidation!$AL$15:$AQ$15,0,MATCH(N$41,GenValidation!$AL$17:$AQ$17,0)))</f>
        <v>0</v>
      </c>
      <c r="O42" s="80"/>
      <c r="P42" s="1179">
        <f>IF(P$41="",0,INDEX(GenValidation!$AL$15:$AQ$15,0,MATCH(P$41,GenValidation!$AL$17:$AQ$17,0)))</f>
        <v>0</v>
      </c>
    </row>
    <row r="43" spans="2:44">
      <c r="B43" s="32" t="s">
        <v>42</v>
      </c>
      <c r="C43" s="32"/>
      <c r="D43" s="27"/>
      <c r="E43" s="81"/>
      <c r="F43" s="82">
        <f t="array" ref="F43">IF(F42=0,0,INDEX(GenValidation!$AL$20:$AQ$20,0,MATCH(F42,GenValidation!$AL$15:$AQ$15,0)))</f>
        <v>0</v>
      </c>
      <c r="G43" s="81"/>
      <c r="H43" s="82">
        <f t="array" ref="H43">IF(H42=0,0,INDEX(GenValidation!$AL$20:$AQ$20,0,MATCH(H42,GenValidation!$AL$15:$AQ$15,0)))</f>
        <v>0</v>
      </c>
      <c r="I43" s="81"/>
      <c r="J43" s="82">
        <f t="array" ref="J43">IF(J42=0,0,INDEX(GenValidation!$AL$20:$AQ$20,0,MATCH(J42,GenValidation!$AL$15:$AQ$15,0)))</f>
        <v>0</v>
      </c>
      <c r="K43" s="81"/>
      <c r="L43" s="82">
        <f t="array" ref="L43">IF(L42=0,0,INDEX(GenValidation!$AL$20:$AQ$20,0,MATCH(L42,GenValidation!$AL$15:$AQ$15,0)))</f>
        <v>0</v>
      </c>
      <c r="M43" s="81"/>
      <c r="N43" s="82">
        <f t="array" ref="N43">IF(N42=0,0,INDEX(GenValidation!$AL$20:$AQ$20,0,MATCH(N42,GenValidation!$AL$15:$AQ$15,0)))</f>
        <v>0</v>
      </c>
      <c r="O43" s="81"/>
      <c r="P43" s="82">
        <f t="array" ref="P43">IF(P42=0,0,INDEX(GenValidation!$AL$20:$AQ$20,0,MATCH(P42,GenValidation!$AL$15:$AQ$15,0)))</f>
        <v>0</v>
      </c>
    </row>
    <row r="44" spans="2:44">
      <c r="B44" s="32" t="s">
        <v>43</v>
      </c>
      <c r="C44" s="32"/>
      <c r="D44" s="27"/>
      <c r="E44" s="1253">
        <f>IF(F$41="",0,INDEX(GenValidation!$AL$21:$AQ$21,0,MATCH(F$41,GenValidation!$AL$17:$AQ$17,0)))</f>
        <v>0</v>
      </c>
      <c r="F44" s="1253"/>
      <c r="G44" s="1253">
        <f>IF(H$41="",0,INDEX(GenValidation!$AL$21:$AQ$21,0,MATCH(H$41,GenValidation!$AL$17:$AQ$17,0)))</f>
        <v>0</v>
      </c>
      <c r="H44" s="1253"/>
      <c r="I44" s="1253">
        <f>IF(J$41="",0,INDEX(GenValidation!$AL$21:$AQ$21,0,MATCH(J$41,GenValidation!$AL$17:$AQ$17,0)))</f>
        <v>0</v>
      </c>
      <c r="J44" s="1253"/>
      <c r="K44" s="1253">
        <f>IF(L$41="",0,INDEX(GenValidation!$AL$21:$AQ$21,0,MATCH(L$41,GenValidation!$AL$17:$AQ$17,0)))</f>
        <v>0</v>
      </c>
      <c r="L44" s="1253"/>
      <c r="M44" s="1253">
        <f>IF(N$41="",0,INDEX(GenValidation!$AL$21:$AQ$21,0,MATCH(N$41,GenValidation!$AL$17:$AQ$17,0)))</f>
        <v>0</v>
      </c>
      <c r="N44" s="1253"/>
      <c r="O44" s="1253">
        <f>IF(P$41="",0,INDEX(GenValidation!$AL$21:$AQ$21,0,MATCH(P$41,GenValidation!$AL$17:$AQ$17,0)))</f>
        <v>0</v>
      </c>
      <c r="P44" s="1253"/>
    </row>
    <row r="45" spans="2:44">
      <c r="B45" s="32"/>
      <c r="C45" s="32"/>
      <c r="D45" s="27"/>
      <c r="E45" s="83"/>
      <c r="F45" s="83"/>
      <c r="G45" s="83"/>
      <c r="H45" s="83"/>
      <c r="I45" s="83"/>
      <c r="J45" s="83"/>
      <c r="K45" s="83"/>
      <c r="L45" s="83"/>
      <c r="M45" s="83"/>
      <c r="N45" s="83"/>
      <c r="O45" s="83"/>
      <c r="P45" s="83"/>
    </row>
    <row r="46" spans="2:44">
      <c r="B46" s="1206" t="s">
        <v>44</v>
      </c>
      <c r="C46" s="49"/>
      <c r="D46" s="27"/>
      <c r="E46" s="83"/>
      <c r="F46" s="83"/>
      <c r="G46" s="83"/>
      <c r="H46" s="83"/>
      <c r="I46" s="83"/>
      <c r="J46" s="83"/>
      <c r="K46" s="83"/>
      <c r="L46" s="83"/>
      <c r="M46" s="83"/>
      <c r="N46" s="83"/>
      <c r="O46" s="83"/>
      <c r="P46" s="83"/>
    </row>
    <row r="47" spans="2:44">
      <c r="B47" s="32" t="s">
        <v>45</v>
      </c>
      <c r="C47" s="32"/>
      <c r="D47" s="27"/>
      <c r="E47" s="84"/>
      <c r="F47" s="84">
        <f>IF(F$41="",0,INDEX(GenValidation!$AL$24:$AQ$24,0,MATCH(F$41,GenValidation!$AL$17:$AQ$17,0)))</f>
        <v>0</v>
      </c>
      <c r="G47" s="84"/>
      <c r="H47" s="84">
        <f>IF(H$41="",0,INDEX(GenValidation!$AL$24:$AQ$24,0,MATCH(H$41,GenValidation!$AL$17:$AQ$17,0)))</f>
        <v>0</v>
      </c>
      <c r="I47" s="84"/>
      <c r="J47" s="84">
        <f>IF(J$41="",0,INDEX(GenValidation!$AL$24:$AQ$24,0,MATCH(J$41,GenValidation!$AL$17:$AQ$17,0)))</f>
        <v>0</v>
      </c>
      <c r="K47" s="84"/>
      <c r="L47" s="84">
        <f>IF(L$41="",0,INDEX(GenValidation!$AL$24:$AQ$24,0,MATCH(L$41,GenValidation!$AL$17:$AQ$17,0)))</f>
        <v>0</v>
      </c>
      <c r="M47" s="84"/>
      <c r="N47" s="84">
        <f>IF(N$41="",0,INDEX(GenValidation!$AL$24:$AQ$24,0,MATCH(N$41,GenValidation!$AL$17:$AQ$17,0)))</f>
        <v>0</v>
      </c>
      <c r="O47" s="84"/>
      <c r="P47" s="84">
        <f>IF(P$41="",0,INDEX(GenValidation!$AL$24:$AQ$24,0,MATCH(P$41,GenValidation!$AL$17:$AQ$17,0)))</f>
        <v>0</v>
      </c>
    </row>
    <row r="48" spans="2:44">
      <c r="B48" s="32" t="s">
        <v>46</v>
      </c>
      <c r="C48" s="32"/>
      <c r="D48" s="27"/>
      <c r="E48" s="1254">
        <f>IF(F$41="",0,INDEX(GenValidation!$AL$25:$AQ$25,0,MATCH(F$41,GenValidation!$AL$17:$AQ$17,0)))</f>
        <v>0</v>
      </c>
      <c r="F48" s="1254"/>
      <c r="G48" s="1254">
        <f>IF(H$41="",0,INDEX(GenValidation!$AL$25:$AQ$25,0,MATCH(H$41,GenValidation!$AL$17:$AQ$17,0)))</f>
        <v>0</v>
      </c>
      <c r="H48" s="1254"/>
      <c r="I48" s="1254">
        <f>IF(J$41="",0,INDEX(GenValidation!$AL$25:$AQ$25,0,MATCH(J$41,GenValidation!$AL$17:$AQ$17,0)))</f>
        <v>0</v>
      </c>
      <c r="J48" s="1254"/>
      <c r="K48" s="1254">
        <f>IF(L$41="",0,INDEX(GenValidation!$AL$25:$AQ$25,0,MATCH(L$41,GenValidation!$AL$17:$AQ$17,0)))</f>
        <v>0</v>
      </c>
      <c r="L48" s="1254"/>
      <c r="M48" s="1254">
        <f>IF(N$41="",0,INDEX(GenValidation!$AL$25:$AQ$25,0,MATCH(N$41,GenValidation!$AL$17:$AQ$17,0)))</f>
        <v>0</v>
      </c>
      <c r="N48" s="1254"/>
      <c r="O48" s="1254">
        <f>IF(P$41="",0,INDEX(GenValidation!$AL$25:$AQ$25,0,MATCH(P$41,GenValidation!$AL$17:$AQ$17,0)))</f>
        <v>0</v>
      </c>
      <c r="P48" s="1254"/>
    </row>
    <row r="49" spans="2:44">
      <c r="B49" s="32" t="s">
        <v>47</v>
      </c>
      <c r="C49" s="32"/>
      <c r="D49" s="27"/>
      <c r="E49" s="86"/>
      <c r="F49" s="86">
        <f>IF(F$41="",0,INDEX(GenValidation!$AL$26:$AQ$26,0,MATCH(F$41,GenValidation!$AL$17:$AQ$17,0)))</f>
        <v>0</v>
      </c>
      <c r="G49" s="86"/>
      <c r="H49" s="86">
        <f>IF(H$41="",0,INDEX(GenValidation!$AL$26:$AQ$26,0,MATCH(H$41,GenValidation!$AL$17:$AQ$17,0)))</f>
        <v>0</v>
      </c>
      <c r="I49" s="86"/>
      <c r="J49" s="86">
        <f>IF(J$41="",0,INDEX(GenValidation!$AL$26:$AQ$26,0,MATCH(J$41,GenValidation!$AL$17:$AQ$17,0)))</f>
        <v>0</v>
      </c>
      <c r="K49" s="86"/>
      <c r="L49" s="86">
        <f>IF(L$41="",0,INDEX(GenValidation!$AL$26:$AQ$26,0,MATCH(L$41,GenValidation!$AL$17:$AQ$17,0)))</f>
        <v>0</v>
      </c>
      <c r="M49" s="86"/>
      <c r="N49" s="86">
        <f>IF(N$41="",0,INDEX(GenValidation!$AL$26:$AQ$26,0,MATCH(N$41,GenValidation!$AL$17:$AQ$17,0)))</f>
        <v>0</v>
      </c>
      <c r="O49" s="86"/>
      <c r="P49" s="86">
        <f>IF(P$41="",0,INDEX(GenValidation!$AL$26:$AQ$26,0,MATCH(P$41,GenValidation!$AL$17:$AQ$17,0)))</f>
        <v>0</v>
      </c>
    </row>
    <row r="50" spans="2:44">
      <c r="B50" s="32" t="s">
        <v>48</v>
      </c>
      <c r="C50" s="32"/>
      <c r="D50" s="27"/>
      <c r="E50" s="44"/>
      <c r="F50" s="44">
        <f>IF(F$41="",0,INDEX(GenValidation!$AL$27:$AQ$27,0,MATCH(F$41,GenValidation!$AL$17:$AQ$17,0)))</f>
        <v>0</v>
      </c>
      <c r="G50" s="44"/>
      <c r="H50" s="44">
        <f>IF(H$41="",0,INDEX(GenValidation!$AL$27:$AQ$27,0,MATCH(H$41,GenValidation!$AL$17:$AQ$17,0)))</f>
        <v>0</v>
      </c>
      <c r="I50" s="44"/>
      <c r="J50" s="44">
        <f>IF(J$41="",0,INDEX(GenValidation!$AL$27:$AQ$27,0,MATCH(J$41,GenValidation!$AL$17:$AQ$17,0)))</f>
        <v>0</v>
      </c>
      <c r="K50" s="44"/>
      <c r="L50" s="44">
        <f>IF(L$41="",0,INDEX(GenValidation!$AL$27:$AQ$27,0,MATCH(L$41,GenValidation!$AL$17:$AQ$17,0)))</f>
        <v>0</v>
      </c>
      <c r="M50" s="44"/>
      <c r="N50" s="44">
        <f>IF(N$41="",0,INDEX(GenValidation!$AL$27:$AQ$27,0,MATCH(N$41,GenValidation!$AL$17:$AQ$17,0)))</f>
        <v>0</v>
      </c>
      <c r="O50" s="44"/>
      <c r="P50" s="44">
        <f>IF(P$41="",0,INDEX(GenValidation!$AL$27:$AQ$27,0,MATCH(P$41,GenValidation!$AL$17:$AQ$17,0)))</f>
        <v>0</v>
      </c>
    </row>
    <row r="51" spans="2:44">
      <c r="B51" s="32" t="s">
        <v>49</v>
      </c>
      <c r="C51" s="32"/>
      <c r="D51" s="27"/>
      <c r="E51" s="85"/>
      <c r="F51" s="107">
        <f>IF(F$41="",0,INDEX(GenValidation!$AL$28:$AQ$28,0,MATCH(F$41,GenValidation!$AL$17:$AQ$17,0)))</f>
        <v>0</v>
      </c>
      <c r="G51" s="85"/>
      <c r="H51" s="107">
        <f>IF(H$41="",0,INDEX(GenValidation!$AL$28:$AQ$28,0,MATCH(H$41,GenValidation!$AL$17:$AQ$17,0)))</f>
        <v>0</v>
      </c>
      <c r="I51" s="85"/>
      <c r="J51" s="107">
        <f>IF(J$41="",0,INDEX(GenValidation!$AL$28:$AQ$28,0,MATCH(J$41,GenValidation!$AL$17:$AQ$17,0)))</f>
        <v>0</v>
      </c>
      <c r="K51" s="85"/>
      <c r="L51" s="107">
        <f>IF(L$41="",0,INDEX(GenValidation!$AL$28:$AQ$28,0,MATCH(L$41,GenValidation!$AL$17:$AQ$17,0)))</f>
        <v>0</v>
      </c>
      <c r="M51" s="85"/>
      <c r="N51" s="107">
        <f>IF(N$41="",0,INDEX(GenValidation!$AL$28:$AQ$28,0,MATCH(N$41,GenValidation!$AL$17:$AQ$17,0)))</f>
        <v>0</v>
      </c>
      <c r="O51" s="85"/>
      <c r="P51" s="107">
        <f>IF(P$41="",0,INDEX(GenValidation!$AL$28:$AQ$28,0,MATCH(P$41,GenValidation!$AL$17:$AQ$17,0)))</f>
        <v>0</v>
      </c>
    </row>
    <row r="52" spans="2:44">
      <c r="B52" s="32" t="s">
        <v>50</v>
      </c>
      <c r="C52" s="32"/>
      <c r="D52" s="27"/>
      <c r="E52" s="27"/>
      <c r="F52" s="108" t="str">
        <f>IF(F$41="","",INDEX(GenValidation!$AL$29:$AQ$29,0,MATCH(F$41,GenValidation!$AL$17:$AQ$17,0)))</f>
        <v/>
      </c>
      <c r="G52" s="108"/>
      <c r="H52" s="108" t="str">
        <f>IF(H$41="","",INDEX(GenValidation!$AL$29:$AQ$29,0,MATCH(H$41,GenValidation!$AL$17:$AQ$17,0)))</f>
        <v/>
      </c>
      <c r="I52" s="108"/>
      <c r="J52" s="108" t="str">
        <f>IF(J$41="","",INDEX(GenValidation!$AL$29:$AQ$29,0,MATCH(J$41,GenValidation!$AL$17:$AQ$17,0)))</f>
        <v/>
      </c>
      <c r="K52" s="108"/>
      <c r="L52" s="108" t="str">
        <f>IF(L$41="","",INDEX(GenValidation!$AL$29:$AQ$29,0,MATCH(L$41,GenValidation!$AL$17:$AQ$17,0)))</f>
        <v/>
      </c>
      <c r="M52" s="87"/>
      <c r="N52" s="108" t="str">
        <f>IF(N$41="","",INDEX(GenValidation!$AL$29:$AQ$29,0,MATCH(N$41,GenValidation!$AL$17:$AQ$17,0)))</f>
        <v/>
      </c>
      <c r="O52" s="87"/>
      <c r="P52" s="108" t="str">
        <f>IF(P$41="","",INDEX(GenValidation!$AL$29:$AQ$29,0,MATCH(P$41,GenValidation!$AL$17:$AQ$17,0)))</f>
        <v/>
      </c>
    </row>
    <row r="53" spans="2:44">
      <c r="B53" s="27"/>
      <c r="C53" s="27"/>
      <c r="D53" s="976" t="str">
        <f>IF(CostsIncludedLTCCalc="n/a","",CostsIncludedLTCCalc)</f>
        <v/>
      </c>
      <c r="E53" s="27"/>
      <c r="F53" s="27"/>
      <c r="G53" s="27"/>
      <c r="H53" s="27"/>
      <c r="I53" s="27"/>
      <c r="J53" s="27"/>
      <c r="K53" s="27"/>
      <c r="L53" s="27"/>
      <c r="M53" s="27"/>
      <c r="N53" s="27"/>
      <c r="O53" s="27"/>
      <c r="P53" s="27"/>
    </row>
    <row r="54" spans="2:44" ht="12.75" customHeight="1" outlineLevel="1"/>
    <row r="55" spans="2:44" ht="12.75" customHeight="1" outlineLevel="1"/>
    <row r="56" spans="2:44" s="31" customFormat="1" ht="15.75" customHeight="1" outlineLevel="1">
      <c r="B56" s="1040" t="str">
        <f>IF(RunSensitivity,"Click on ""Update Sensitivities"" to populate this table.","SENSITIVITY ANALYSIS")</f>
        <v>Click on "Update Sensitivities" to populate this table.</v>
      </c>
      <c r="C56" s="1028"/>
      <c r="D56" s="1029"/>
      <c r="E56" s="1029"/>
      <c r="F56" s="1029"/>
      <c r="G56" s="1029"/>
      <c r="H56" s="1029"/>
      <c r="I56" s="1029"/>
      <c r="J56" s="1029"/>
      <c r="K56" s="1029"/>
      <c r="L56" s="1029"/>
      <c r="M56" s="1029"/>
      <c r="N56" s="1029"/>
      <c r="O56" s="1029"/>
      <c r="P56" s="1029"/>
      <c r="Q56"/>
      <c r="R56"/>
      <c r="S56"/>
      <c r="T56"/>
      <c r="U56"/>
      <c r="V56"/>
      <c r="W56"/>
      <c r="X56"/>
      <c r="Y56"/>
      <c r="Z56"/>
      <c r="AA56"/>
      <c r="AB56"/>
      <c r="AC56"/>
      <c r="AD56"/>
      <c r="AE56"/>
      <c r="AF56"/>
      <c r="AG56"/>
      <c r="AH56"/>
      <c r="AI56"/>
      <c r="AJ56"/>
      <c r="AK56"/>
      <c r="AL56"/>
      <c r="AM56"/>
      <c r="AN56"/>
      <c r="AO56"/>
      <c r="AP56"/>
      <c r="AQ56"/>
      <c r="AR56"/>
    </row>
    <row r="57" spans="2:44" ht="15" customHeight="1" outlineLevel="1">
      <c r="B57" s="1206" t="s">
        <v>16</v>
      </c>
      <c r="C57" s="27"/>
      <c r="D57" s="27"/>
      <c r="E57" s="27"/>
      <c r="F57" s="2">
        <f>'Sensitivity Analysis'!D7</f>
        <v>14800000</v>
      </c>
      <c r="G57" s="2"/>
      <c r="H57" s="2">
        <f>'Sensitivity Analysis'!E7</f>
        <v>14900000</v>
      </c>
      <c r="I57" s="2"/>
      <c r="J57" s="1">
        <f>'Sensitivity Analysis'!F7</f>
        <v>15093236.363636363</v>
      </c>
      <c r="K57" s="1245"/>
      <c r="L57" s="1246"/>
      <c r="M57" s="2">
        <f>'Sensitivity Analysis'!G7</f>
        <v>15200000</v>
      </c>
      <c r="N57" s="2"/>
      <c r="O57" s="2">
        <f>'Sensitivity Analysis'!H7</f>
        <v>15400000</v>
      </c>
      <c r="P57" s="2"/>
    </row>
    <row r="58" spans="2:44" ht="12.75" customHeight="1" outlineLevel="1">
      <c r="B58" s="50" t="str">
        <f>'Sensitivity Analysis'!C8</f>
        <v>Per Unit</v>
      </c>
      <c r="C58" s="27"/>
      <c r="D58" s="27"/>
      <c r="E58" s="27"/>
      <c r="F58" s="1247">
        <f>'Sensitivity Analysis'!D8</f>
        <v>185000</v>
      </c>
      <c r="G58" s="1247"/>
      <c r="H58" s="1247">
        <f>'Sensitivity Analysis'!E8</f>
        <v>186250</v>
      </c>
      <c r="I58" s="1248"/>
      <c r="J58" s="1249">
        <f>'Sensitivity Analysis'!F8</f>
        <v>188665.45454545453</v>
      </c>
      <c r="K58" s="1250"/>
      <c r="L58" s="1251"/>
      <c r="M58" s="1252">
        <f>'Sensitivity Analysis'!G8</f>
        <v>190000</v>
      </c>
      <c r="N58" s="1247"/>
      <c r="O58" s="1247">
        <f>'Sensitivity Analysis'!H8</f>
        <v>192500</v>
      </c>
      <c r="P58" s="1247"/>
    </row>
    <row r="59" spans="2:44" ht="12.75" customHeight="1" outlineLevel="1">
      <c r="B59" s="50"/>
      <c r="C59" s="27"/>
      <c r="D59" s="27"/>
      <c r="E59" s="27"/>
      <c r="F59" s="51"/>
      <c r="G59" s="51"/>
      <c r="H59" s="51"/>
      <c r="I59" s="52"/>
      <c r="J59" s="53"/>
      <c r="K59" s="109"/>
      <c r="L59" s="54"/>
      <c r="M59" s="55"/>
      <c r="N59" s="51"/>
      <c r="O59" s="51"/>
      <c r="P59" s="51"/>
    </row>
    <row r="60" spans="2:44" ht="12.75" customHeight="1" outlineLevel="1">
      <c r="B60" s="32" t="str">
        <f>'Sensitivity Analysis'!C10</f>
        <v>Going-In Cap Rate¹</v>
      </c>
      <c r="C60" s="27"/>
      <c r="D60" s="27"/>
      <c r="E60" s="27"/>
      <c r="F60" s="13">
        <f>'Sensitivity Analysis'!D10</f>
        <v>5.6089729729729733E-2</v>
      </c>
      <c r="G60" s="13"/>
      <c r="H60" s="13">
        <f>'Sensitivity Analysis'!E10</f>
        <v>5.5713288590604024E-2</v>
      </c>
      <c r="I60" s="12"/>
      <c r="J60" s="5">
        <f>'Sensitivity Analysis'!F10</f>
        <v>5.5E-2</v>
      </c>
      <c r="K60" s="4"/>
      <c r="L60" s="3"/>
      <c r="M60" s="8">
        <f>'Sensitivity Analysis'!G10</f>
        <v>5.4613684210526314E-2</v>
      </c>
      <c r="N60" s="13"/>
      <c r="O60" s="13">
        <f>'Sensitivity Analysis'!H10</f>
        <v>5.3904415584415583E-2</v>
      </c>
      <c r="P60" s="13"/>
    </row>
    <row r="61" spans="2:44" ht="12.75" customHeight="1" outlineLevel="1">
      <c r="B61" s="32" t="str">
        <f>'Sensitivity Analysis'!C11</f>
        <v>Year 1 Cash on Cash</v>
      </c>
      <c r="C61" s="27"/>
      <c r="D61" s="27"/>
      <c r="E61" s="27"/>
      <c r="F61" s="13">
        <f>'Sensitivity Analysis'!D11</f>
        <v>6.2978999999999993E-2</v>
      </c>
      <c r="G61" s="13"/>
      <c r="H61" s="13">
        <f>'Sensitivity Analysis'!E11</f>
        <v>6.2556E-2</v>
      </c>
      <c r="I61" s="12"/>
      <c r="J61" s="5">
        <f>'Sensitivity Analysis'!F11</f>
        <v>6.1754999999999997E-2</v>
      </c>
      <c r="K61" s="4"/>
      <c r="L61" s="3"/>
      <c r="M61" s="8">
        <f>'Sensitivity Analysis'!G11</f>
        <v>6.1322000000000002E-2</v>
      </c>
      <c r="N61" s="13"/>
      <c r="O61" s="13">
        <f>'Sensitivity Analysis'!H11</f>
        <v>6.0525000000000002E-2</v>
      </c>
      <c r="P61" s="13"/>
    </row>
    <row r="62" spans="2:44" ht="12.75" customHeight="1" outlineLevel="1">
      <c r="B62" s="32" t="str">
        <f>'Sensitivity Analysis'!C12</f>
        <v>Avg. Cash on Cash²</v>
      </c>
      <c r="C62" s="27"/>
      <c r="D62" s="27"/>
      <c r="E62" s="27"/>
      <c r="F62" s="13">
        <f>'Sensitivity Analysis'!D12</f>
        <v>7.4325285714285719E-2</v>
      </c>
      <c r="G62" s="13"/>
      <c r="H62" s="13">
        <f>'Sensitivity Analysis'!E12</f>
        <v>7.3826571428571436E-2</v>
      </c>
      <c r="I62" s="12"/>
      <c r="J62" s="5">
        <f>'Sensitivity Analysis'!F12</f>
        <v>7.2881428571428569E-2</v>
      </c>
      <c r="K62" s="4"/>
      <c r="L62" s="3"/>
      <c r="M62" s="8">
        <f>'Sensitivity Analysis'!G12</f>
        <v>7.2369428571428571E-2</v>
      </c>
      <c r="N62" s="13"/>
      <c r="O62" s="13">
        <f>'Sensitivity Analysis'!H12</f>
        <v>7.1429714285714277E-2</v>
      </c>
      <c r="P62" s="13"/>
    </row>
    <row r="63" spans="2:44" ht="12.75" customHeight="1" outlineLevel="1">
      <c r="B63" s="32" t="str">
        <f>'Sensitivity Analysis'!C13</f>
        <v>Unleveraged IRR</v>
      </c>
      <c r="C63" s="27"/>
      <c r="D63" s="27"/>
      <c r="E63" s="27"/>
      <c r="F63" s="13">
        <f>'Sensitivity Analysis'!D13</f>
        <v>0.13126042297177443</v>
      </c>
      <c r="G63" s="13"/>
      <c r="H63" s="13">
        <f>'Sensitivity Analysis'!E13</f>
        <v>0.12998142810953284</v>
      </c>
      <c r="I63" s="12"/>
      <c r="J63" s="5">
        <f>'Sensitivity Analysis'!F13</f>
        <v>0.12754053007614163</v>
      </c>
      <c r="K63" s="4"/>
      <c r="L63" s="3"/>
      <c r="M63" s="8">
        <f>'Sensitivity Analysis'!G13</f>
        <v>0.12620885958836103</v>
      </c>
      <c r="N63" s="13"/>
      <c r="O63" s="13">
        <f>'Sensitivity Analysis'!H13</f>
        <v>0.12374585696990592</v>
      </c>
      <c r="P63" s="13"/>
    </row>
    <row r="64" spans="2:44" ht="12.75" customHeight="1" outlineLevel="1">
      <c r="B64" s="32" t="str">
        <f>'Sensitivity Analysis'!C14</f>
        <v>Leveraged IRR</v>
      </c>
      <c r="C64" s="27"/>
      <c r="D64" s="27"/>
      <c r="E64" s="27"/>
      <c r="F64" s="13">
        <f>'Sensitivity Analysis'!D14</f>
        <v>0.13126042297177443</v>
      </c>
      <c r="G64" s="13"/>
      <c r="H64" s="13">
        <f>'Sensitivity Analysis'!E14</f>
        <v>0.12998142810953284</v>
      </c>
      <c r="I64" s="12"/>
      <c r="J64" s="11">
        <f>'Sensitivity Analysis'!F14</f>
        <v>0.12754053007614163</v>
      </c>
      <c r="K64" s="10"/>
      <c r="L64" s="9"/>
      <c r="M64" s="8">
        <f>'Sensitivity Analysis'!G14</f>
        <v>0.12620885958836103</v>
      </c>
      <c r="N64" s="13"/>
      <c r="O64" s="13">
        <f>'Sensitivity Analysis'!H14</f>
        <v>0.12374585696990592</v>
      </c>
      <c r="P64" s="13"/>
    </row>
    <row r="65" spans="2:44" ht="12.75" customHeight="1" outlineLevel="1">
      <c r="B65" s="32"/>
      <c r="C65" s="27"/>
      <c r="D65" s="27"/>
      <c r="E65" s="27"/>
      <c r="F65" s="27"/>
      <c r="G65" s="27"/>
      <c r="H65" s="27"/>
      <c r="I65" s="27"/>
      <c r="J65" s="27"/>
      <c r="K65" s="27"/>
      <c r="L65" s="27"/>
      <c r="M65" s="27"/>
      <c r="N65" s="27"/>
      <c r="O65" s="27"/>
      <c r="P65" s="27"/>
    </row>
    <row r="66" spans="2:44" ht="12.75" customHeight="1" outlineLevel="1">
      <c r="B66" s="27"/>
      <c r="C66" s="59" t="str">
        <f>'Sensitivity Analysis'!C17</f>
        <v>¹ Based on Historical Adjusted NOI  ² 7-year Average</v>
      </c>
      <c r="D66" s="27"/>
      <c r="E66" s="27"/>
      <c r="F66" s="27"/>
      <c r="G66" s="27"/>
      <c r="H66" s="27"/>
      <c r="I66" s="27"/>
      <c r="J66" s="27"/>
      <c r="K66" s="27"/>
      <c r="L66" s="27"/>
      <c r="M66" s="27"/>
      <c r="N66" s="27"/>
      <c r="O66" s="27"/>
      <c r="P66" s="27"/>
    </row>
    <row r="67" spans="2:44" ht="12.75" customHeight="1"/>
    <row r="68" spans="2:44" ht="12.75" hidden="1" customHeight="1" outlineLevel="1"/>
    <row r="69" spans="2:44" s="31" customFormat="1" ht="15.75" hidden="1" customHeight="1" outlineLevel="1">
      <c r="B69" s="7" t="s">
        <v>68</v>
      </c>
      <c r="C69" s="6"/>
      <c r="D69" s="1029"/>
      <c r="E69" s="1029"/>
      <c r="F69" s="1029"/>
      <c r="G69" s="1029"/>
      <c r="H69" s="1029"/>
      <c r="I69" s="1029"/>
      <c r="J69" s="1029"/>
      <c r="K69" s="1029"/>
      <c r="L69" s="1029"/>
      <c r="M69" s="1029"/>
      <c r="N69" s="1029"/>
      <c r="O69" s="1029"/>
      <c r="P69" s="1029"/>
      <c r="Q69"/>
      <c r="R69"/>
      <c r="S69"/>
      <c r="T69"/>
      <c r="U69"/>
      <c r="V69"/>
      <c r="W69"/>
      <c r="X69"/>
      <c r="Y69"/>
      <c r="Z69"/>
      <c r="AA69"/>
      <c r="AB69"/>
      <c r="AC69"/>
      <c r="AD69"/>
      <c r="AE69"/>
      <c r="AF69"/>
      <c r="AG69"/>
      <c r="AH69"/>
      <c r="AI69"/>
      <c r="AJ69"/>
      <c r="AK69"/>
      <c r="AL69"/>
      <c r="AM69"/>
      <c r="AN69"/>
      <c r="AO69"/>
      <c r="AP69"/>
      <c r="AQ69"/>
      <c r="AR69"/>
    </row>
    <row r="70" spans="2:44" hidden="1" outlineLevel="1">
      <c r="B70" s="27"/>
      <c r="C70" s="14" t="str">
        <f>IF(PropertyNotes="","",PropertyNotes)</f>
        <v/>
      </c>
      <c r="D70" s="14"/>
      <c r="E70" s="14"/>
      <c r="F70" s="14"/>
      <c r="G70" s="14"/>
      <c r="H70" s="14"/>
      <c r="I70" s="14"/>
      <c r="J70" s="14"/>
      <c r="K70" s="14"/>
      <c r="L70" s="14"/>
      <c r="M70" s="14"/>
      <c r="N70" s="14"/>
      <c r="O70" s="14"/>
      <c r="P70" s="14"/>
    </row>
    <row r="71" spans="2:44" hidden="1" outlineLevel="1">
      <c r="B71" s="27"/>
      <c r="C71" s="14"/>
      <c r="D71" s="14"/>
      <c r="E71" s="14"/>
      <c r="F71" s="14"/>
      <c r="G71" s="14"/>
      <c r="H71" s="14"/>
      <c r="I71" s="14"/>
      <c r="J71" s="14"/>
      <c r="K71" s="14"/>
      <c r="L71" s="14"/>
      <c r="M71" s="14"/>
      <c r="N71" s="14"/>
      <c r="O71" s="14"/>
      <c r="P71" s="14"/>
    </row>
    <row r="72" spans="2:44" hidden="1" outlineLevel="1">
      <c r="B72" s="27"/>
      <c r="C72" s="14"/>
      <c r="D72" s="14"/>
      <c r="E72" s="14"/>
      <c r="F72" s="14"/>
      <c r="G72" s="14"/>
      <c r="H72" s="14"/>
      <c r="I72" s="14"/>
      <c r="J72" s="14"/>
      <c r="K72" s="14"/>
      <c r="L72" s="14"/>
      <c r="M72" s="14"/>
      <c r="N72" s="14"/>
      <c r="O72" s="14"/>
      <c r="P72" s="14"/>
    </row>
    <row r="73" spans="2:44" hidden="1" outlineLevel="1">
      <c r="B73" s="27"/>
      <c r="C73" s="14"/>
      <c r="D73" s="14"/>
      <c r="E73" s="14"/>
      <c r="F73" s="14"/>
      <c r="G73" s="14"/>
      <c r="H73" s="14"/>
      <c r="I73" s="14"/>
      <c r="J73" s="14"/>
      <c r="K73" s="14"/>
      <c r="L73" s="14"/>
      <c r="M73" s="14"/>
      <c r="N73" s="14"/>
      <c r="O73" s="14"/>
      <c r="P73" s="14"/>
    </row>
    <row r="74" spans="2:44" hidden="1" outlineLevel="1">
      <c r="B74" s="27"/>
      <c r="C74" s="14"/>
      <c r="D74" s="14"/>
      <c r="E74" s="14"/>
      <c r="F74" s="14"/>
      <c r="G74" s="14"/>
      <c r="H74" s="14"/>
      <c r="I74" s="14"/>
      <c r="J74" s="14"/>
      <c r="K74" s="14"/>
      <c r="L74" s="14"/>
      <c r="M74" s="14"/>
      <c r="N74" s="14"/>
      <c r="O74" s="14"/>
      <c r="P74" s="14"/>
    </row>
    <row r="75" spans="2:44" hidden="1" outlineLevel="1">
      <c r="B75" s="27"/>
      <c r="C75" s="14"/>
      <c r="D75" s="14"/>
      <c r="E75" s="14"/>
      <c r="F75" s="14"/>
      <c r="G75" s="14"/>
      <c r="H75" s="14"/>
      <c r="I75" s="14"/>
      <c r="J75" s="14"/>
      <c r="K75" s="14"/>
      <c r="L75" s="14"/>
      <c r="M75" s="14"/>
      <c r="N75" s="14"/>
      <c r="O75" s="14"/>
      <c r="P75" s="14"/>
    </row>
    <row r="76" spans="2:44" hidden="1" outlineLevel="1">
      <c r="B76" s="27"/>
      <c r="C76" s="14"/>
      <c r="D76" s="14"/>
      <c r="E76" s="14"/>
      <c r="F76" s="14"/>
      <c r="G76" s="14"/>
      <c r="H76" s="14"/>
      <c r="I76" s="14"/>
      <c r="J76" s="14"/>
      <c r="K76" s="14"/>
      <c r="L76" s="14"/>
      <c r="M76" s="14"/>
      <c r="N76" s="14"/>
      <c r="O76" s="14"/>
      <c r="P76" s="14"/>
    </row>
    <row r="77" spans="2:44" hidden="1" outlineLevel="1">
      <c r="B77" s="27"/>
      <c r="C77" s="14"/>
      <c r="D77" s="14"/>
      <c r="E77" s="14"/>
      <c r="F77" s="14"/>
      <c r="G77" s="14"/>
      <c r="H77" s="14"/>
      <c r="I77" s="14"/>
      <c r="J77" s="14"/>
      <c r="K77" s="14"/>
      <c r="L77" s="14"/>
      <c r="M77" s="14"/>
      <c r="N77" s="14"/>
      <c r="O77" s="14"/>
      <c r="P77" s="14"/>
    </row>
    <row r="78" spans="2:44" hidden="1" outlineLevel="1">
      <c r="B78" s="27"/>
      <c r="C78" s="27"/>
      <c r="D78" s="27"/>
      <c r="E78" s="27"/>
      <c r="F78" s="27"/>
      <c r="G78" s="27"/>
      <c r="H78" s="27"/>
      <c r="I78" s="27"/>
      <c r="J78" s="27"/>
      <c r="K78" s="27"/>
      <c r="L78" s="27"/>
      <c r="M78" s="27"/>
      <c r="N78" s="27"/>
      <c r="O78" s="27"/>
      <c r="P78" s="27"/>
    </row>
    <row r="79" spans="2:44" collapsed="1"/>
  </sheetData>
  <mergeCells count="57">
    <mergeCell ref="G21:H21"/>
    <mergeCell ref="M7:N7"/>
    <mergeCell ref="M8:N8"/>
    <mergeCell ref="M10:N10"/>
    <mergeCell ref="M11:N11"/>
    <mergeCell ref="G20:H20"/>
    <mergeCell ref="G22:H22"/>
    <mergeCell ref="G23:H23"/>
    <mergeCell ref="E44:F44"/>
    <mergeCell ref="G44:H44"/>
    <mergeCell ref="I44:J44"/>
    <mergeCell ref="M44:N44"/>
    <mergeCell ref="O44:P44"/>
    <mergeCell ref="E48:F48"/>
    <mergeCell ref="G48:H48"/>
    <mergeCell ref="I48:J48"/>
    <mergeCell ref="K48:L48"/>
    <mergeCell ref="M48:N48"/>
    <mergeCell ref="O48:P48"/>
    <mergeCell ref="K44:L44"/>
    <mergeCell ref="F58:G58"/>
    <mergeCell ref="H58:I58"/>
    <mergeCell ref="J58:L58"/>
    <mergeCell ref="M58:N58"/>
    <mergeCell ref="O58:P58"/>
    <mergeCell ref="F57:G57"/>
    <mergeCell ref="H57:I57"/>
    <mergeCell ref="J57:L57"/>
    <mergeCell ref="M57:N57"/>
    <mergeCell ref="O57:P57"/>
    <mergeCell ref="F61:G61"/>
    <mergeCell ref="H61:I61"/>
    <mergeCell ref="J61:L61"/>
    <mergeCell ref="M61:N61"/>
    <mergeCell ref="O61:P61"/>
    <mergeCell ref="F60:G60"/>
    <mergeCell ref="H60:I60"/>
    <mergeCell ref="J60:L60"/>
    <mergeCell ref="M60:N60"/>
    <mergeCell ref="O60:P60"/>
    <mergeCell ref="F63:G63"/>
    <mergeCell ref="H63:I63"/>
    <mergeCell ref="J63:L63"/>
    <mergeCell ref="M63:N63"/>
    <mergeCell ref="O63:P63"/>
    <mergeCell ref="F62:G62"/>
    <mergeCell ref="H62:I62"/>
    <mergeCell ref="J62:L62"/>
    <mergeCell ref="M62:N62"/>
    <mergeCell ref="O62:P62"/>
    <mergeCell ref="C70:P77"/>
    <mergeCell ref="F64:G64"/>
    <mergeCell ref="H64:I64"/>
    <mergeCell ref="J64:L64"/>
    <mergeCell ref="M64:N64"/>
    <mergeCell ref="O64:P64"/>
    <mergeCell ref="B69:C69"/>
  </mergeCells>
  <conditionalFormatting sqref="M25:M26">
    <cfRule type="notContainsBlanks" dxfId="231" priority="4">
      <formula>LEN(TRIM(M25))&gt;0</formula>
    </cfRule>
  </conditionalFormatting>
  <conditionalFormatting sqref="C66">
    <cfRule type="notContainsBlanks" dxfId="230" priority="3">
      <formula>LEN(TRIM(C66))&gt;0</formula>
    </cfRule>
  </conditionalFormatting>
  <conditionalFormatting sqref="B56:P56">
    <cfRule type="expression" dxfId="229" priority="2">
      <formula>RunSensitivity</formula>
    </cfRule>
  </conditionalFormatting>
  <conditionalFormatting sqref="B57:P66">
    <cfRule type="expression" dxfId="228" priority="1">
      <formula>RunSensitivity</formula>
    </cfRule>
  </conditionalFormatting>
  <hyperlinks>
    <hyperlink ref="C70:P77" location="PropertyNotes" tooltip="Click to add / edit  Property Information notes" display="PropertyNotes" xr:uid="{00000000-0004-0000-0500-000000000000}"/>
  </hyperlinks>
  <pageMargins left="0.38" right="0.38" top="0.65" bottom="0.4" header="0.3" footer="0.2"/>
  <pageSetup scale="80" fitToWidth="0" fitToHeight="0" orientation="portrait" r:id="rId1"/>
  <headerFooter scaleWithDoc="0">
    <oddHeader>&amp;C&amp;"+,Regular"&amp;9&amp;KFF0000STRICTLY CONFIDENTIAL&amp;R&amp;G</oddHeader>
    <oddFooter>&amp;L&amp;8&amp;F&amp;C&amp;8Page &amp;P of &amp;N&amp;R&amp;8&amp;D &amp;T</oddFooter>
  </headerFooter>
  <legacyDrawingHF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3AA54D-163D-4C87-90CF-06B7EAB4E107}">
  <sheetPr codeName="OutRenov"/>
  <dimension ref="B1:O68"/>
  <sheetViews>
    <sheetView showGridLines="0" zoomScaleSheetLayoutView="100" workbookViewId="0">
      <pane ySplit="4" topLeftCell="A5" activePane="bottomLeft" state="frozen"/>
      <selection activeCell="L26" sqref="L26"/>
      <selection pane="bottomLeft" activeCell="L43" sqref="L43"/>
    </sheetView>
  </sheetViews>
  <sheetFormatPr defaultColWidth="9.140625" defaultRowHeight="12.75" outlineLevelRow="1"/>
  <cols>
    <col min="1" max="1" width="1.7109375" customWidth="1"/>
    <col min="2" max="3" width="10.5703125" customWidth="1"/>
    <col min="4" max="4" width="2.85546875" customWidth="1"/>
    <col min="5" max="15" width="10.5703125" customWidth="1"/>
  </cols>
  <sheetData>
    <row r="1" spans="2:15" ht="14.25">
      <c r="B1" s="16" t="s">
        <v>0</v>
      </c>
    </row>
    <row r="2" spans="2:15" ht="18.75" customHeight="1">
      <c r="B2" s="1057" t="str">
        <f>Input!$E$10</f>
        <v>Chaney Place Townhomes</v>
      </c>
      <c r="C2" s="29"/>
      <c r="D2" s="29"/>
      <c r="E2" s="29"/>
      <c r="F2" s="29"/>
      <c r="G2" s="29"/>
      <c r="H2" s="1013" t="s">
        <v>69</v>
      </c>
      <c r="I2" s="30"/>
      <c r="J2" s="30"/>
      <c r="K2" s="30"/>
      <c r="L2" s="29"/>
      <c r="M2" s="29"/>
      <c r="N2" s="29"/>
      <c r="O2" s="1178" t="str">
        <f>Input!$M$4</f>
        <v>Huntsville, AL</v>
      </c>
    </row>
    <row r="5" spans="2:15" s="31" customFormat="1" ht="15.75" customHeight="1">
      <c r="B5" s="1040" t="s">
        <v>70</v>
      </c>
      <c r="C5" s="1029"/>
      <c r="D5" s="1029"/>
      <c r="E5" s="1029"/>
      <c r="G5" s="1040" t="s">
        <v>71</v>
      </c>
      <c r="H5" s="1029"/>
      <c r="I5" s="1029"/>
      <c r="J5" s="1029"/>
      <c r="K5" s="1029"/>
      <c r="L5" s="1029"/>
      <c r="M5" s="1029"/>
      <c r="N5" s="1029"/>
      <c r="O5" s="1029"/>
    </row>
    <row r="6" spans="2:15" ht="15.75" customHeight="1">
      <c r="B6" s="36" t="s">
        <v>72</v>
      </c>
      <c r="C6" s="37"/>
      <c r="D6" s="1264">
        <f>E25</f>
        <v>0</v>
      </c>
      <c r="E6" s="1264"/>
      <c r="G6" s="36" t="s">
        <v>73</v>
      </c>
      <c r="H6" s="27"/>
      <c r="I6" s="1264">
        <f>Input!Q81</f>
        <v>0</v>
      </c>
      <c r="J6" s="1264"/>
      <c r="K6" s="27"/>
      <c r="L6" s="36" t="s">
        <v>74</v>
      </c>
      <c r="M6" s="27"/>
      <c r="N6" s="1265">
        <f>IFERROR(INDEX('Operating Calculations'!R4:ES4,SUMPRODUCT(MATCH(TRUE,'Operating Calculations'!R28:ES28&lt;&gt;0,))),)</f>
        <v>0</v>
      </c>
      <c r="O6" s="1265"/>
    </row>
    <row r="7" spans="2:15">
      <c r="B7" s="36" t="s">
        <v>75</v>
      </c>
      <c r="C7" s="37"/>
      <c r="D7" s="1259">
        <f>D6/TotalDealUnits</f>
        <v>0</v>
      </c>
      <c r="E7" s="1259"/>
      <c r="G7" s="36" t="s">
        <v>75</v>
      </c>
      <c r="H7" s="37"/>
      <c r="I7" s="1259">
        <f>I6/TotalDealUnits</f>
        <v>0</v>
      </c>
      <c r="J7" s="1259"/>
      <c r="K7" s="27"/>
      <c r="L7" s="36" t="s">
        <v>76</v>
      </c>
      <c r="M7" s="27"/>
      <c r="N7" s="1265">
        <f>IFERROR(SUMPRODUCT(MAX(('Operating Calculations'!R28:ES28&gt;0)*'Operating Calculations'!R4:ES4)),)</f>
        <v>0</v>
      </c>
      <c r="O7" s="1265"/>
    </row>
    <row r="8" spans="2:15">
      <c r="B8" s="36"/>
      <c r="C8" s="37"/>
      <c r="D8" s="37"/>
      <c r="E8" s="81"/>
      <c r="G8" s="36"/>
      <c r="H8" s="37"/>
      <c r="I8" s="81"/>
      <c r="J8" s="81"/>
      <c r="K8" s="27"/>
      <c r="L8" s="36"/>
      <c r="M8" s="27"/>
      <c r="N8" s="27"/>
      <c r="O8" s="27"/>
    </row>
    <row r="9" spans="2:15">
      <c r="B9" s="36" t="s">
        <v>77</v>
      </c>
      <c r="C9" s="37"/>
      <c r="D9" s="1260">
        <f>I25</f>
        <v>0</v>
      </c>
      <c r="E9" s="1260"/>
      <c r="G9" s="32" t="s">
        <v>78</v>
      </c>
      <c r="H9" s="27"/>
      <c r="I9" s="1262">
        <f>'CF Calculations'!C442</f>
        <v>0</v>
      </c>
      <c r="J9" s="1262"/>
      <c r="K9" s="27"/>
      <c r="L9" s="36" t="s">
        <v>79</v>
      </c>
      <c r="M9" s="27"/>
      <c r="N9" s="1263">
        <f>IF(AND(N7,N6),SUMPRODUCT(('Operating Calculations'!R4:ES4&gt;=N6)*('Operating Calculations'!R4:ES4&lt;=N7)),)</f>
        <v>0</v>
      </c>
      <c r="O9" s="1263"/>
    </row>
    <row r="10" spans="2:15">
      <c r="B10" s="36" t="s">
        <v>80</v>
      </c>
      <c r="C10" s="37"/>
      <c r="D10" s="1260">
        <f>M25</f>
        <v>0</v>
      </c>
      <c r="E10" s="1260"/>
      <c r="G10" s="36" t="s">
        <v>80</v>
      </c>
      <c r="H10" s="27"/>
      <c r="I10" s="1260">
        <f>G38</f>
        <v>0</v>
      </c>
      <c r="J10" s="1260"/>
      <c r="K10" s="27"/>
      <c r="L10" s="36" t="s">
        <v>81</v>
      </c>
      <c r="M10" s="27"/>
      <c r="N10" s="1264">
        <f>IF(N9,I6/N9,)</f>
        <v>0</v>
      </c>
      <c r="O10" s="1264"/>
    </row>
    <row r="11" spans="2:15">
      <c r="B11" s="36" t="s">
        <v>82</v>
      </c>
      <c r="C11" s="37"/>
      <c r="D11" s="1259">
        <f>IFERROR(SUMPRODUCT(M20:M24/(K20:K24+1*(K20:K24=0))/COUNTIF(M20:M24,"&lt;&gt;0")),)</f>
        <v>0</v>
      </c>
      <c r="E11" s="1259"/>
      <c r="G11" s="36" t="s">
        <v>83</v>
      </c>
      <c r="H11" s="27"/>
      <c r="I11" s="1260">
        <f>E38</f>
        <v>0</v>
      </c>
      <c r="J11" s="1260"/>
      <c r="K11" s="27"/>
      <c r="L11" s="36" t="s">
        <v>84</v>
      </c>
      <c r="M11" s="27"/>
      <c r="N11" s="1261">
        <f>Input!J83</f>
        <v>0</v>
      </c>
      <c r="O11" s="1261"/>
    </row>
    <row r="12" spans="2:15" ht="6" customHeight="1">
      <c r="B12" s="36"/>
      <c r="C12" s="37"/>
      <c r="D12" s="37"/>
      <c r="E12" s="81"/>
      <c r="G12" s="32"/>
      <c r="H12" s="27"/>
      <c r="I12" s="27"/>
      <c r="J12" s="86"/>
      <c r="K12" s="27"/>
      <c r="L12" s="36"/>
      <c r="M12" s="27"/>
      <c r="N12" s="27"/>
      <c r="O12" s="110"/>
    </row>
    <row r="15" spans="2:15" s="31" customFormat="1" ht="15.75" customHeight="1" outlineLevel="1">
      <c r="B15" s="1040" t="s">
        <v>85</v>
      </c>
      <c r="C15" s="1029"/>
      <c r="D15" s="1029"/>
      <c r="E15" s="1029"/>
      <c r="F15" s="1029"/>
      <c r="G15" s="1029"/>
      <c r="H15" s="1029"/>
      <c r="I15" s="1029"/>
      <c r="J15" s="1029"/>
      <c r="K15" s="1029"/>
      <c r="L15" s="1029"/>
      <c r="M15" s="1029"/>
      <c r="N15" s="1029"/>
      <c r="O15" s="1029"/>
    </row>
    <row r="16" spans="2:15" ht="13.7" customHeight="1" outlineLevel="1">
      <c r="B16" s="111" t="str">
        <f>CHOOSE(33-RevenueInpMethodType,"Rent Roll as of "&amp;TEXT(LatestRRDateStamp,"m/d/yy"),"Rent Roll as of "&amp;TEXT(RentRollDateStamp,"m/d/yy"),CHOOSE(33-RevenueInpMethodTypeOverride,"Rent Roll as of "&amp;TEXT(LatestRRDateStamp,"m/d/yy")&amp;" (adjusted)","Rent Roll as of "&amp;TEXT(RentRollDateStamp,"m/d/yy")&amp;" (adjusted)",""))</f>
        <v>Rent Roll as of 11/30/25 (adjusted)</v>
      </c>
      <c r="C16" s="60"/>
      <c r="D16" s="60"/>
      <c r="E16" s="61"/>
      <c r="F16" s="112"/>
      <c r="G16" s="60"/>
      <c r="H16" s="27"/>
      <c r="I16" s="61"/>
      <c r="J16" s="112"/>
      <c r="K16" s="60"/>
      <c r="L16" s="27"/>
      <c r="M16" s="61"/>
      <c r="N16" s="112"/>
      <c r="O16" s="60"/>
    </row>
    <row r="17" spans="2:15" ht="13.7" customHeight="1" outlineLevel="1">
      <c r="B17" s="27"/>
      <c r="C17" s="60"/>
      <c r="D17" s="60"/>
      <c r="E17" s="1182" t="s">
        <v>19</v>
      </c>
      <c r="F17" s="112"/>
      <c r="G17" s="60"/>
      <c r="H17" s="27"/>
      <c r="I17" s="1182" t="s">
        <v>52</v>
      </c>
      <c r="J17" s="112"/>
      <c r="K17" s="60"/>
      <c r="L17" s="27"/>
      <c r="M17" s="1182" t="s">
        <v>18</v>
      </c>
      <c r="N17" s="112"/>
      <c r="O17" s="60"/>
    </row>
    <row r="18" spans="2:15" ht="14.1" customHeight="1" outlineLevel="1">
      <c r="B18" s="27"/>
      <c r="C18" s="27"/>
      <c r="D18" s="27"/>
      <c r="E18" s="1180" t="s">
        <v>86</v>
      </c>
      <c r="F18" s="112"/>
      <c r="G18" s="60"/>
      <c r="H18" s="27"/>
      <c r="I18" s="1180" t="s">
        <v>87</v>
      </c>
      <c r="J18" s="112"/>
      <c r="K18" s="60"/>
      <c r="L18" s="27"/>
      <c r="M18" s="1180" t="s">
        <v>88</v>
      </c>
      <c r="N18" s="112"/>
      <c r="O18" s="60"/>
    </row>
    <row r="19" spans="2:15" outlineLevel="1">
      <c r="B19" s="63"/>
      <c r="C19" s="76"/>
      <c r="D19" s="76"/>
      <c r="E19" s="1179" t="s">
        <v>89</v>
      </c>
      <c r="F19" s="1179"/>
      <c r="G19" s="1179" t="s">
        <v>90</v>
      </c>
      <c r="H19" s="27"/>
      <c r="I19" s="1179" t="s">
        <v>89</v>
      </c>
      <c r="J19" s="1179"/>
      <c r="K19" s="1179" t="s">
        <v>90</v>
      </c>
      <c r="L19" s="27"/>
      <c r="M19" s="1179" t="s">
        <v>29</v>
      </c>
      <c r="N19" s="1179"/>
      <c r="O19" s="1179" t="s">
        <v>30</v>
      </c>
    </row>
    <row r="20" spans="2:15" outlineLevel="1">
      <c r="B20" s="32" t="str">
        <f>GenValidation!AO$5</f>
        <v>Studio</v>
      </c>
      <c r="C20" s="27"/>
      <c r="D20" s="27"/>
      <c r="E20" s="113">
        <f>SUMPRODUCT(FPNumOfUnits*(FloorPlanNames&lt;&gt;"")*(FPIsRenovated&lt;&gt;"")*(FPBeds=GenValidation!$AP5)*(FPBeds&lt;&gt;""))</f>
        <v>0</v>
      </c>
      <c r="F20" s="27"/>
      <c r="G20" s="113">
        <f>SUMPRODUCT(FPNumOfUnits*(FloorPlanNames&lt;&gt;"")*(FPIsRenovated="")*(FPBeds=GenValidation!$AP5)*(FPBeds&lt;&gt;""))</f>
        <v>0</v>
      </c>
      <c r="H20" s="27"/>
      <c r="I20" s="96">
        <f>IF(GenValidation!AQ5,SUMPRODUCT((FPBeds&lt;&gt;"")*(FloorPlanNames&lt;&gt;"")*(FPIsRenovated&lt;&gt;"")*(FPBeds=GenValidation!$AP5)*FPOccupiedUnits*FPInPlaceRent)/GenValidation!AQ5,)</f>
        <v>0</v>
      </c>
      <c r="J20" s="27"/>
      <c r="K20" s="96">
        <f>IF(GenValidation!AR5,SUMPRODUCT((FPBeds&lt;&gt;"")*(FloorPlanNames&lt;&gt;"")*(FPIsRenovated="")*(FPBeds=GenValidation!$AP5)*FPOccupiedUnits*FPInPlaceRent)/GenValidation!AR5,)</f>
        <v>0</v>
      </c>
      <c r="L20" s="27"/>
      <c r="M20" s="96">
        <f t="shared" ref="M20:M24" si="0">IF(AND(I20,K20),I20-K20,)</f>
        <v>0</v>
      </c>
      <c r="N20" s="27"/>
      <c r="O20" s="114">
        <f>IF(AND(GenValidation!AS5,GenValidation!AT5),I20*GenValidation!AQ5/GenValidation!AS5-K20*GenValidation!AR5/GenValidation!AT5,)</f>
        <v>0</v>
      </c>
    </row>
    <row r="21" spans="2:15" outlineLevel="1">
      <c r="B21" s="32" t="str">
        <f>GenValidation!$AO$6</f>
        <v>1 Bedroom</v>
      </c>
      <c r="C21" s="27"/>
      <c r="D21" s="27"/>
      <c r="E21" s="65">
        <f>SUMPRODUCT(FPNumOfUnits*(FloorPlanNames&lt;&gt;"")*(FPIsRenovated&lt;&gt;"")*(FPBeds=GenValidation!$AP6)*(FPBeds&lt;&gt;""))</f>
        <v>0</v>
      </c>
      <c r="F21" s="27"/>
      <c r="G21" s="65">
        <f>SUMPRODUCT(FPNumOfUnits*(FloorPlanNames&lt;&gt;"")*(FPIsRenovated="")*(FPBeds=GenValidation!$AP6)*(FPBeds&lt;&gt;""))</f>
        <v>0</v>
      </c>
      <c r="H21" s="27"/>
      <c r="I21" s="67">
        <f>IF(GenValidation!AQ6,SUMPRODUCT((FPBeds&lt;&gt;"")*(FloorPlanNames&lt;&gt;"")*(FPIsRenovated&lt;&gt;"")*(FPBeds=GenValidation!$AP6)*FPOccupiedUnits*FPInPlaceRent)/GenValidation!AQ6,)</f>
        <v>0</v>
      </c>
      <c r="J21" s="27"/>
      <c r="K21" s="67">
        <f>IF(GenValidation!AR6,SUMPRODUCT((FPBeds&lt;&gt;"")*(FloorPlanNames&lt;&gt;"")*(FPIsRenovated="")*(FPBeds=GenValidation!$AP6)*FPOccupiedUnits*FPInPlaceRent)/GenValidation!AR6,)</f>
        <v>0</v>
      </c>
      <c r="L21" s="27"/>
      <c r="M21" s="67">
        <f t="shared" si="0"/>
        <v>0</v>
      </c>
      <c r="N21" s="27"/>
      <c r="O21" s="68">
        <f>IF(AND(GenValidation!AS6,GenValidation!AT6),I21*GenValidation!AQ6/GenValidation!AS6-K21*GenValidation!AR6/GenValidation!AT6,)</f>
        <v>0</v>
      </c>
    </row>
    <row r="22" spans="2:15" outlineLevel="1">
      <c r="B22" s="32" t="str">
        <f>GenValidation!$AO$7</f>
        <v>2 Bedroom</v>
      </c>
      <c r="C22" s="27"/>
      <c r="D22" s="27"/>
      <c r="E22" s="65">
        <f>SUMPRODUCT(FPNumOfUnits*(FloorPlanNames&lt;&gt;"")*(FPIsRenovated&lt;&gt;"")*(FPBeds=GenValidation!$AP7)*(FPBeds&lt;&gt;""))</f>
        <v>0</v>
      </c>
      <c r="F22" s="27"/>
      <c r="G22" s="65">
        <f>SUMPRODUCT(FPNumOfUnits*(FloorPlanNames&lt;&gt;"")*(FPIsRenovated="")*(FPBeds=GenValidation!$AP7)*(FPBeds&lt;&gt;""))</f>
        <v>63</v>
      </c>
      <c r="H22" s="27"/>
      <c r="I22" s="67">
        <f>IF(GenValidation!AQ7,SUMPRODUCT((FPBeds&lt;&gt;"")*(FloorPlanNames&lt;&gt;"")*(FPIsRenovated&lt;&gt;"")*(FPBeds=GenValidation!$AP7)*FPOccupiedUnits*FPInPlaceRent)/GenValidation!AQ7,)</f>
        <v>0</v>
      </c>
      <c r="J22" s="27"/>
      <c r="K22" s="67">
        <f>IF(GenValidation!AR7,SUMPRODUCT((FPBeds&lt;&gt;"")*(FloorPlanNames&lt;&gt;"")*(FPIsRenovated="")*(FPBeds=GenValidation!$AP7)*FPOccupiedUnits*FPInPlaceRent)/GenValidation!AR7,)</f>
        <v>1455.9642857142901</v>
      </c>
      <c r="L22" s="27"/>
      <c r="M22" s="67">
        <f t="shared" si="0"/>
        <v>0</v>
      </c>
      <c r="N22" s="27"/>
      <c r="O22" s="68">
        <f>IF(AND(GenValidation!AS7,GenValidation!AT7),I22*GenValidation!AQ7/GenValidation!AS7-K22*GenValidation!AR7/GenValidation!AT7,)</f>
        <v>0</v>
      </c>
    </row>
    <row r="23" spans="2:15" outlineLevel="1">
      <c r="B23" s="32" t="str">
        <f>GenValidation!$AO$8</f>
        <v>3 Bedroom</v>
      </c>
      <c r="C23" s="27"/>
      <c r="D23" s="27"/>
      <c r="E23" s="65">
        <f>SUMPRODUCT(FPNumOfUnits*(FloorPlanNames&lt;&gt;"")*(FPIsRenovated&lt;&gt;"")*(FPBeds=GenValidation!$AP8)*(FPBeds&lt;&gt;""))</f>
        <v>0</v>
      </c>
      <c r="F23" s="27"/>
      <c r="G23" s="65">
        <f>SUMPRODUCT(FPNumOfUnits*(FloorPlanNames&lt;&gt;"")*(FPIsRenovated="")*(FPBeds=GenValidation!$AP8)*(FPBeds&lt;&gt;""))</f>
        <v>17</v>
      </c>
      <c r="H23" s="27"/>
      <c r="I23" s="67">
        <f>IF(GenValidation!AQ8,SUMPRODUCT((FPBeds&lt;&gt;"")*(FloorPlanNames&lt;&gt;"")*(FPIsRenovated&lt;&gt;"")*(FPBeds=GenValidation!$AP8)*FPOccupiedUnits*FPInPlaceRent)/GenValidation!AQ8,)</f>
        <v>0</v>
      </c>
      <c r="J23" s="27"/>
      <c r="K23" s="67">
        <f>IF(GenValidation!AR8,SUMPRODUCT((FPBeds&lt;&gt;"")*(FloorPlanNames&lt;&gt;"")*(FPIsRenovated="")*(FPBeds=GenValidation!$AP8)*FPOccupiedUnits*FPInPlaceRent)/GenValidation!AR8,)</f>
        <v>1634.11764705882</v>
      </c>
      <c r="L23" s="27"/>
      <c r="M23" s="67">
        <f t="shared" si="0"/>
        <v>0</v>
      </c>
      <c r="N23" s="27"/>
      <c r="O23" s="68">
        <f>IF(AND(GenValidation!AS8,GenValidation!AT8),I23*GenValidation!AQ8/GenValidation!AS8-K23*GenValidation!AR8/GenValidation!AT8,)</f>
        <v>0</v>
      </c>
    </row>
    <row r="24" spans="2:15" outlineLevel="1">
      <c r="B24" s="32" t="str">
        <f>GenValidation!$AO$9</f>
        <v>4+ Bedroom</v>
      </c>
      <c r="C24" s="115"/>
      <c r="D24" s="115"/>
      <c r="E24" s="65">
        <f>SUMPRODUCT(FPNumOfUnits*(FloorPlanNames&lt;&gt;"")*(FPIsRenovated&lt;&gt;"")*(FPBeds&gt;GenValidation!$AP8)*(FPBeds&lt;&gt;""))</f>
        <v>0</v>
      </c>
      <c r="F24" s="65"/>
      <c r="G24" s="65">
        <f>SUMPRODUCT(FPNumOfUnits*(FloorPlanNames&lt;&gt;"")*(FPIsRenovated="")*(FPBeds&gt;GenValidation!$AP8)*(FPBeds&lt;&gt;""))</f>
        <v>0</v>
      </c>
      <c r="H24" s="27"/>
      <c r="I24" s="67">
        <f>IF(GenValidation!AQ9,SUMPRODUCT((FPBeds&lt;&gt;"")*(FloorPlanNames&lt;&gt;"")*(FPIsRenovated&lt;&gt;"")*(FPBeds&gt;GenValidation!$AP8)*FPOccupiedUnits*FPInPlaceRent)/GenValidation!AQ9,)</f>
        <v>0</v>
      </c>
      <c r="J24" s="27"/>
      <c r="K24" s="67">
        <f>IF(GenValidation!AR9,SUMPRODUCT((FPBeds&lt;&gt;"")*(FloorPlanNames&lt;&gt;"")*(FPIsRenovated="")*(FPBeds&gt;GenValidation!$AP8)*FPOccupiedUnits*FPInPlaceRent)/GenValidation!AR9,)</f>
        <v>0</v>
      </c>
      <c r="L24" s="27"/>
      <c r="M24" s="67">
        <f t="shared" si="0"/>
        <v>0</v>
      </c>
      <c r="N24" s="27"/>
      <c r="O24" s="68">
        <f>IF(AND(GenValidation!AS9,GenValidation!AT9),I24*GenValidation!AQ9/GenValidation!AS9-K24*GenValidation!AR9/GenValidation!AT9,)</f>
        <v>0</v>
      </c>
    </row>
    <row r="25" spans="2:15" outlineLevel="1">
      <c r="B25" s="46" t="s">
        <v>31</v>
      </c>
      <c r="C25" s="27"/>
      <c r="D25" s="27"/>
      <c r="E25" s="72">
        <f>SUM(E20:E24)</f>
        <v>0</v>
      </c>
      <c r="F25" s="72"/>
      <c r="G25" s="72">
        <f>SUM(G20:G24)</f>
        <v>80</v>
      </c>
      <c r="H25" s="27"/>
      <c r="I25" s="73">
        <f>IF(SUM(GenValidation!AQ5:AQ9),SUMPRODUCT((FPBeds&lt;&gt;"")*(FloorPlanNames&lt;&gt;"")*(FPIsRenovated&lt;&gt;"")*FPOccupiedUnits*FPInPlaceRent)/SUM(GenValidation!AQ5:AQ9),)</f>
        <v>0</v>
      </c>
      <c r="J25" s="72"/>
      <c r="K25" s="73">
        <f>IF(SUM(GenValidation!AR5:AR9),SUMPRODUCT((FPBeds&lt;&gt;"")*(FloorPlanNames&lt;&gt;"")*(FPIsRenovated="")*FPOccupiedUnits*FPInPlaceRent)/SUM(GenValidation!AR5:AR9),)</f>
        <v>1498.0282738095264</v>
      </c>
      <c r="L25" s="27"/>
      <c r="M25" s="73">
        <f>IFERROR(SUMPRODUCT(M20:M24*(E20:E24&gt;0)*(G20:G24&gt;0)*E20:E24)/SUMPRODUCT(E20:E24*(E20:E24&gt;0)*(G20:G24&gt;0)),)</f>
        <v>0</v>
      </c>
      <c r="N25" s="73"/>
      <c r="O25" s="74">
        <f>IFERROR(AVERAGEIF(O20:O24,"&lt;&gt;0"),)</f>
        <v>0</v>
      </c>
    </row>
    <row r="26" spans="2:15" ht="6" customHeight="1" outlineLevel="1">
      <c r="B26" s="27"/>
      <c r="C26" s="27"/>
      <c r="D26" s="27"/>
      <c r="E26" s="27"/>
      <c r="F26" s="27"/>
      <c r="G26" s="27"/>
      <c r="H26" s="27"/>
      <c r="I26" s="27"/>
      <c r="J26" s="27"/>
      <c r="K26" s="27"/>
      <c r="L26" s="27"/>
      <c r="M26" s="27"/>
      <c r="N26" s="27"/>
      <c r="O26" s="27"/>
    </row>
    <row r="27" spans="2:15" outlineLevel="1"/>
    <row r="28" spans="2:15" outlineLevel="1"/>
    <row r="29" spans="2:15" s="31" customFormat="1" ht="15.75" customHeight="1">
      <c r="B29" s="1040" t="s">
        <v>91</v>
      </c>
      <c r="C29" s="1029"/>
      <c r="D29" s="1029"/>
      <c r="E29" s="1029"/>
      <c r="F29" s="1029"/>
      <c r="G29" s="1029"/>
      <c r="H29" s="1029"/>
      <c r="I29" s="1029"/>
      <c r="J29" s="1029"/>
      <c r="K29" s="1029"/>
      <c r="L29" s="1029"/>
      <c r="M29" s="1029"/>
      <c r="N29" s="1029"/>
      <c r="O29" s="1029"/>
    </row>
    <row r="30" spans="2:15" ht="15.75" customHeight="1">
      <c r="B30" s="59"/>
      <c r="C30" s="27"/>
      <c r="D30" s="27"/>
      <c r="E30" s="60"/>
      <c r="F30" s="60"/>
      <c r="G30" s="1182" t="s">
        <v>92</v>
      </c>
      <c r="H30" s="60"/>
      <c r="I30" s="1182" t="s">
        <v>93</v>
      </c>
      <c r="J30" s="60"/>
      <c r="K30" s="27"/>
      <c r="L30" s="88"/>
      <c r="M30" s="60"/>
      <c r="N30" s="60"/>
      <c r="O30" s="60"/>
    </row>
    <row r="31" spans="2:15" ht="13.5" customHeight="1">
      <c r="B31" s="59" t="str">
        <f>IF(Summary!C19="","",Summary!C19)</f>
        <v/>
      </c>
      <c r="C31" s="27"/>
      <c r="D31" s="27"/>
      <c r="E31" s="1180" t="s">
        <v>94</v>
      </c>
      <c r="F31" s="60"/>
      <c r="G31" s="1180" t="s">
        <v>22</v>
      </c>
      <c r="H31" s="60"/>
      <c r="I31" s="1180" t="s">
        <v>23</v>
      </c>
      <c r="J31" s="60"/>
      <c r="K31" s="27"/>
      <c r="L31" s="1180" t="s">
        <v>95</v>
      </c>
      <c r="M31" s="60"/>
      <c r="N31" s="60"/>
      <c r="O31" s="60"/>
    </row>
    <row r="32" spans="2:15">
      <c r="B32" s="63"/>
      <c r="C32" s="76"/>
      <c r="D32" s="76"/>
      <c r="E32" s="1179" t="s">
        <v>29</v>
      </c>
      <c r="F32" s="1181" t="s">
        <v>30</v>
      </c>
      <c r="G32" s="1183" t="s">
        <v>29</v>
      </c>
      <c r="H32" s="1181" t="s">
        <v>30</v>
      </c>
      <c r="I32" s="1183" t="s">
        <v>29</v>
      </c>
      <c r="J32" s="1179" t="s">
        <v>30</v>
      </c>
      <c r="K32" s="27"/>
      <c r="L32" s="1184">
        <v>1</v>
      </c>
      <c r="M32" s="1184">
        <v>2</v>
      </c>
      <c r="N32" s="1184">
        <v>3</v>
      </c>
      <c r="O32" s="1184">
        <v>4</v>
      </c>
    </row>
    <row r="33" spans="2:15">
      <c r="B33" s="32" t="str">
        <f>GenValidation!AO$5</f>
        <v>Studio</v>
      </c>
      <c r="C33" s="27"/>
      <c r="D33" s="27"/>
      <c r="E33" s="67">
        <f>IFERROR(SUMPRODUCT((FPBeds&lt;&gt;"")*(FloorPlanNames&lt;&gt;"")*(FPBeds=GenValidation!$AP5)*Input!$Q$78:$Q$79*RenovationCost)/SUMPRODUCT((FPBeds&lt;&gt;"")*(FloorPlanNames&lt;&gt;"")*(FPBeds=GenValidation!$AP5)*Input!$Q$78:$Q$79),)</f>
        <v>0</v>
      </c>
      <c r="F33" s="69">
        <f>IFERROR(SUMPRODUCT((FPBeds&lt;&gt;"")*(FloorPlanNames&lt;&gt;"")*(FPBeds=GenValidation!$AP5)*Input!$Q$78:$Q$79*RenovationCost)/SUMPRODUCT((FPBeds&lt;&gt;"")*(FloorPlanNames&lt;&gt;"")*(FPBeds=GenValidation!$AP5)*Input!$Q$78:$Q$79*FPUnitSize),)</f>
        <v>0</v>
      </c>
      <c r="G33" s="116">
        <f>IFERROR(SUMPRODUCT((FPBeds&lt;&gt;"")*(FloorPlanNames&lt;&gt;"")*(FPBeds=GenValidation!$AP5)*Input!$Q$78:$Q$79*RenovationBumps)/SUMPRODUCT((FPBeds&lt;&gt;"")*(FloorPlanNames&lt;&gt;"")*(FPBeds=GenValidation!$AP5)*Input!$Q$78:$Q$79),)</f>
        <v>0</v>
      </c>
      <c r="H33" s="117">
        <f>IFERROR(SUMPRODUCT((FPBeds&lt;&gt;"")*(FloorPlanNames&lt;&gt;"")*(FPBeds=GenValidation!$AP5)*Input!$Q$78:$Q$79*RenovationBumps)/SUMPRODUCT((FPBeds&lt;&gt;"")*(FloorPlanNames&lt;&gt;"")*(FPBeds=GenValidation!$AP5)*Input!$Q$78:$Q$79*FPUnitSize),)</f>
        <v>0</v>
      </c>
      <c r="I33" s="116">
        <f>IFERROR(SUMPRODUCT((FPBeds&lt;&gt;"")*(FloorPlanNames&lt;&gt;"")*(FPBeds=GenValidation!$AP5)*Input!$Q$78:$Q$79*PostRenovationMarketRent)/SUMPRODUCT((FPBeds&lt;&gt;"")*(FloorPlanNames&lt;&gt;"")*(FPBeds=GenValidation!$AP5)*Input!$Q$78:$Q$79),)</f>
        <v>0</v>
      </c>
      <c r="J33" s="114">
        <f>IFERROR(SUMPRODUCT((FPBeds&lt;&gt;"")*(FloorPlanNames&lt;&gt;"")*(FPBeds=GenValidation!$AP5)*Input!$Q$78:$Q$79*PostRenovationMarketRent)/SUMPRODUCT((FPBeds&lt;&gt;"")*(FloorPlanNames&lt;&gt;"")*(FPBeds=GenValidation!$AP5)*Input!$Q$78:$Q$79*FPUnitSize),)</f>
        <v>0</v>
      </c>
      <c r="K33" s="27"/>
      <c r="L33" s="113">
        <f>SUMIFS(Input!G$78:G$79,FloorPlanNames,"&lt;&gt;"&amp;"",FPBeds,GenValidation!$AP5)</f>
        <v>0</v>
      </c>
      <c r="M33" s="113">
        <f>SUMIFS(Input!H$78:H$79,FloorPlanNames,"&lt;&gt;"&amp;"",FPBeds,GenValidation!$AP5)</f>
        <v>0</v>
      </c>
      <c r="N33" s="113">
        <f>SUMIFS(Input!I$78:I$79,FloorPlanNames,"&lt;&gt;"&amp;"",FPBeds,GenValidation!$AP5)</f>
        <v>0</v>
      </c>
      <c r="O33" s="113">
        <f>SUMIFS(Input!J$78:J$79,FloorPlanNames,"&lt;&gt;"&amp;"",FPBeds,GenValidation!$AP5)</f>
        <v>0</v>
      </c>
    </row>
    <row r="34" spans="2:15">
      <c r="B34" s="32" t="str">
        <f>GenValidation!$AO$6</f>
        <v>1 Bedroom</v>
      </c>
      <c r="C34" s="27"/>
      <c r="D34" s="27"/>
      <c r="E34" s="67">
        <f>IFERROR(SUMPRODUCT((FPBeds&lt;&gt;"")*(FloorPlanNames&lt;&gt;"")*(FPBeds=GenValidation!$AP6)*Input!$Q$78:$Q$79*RenovationCost)/SUMPRODUCT((FPBeds&lt;&gt;"")*(FloorPlanNames&lt;&gt;"")*(FPBeds=GenValidation!$AP6)*Input!$Q$78:$Q$79),)</f>
        <v>0</v>
      </c>
      <c r="F34" s="69">
        <f>IFERROR(SUMPRODUCT((FPBeds&lt;&gt;"")*(FloorPlanNames&lt;&gt;"")*(FPBeds=GenValidation!$AP6)*Input!$Q$78:$Q$79*RenovationCost)/SUMPRODUCT((FPBeds&lt;&gt;"")*(FloorPlanNames&lt;&gt;"")*(FPBeds=GenValidation!$AP6)*Input!$Q$78:$Q$79*FPUnitSize),)</f>
        <v>0</v>
      </c>
      <c r="G34" s="105">
        <f>IFERROR(SUMPRODUCT((FPBeds&lt;&gt;"")*(FloorPlanNames&lt;&gt;"")*(FPBeds=GenValidation!$AP6)*Input!$Q$78:$Q$79*RenovationBumps)/SUMPRODUCT((FPBeds&lt;&gt;"")*(FloorPlanNames&lt;&gt;"")*(FPBeds=GenValidation!$AP6)*Input!$Q$78:$Q$79),)</f>
        <v>0</v>
      </c>
      <c r="H34" s="69">
        <f>IFERROR(SUMPRODUCT((FPBeds&lt;&gt;"")*(FloorPlanNames&lt;&gt;"")*(FPBeds=GenValidation!$AP6)*Input!$Q$78:$Q$79*RenovationBumps)/SUMPRODUCT((FPBeds&lt;&gt;"")*(FloorPlanNames&lt;&gt;"")*(FPBeds=GenValidation!$AP6)*Input!$Q$78:$Q$79*FPUnitSize),)</f>
        <v>0</v>
      </c>
      <c r="I34" s="105">
        <f>IFERROR(SUMPRODUCT((FPBeds&lt;&gt;"")*(FloorPlanNames&lt;&gt;"")*(FPBeds=GenValidation!$AP6)*Input!$Q$78:$Q$79*PostRenovationMarketRent)/SUMPRODUCT((FPBeds&lt;&gt;"")*(FloorPlanNames&lt;&gt;"")*(FPBeds=GenValidation!$AP6)*Input!$Q$78:$Q$79),)</f>
        <v>0</v>
      </c>
      <c r="J34" s="68">
        <f>IFERROR(SUMPRODUCT((FPBeds&lt;&gt;"")*(FloorPlanNames&lt;&gt;"")*(FPBeds=GenValidation!$AP6)*Input!$Q$78:$Q$79*PostRenovationMarketRent)/SUMPRODUCT((FPBeds&lt;&gt;"")*(FloorPlanNames&lt;&gt;"")*(FPBeds=GenValidation!$AP6)*Input!$Q$78:$Q$79*FPUnitSize),)</f>
        <v>0</v>
      </c>
      <c r="K34" s="27"/>
      <c r="L34" s="65">
        <f>SUMIFS(Input!G$78:G$79,FloorPlanNames,"&lt;&gt;"&amp;"",FPBeds,GenValidation!$AP6)</f>
        <v>0</v>
      </c>
      <c r="M34" s="65">
        <f>SUMIFS(Input!H$78:H$79,FloorPlanNames,"&lt;&gt;"&amp;"",FPBeds,GenValidation!$AP6)</f>
        <v>0</v>
      </c>
      <c r="N34" s="65">
        <f>SUMIFS(Input!I$78:I$79,FloorPlanNames,"&lt;&gt;"&amp;"",FPBeds,GenValidation!$AP6)</f>
        <v>0</v>
      </c>
      <c r="O34" s="65">
        <f>SUMIFS(Input!J$78:J$79,FloorPlanNames,"&lt;&gt;"&amp;"",FPBeds,GenValidation!$AP6)</f>
        <v>0</v>
      </c>
    </row>
    <row r="35" spans="2:15">
      <c r="B35" s="32" t="str">
        <f>GenValidation!$AO$7</f>
        <v>2 Bedroom</v>
      </c>
      <c r="C35" s="27"/>
      <c r="D35" s="27"/>
      <c r="E35" s="67">
        <f>IFERROR(SUMPRODUCT((FPBeds&lt;&gt;"")*(FloorPlanNames&lt;&gt;"")*(FPBeds=GenValidation!$AP7)*Input!$Q$78:$Q$79*RenovationCost)/SUMPRODUCT((FPBeds&lt;&gt;"")*(FloorPlanNames&lt;&gt;"")*(FPBeds=GenValidation!$AP7)*Input!$Q$78:$Q$79),)</f>
        <v>0</v>
      </c>
      <c r="F35" s="69">
        <f>IFERROR(SUMPRODUCT((FPBeds&lt;&gt;"")*(FloorPlanNames&lt;&gt;"")*(FPBeds=GenValidation!$AP7)*Input!$Q$78:$Q$79*RenovationCost)/SUMPRODUCT((FPBeds&lt;&gt;"")*(FloorPlanNames&lt;&gt;"")*(FPBeds=GenValidation!$AP7)*Input!$Q$78:$Q$79*FPUnitSize),)</f>
        <v>0</v>
      </c>
      <c r="G35" s="105">
        <f>IFERROR(SUMPRODUCT((FPBeds&lt;&gt;"")*(FloorPlanNames&lt;&gt;"")*(FPBeds=GenValidation!$AP7)*Input!$Q$78:$Q$79*RenovationBumps)/SUMPRODUCT((FPBeds&lt;&gt;"")*(FloorPlanNames&lt;&gt;"")*(FPBeds=GenValidation!$AP7)*Input!$Q$78:$Q$79),)</f>
        <v>0</v>
      </c>
      <c r="H35" s="69">
        <f>IFERROR(SUMPRODUCT((FPBeds&lt;&gt;"")*(FloorPlanNames&lt;&gt;"")*(FPBeds=GenValidation!$AP7)*Input!$Q$78:$Q$79*RenovationBumps)/SUMPRODUCT((FPBeds&lt;&gt;"")*(FloorPlanNames&lt;&gt;"")*(FPBeds=GenValidation!$AP7)*Input!$Q$78:$Q$79*FPUnitSize),)</f>
        <v>0</v>
      </c>
      <c r="I35" s="105">
        <f>IFERROR(SUMPRODUCT((FPBeds&lt;&gt;"")*(FloorPlanNames&lt;&gt;"")*(FPBeds=GenValidation!$AP7)*Input!$Q$78:$Q$79*PostRenovationMarketRent)/SUMPRODUCT((FPBeds&lt;&gt;"")*(FloorPlanNames&lt;&gt;"")*(FPBeds=GenValidation!$AP7)*Input!$Q$78:$Q$79),)</f>
        <v>0</v>
      </c>
      <c r="J35" s="68">
        <f>IFERROR(SUMPRODUCT((FPBeds&lt;&gt;"")*(FloorPlanNames&lt;&gt;"")*(FPBeds=GenValidation!$AP7)*Input!$Q$78:$Q$79*PostRenovationMarketRent)/SUMPRODUCT((FPBeds&lt;&gt;"")*(FloorPlanNames&lt;&gt;"")*(FPBeds=GenValidation!$AP7)*Input!$Q$78:$Q$79*FPUnitSize),)</f>
        <v>0</v>
      </c>
      <c r="K35" s="27"/>
      <c r="L35" s="65">
        <f>SUMIFS(Input!G$78:G$79,FloorPlanNames,"&lt;&gt;"&amp;"",FPBeds,GenValidation!$AP7)</f>
        <v>0</v>
      </c>
      <c r="M35" s="65">
        <f>SUMIFS(Input!H$78:H$79,FloorPlanNames,"&lt;&gt;"&amp;"",FPBeds,GenValidation!$AP7)</f>
        <v>0</v>
      </c>
      <c r="N35" s="65">
        <f>SUMIFS(Input!I$78:I$79,FloorPlanNames,"&lt;&gt;"&amp;"",FPBeds,GenValidation!$AP7)</f>
        <v>0</v>
      </c>
      <c r="O35" s="65">
        <f>SUMIFS(Input!J$78:J$79,FloorPlanNames,"&lt;&gt;"&amp;"",FPBeds,GenValidation!$AP7)</f>
        <v>0</v>
      </c>
    </row>
    <row r="36" spans="2:15">
      <c r="B36" s="32" t="str">
        <f>GenValidation!$AO$8</f>
        <v>3 Bedroom</v>
      </c>
      <c r="C36" s="27"/>
      <c r="D36" s="27"/>
      <c r="E36" s="67">
        <f>IFERROR(SUMPRODUCT((FPBeds&lt;&gt;"")*(FloorPlanNames&lt;&gt;"")*(FPBeds=GenValidation!$AP8)*Input!$Q$78:$Q$79*RenovationCost)/SUMPRODUCT((FPBeds&lt;&gt;"")*(FloorPlanNames&lt;&gt;"")*(FPBeds=GenValidation!$AP8)*Input!$Q$78:$Q$79),)</f>
        <v>0</v>
      </c>
      <c r="F36" s="69">
        <f>IFERROR(SUMPRODUCT((FPBeds&lt;&gt;"")*(FloorPlanNames&lt;&gt;"")*(FPBeds=GenValidation!$AP8)*Input!$Q$78:$Q$79*RenovationCost)/SUMPRODUCT((FPBeds&lt;&gt;"")*(FloorPlanNames&lt;&gt;"")*(FPBeds=GenValidation!$AP8)*Input!$Q$78:$Q$79*FPUnitSize),)</f>
        <v>0</v>
      </c>
      <c r="G36" s="105">
        <f>IFERROR(SUMPRODUCT((FPBeds&lt;&gt;"")*(FloorPlanNames&lt;&gt;"")*(FPBeds=GenValidation!$AP8)*Input!$Q$78:$Q$79*RenovationBumps)/SUMPRODUCT((FPBeds&lt;&gt;"")*(FloorPlanNames&lt;&gt;"")*(FPBeds=GenValidation!$AP8)*Input!$Q$78:$Q$79),)</f>
        <v>0</v>
      </c>
      <c r="H36" s="69">
        <f>IFERROR(SUMPRODUCT((FPBeds&lt;&gt;"")*(FloorPlanNames&lt;&gt;"")*(FPBeds=GenValidation!$AP8)*Input!$Q$78:$Q$79*RenovationBumps)/SUMPRODUCT((FPBeds&lt;&gt;"")*(FloorPlanNames&lt;&gt;"")*(FPBeds=GenValidation!$AP8)*Input!$Q$78:$Q$79*FPUnitSize),)</f>
        <v>0</v>
      </c>
      <c r="I36" s="105">
        <f>IFERROR(SUMPRODUCT((FPBeds&lt;&gt;"")*(FloorPlanNames&lt;&gt;"")*(FPBeds=GenValidation!$AP8)*Input!$Q$78:$Q$79*PostRenovationMarketRent)/SUMPRODUCT((FPBeds&lt;&gt;"")*(FloorPlanNames&lt;&gt;"")*(FPBeds=GenValidation!$AP8)*Input!$Q$78:$Q$79),)</f>
        <v>0</v>
      </c>
      <c r="J36" s="68">
        <f>IFERROR(SUMPRODUCT((FPBeds&lt;&gt;"")*(FloorPlanNames&lt;&gt;"")*(FPBeds=GenValidation!$AP8)*Input!$Q$78:$Q$79*PostRenovationMarketRent)/SUMPRODUCT((FPBeds&lt;&gt;"")*(FloorPlanNames&lt;&gt;"")*(FPBeds=GenValidation!$AP8)*Input!$Q$78:$Q$79*FPUnitSize),)</f>
        <v>0</v>
      </c>
      <c r="K36" s="27"/>
      <c r="L36" s="65">
        <f>SUMIFS(Input!G$78:G$79,FloorPlanNames,"&lt;&gt;"&amp;"",FPBeds,GenValidation!$AP8)</f>
        <v>0</v>
      </c>
      <c r="M36" s="65">
        <f>SUMIFS(Input!H$78:H$79,FloorPlanNames,"&lt;&gt;"&amp;"",FPBeds,GenValidation!$AP8)</f>
        <v>0</v>
      </c>
      <c r="N36" s="65">
        <f>SUMIFS(Input!I$78:I$79,FloorPlanNames,"&lt;&gt;"&amp;"",FPBeds,GenValidation!$AP8)</f>
        <v>0</v>
      </c>
      <c r="O36" s="65">
        <f>SUMIFS(Input!J$78:J$79,FloorPlanNames,"&lt;&gt;"&amp;"",FPBeds,GenValidation!$AP8)</f>
        <v>0</v>
      </c>
    </row>
    <row r="37" spans="2:15">
      <c r="B37" s="32" t="str">
        <f>GenValidation!$AO$9</f>
        <v>4+ Bedroom</v>
      </c>
      <c r="C37" s="27"/>
      <c r="D37" s="27"/>
      <c r="E37" s="67">
        <f>IFERROR(SUMPRODUCT((FPBeds&lt;&gt;"")*(FloorPlanNames&lt;&gt;"")*(FPBeds&gt;GenValidation!$AP8)*Input!$Q$78:$Q$79*RenovationCost)/SUMPRODUCT((FPBeds&lt;&gt;"")*(FloorPlanNames&lt;&gt;"")*(FPBeds&gt;GenValidation!$AP8)*Input!$Q$78:$Q$79),)</f>
        <v>0</v>
      </c>
      <c r="F37" s="69">
        <f>IFERROR(SUMPRODUCT((FPBeds&lt;&gt;"")*(FloorPlanNames&lt;&gt;"")*(FPBeds&gt;GenValidation!$AP8)*Input!$Q$78:$Q$79*RenovationCost)/SUMPRODUCT((FPBeds&lt;&gt;"")*(FloorPlanNames&lt;&gt;"")*(FPBeds&gt;GenValidation!$AP8)*Input!$Q$78:$Q$79*FPUnitSize),)</f>
        <v>0</v>
      </c>
      <c r="G37" s="105">
        <f>IFERROR(SUMPRODUCT((FPBeds&lt;&gt;"")*(FloorPlanNames&lt;&gt;"")*(FPBeds&gt;GenValidation!$AP8)*Input!$Q$78:$Q$79*RenovationBumps)/SUMPRODUCT((FPBeds&lt;&gt;"")*(FloorPlanNames&lt;&gt;"")*(FPBeds&gt;GenValidation!$AP8)*Input!$Q$78:$Q$79),)</f>
        <v>0</v>
      </c>
      <c r="H37" s="69">
        <f>IFERROR(SUMPRODUCT((FPBeds&lt;&gt;"")*(FloorPlanNames&lt;&gt;"")*(FPBeds&gt;GenValidation!$AP8)*Input!$Q$78:$Q$79*RenovationBumps)/SUMPRODUCT((FPBeds&lt;&gt;"")*(FloorPlanNames&lt;&gt;"")*(FPBeds&gt;GenValidation!$AP8)*Input!$Q$78:$Q$79*FPUnitSize),)</f>
        <v>0</v>
      </c>
      <c r="I37" s="105">
        <f>IFERROR(SUMPRODUCT((FPBeds&lt;&gt;"")*(FloorPlanNames&lt;&gt;"")*(FPBeds&gt;GenValidation!$AP8)*Input!$Q$78:$Q$79*PostRenovationMarketRent)/SUMPRODUCT((FPBeds&lt;&gt;"")*(FloorPlanNames&lt;&gt;"")*(FPBeds&gt;GenValidation!$AP8)*Input!$Q$78:$Q$79),)</f>
        <v>0</v>
      </c>
      <c r="J37" s="68">
        <f>IFERROR(SUMPRODUCT((FPBeds&lt;&gt;"")*(FloorPlanNames&lt;&gt;"")*(FPBeds&gt;GenValidation!$AP8)*Input!$Q$78:$Q$79*PostRenovationMarketRent)/SUMPRODUCT((FPBeds&lt;&gt;"")*(FloorPlanNames&lt;&gt;"")*(FPBeds&gt;GenValidation!$AP8)*Input!$Q$78:$Q$79*FPUnitSize),)</f>
        <v>0</v>
      </c>
      <c r="K37" s="27"/>
      <c r="L37" s="118">
        <f>SUMIFS(Input!G$78:G$79,FloorPlanNames,"&lt;&gt;"&amp;"",FPBeds,GenValidation!$AP9)</f>
        <v>0</v>
      </c>
      <c r="M37" s="118">
        <f>SUMIFS(Input!H$78:H$79,FloorPlanNames,"&lt;&gt;"&amp;"",FPBeds,GenValidation!$AP9)</f>
        <v>0</v>
      </c>
      <c r="N37" s="118">
        <f>SUMIFS(Input!I$78:I$79,FloorPlanNames,"&lt;&gt;"&amp;"",FPBeds,GenValidation!$AP9)</f>
        <v>0</v>
      </c>
      <c r="O37" s="118">
        <f>SUMIFS(Input!J$78:J$79,FloorPlanNames,"&lt;&gt;"&amp;"",FPBeds,GenValidation!$AP9)</f>
        <v>0</v>
      </c>
    </row>
    <row r="38" spans="2:15">
      <c r="B38" s="46" t="s">
        <v>31</v>
      </c>
      <c r="C38" s="27"/>
      <c r="D38" s="27"/>
      <c r="E38" s="73">
        <f>AverageRenovCost</f>
        <v>0</v>
      </c>
      <c r="F38" s="75">
        <f>IFERROR(SUMPRODUCT((FPBeds&lt;&gt;"")*(FloorPlanNames&lt;&gt;"")*Input!$Q$78:$Q$79*RenovationCost)/SUMPRODUCT((FPBeds&lt;&gt;"")*(FloorPlanNames&lt;&gt;"")*Input!$Q$78:$Q$79*FPUnitSize),)</f>
        <v>0</v>
      </c>
      <c r="G38" s="106">
        <f>AverageRenovPremium</f>
        <v>0</v>
      </c>
      <c r="H38" s="75">
        <f>Input!Z56</f>
        <v>0</v>
      </c>
      <c r="I38" s="106">
        <f>Input!F81</f>
        <v>0</v>
      </c>
      <c r="J38" s="74">
        <f>Input!AB56</f>
        <v>0</v>
      </c>
      <c r="K38" s="27"/>
      <c r="L38" s="72">
        <f>SUM(L33:L37)</f>
        <v>0</v>
      </c>
      <c r="M38" s="72">
        <f>SUM(M33:M37)</f>
        <v>0</v>
      </c>
      <c r="N38" s="72">
        <f>SUM(N33:N37)</f>
        <v>0</v>
      </c>
      <c r="O38" s="72">
        <f>SUM(O33:O37)</f>
        <v>0</v>
      </c>
    </row>
    <row r="39" spans="2:15">
      <c r="B39" s="27"/>
      <c r="C39" s="27"/>
      <c r="D39" s="27"/>
      <c r="E39" s="27"/>
      <c r="F39" s="27"/>
      <c r="G39" s="27"/>
      <c r="H39" s="27"/>
      <c r="I39" s="27"/>
      <c r="J39" s="27"/>
      <c r="K39" s="27"/>
      <c r="L39" s="27"/>
      <c r="M39" s="27"/>
      <c r="N39" s="27"/>
      <c r="O39" s="27"/>
    </row>
    <row r="40" spans="2:15">
      <c r="B40" s="119" t="str">
        <f>"¹ Renovation costs ("&amp;TEXT(-'CF Calculations'!O425,"$ #,###")&amp;") are "&amp;IF('CF Calculations'!D425,"funded at closing","paid for by operating cash flow")</f>
        <v>¹ Renovation costs ($ ) are paid for by operating cash flow</v>
      </c>
      <c r="C40" s="27"/>
      <c r="D40" s="27"/>
      <c r="E40" s="27"/>
      <c r="F40" s="27"/>
      <c r="G40" s="27"/>
      <c r="H40" s="27"/>
      <c r="I40" s="27"/>
      <c r="J40" s="27"/>
      <c r="K40" s="27"/>
      <c r="L40" s="27"/>
      <c r="M40" s="27"/>
      <c r="N40" s="27"/>
      <c r="O40" s="27"/>
    </row>
    <row r="41" spans="2:15" ht="6" customHeight="1">
      <c r="B41" s="120"/>
      <c r="C41" s="27"/>
      <c r="D41" s="27"/>
      <c r="E41" s="27"/>
      <c r="F41" s="27"/>
      <c r="G41" s="27"/>
      <c r="H41" s="27"/>
      <c r="I41" s="27"/>
      <c r="J41" s="27"/>
      <c r="K41" s="27"/>
      <c r="L41" s="27"/>
      <c r="M41" s="27"/>
      <c r="N41" s="27"/>
      <c r="O41" s="27"/>
    </row>
    <row r="44" spans="2:15" s="31" customFormat="1" ht="15.75" customHeight="1">
      <c r="B44" s="1040" t="str">
        <f>IF(RunSensitivity,"Click on ""Update Sensitivities"" to populate this table.","SENSITIVITY ANALYSIS")</f>
        <v>Click on "Update Sensitivities" to populate this table.</v>
      </c>
      <c r="C44" s="1028"/>
      <c r="D44" s="1028"/>
      <c r="E44" s="1029"/>
      <c r="F44" s="1029"/>
      <c r="G44" s="1029"/>
      <c r="H44" s="1029"/>
      <c r="I44" s="1029"/>
      <c r="J44" s="1029"/>
      <c r="K44" s="1029"/>
      <c r="L44" s="1029"/>
      <c r="M44" s="1029"/>
      <c r="N44" s="1029"/>
      <c r="O44" s="1029"/>
    </row>
    <row r="46" spans="2:15" ht="15" customHeight="1">
      <c r="B46" s="1176" t="s">
        <v>96</v>
      </c>
      <c r="C46" s="1185"/>
      <c r="D46" s="1185"/>
      <c r="E46" s="1185"/>
      <c r="F46" s="1185"/>
      <c r="G46" s="1186">
        <f>Input!G237</f>
        <v>0</v>
      </c>
      <c r="H46" s="1187"/>
      <c r="I46" s="1186">
        <f>Input!G238</f>
        <v>0</v>
      </c>
      <c r="J46" s="1188"/>
      <c r="K46" s="1189">
        <f>Input!G239</f>
        <v>0</v>
      </c>
      <c r="L46" s="1190"/>
      <c r="M46" s="1186">
        <f>Input!G240</f>
        <v>0</v>
      </c>
      <c r="N46" s="1187"/>
      <c r="O46" s="1186">
        <f>Input!G241</f>
        <v>0</v>
      </c>
    </row>
    <row r="47" spans="2:15" ht="12.75" customHeight="1">
      <c r="B47" s="122" t="s">
        <v>97</v>
      </c>
      <c r="C47" s="123"/>
      <c r="D47" s="123"/>
      <c r="E47" s="123"/>
      <c r="F47" s="123"/>
      <c r="G47" s="124">
        <f>IFERROR(G46/(SUMPRODUCT((FPBeds&lt;&gt;"")*(FloorPlanNames&lt;&gt;"")*Input!$Q$78:$Q$79*FPUnitSize)/$I$6),)</f>
        <v>0</v>
      </c>
      <c r="H47" s="125"/>
      <c r="I47" s="124">
        <f>IFERROR(I46/(SUMPRODUCT((FPBeds&lt;&gt;"")*(FloorPlanNames&lt;&gt;"")*Input!$Q$78:$Q$79*FPUnitSize)/$I$6),)</f>
        <v>0</v>
      </c>
      <c r="J47" s="125"/>
      <c r="K47" s="126">
        <f>IFERROR(K46/(SUMPRODUCT((FPBeds&lt;&gt;"")*(FloorPlanNames&lt;&gt;"")*Input!$Q$78:$Q$79*FPUnitSize)/$I$6),)</f>
        <v>0</v>
      </c>
      <c r="L47" s="127"/>
      <c r="M47" s="124">
        <f>IFERROR(M46/(SUMPRODUCT((FPBeds&lt;&gt;"")*(FloorPlanNames&lt;&gt;"")*Input!$Q$78:$Q$79*FPUnitSize)/$I$6),)</f>
        <v>0</v>
      </c>
      <c r="N47" s="125"/>
      <c r="O47" s="124">
        <f>IFERROR(O46/(SUMPRODUCT((FPBeds&lt;&gt;"")*(FloorPlanNames&lt;&gt;"")*Input!$Q$78:$Q$79*FPUnitSize)/$I$6),)</f>
        <v>0</v>
      </c>
    </row>
    <row r="48" spans="2:15" ht="12.75" customHeight="1">
      <c r="B48" s="50"/>
      <c r="C48" s="27"/>
      <c r="D48" s="27"/>
      <c r="E48" s="27"/>
      <c r="F48" s="27"/>
      <c r="G48" s="51"/>
      <c r="H48" s="128"/>
      <c r="I48" s="51"/>
      <c r="J48" s="128"/>
      <c r="K48" s="53"/>
      <c r="L48" s="129"/>
      <c r="M48" s="51"/>
      <c r="N48" s="128"/>
      <c r="O48" s="51"/>
    </row>
    <row r="49" spans="2:15" ht="12.75" customHeight="1">
      <c r="B49" s="32" t="s">
        <v>98</v>
      </c>
      <c r="C49" s="27"/>
      <c r="D49" s="27"/>
      <c r="E49" s="27"/>
      <c r="F49" s="27"/>
      <c r="G49" s="56">
        <f>Input!I237</f>
        <v>0</v>
      </c>
      <c r="H49" s="128"/>
      <c r="I49" s="56">
        <f>Input!I238</f>
        <v>0</v>
      </c>
      <c r="J49" s="128"/>
      <c r="K49" s="57">
        <f>Input!I239</f>
        <v>0</v>
      </c>
      <c r="L49" s="129"/>
      <c r="M49" s="56">
        <f>Input!I240</f>
        <v>0</v>
      </c>
      <c r="N49" s="128"/>
      <c r="O49" s="56">
        <f>Input!I241</f>
        <v>0</v>
      </c>
    </row>
    <row r="50" spans="2:15" ht="12.75" customHeight="1">
      <c r="B50" s="32" t="s">
        <v>99</v>
      </c>
      <c r="C50" s="27"/>
      <c r="D50" s="27"/>
      <c r="E50" s="27"/>
      <c r="F50" s="27"/>
      <c r="G50" s="56">
        <f>Input!J237</f>
        <v>0</v>
      </c>
      <c r="H50" s="128"/>
      <c r="I50" s="56">
        <f>Input!J238</f>
        <v>0</v>
      </c>
      <c r="J50" s="128"/>
      <c r="K50" s="57">
        <f>Input!J239</f>
        <v>0</v>
      </c>
      <c r="L50" s="129"/>
      <c r="M50" s="56">
        <f>Input!J240</f>
        <v>0</v>
      </c>
      <c r="N50" s="128"/>
      <c r="O50" s="56">
        <f>Input!J241</f>
        <v>0</v>
      </c>
    </row>
    <row r="51" spans="2:15" ht="12.75" customHeight="1">
      <c r="B51" s="32" t="s">
        <v>100</v>
      </c>
      <c r="C51" s="27"/>
      <c r="D51" s="27"/>
      <c r="E51" s="27"/>
      <c r="F51" s="27"/>
      <c r="G51" s="56">
        <f>Input!K237</f>
        <v>0</v>
      </c>
      <c r="H51" s="128"/>
      <c r="I51" s="56">
        <f>Input!K238</f>
        <v>0</v>
      </c>
      <c r="J51" s="128"/>
      <c r="K51" s="57">
        <f>Input!K239</f>
        <v>0</v>
      </c>
      <c r="L51" s="129"/>
      <c r="M51" s="56">
        <f>Input!K240</f>
        <v>0</v>
      </c>
      <c r="N51" s="128"/>
      <c r="O51" s="56">
        <f>Input!K241</f>
        <v>0</v>
      </c>
    </row>
    <row r="52" spans="2:15" ht="12.75" customHeight="1">
      <c r="B52" s="32" t="str">
        <f>"Cash on Cash ("&amp;YrOfExit&amp;"-Yr Avg.)"</f>
        <v>Cash on Cash (7-Yr Avg.)</v>
      </c>
      <c r="C52" s="27"/>
      <c r="D52" s="27"/>
      <c r="E52" s="27"/>
      <c r="F52" s="27"/>
      <c r="G52" s="56">
        <f>Input!L237</f>
        <v>0</v>
      </c>
      <c r="H52" s="128"/>
      <c r="I52" s="56">
        <f>Input!L238</f>
        <v>0</v>
      </c>
      <c r="J52" s="128"/>
      <c r="K52" s="57">
        <f>Input!L239</f>
        <v>0</v>
      </c>
      <c r="L52" s="129"/>
      <c r="M52" s="56">
        <f>Input!L240</f>
        <v>0</v>
      </c>
      <c r="N52" s="128"/>
      <c r="O52" s="56">
        <f>Input!L241</f>
        <v>0</v>
      </c>
    </row>
    <row r="53" spans="2:15" ht="12.75" customHeight="1">
      <c r="B53" s="32" t="s">
        <v>101</v>
      </c>
      <c r="C53" s="27"/>
      <c r="D53" s="27"/>
      <c r="E53" s="27"/>
      <c r="F53" s="27"/>
      <c r="G53" s="56">
        <f>Input!M237</f>
        <v>0</v>
      </c>
      <c r="H53" s="128"/>
      <c r="I53" s="56">
        <f>Input!M238</f>
        <v>0</v>
      </c>
      <c r="J53" s="128"/>
      <c r="K53" s="58">
        <f>Input!M239</f>
        <v>0</v>
      </c>
      <c r="L53" s="129"/>
      <c r="M53" s="56">
        <f>Input!M240</f>
        <v>0</v>
      </c>
      <c r="N53" s="128"/>
      <c r="O53" s="56">
        <f>Input!M241</f>
        <v>0</v>
      </c>
    </row>
    <row r="54" spans="2:15" ht="12.75" customHeight="1">
      <c r="B54" s="32"/>
      <c r="C54" s="27"/>
      <c r="D54" s="27"/>
      <c r="E54" s="27"/>
      <c r="F54" s="27"/>
      <c r="G54" s="56"/>
      <c r="H54" s="128"/>
      <c r="I54" s="56"/>
      <c r="J54" s="128"/>
      <c r="K54" s="56"/>
      <c r="L54" s="128"/>
      <c r="M54" s="56"/>
      <c r="N54" s="128"/>
      <c r="O54" s="56"/>
    </row>
    <row r="55" spans="2:15" ht="12.75" customHeight="1"/>
    <row r="56" spans="2:15" ht="15" customHeight="1">
      <c r="B56" s="1176" t="s">
        <v>102</v>
      </c>
      <c r="C56" s="1185"/>
      <c r="D56" s="1185"/>
      <c r="E56" s="1185"/>
      <c r="F56" s="1185"/>
      <c r="G56" s="1186">
        <f>Input!G248</f>
        <v>0</v>
      </c>
      <c r="H56" s="1187"/>
      <c r="I56" s="1186">
        <f>Input!G249</f>
        <v>0</v>
      </c>
      <c r="J56" s="1188"/>
      <c r="K56" s="1189">
        <f>Input!G250</f>
        <v>0</v>
      </c>
      <c r="L56" s="1190"/>
      <c r="M56" s="1186">
        <f>Input!G251</f>
        <v>0</v>
      </c>
      <c r="N56" s="1187"/>
      <c r="O56" s="1186">
        <f>Input!G252</f>
        <v>0</v>
      </c>
    </row>
    <row r="57" spans="2:15">
      <c r="B57" s="122" t="s">
        <v>97</v>
      </c>
      <c r="C57" s="123"/>
      <c r="D57" s="123"/>
      <c r="E57" s="123"/>
      <c r="F57" s="123"/>
      <c r="G57" s="124">
        <f>IFERROR(G56/(SUMPRODUCT((FPBeds&lt;&gt;"")*(FloorPlanNames&lt;&gt;"")*Input!$Q$78:$Q$79*FPUnitSize)/$I$6),)</f>
        <v>0</v>
      </c>
      <c r="H57" s="125"/>
      <c r="I57" s="124">
        <f>IFERROR(I56/(SUMPRODUCT((FPBeds&lt;&gt;"")*(FloorPlanNames&lt;&gt;"")*Input!$Q$78:$Q$79*FPUnitSize)/$I$6),)</f>
        <v>0</v>
      </c>
      <c r="J57" s="125"/>
      <c r="K57" s="126">
        <f>IFERROR(K56/(SUMPRODUCT((FPBeds&lt;&gt;"")*(FloorPlanNames&lt;&gt;"")*Input!$Q$78:$Q$79*FPUnitSize)/$I$6),)</f>
        <v>0</v>
      </c>
      <c r="L57" s="127"/>
      <c r="M57" s="124">
        <f>IFERROR(M56/(SUMPRODUCT((FPBeds&lt;&gt;"")*(FloorPlanNames&lt;&gt;"")*Input!$Q$78:$Q$79*FPUnitSize)/$I$6),)</f>
        <v>0</v>
      </c>
      <c r="N57" s="125"/>
      <c r="O57" s="124">
        <f>IFERROR(O56/(SUMPRODUCT((FPBeds&lt;&gt;"")*(FloorPlanNames&lt;&gt;"")*Input!$Q$78:$Q$79*FPUnitSize)/$I$6),)</f>
        <v>0</v>
      </c>
    </row>
    <row r="58" spans="2:15">
      <c r="B58" s="122"/>
      <c r="C58" s="123"/>
      <c r="D58" s="123"/>
      <c r="E58" s="123"/>
      <c r="F58" s="123"/>
      <c r="G58" s="124"/>
      <c r="H58" s="125"/>
      <c r="I58" s="124"/>
      <c r="J58" s="125"/>
      <c r="K58" s="126"/>
      <c r="L58" s="127"/>
      <c r="M58" s="124"/>
      <c r="N58" s="125"/>
      <c r="O58" s="124"/>
    </row>
    <row r="59" spans="2:15" s="31" customFormat="1">
      <c r="B59" s="32" t="s">
        <v>98</v>
      </c>
      <c r="C59" s="27"/>
      <c r="D59" s="27"/>
      <c r="E59" s="27"/>
      <c r="F59" s="27"/>
      <c r="G59" s="56">
        <f>Input!I248</f>
        <v>0</v>
      </c>
      <c r="H59" s="128"/>
      <c r="I59" s="56">
        <f>Input!I249</f>
        <v>0</v>
      </c>
      <c r="J59" s="128"/>
      <c r="K59" s="57">
        <f>Input!I250</f>
        <v>0</v>
      </c>
      <c r="L59" s="129"/>
      <c r="M59" s="56">
        <f>Input!I251</f>
        <v>0</v>
      </c>
      <c r="N59" s="128"/>
      <c r="O59" s="56">
        <f>Input!I252</f>
        <v>0</v>
      </c>
    </row>
    <row r="60" spans="2:15">
      <c r="B60" s="32" t="s">
        <v>99</v>
      </c>
      <c r="C60" s="27"/>
      <c r="D60" s="27"/>
      <c r="E60" s="27"/>
      <c r="F60" s="27"/>
      <c r="G60" s="56">
        <f>Input!J248</f>
        <v>0</v>
      </c>
      <c r="H60" s="128"/>
      <c r="I60" s="56">
        <f>Input!J249</f>
        <v>0</v>
      </c>
      <c r="J60" s="128"/>
      <c r="K60" s="57">
        <f>Input!J250</f>
        <v>0</v>
      </c>
      <c r="L60" s="129"/>
      <c r="M60" s="56">
        <f>Input!J251</f>
        <v>0</v>
      </c>
      <c r="N60" s="128"/>
      <c r="O60" s="56">
        <f>Input!J252</f>
        <v>0</v>
      </c>
    </row>
    <row r="61" spans="2:15">
      <c r="B61" s="32" t="s">
        <v>100</v>
      </c>
      <c r="C61" s="27"/>
      <c r="D61" s="27"/>
      <c r="E61" s="27"/>
      <c r="F61" s="27"/>
      <c r="G61" s="56">
        <f>Input!K248</f>
        <v>0</v>
      </c>
      <c r="H61" s="128"/>
      <c r="I61" s="56">
        <f>Input!K249</f>
        <v>0</v>
      </c>
      <c r="J61" s="128"/>
      <c r="K61" s="57">
        <f>Input!K250</f>
        <v>0</v>
      </c>
      <c r="L61" s="129"/>
      <c r="M61" s="56">
        <f>Input!K251</f>
        <v>0</v>
      </c>
      <c r="N61" s="128"/>
      <c r="O61" s="56">
        <f>Input!K252</f>
        <v>0</v>
      </c>
    </row>
    <row r="62" spans="2:15">
      <c r="B62" s="32" t="str">
        <f>B52</f>
        <v>Cash on Cash (7-Yr Avg.)</v>
      </c>
      <c r="C62" s="27"/>
      <c r="D62" s="27"/>
      <c r="E62" s="27"/>
      <c r="F62" s="27"/>
      <c r="G62" s="56">
        <f>Input!L248</f>
        <v>0</v>
      </c>
      <c r="H62" s="128"/>
      <c r="I62" s="56">
        <f>Input!L249</f>
        <v>0</v>
      </c>
      <c r="J62" s="128"/>
      <c r="K62" s="57">
        <f>Input!L250</f>
        <v>0</v>
      </c>
      <c r="L62" s="129"/>
      <c r="M62" s="56">
        <f>Input!L251</f>
        <v>0</v>
      </c>
      <c r="N62" s="128"/>
      <c r="O62" s="56">
        <f>Input!L252</f>
        <v>0</v>
      </c>
    </row>
    <row r="63" spans="2:15">
      <c r="B63" s="32" t="s">
        <v>101</v>
      </c>
      <c r="C63" s="27"/>
      <c r="D63" s="27"/>
      <c r="E63" s="27"/>
      <c r="F63" s="27"/>
      <c r="G63" s="56">
        <f>Input!M248</f>
        <v>0</v>
      </c>
      <c r="H63" s="128"/>
      <c r="I63" s="56">
        <f>Input!M249</f>
        <v>0</v>
      </c>
      <c r="J63" s="128"/>
      <c r="K63" s="58">
        <f>Input!M250</f>
        <v>0</v>
      </c>
      <c r="L63" s="129"/>
      <c r="M63" s="56">
        <f>Input!M251</f>
        <v>0</v>
      </c>
      <c r="N63" s="128"/>
      <c r="O63" s="56">
        <f>Input!M252</f>
        <v>0</v>
      </c>
    </row>
    <row r="64" spans="2:15">
      <c r="B64" s="32"/>
      <c r="C64" s="27"/>
      <c r="D64" s="27"/>
      <c r="E64" s="27"/>
      <c r="F64" s="27"/>
      <c r="G64" s="27"/>
      <c r="H64" s="27"/>
      <c r="I64" s="27"/>
      <c r="J64" s="27"/>
      <c r="K64" s="27"/>
      <c r="L64" s="27"/>
      <c r="M64" s="27"/>
      <c r="N64" s="27"/>
      <c r="O64" s="27"/>
    </row>
    <row r="65" spans="2:15">
      <c r="B65" s="119" t="s">
        <v>103</v>
      </c>
      <c r="C65" s="27"/>
      <c r="D65" s="27"/>
      <c r="E65" s="27"/>
      <c r="F65" s="27"/>
      <c r="G65" s="27"/>
      <c r="H65" s="27"/>
      <c r="I65" s="27"/>
      <c r="J65" s="27"/>
      <c r="K65" s="27"/>
      <c r="L65" s="27"/>
      <c r="M65" s="27"/>
      <c r="N65" s="27"/>
      <c r="O65" s="27"/>
    </row>
    <row r="66" spans="2:15">
      <c r="B66" s="120" t="s">
        <v>104</v>
      </c>
      <c r="C66" s="27"/>
      <c r="D66" s="27"/>
      <c r="E66" s="27"/>
      <c r="F66" s="27"/>
      <c r="G66" s="27"/>
      <c r="H66" s="27"/>
      <c r="I66" s="27"/>
      <c r="J66" s="27"/>
      <c r="K66" s="27"/>
      <c r="L66" s="27"/>
      <c r="M66" s="27"/>
      <c r="N66" s="27"/>
      <c r="O66" s="27"/>
    </row>
    <row r="67" spans="2:15">
      <c r="B67" s="120" t="str">
        <f>"³ In Year "&amp;PostRenovationYr&amp;" (the first full year following completion of all renovations)"</f>
        <v>³ In Year 1 (the first full year following completion of all renovations)</v>
      </c>
      <c r="C67" s="27"/>
      <c r="D67" s="27"/>
      <c r="E67" s="27"/>
      <c r="F67" s="27"/>
      <c r="G67" s="27"/>
      <c r="H67" s="27"/>
      <c r="I67" s="27"/>
      <c r="J67" s="27"/>
      <c r="K67" s="27"/>
      <c r="L67" s="27"/>
      <c r="M67" s="27"/>
      <c r="N67" s="27"/>
      <c r="O67" s="27"/>
    </row>
    <row r="68" spans="2:15" ht="6" customHeight="1">
      <c r="B68" s="120"/>
      <c r="C68" s="27"/>
      <c r="D68" s="27"/>
      <c r="E68" s="27"/>
      <c r="F68" s="27"/>
      <c r="G68" s="27"/>
      <c r="H68" s="27"/>
      <c r="I68" s="27"/>
      <c r="J68" s="27"/>
      <c r="K68" s="27"/>
      <c r="L68" s="27"/>
      <c r="M68" s="27"/>
      <c r="N68" s="27"/>
      <c r="O68" s="27"/>
    </row>
  </sheetData>
  <mergeCells count="15">
    <mergeCell ref="D6:E6"/>
    <mergeCell ref="I6:J6"/>
    <mergeCell ref="N6:O6"/>
    <mergeCell ref="D7:E7"/>
    <mergeCell ref="I7:J7"/>
    <mergeCell ref="N7:O7"/>
    <mergeCell ref="D11:E11"/>
    <mergeCell ref="I11:J11"/>
    <mergeCell ref="N11:O11"/>
    <mergeCell ref="D9:E9"/>
    <mergeCell ref="I9:J9"/>
    <mergeCell ref="N9:O9"/>
    <mergeCell ref="D10:E10"/>
    <mergeCell ref="I10:J10"/>
    <mergeCell ref="N10:O10"/>
  </mergeCells>
  <conditionalFormatting sqref="B44:O44">
    <cfRule type="expression" dxfId="227" priority="2">
      <formula>RunSensitivity</formula>
    </cfRule>
  </conditionalFormatting>
  <conditionalFormatting sqref="B46:O67">
    <cfRule type="expression" dxfId="226" priority="1">
      <formula>RunSensitivity</formula>
    </cfRule>
  </conditionalFormatting>
  <pageMargins left="0.28000000000000003" right="0.28000000000000003" top="0.65" bottom="0.31" header="0.3" footer="0.13"/>
  <pageSetup scale="80" orientation="portrait" r:id="rId1"/>
  <headerFooter scaleWithDoc="0">
    <oddHeader>&amp;C&amp;"+,Regular"&amp;9&amp;KFF0000STRICTLY CONFIDENTIAL&amp;R&amp;G</oddHeader>
    <oddFooter>&amp;L&amp;8&amp;F&amp;C&amp;8Page &amp;P of &amp;N&amp;R&amp;8&amp;D &amp;T</oddFooter>
  </headerFooter>
  <legacyDrawingHF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1845B9-32B7-4CEC-9F4F-B030929B9F1F}">
  <sheetPr codeName="OutHistoricals"/>
  <dimension ref="B1:AR107"/>
  <sheetViews>
    <sheetView showGridLines="0" zoomScaleSheetLayoutView="100" workbookViewId="0">
      <pane xSplit="3" ySplit="7" topLeftCell="D8" activePane="bottomRight" state="frozen"/>
      <selection activeCell="L26" sqref="L26"/>
      <selection pane="topRight" activeCell="L26" sqref="L26"/>
      <selection pane="bottomLeft" activeCell="L26" sqref="L26"/>
      <selection pane="bottomRight" activeCell="AD67" sqref="AD67"/>
    </sheetView>
  </sheetViews>
  <sheetFormatPr defaultColWidth="9.140625" defaultRowHeight="12.75" outlineLevelCol="1"/>
  <cols>
    <col min="1" max="1" width="1.7109375" customWidth="1"/>
    <col min="2" max="2" width="4.85546875" bestFit="1" customWidth="1"/>
    <col min="3" max="3" width="33.7109375" customWidth="1"/>
    <col min="4" max="4" width="16.28515625" customWidth="1"/>
    <col min="5" max="6" width="10.7109375" customWidth="1" outlineLevel="1"/>
    <col min="7" max="7" width="16.28515625" customWidth="1"/>
    <col min="8" max="9" width="10.7109375" customWidth="1" outlineLevel="1"/>
    <col min="10" max="10" width="16.28515625" customWidth="1"/>
    <col min="11" max="12" width="10.7109375" customWidth="1" outlineLevel="1"/>
    <col min="13" max="13" width="16.28515625" customWidth="1"/>
    <col min="14" max="15" width="10.7109375" customWidth="1" outlineLevel="1"/>
    <col min="16" max="16" width="16.28515625" customWidth="1"/>
    <col min="17" max="18" width="10.7109375" customWidth="1" outlineLevel="1"/>
    <col min="19" max="19" width="2" customWidth="1"/>
    <col min="20" max="20" width="16.28515625" customWidth="1"/>
    <col min="21" max="21" width="11.28515625" customWidth="1" outlineLevel="1"/>
    <col min="22" max="22" width="10.7109375" customWidth="1"/>
    <col min="23" max="23" width="6" customWidth="1"/>
    <col min="24" max="24" width="2" customWidth="1"/>
  </cols>
  <sheetData>
    <row r="1" spans="2:44" ht="14.25" customHeight="1">
      <c r="B1" s="130" t="s">
        <v>0</v>
      </c>
      <c r="C1" s="130"/>
    </row>
    <row r="2" spans="2:44" s="136" customFormat="1" ht="19.5" customHeight="1">
      <c r="B2" s="1166" t="str">
        <f>Input!E10</f>
        <v>Chaney Place Townhomes</v>
      </c>
      <c r="C2" s="131"/>
      <c r="D2" s="132"/>
      <c r="E2" s="132"/>
      <c r="F2" s="132"/>
      <c r="G2" s="1011" t="s">
        <v>105</v>
      </c>
      <c r="H2" s="132"/>
      <c r="I2" s="132"/>
      <c r="J2" s="133"/>
      <c r="K2" s="134"/>
      <c r="L2" s="132"/>
      <c r="M2" s="132"/>
      <c r="N2" s="132"/>
      <c r="O2" s="132"/>
      <c r="P2" s="132"/>
      <c r="Q2" s="132"/>
      <c r="R2" s="132"/>
      <c r="S2" s="132"/>
      <c r="T2" s="132"/>
      <c r="U2" s="132"/>
      <c r="V2" s="135"/>
      <c r="W2" s="1167" t="str">
        <f>Input!$M$4</f>
        <v>Huntsville, AL</v>
      </c>
      <c r="Y2" s="132"/>
      <c r="Z2" s="132"/>
      <c r="AA2" s="132"/>
      <c r="AB2" s="132"/>
      <c r="AC2" s="132"/>
      <c r="AD2" s="132"/>
      <c r="AE2" s="132"/>
      <c r="AF2" s="132"/>
      <c r="AG2" s="132"/>
      <c r="AH2" s="132"/>
      <c r="AI2" s="132"/>
      <c r="AJ2" s="132"/>
      <c r="AK2" s="132"/>
      <c r="AL2" s="132"/>
      <c r="AM2" s="132"/>
      <c r="AN2" s="132"/>
      <c r="AO2" s="132"/>
      <c r="AP2" s="132"/>
      <c r="AQ2" s="132"/>
      <c r="AR2" s="132"/>
    </row>
    <row r="5" spans="2:44" s="138" customFormat="1" ht="15.75" customHeight="1">
      <c r="B5" s="1039" t="s">
        <v>106</v>
      </c>
      <c r="C5" s="1026"/>
      <c r="D5" s="1027"/>
      <c r="E5" s="1027"/>
      <c r="F5" s="1027"/>
      <c r="G5" s="1027"/>
      <c r="H5" s="1027"/>
      <c r="I5" s="1027"/>
      <c r="J5" s="1027"/>
      <c r="K5" s="1027"/>
      <c r="L5" s="1027"/>
      <c r="M5" s="1027"/>
      <c r="N5" s="1027"/>
      <c r="O5" s="1027"/>
      <c r="P5" s="1027"/>
      <c r="Q5" s="1027"/>
      <c r="R5" s="1027"/>
      <c r="S5" s="137"/>
      <c r="T5" s="1039" t="s">
        <v>107</v>
      </c>
      <c r="U5" s="1027"/>
      <c r="V5" s="1027"/>
      <c r="W5" s="1027"/>
      <c r="Y5" s="1036" t="s">
        <v>108</v>
      </c>
      <c r="Z5" s="1024"/>
      <c r="AA5" s="1024"/>
      <c r="AB5" s="1024"/>
      <c r="AC5" s="1024"/>
      <c r="AD5" s="1024"/>
      <c r="AE5" s="1024"/>
      <c r="AF5" s="1024"/>
      <c r="AG5" s="1024"/>
      <c r="AH5" s="1024"/>
      <c r="AI5" s="1024"/>
      <c r="AJ5" s="1024"/>
      <c r="AK5" s="1024"/>
      <c r="AL5" s="1024"/>
      <c r="AM5" s="1024"/>
      <c r="AN5" s="1024"/>
      <c r="AO5" s="1024"/>
      <c r="AP5" s="1024"/>
      <c r="AQ5" s="1024"/>
      <c r="AR5" s="1024"/>
    </row>
    <row r="6" spans="2:44" s="138" customFormat="1" ht="20.100000000000001" customHeight="1">
      <c r="D6" s="1168" t="str">
        <f>IF('Select Historicals'!D10="","",IFERROR("T"&amp;'Select Historicals'!D9*1&amp;" Annualized","Year Ending"))</f>
        <v>T12 Annualized</v>
      </c>
      <c r="E6" s="1168"/>
      <c r="F6" s="1168"/>
      <c r="G6" s="1168" t="str">
        <f>IF('Select Historicals'!F10="","",IFERROR("T"&amp;'Select Historicals'!F9*1&amp;" Annualized","Year Ending"))</f>
        <v>T9 Annualized</v>
      </c>
      <c r="H6" s="1168"/>
      <c r="I6" s="1168"/>
      <c r="J6" s="1168" t="str">
        <f>IF('Select Historicals'!H10="","",IFERROR("T"&amp;'Select Historicals'!H9*1&amp;" Annualized","Year Ending"))</f>
        <v>T6 Annualized</v>
      </c>
      <c r="K6" s="1168"/>
      <c r="L6" s="1168"/>
      <c r="M6" s="1168" t="str">
        <f>IF('Select Historicals'!J10="","",IFERROR("T"&amp;'Select Historicals'!J9*1&amp;" Annualized","Year Ending"))</f>
        <v>T3 Annualized</v>
      </c>
      <c r="N6" s="1168"/>
      <c r="O6" s="1168"/>
      <c r="P6" s="1168" t="str">
        <f>IF('Select Historicals'!L10="","",IFERROR("T"&amp;'Select Historicals'!L9*1&amp;" Annualized","Year Ending"))</f>
        <v>T1 Annualized</v>
      </c>
      <c r="Q6" s="1169"/>
      <c r="R6" s="1168"/>
      <c r="S6" s="1170"/>
      <c r="T6" s="1168" t="s">
        <v>109</v>
      </c>
      <c r="U6" s="1168"/>
      <c r="V6" s="1171" t="str">
        <f>IF(V7="% Mkt / % EGR","",MID(V7,3,999))</f>
        <v/>
      </c>
      <c r="W6" s="1172"/>
      <c r="Y6" s="139" t="s">
        <v>110</v>
      </c>
      <c r="AB6" s="140"/>
      <c r="AC6" s="140"/>
    </row>
    <row r="7" spans="2:44" s="138" customFormat="1" ht="12.75" customHeight="1">
      <c r="D7" s="1162">
        <f>'Select Historicals'!D10</f>
        <v>45962</v>
      </c>
      <c r="E7" s="1048" t="s">
        <v>111</v>
      </c>
      <c r="F7" s="1048" t="s">
        <v>112</v>
      </c>
      <c r="G7" s="1162">
        <f>'Select Historicals'!F10</f>
        <v>45962</v>
      </c>
      <c r="H7" s="1048" t="s">
        <v>111</v>
      </c>
      <c r="I7" s="1048" t="s">
        <v>112</v>
      </c>
      <c r="J7" s="1162">
        <f>'Select Historicals'!H10</f>
        <v>45962</v>
      </c>
      <c r="K7" s="1048" t="s">
        <v>111</v>
      </c>
      <c r="L7" s="1048" t="s">
        <v>112</v>
      </c>
      <c r="M7" s="1162">
        <f>'Select Historicals'!J10</f>
        <v>45962</v>
      </c>
      <c r="N7" s="1048" t="s">
        <v>111</v>
      </c>
      <c r="O7" s="1048" t="s">
        <v>112</v>
      </c>
      <c r="P7" s="1162">
        <f>'Select Historicals'!L10</f>
        <v>45962</v>
      </c>
      <c r="Q7" s="1048" t="s">
        <v>111</v>
      </c>
      <c r="R7" s="1048" t="s">
        <v>112</v>
      </c>
      <c r="S7" s="1170"/>
      <c r="T7" s="1173">
        <f>'CF Calculations'!E4</f>
        <v>46477</v>
      </c>
      <c r="U7" s="1048" t="s">
        <v>111</v>
      </c>
      <c r="V7" s="1174" t="s">
        <v>113</v>
      </c>
      <c r="W7" s="1175" t="s">
        <v>114</v>
      </c>
      <c r="X7" s="141"/>
      <c r="AB7" s="142"/>
      <c r="AC7" s="142"/>
    </row>
    <row r="8" spans="2:44" s="17" customFormat="1" ht="14.25" customHeight="1">
      <c r="B8" s="1176" t="s">
        <v>115</v>
      </c>
      <c r="C8" s="121"/>
      <c r="D8" s="143"/>
      <c r="E8" s="143"/>
      <c r="F8" s="144" t="s">
        <v>116</v>
      </c>
      <c r="G8" s="143"/>
      <c r="H8" s="143"/>
      <c r="I8" s="144" t="s">
        <v>116</v>
      </c>
      <c r="J8" s="143"/>
      <c r="K8" s="143"/>
      <c r="L8" s="144" t="s">
        <v>116</v>
      </c>
      <c r="M8" s="143"/>
      <c r="N8" s="143"/>
      <c r="O8" s="144" t="s">
        <v>116</v>
      </c>
      <c r="P8" s="143"/>
      <c r="Q8" s="143"/>
      <c r="R8" s="144" t="s">
        <v>116</v>
      </c>
      <c r="T8" s="143"/>
      <c r="U8" s="143"/>
      <c r="V8" s="144" t="str">
        <f>IF(V7="% Mkt / % EGR","Mkt","")</f>
        <v>Mkt</v>
      </c>
      <c r="W8" s="143"/>
      <c r="Y8" s="143"/>
      <c r="Z8" s="143"/>
      <c r="AA8" s="143"/>
      <c r="AB8" s="143"/>
      <c r="AC8" s="143"/>
      <c r="AD8" s="143"/>
      <c r="AE8" s="143"/>
      <c r="AF8" s="143"/>
      <c r="AG8" s="143"/>
      <c r="AH8" s="143"/>
      <c r="AI8" s="143"/>
      <c r="AJ8" s="143"/>
      <c r="AK8" s="143"/>
      <c r="AL8" s="143"/>
      <c r="AM8" s="143"/>
      <c r="AN8" s="143"/>
      <c r="AO8" s="143"/>
      <c r="AP8" s="143"/>
      <c r="AQ8" s="143"/>
      <c r="AR8" s="143"/>
    </row>
    <row r="9" spans="2:44">
      <c r="B9" s="32" t="s">
        <v>117</v>
      </c>
      <c r="C9" s="32"/>
      <c r="D9" s="78">
        <f>'Select Historicals'!D12</f>
        <v>1456424</v>
      </c>
      <c r="E9" s="145">
        <f>D9/TotalDealUnits</f>
        <v>18205.3</v>
      </c>
      <c r="F9" s="146">
        <f>IF(E$9,E9/E$9,)</f>
        <v>1</v>
      </c>
      <c r="G9" s="78">
        <f>'Select Historicals'!F12</f>
        <v>1461152</v>
      </c>
      <c r="H9" s="145">
        <f>G9/TotalDealUnits</f>
        <v>18264.400000000001</v>
      </c>
      <c r="I9" s="146">
        <f>IF(H$9,H9/H$9,)</f>
        <v>1</v>
      </c>
      <c r="J9" s="78">
        <f>'Select Historicals'!H12</f>
        <v>1438608</v>
      </c>
      <c r="K9" s="145">
        <f>J9/TotalDealUnits</f>
        <v>17982.599999999999</v>
      </c>
      <c r="L9" s="146">
        <f>IF(K$9,K9/K$9,)</f>
        <v>1</v>
      </c>
      <c r="M9" s="78">
        <f>'Select Historicals'!J12</f>
        <v>1494176</v>
      </c>
      <c r="N9" s="145">
        <f>M9/TotalDealUnits</f>
        <v>18677.2</v>
      </c>
      <c r="O9" s="146">
        <f>IF(N$9,N9/N$9,)</f>
        <v>1</v>
      </c>
      <c r="P9" s="78">
        <f>'Select Historicals'!L12</f>
        <v>1495944</v>
      </c>
      <c r="Q9" s="145">
        <f>P9/TotalDealUnits</f>
        <v>18699.3</v>
      </c>
      <c r="R9" s="146">
        <f>IF(Q$9,Q9/Q$9,)</f>
        <v>1</v>
      </c>
      <c r="T9" s="78">
        <f>SUMIF('Operating Calculations'!$B$71:$B$82,$B9,'Operating Calculations'!$C$71:$C$82)</f>
        <v>1603464.0000000002</v>
      </c>
      <c r="U9" s="145">
        <f>T9/TotalDealUnits</f>
        <v>20043.300000000003</v>
      </c>
      <c r="V9" s="40">
        <f>IF($V$7=GenValidation!$BC$17,IF($T$9,T9/$T$9,),ROUND(IFERROR(IF(CHOOSE(MATCH($V$7,GenValidation!$BC$12:$BC$16,),D9,G9,J9,M9,P9),T9/CHOOSE(MATCH($V$7,GenValidation!$BC$12:$BC$16,),D9,G9,J9,M9,P9)-1,),),4))</f>
        <v>1</v>
      </c>
      <c r="W9" s="147" t="str">
        <f>IF('Adjustments &amp; Notes'!O12&lt;&gt;"",GenValidation!AI5,"")</f>
        <v/>
      </c>
      <c r="Y9" s="148" t="str">
        <f>IF(PotentialMarketRentNotes="","",PotentialMarketRentNotes)</f>
        <v/>
      </c>
      <c r="Z9" s="148"/>
      <c r="AA9" s="148"/>
      <c r="AB9" s="148"/>
      <c r="AC9" s="148"/>
      <c r="AD9" s="148"/>
      <c r="AE9" s="148"/>
      <c r="AF9" s="148"/>
      <c r="AG9" s="148"/>
      <c r="AH9" s="148"/>
      <c r="AI9" s="148"/>
      <c r="AJ9" s="148"/>
      <c r="AK9" s="148"/>
      <c r="AL9" s="148"/>
      <c r="AM9" s="148"/>
      <c r="AN9" s="148"/>
      <c r="AO9" s="148"/>
      <c r="AP9" s="148"/>
      <c r="AQ9" s="148"/>
      <c r="AR9" s="148"/>
    </row>
    <row r="10" spans="2:44">
      <c r="B10" s="32" t="s">
        <v>118</v>
      </c>
      <c r="C10" s="32"/>
      <c r="D10" s="78">
        <f>'Select Historicals'!D13</f>
        <v>4891</v>
      </c>
      <c r="E10" s="145">
        <f>D10/TotalDealUnits</f>
        <v>61.137500000000003</v>
      </c>
      <c r="F10" s="146">
        <f t="shared" ref="F10:F11" si="0">IF(E$9,E10/E$9,)</f>
        <v>3.3582253519579466E-3</v>
      </c>
      <c r="G10" s="78">
        <f>'Select Historicals'!F13</f>
        <v>-346.66666666666669</v>
      </c>
      <c r="H10" s="145">
        <f>G10/TotalDealUnits</f>
        <v>-4.3333333333333339</v>
      </c>
      <c r="I10" s="146">
        <f t="shared" ref="I10:I11" si="1">IF(H$9,H10/H$9,)</f>
        <v>-2.372557178628005E-4</v>
      </c>
      <c r="J10" s="78">
        <f>'Select Historicals'!H13</f>
        <v>11934</v>
      </c>
      <c r="K10" s="145">
        <f>J10/TotalDealUnits</f>
        <v>149.17500000000001</v>
      </c>
      <c r="L10" s="146">
        <f t="shared" ref="L10:L11" si="2">IF(K$9,K10/K$9,)</f>
        <v>8.295519001701647E-3</v>
      </c>
      <c r="M10" s="78">
        <f>'Select Historicals'!J13</f>
        <v>-53036</v>
      </c>
      <c r="N10" s="145">
        <f>M10/TotalDealUnits</f>
        <v>-662.95</v>
      </c>
      <c r="O10" s="146">
        <f t="shared" ref="O10:O11" si="3">IF(N$9,N10/N$9,)</f>
        <v>-3.5495149165827855E-2</v>
      </c>
      <c r="P10" s="78">
        <f>'Select Historicals'!L13</f>
        <v>-65808</v>
      </c>
      <c r="Q10" s="145">
        <f>P10/TotalDealUnits</f>
        <v>-822.6</v>
      </c>
      <c r="R10" s="146">
        <f t="shared" ref="R10:R11" si="4">IF(Q$9,Q10/Q$9,)</f>
        <v>-4.3990951532945084E-2</v>
      </c>
      <c r="T10" s="78">
        <f>SUMIF('Operating Calculations'!$B$71:$B$82,$B10,'Operating Calculations'!$C$71:$C$82)</f>
        <v>-88190.520000000062</v>
      </c>
      <c r="U10" s="145">
        <f>T10/TotalDealUnits</f>
        <v>-1102.3815000000009</v>
      </c>
      <c r="V10" s="40">
        <f>IF($V$7=GenValidation!$BC$17,IF($T$9,T10/$T$9,),ROUND(IFERROR(IF(CHOOSE(MATCH($V$7,GenValidation!$BC$12:$BC$16,),D10,G10,J10,M10,P10),T10/CHOOSE(MATCH($V$7,GenValidation!$BC$12:$BC$16,),D10,G10,J10,M10,P10)-1,),),4))</f>
        <v>-5.5000000000000028E-2</v>
      </c>
      <c r="W10" s="147" t="str">
        <f>IF('Adjustments &amp; Notes'!O13&lt;&gt;"",GenValidation!AI6,"")</f>
        <v/>
      </c>
      <c r="Y10" s="149" t="str">
        <f>IF(LosstoLeaseGaintoLeaseNotes="","",LosstoLeaseGaintoLeaseNotes)</f>
        <v/>
      </c>
      <c r="Z10" s="149"/>
      <c r="AA10" s="149"/>
      <c r="AB10" s="149"/>
      <c r="AC10" s="149"/>
      <c r="AD10" s="149"/>
      <c r="AE10" s="149"/>
      <c r="AF10" s="149"/>
      <c r="AG10" s="149"/>
      <c r="AH10" s="149"/>
      <c r="AI10" s="149"/>
      <c r="AJ10" s="149"/>
      <c r="AK10" s="149"/>
      <c r="AL10" s="149"/>
      <c r="AM10" s="149"/>
      <c r="AN10" s="149"/>
      <c r="AO10" s="149"/>
      <c r="AP10" s="149"/>
      <c r="AQ10" s="149"/>
      <c r="AR10" s="149"/>
    </row>
    <row r="11" spans="2:44">
      <c r="B11" s="46" t="s">
        <v>119</v>
      </c>
      <c r="C11" s="46"/>
      <c r="D11" s="150">
        <f>SUBTOTAL(9,D9:D10)</f>
        <v>1461315</v>
      </c>
      <c r="E11" s="151">
        <f>D11/TotalDealUnits</f>
        <v>18266.4375</v>
      </c>
      <c r="F11" s="152">
        <f t="shared" si="0"/>
        <v>1.003358225351958</v>
      </c>
      <c r="G11" s="150">
        <f>SUBTOTAL(9,G9:G10)</f>
        <v>1460805.3333333333</v>
      </c>
      <c r="H11" s="151">
        <f>G11/TotalDealUnits</f>
        <v>18260.066666666666</v>
      </c>
      <c r="I11" s="152">
        <f t="shared" si="1"/>
        <v>0.99976274428213707</v>
      </c>
      <c r="J11" s="150">
        <f>SUBTOTAL(9,J9:J10)</f>
        <v>1450542</v>
      </c>
      <c r="K11" s="151">
        <f>J11/TotalDealUnits</f>
        <v>18131.775000000001</v>
      </c>
      <c r="L11" s="152">
        <f t="shared" si="2"/>
        <v>1.0082955190017018</v>
      </c>
      <c r="M11" s="150">
        <f>SUBTOTAL(9,M9:M10)</f>
        <v>1441140</v>
      </c>
      <c r="N11" s="151">
        <f>M11/TotalDealUnits</f>
        <v>18014.25</v>
      </c>
      <c r="O11" s="152">
        <f t="shared" si="3"/>
        <v>0.96450485083417214</v>
      </c>
      <c r="P11" s="150">
        <f>SUBTOTAL(9,P9:P10)</f>
        <v>1430136</v>
      </c>
      <c r="Q11" s="151">
        <f>P11/TotalDealUnits</f>
        <v>17876.7</v>
      </c>
      <c r="R11" s="152">
        <f t="shared" si="4"/>
        <v>0.95600904846705503</v>
      </c>
      <c r="T11" s="150">
        <f>SUBTOTAL(9,T9:T10)</f>
        <v>1515273.4800000002</v>
      </c>
      <c r="U11" s="151">
        <f>T11/TotalDealUnits</f>
        <v>18940.918500000003</v>
      </c>
      <c r="V11" s="48">
        <f>IF($V$7=GenValidation!$BC$17,IF($T$9,T11/$T$9,),ROUND(IFERROR(IF(CHOOSE(MATCH($V$7,GenValidation!$BC$12:$BC$16,),D11,G11,J11,M11,P11),T11/CHOOSE(MATCH($V$7,GenValidation!$BC$12:$BC$16,),D11,G11,J11,M11,P11)-1,),),4))</f>
        <v>0.94499999999999995</v>
      </c>
      <c r="W11" s="147" t="str">
        <f>IF('Adjustments &amp; Notes'!O14&lt;&gt;"",GenValidation!AI7,"")</f>
        <v/>
      </c>
      <c r="Y11" s="149" t="str">
        <f>IF(GrossPotentialRevenueNotes="","",GrossPotentialRevenueNotes)</f>
        <v/>
      </c>
      <c r="Z11" s="149"/>
      <c r="AA11" s="149"/>
      <c r="AB11" s="149"/>
      <c r="AC11" s="149"/>
      <c r="AD11" s="149"/>
      <c r="AE11" s="149"/>
      <c r="AF11" s="149"/>
      <c r="AG11" s="149"/>
      <c r="AH11" s="149"/>
      <c r="AI11" s="149"/>
      <c r="AJ11" s="149"/>
      <c r="AK11" s="149"/>
      <c r="AL11" s="149"/>
      <c r="AM11" s="149"/>
      <c r="AN11" s="149"/>
      <c r="AO11" s="149"/>
      <c r="AP11" s="149"/>
      <c r="AQ11" s="149"/>
      <c r="AR11" s="149"/>
    </row>
    <row r="12" spans="2:44">
      <c r="B12" s="32"/>
      <c r="C12" s="32"/>
      <c r="D12" s="78"/>
      <c r="E12" s="145"/>
      <c r="F12" s="146"/>
      <c r="G12" s="78"/>
      <c r="H12" s="145"/>
      <c r="I12" s="146"/>
      <c r="J12" s="78"/>
      <c r="K12" s="145"/>
      <c r="L12" s="146"/>
      <c r="M12" s="78"/>
      <c r="N12" s="145"/>
      <c r="O12" s="146"/>
      <c r="P12" s="78"/>
      <c r="Q12" s="145"/>
      <c r="R12" s="146"/>
      <c r="T12" s="78"/>
      <c r="U12" s="145"/>
      <c r="V12" s="40"/>
      <c r="W12" s="147"/>
      <c r="Y12" s="149"/>
      <c r="Z12" s="149"/>
      <c r="AA12" s="149"/>
      <c r="AB12" s="149"/>
      <c r="AC12" s="149"/>
      <c r="AD12" s="149"/>
      <c r="AE12" s="149"/>
      <c r="AF12" s="149"/>
      <c r="AG12" s="149"/>
      <c r="AH12" s="149"/>
      <c r="AI12" s="149"/>
      <c r="AJ12" s="149"/>
      <c r="AK12" s="149"/>
      <c r="AL12" s="149"/>
      <c r="AM12" s="149"/>
      <c r="AN12" s="149"/>
      <c r="AO12" s="149"/>
      <c r="AP12" s="149"/>
      <c r="AQ12" s="149"/>
      <c r="AR12" s="149"/>
    </row>
    <row r="13" spans="2:44">
      <c r="B13" s="32" t="str">
        <f>"Vacancy"&amp;IF(IsRenov," (incl. Renovation Downtime)","")</f>
        <v>Vacancy</v>
      </c>
      <c r="C13" s="32"/>
      <c r="D13" s="78">
        <f>'Select Historicals'!D16</f>
        <v>-168572</v>
      </c>
      <c r="E13" s="145">
        <f>D13/TotalDealUnits</f>
        <v>-2107.15</v>
      </c>
      <c r="F13" s="146">
        <f t="shared" ref="F13:F17" si="5">IF(E$9,E13/E$9,)</f>
        <v>-0.11574376692501635</v>
      </c>
      <c r="G13" s="78">
        <f>'Select Historicals'!F16</f>
        <v>-155832</v>
      </c>
      <c r="H13" s="145">
        <f>G13/TotalDealUnits</f>
        <v>-1947.9</v>
      </c>
      <c r="I13" s="146">
        <f t="shared" ref="I13:I17" si="6">IF(H$9,H13/H$9,)</f>
        <v>-0.10665009526729594</v>
      </c>
      <c r="J13" s="78">
        <f>'Select Historicals'!H16</f>
        <v>-162806</v>
      </c>
      <c r="K13" s="145">
        <f>J13/TotalDealUnits</f>
        <v>-2035.075</v>
      </c>
      <c r="L13" s="146">
        <f t="shared" ref="L13:L17" si="7">IF(K$9,K13/K$9,)</f>
        <v>-0.11316911903729161</v>
      </c>
      <c r="M13" s="78">
        <f>'Select Historicals'!J16</f>
        <v>-145584</v>
      </c>
      <c r="N13" s="145">
        <f>M13/TotalDealUnits</f>
        <v>-1819.8</v>
      </c>
      <c r="O13" s="146">
        <f t="shared" ref="O13:O17" si="8">IF(N$9,N13/N$9,)</f>
        <v>-9.7434304927933521E-2</v>
      </c>
      <c r="P13" s="78">
        <f>'Select Historicals'!L16</f>
        <v>-138672</v>
      </c>
      <c r="Q13" s="145">
        <f>P13/TotalDealUnits</f>
        <v>-1733.4</v>
      </c>
      <c r="R13" s="146">
        <f t="shared" ref="R13:R17" si="9">IF(Q$9,Q13/Q$9,)</f>
        <v>-9.2698657168984941E-2</v>
      </c>
      <c r="T13" s="78">
        <f>SUM('Operating Calculations'!C72,'Operating Calculations'!C73)</f>
        <v>-80173.200000000055</v>
      </c>
      <c r="U13" s="145">
        <f>T13/TotalDealUnits</f>
        <v>-1002.1650000000006</v>
      </c>
      <c r="V13" s="40">
        <f>IF($V$7=GenValidation!$BC$17,IF($T$9,T13/$T$9,),ROUND(IFERROR(IF(CHOOSE(MATCH($V$7,GenValidation!$BC$12:$BC$16,),D13,G13,J13,M13,P13),T13/CHOOSE(MATCH($V$7,GenValidation!$BC$12:$BC$16,),D13,G13,J13,M13,P13)-1,),),4))</f>
        <v>-5.0000000000000031E-2</v>
      </c>
      <c r="W13" s="147" t="str">
        <f>IF('Adjustments &amp; Notes'!O16&lt;&gt;"",GenValidation!AI9,"")</f>
        <v/>
      </c>
      <c r="Y13" s="149" t="str">
        <f>IF(VacancyNotes="","",VacancyNotes)</f>
        <v/>
      </c>
      <c r="Z13" s="149"/>
      <c r="AA13" s="149"/>
      <c r="AB13" s="149"/>
      <c r="AC13" s="149"/>
      <c r="AD13" s="149"/>
      <c r="AE13" s="149"/>
      <c r="AF13" s="149"/>
      <c r="AG13" s="149"/>
      <c r="AH13" s="149"/>
      <c r="AI13" s="149"/>
      <c r="AJ13" s="149"/>
      <c r="AK13" s="149"/>
      <c r="AL13" s="149"/>
      <c r="AM13" s="149"/>
      <c r="AN13" s="149"/>
      <c r="AO13" s="149"/>
      <c r="AP13" s="149"/>
      <c r="AQ13" s="149"/>
      <c r="AR13" s="149"/>
    </row>
    <row r="14" spans="2:44">
      <c r="B14" s="32" t="s">
        <v>120</v>
      </c>
      <c r="C14" s="32"/>
      <c r="D14" s="78">
        <f>'Select Historicals'!D17</f>
        <v>-39642</v>
      </c>
      <c r="E14" s="145">
        <f>D14/TotalDealUnits</f>
        <v>-495.52499999999998</v>
      </c>
      <c r="F14" s="146">
        <f t="shared" si="5"/>
        <v>-2.7218722020510511E-2</v>
      </c>
      <c r="G14" s="78">
        <f>'Select Historicals'!F17</f>
        <v>-21796</v>
      </c>
      <c r="H14" s="145">
        <f>G14/TotalDealUnits</f>
        <v>-272.45</v>
      </c>
      <c r="I14" s="146">
        <f t="shared" si="6"/>
        <v>-1.491699699962769E-2</v>
      </c>
      <c r="J14" s="78">
        <f>'Select Historicals'!H17</f>
        <v>1532</v>
      </c>
      <c r="K14" s="145">
        <f>J14/TotalDealUnits</f>
        <v>19.149999999999999</v>
      </c>
      <c r="L14" s="146">
        <f t="shared" si="7"/>
        <v>1.0649183099218132E-3</v>
      </c>
      <c r="M14" s="78">
        <f>'Select Historicals'!J17</f>
        <v>-17820</v>
      </c>
      <c r="N14" s="145">
        <f>M14/TotalDealUnits</f>
        <v>-222.75</v>
      </c>
      <c r="O14" s="146">
        <f t="shared" si="8"/>
        <v>-1.1926305870258926E-2</v>
      </c>
      <c r="P14" s="78">
        <f>'Select Historicals'!L17</f>
        <v>-4572</v>
      </c>
      <c r="Q14" s="145">
        <f>P14/TotalDealUnits</f>
        <v>-57.15</v>
      </c>
      <c r="R14" s="146">
        <f t="shared" si="9"/>
        <v>-3.0562641382297735E-3</v>
      </c>
      <c r="T14" s="78">
        <f>SUMIF('Operating Calculations'!$B$71:$B$82,$B14,'Operating Calculations'!$C$71:$C$82)</f>
        <v>0</v>
      </c>
      <c r="U14" s="145">
        <f>T14/TotalDealUnits</f>
        <v>0</v>
      </c>
      <c r="V14" s="40">
        <f>IF($V$7=GenValidation!$BC$17,IF($T$9,T14/$T$9,),ROUND(IFERROR(IF(CHOOSE(MATCH($V$7,GenValidation!$BC$12:$BC$16,),D14,G14,J14,M14,P14),T14/CHOOSE(MATCH($V$7,GenValidation!$BC$12:$BC$16,),D14,G14,J14,M14,P14)-1,),),4))</f>
        <v>0</v>
      </c>
      <c r="W14" s="147" t="str">
        <f>IF('Adjustments &amp; Notes'!O17&lt;&gt;"",GenValidation!AI10,"")</f>
        <v/>
      </c>
      <c r="Y14" s="149" t="str">
        <f>IF(ConcessionsNotes="","",ConcessionsNotes)</f>
        <v/>
      </c>
      <c r="Z14" s="149"/>
      <c r="AA14" s="149"/>
      <c r="AB14" s="149"/>
      <c r="AC14" s="149"/>
      <c r="AD14" s="149"/>
      <c r="AE14" s="149"/>
      <c r="AF14" s="149"/>
      <c r="AG14" s="149"/>
      <c r="AH14" s="149"/>
      <c r="AI14" s="149"/>
      <c r="AJ14" s="149"/>
      <c r="AK14" s="149"/>
      <c r="AL14" s="149"/>
      <c r="AM14" s="149"/>
      <c r="AN14" s="149"/>
      <c r="AO14" s="149"/>
      <c r="AP14" s="149"/>
      <c r="AQ14" s="149"/>
      <c r="AR14" s="149"/>
    </row>
    <row r="15" spans="2:44">
      <c r="B15" s="32" t="s">
        <v>11</v>
      </c>
      <c r="C15" s="32"/>
      <c r="D15" s="78">
        <f>'Select Historicals'!D18</f>
        <v>-4156</v>
      </c>
      <c r="E15" s="145">
        <f>D15/TotalDealUnits</f>
        <v>-51.95</v>
      </c>
      <c r="F15" s="146">
        <f t="shared" si="5"/>
        <v>-2.8535646212916022E-3</v>
      </c>
      <c r="G15" s="78">
        <f>'Select Historicals'!F18</f>
        <v>-5541.333333333333</v>
      </c>
      <c r="H15" s="145">
        <f>G15/TotalDealUnits</f>
        <v>-69.266666666666666</v>
      </c>
      <c r="I15" s="146">
        <f t="shared" si="6"/>
        <v>-3.7924413978376874E-3</v>
      </c>
      <c r="J15" s="78">
        <f>'Select Historicals'!H18</f>
        <v>-8312</v>
      </c>
      <c r="K15" s="145">
        <f>J15/TotalDealUnits</f>
        <v>-103.9</v>
      </c>
      <c r="L15" s="146">
        <f t="shared" si="7"/>
        <v>-5.7778074360770974E-3</v>
      </c>
      <c r="M15" s="78">
        <f>'Select Historicals'!J18</f>
        <v>-9588</v>
      </c>
      <c r="N15" s="145">
        <f>M15/TotalDealUnits</f>
        <v>-119.85</v>
      </c>
      <c r="O15" s="146">
        <f t="shared" si="8"/>
        <v>-6.4169147409675964E-3</v>
      </c>
      <c r="P15" s="78">
        <f>'Select Historicals'!L18</f>
        <v>-9588</v>
      </c>
      <c r="Q15" s="145">
        <f>P15/TotalDealUnits</f>
        <v>-119.85</v>
      </c>
      <c r="R15" s="146">
        <f t="shared" si="9"/>
        <v>-6.40933083056585E-3</v>
      </c>
      <c r="T15" s="78">
        <f>SUMIF('Operating Calculations'!$B$71:$B$82,$B15,'Operating Calculations'!$C$71:$C$82)</f>
        <v>-19789.142857142881</v>
      </c>
      <c r="U15" s="145">
        <f>T15/TotalDealUnits</f>
        <v>-247.36428571428601</v>
      </c>
      <c r="V15" s="40">
        <f>IF($V$7=GenValidation!$BC$17,IF($T$9,T15/$T$9,),ROUND(IFERROR(IF(CHOOSE(MATCH($V$7,GenValidation!$BC$12:$BC$16,),D15,G15,J15,M15,P15),T15/CHOOSE(MATCH($V$7,GenValidation!$BC$12:$BC$16,),D15,G15,J15,M15,P15)-1,),),4))</f>
        <v>-1.2341494949149391E-2</v>
      </c>
      <c r="W15" s="147" t="str">
        <f>IF('Adjustments &amp; Notes'!O18&lt;&gt;"",GenValidation!AI11,"")</f>
        <v/>
      </c>
      <c r="Y15" s="149" t="str">
        <f>IF(NonRevenueUnitsNotes="","",NonRevenueUnitsNotes)</f>
        <v/>
      </c>
      <c r="Z15" s="149"/>
      <c r="AA15" s="149"/>
      <c r="AB15" s="149"/>
      <c r="AC15" s="149"/>
      <c r="AD15" s="149"/>
      <c r="AE15" s="149"/>
      <c r="AF15" s="149"/>
      <c r="AG15" s="149"/>
      <c r="AH15" s="149"/>
      <c r="AI15" s="149"/>
      <c r="AJ15" s="149"/>
      <c r="AK15" s="149"/>
      <c r="AL15" s="149"/>
      <c r="AM15" s="149"/>
      <c r="AN15" s="149"/>
      <c r="AO15" s="149"/>
      <c r="AP15" s="149"/>
      <c r="AQ15" s="149"/>
      <c r="AR15" s="149"/>
    </row>
    <row r="16" spans="2:44">
      <c r="B16" s="32" t="s">
        <v>121</v>
      </c>
      <c r="C16" s="32"/>
      <c r="D16" s="78">
        <f>'Select Historicals'!D19</f>
        <v>-137670</v>
      </c>
      <c r="E16" s="145">
        <f>D16/TotalDealUnits</f>
        <v>-1720.875</v>
      </c>
      <c r="F16" s="146">
        <f t="shared" si="5"/>
        <v>-9.4526044613381821E-2</v>
      </c>
      <c r="G16" s="78">
        <f>'Select Historicals'!F19</f>
        <v>-147277.33333333334</v>
      </c>
      <c r="H16" s="145">
        <f>G16/TotalDealUnits</f>
        <v>-1840.9666666666667</v>
      </c>
      <c r="I16" s="146">
        <f t="shared" si="6"/>
        <v>-0.10079535416803544</v>
      </c>
      <c r="J16" s="78">
        <f>'Select Historicals'!H19</f>
        <v>-214332</v>
      </c>
      <c r="K16" s="145">
        <f>J16/TotalDealUnits</f>
        <v>-2679.15</v>
      </c>
      <c r="L16" s="146">
        <f t="shared" si="7"/>
        <v>-0.14898568616329119</v>
      </c>
      <c r="M16" s="78">
        <f>'Select Historicals'!J19</f>
        <v>-150548</v>
      </c>
      <c r="N16" s="145">
        <f>M16/TotalDealUnits</f>
        <v>-1881.85</v>
      </c>
      <c r="O16" s="146">
        <f t="shared" si="8"/>
        <v>-0.10075653738247702</v>
      </c>
      <c r="P16" s="78">
        <f>'Select Historicals'!L19</f>
        <v>0</v>
      </c>
      <c r="Q16" s="145">
        <f>P16/TotalDealUnits</f>
        <v>0</v>
      </c>
      <c r="R16" s="146">
        <f t="shared" si="9"/>
        <v>0</v>
      </c>
      <c r="T16" s="78">
        <f>SUMIF('Operating Calculations'!$B$71:$B$82,$B16,'Operating Calculations'!$C$71:$C$82)</f>
        <v>-156008.37847179602</v>
      </c>
      <c r="U16" s="145">
        <f>T16/TotalDealUnits</f>
        <v>-1950.1047308974503</v>
      </c>
      <c r="V16" s="40">
        <f>IF($V$7=GenValidation!$BC$17,IF($T$9,T16/$T$9,),ROUND(IFERROR(IF(CHOOSE(MATCH($V$7,GenValidation!$BC$12:$BC$16,),D16,G16,J16,M16,P16),T16/CHOOSE(MATCH($V$7,GenValidation!$BC$12:$BC$16,),D16,G16,J16,M16,P16)-1,),),4))</f>
        <v>-9.7294593749405037E-2</v>
      </c>
      <c r="W16" s="147" t="str">
        <f>IF('Adjustments &amp; Notes'!O19&lt;&gt;"",GenValidation!AI12,"")</f>
        <v/>
      </c>
      <c r="Y16" s="149" t="str">
        <f>IF(CollectionLossNotes="","",CollectionLossNotes)</f>
        <v/>
      </c>
      <c r="Z16" s="149"/>
      <c r="AA16" s="149"/>
      <c r="AB16" s="149"/>
      <c r="AC16" s="149"/>
      <c r="AD16" s="149"/>
      <c r="AE16" s="149"/>
      <c r="AF16" s="149"/>
      <c r="AG16" s="149"/>
      <c r="AH16" s="149"/>
      <c r="AI16" s="149"/>
      <c r="AJ16" s="149"/>
      <c r="AK16" s="149"/>
      <c r="AL16" s="149"/>
      <c r="AM16" s="149"/>
      <c r="AN16" s="149"/>
      <c r="AO16" s="149"/>
      <c r="AP16" s="149"/>
      <c r="AQ16" s="149"/>
      <c r="AR16" s="149"/>
    </row>
    <row r="17" spans="2:44">
      <c r="B17" s="46" t="s">
        <v>122</v>
      </c>
      <c r="C17" s="46"/>
      <c r="D17" s="150">
        <f>SUBTOTAL(9,D9:D16)</f>
        <v>1111275</v>
      </c>
      <c r="E17" s="151">
        <f>D17/TotalDealUnits</f>
        <v>13890.9375</v>
      </c>
      <c r="F17" s="152">
        <f t="shared" si="5"/>
        <v>0.76301612717175771</v>
      </c>
      <c r="G17" s="150">
        <f>SUBTOTAL(9,G9:G16)</f>
        <v>1130358.6666666667</v>
      </c>
      <c r="H17" s="151">
        <f>G17/TotalDealUnits</f>
        <v>14129.483333333334</v>
      </c>
      <c r="I17" s="152">
        <f t="shared" si="6"/>
        <v>0.77360785644934038</v>
      </c>
      <c r="J17" s="150">
        <f>SUBTOTAL(9,J9:J16)</f>
        <v>1066624</v>
      </c>
      <c r="K17" s="151">
        <f>J17/TotalDealUnits</f>
        <v>13332.8</v>
      </c>
      <c r="L17" s="152">
        <f t="shared" si="7"/>
        <v>0.7414278246749636</v>
      </c>
      <c r="M17" s="150">
        <f>SUBTOTAL(9,M9:M16)</f>
        <v>1117600</v>
      </c>
      <c r="N17" s="151">
        <f>M17/TotalDealUnits</f>
        <v>13970</v>
      </c>
      <c r="O17" s="152">
        <f t="shared" si="8"/>
        <v>0.74797078791253502</v>
      </c>
      <c r="P17" s="150">
        <f>SUBTOTAL(9,P9:P16)</f>
        <v>1277304</v>
      </c>
      <c r="Q17" s="151">
        <f>P17/TotalDealUnits</f>
        <v>15966.3</v>
      </c>
      <c r="R17" s="152">
        <f t="shared" si="9"/>
        <v>0.85384479632927435</v>
      </c>
      <c r="T17" s="150">
        <f>SUBTOTAL(9,T9:T16)</f>
        <v>1259302.7586710614</v>
      </c>
      <c r="U17" s="151">
        <f>T17/TotalDealUnits</f>
        <v>15741.284483388266</v>
      </c>
      <c r="V17" s="48">
        <f>IF($V$7=GenValidation!$BC$17,IF($T$9,T17/$T$9,),ROUND(IFERROR(IF(CHOOSE(MATCH($V$7,GenValidation!$BC$12:$BC$16,),D17,G17,J17,M17,P17),T17/CHOOSE(MATCH($V$7,GenValidation!$BC$12:$BC$16,),D17,G17,J17,M17,P17)-1,),),4))</f>
        <v>0.78536391130144556</v>
      </c>
      <c r="W17" s="147" t="str">
        <f>IF('Adjustments &amp; Notes'!O20&lt;&gt;"",GenValidation!AI13,"")</f>
        <v/>
      </c>
      <c r="Y17" s="149" t="str">
        <f>IF(BaseRentalRevenueNotes="","",BaseRentalRevenueNotes)</f>
        <v/>
      </c>
      <c r="Z17" s="149"/>
      <c r="AA17" s="149"/>
      <c r="AB17" s="149"/>
      <c r="AC17" s="149"/>
      <c r="AD17" s="149"/>
      <c r="AE17" s="149"/>
      <c r="AF17" s="149"/>
      <c r="AG17" s="149"/>
      <c r="AH17" s="149"/>
      <c r="AI17" s="149"/>
      <c r="AJ17" s="149"/>
      <c r="AK17" s="149"/>
      <c r="AL17" s="149"/>
      <c r="AM17" s="149"/>
      <c r="AN17" s="149"/>
      <c r="AO17" s="149"/>
      <c r="AP17" s="149"/>
      <c r="AQ17" s="149"/>
      <c r="AR17" s="149"/>
    </row>
    <row r="18" spans="2:44">
      <c r="B18" s="32"/>
      <c r="C18" s="32"/>
      <c r="D18" s="78"/>
      <c r="E18" s="145"/>
      <c r="F18" s="146"/>
      <c r="G18" s="78"/>
      <c r="H18" s="145"/>
      <c r="I18" s="146"/>
      <c r="J18" s="78"/>
      <c r="K18" s="145"/>
      <c r="L18" s="146"/>
      <c r="M18" s="78"/>
      <c r="N18" s="145"/>
      <c r="O18" s="146"/>
      <c r="P18" s="78"/>
      <c r="Q18" s="145"/>
      <c r="R18" s="146"/>
      <c r="T18" s="78"/>
      <c r="U18" s="145"/>
      <c r="V18" s="40"/>
      <c r="W18" s="147"/>
      <c r="Y18" s="149"/>
      <c r="Z18" s="149"/>
      <c r="AA18" s="149"/>
      <c r="AB18" s="149"/>
      <c r="AC18" s="149"/>
      <c r="AD18" s="149"/>
      <c r="AE18" s="149"/>
      <c r="AF18" s="149"/>
      <c r="AG18" s="149"/>
      <c r="AH18" s="149"/>
      <c r="AI18" s="149"/>
      <c r="AJ18" s="149"/>
      <c r="AK18" s="149"/>
      <c r="AL18" s="149"/>
      <c r="AM18" s="149"/>
      <c r="AN18" s="149"/>
      <c r="AO18" s="149"/>
      <c r="AP18" s="149"/>
      <c r="AQ18" s="149"/>
      <c r="AR18" s="149"/>
    </row>
    <row r="19" spans="2:44">
      <c r="B19" s="32" t="str">
        <f>'Operating Calculations'!B78</f>
        <v>Garage / Parking</v>
      </c>
      <c r="C19" s="32"/>
      <c r="D19" s="78">
        <f>'Select Historicals'!D22</f>
        <v>0</v>
      </c>
      <c r="E19" s="145">
        <f t="shared" ref="E19:E24" si="10">D19/TotalDealUnits</f>
        <v>0</v>
      </c>
      <c r="F19" s="146">
        <f t="shared" ref="F19:F24" si="11">IF(E$9,E19/E$9,)</f>
        <v>0</v>
      </c>
      <c r="G19" s="78">
        <f>'Select Historicals'!F22</f>
        <v>0</v>
      </c>
      <c r="H19" s="145">
        <f>G19/TotalDealUnits</f>
        <v>0</v>
      </c>
      <c r="I19" s="146">
        <f t="shared" ref="I19:I24" si="12">IF(H$9,H19/H$9,)</f>
        <v>0</v>
      </c>
      <c r="J19" s="78">
        <f>'Select Historicals'!H22</f>
        <v>0</v>
      </c>
      <c r="K19" s="145">
        <f>J19/TotalDealUnits</f>
        <v>0</v>
      </c>
      <c r="L19" s="146">
        <f t="shared" ref="L19:L24" si="13">IF(K$9,K19/K$9,)</f>
        <v>0</v>
      </c>
      <c r="M19" s="78">
        <f>'Select Historicals'!J22</f>
        <v>0</v>
      </c>
      <c r="N19" s="145">
        <f t="shared" ref="N19:N24" si="14">M19/TotalDealUnits</f>
        <v>0</v>
      </c>
      <c r="O19" s="146">
        <f t="shared" ref="O19:O24" si="15">IF(N$9,N19/N$9,)</f>
        <v>0</v>
      </c>
      <c r="P19" s="78">
        <f>'Select Historicals'!L22</f>
        <v>0</v>
      </c>
      <c r="Q19" s="145">
        <f t="shared" ref="Q19:Q24" si="16">P19/TotalDealUnits</f>
        <v>0</v>
      </c>
      <c r="R19" s="146">
        <f t="shared" ref="R19:R24" si="17">IF(Q$9,Q19/Q$9,)</f>
        <v>0</v>
      </c>
      <c r="T19" s="78">
        <f>SUMIF('Operating Calculations'!$B$71:$B$82,$B19,'Operating Calculations'!$C$71:$C$82)</f>
        <v>0</v>
      </c>
      <c r="U19" s="145">
        <f>T19/TotalDealUnits</f>
        <v>0</v>
      </c>
      <c r="V19" s="40">
        <f>IF($V$7=GenValidation!$BC$17,IF($T$9,T19/$T$9,),ROUND(IFERROR(IF(CHOOSE(MATCH($V$7,GenValidation!$BC$12:$BC$16,),D19,G19,J19,M19,P19),T19/CHOOSE(MATCH($V$7,GenValidation!$BC$12:$BC$16,),D19,G19,J19,M19,P19)-1,),),4))</f>
        <v>0</v>
      </c>
      <c r="W19" s="147" t="str">
        <f>IF('Adjustments &amp; Notes'!O22&lt;&gt;"",GenValidation!AI15,"")</f>
        <v/>
      </c>
      <c r="Y19" s="149" t="str">
        <f>IF(GarageParkingNotes="","",GarageParkingNotes)</f>
        <v/>
      </c>
      <c r="Z19" s="149"/>
      <c r="AA19" s="149"/>
      <c r="AB19" s="149"/>
      <c r="AC19" s="149"/>
      <c r="AD19" s="149"/>
      <c r="AE19" s="149"/>
      <c r="AF19" s="149"/>
      <c r="AG19" s="149"/>
      <c r="AH19" s="149"/>
      <c r="AI19" s="149"/>
      <c r="AJ19" s="149"/>
      <c r="AK19" s="149"/>
      <c r="AL19" s="149"/>
      <c r="AM19" s="149"/>
      <c r="AN19" s="149"/>
      <c r="AO19" s="149"/>
      <c r="AP19" s="149"/>
      <c r="AQ19" s="149"/>
      <c r="AR19" s="149"/>
    </row>
    <row r="20" spans="2:44">
      <c r="B20" s="32" t="str">
        <f>'Operating Calculations'!B79</f>
        <v>Storage</v>
      </c>
      <c r="C20" s="32"/>
      <c r="D20" s="78">
        <f>'Select Historicals'!D23</f>
        <v>0</v>
      </c>
      <c r="E20" s="145">
        <f t="shared" si="10"/>
        <v>0</v>
      </c>
      <c r="F20" s="146">
        <f t="shared" si="11"/>
        <v>0</v>
      </c>
      <c r="G20" s="78">
        <f>'Select Historicals'!F23</f>
        <v>0</v>
      </c>
      <c r="H20" s="145">
        <f>G20/TotalDealUnits</f>
        <v>0</v>
      </c>
      <c r="I20" s="146">
        <f t="shared" si="12"/>
        <v>0</v>
      </c>
      <c r="J20" s="78">
        <f>'Select Historicals'!H23</f>
        <v>0</v>
      </c>
      <c r="K20" s="145">
        <f>J20/TotalDealUnits</f>
        <v>0</v>
      </c>
      <c r="L20" s="146">
        <f t="shared" si="13"/>
        <v>0</v>
      </c>
      <c r="M20" s="78">
        <f>'Select Historicals'!J23</f>
        <v>0</v>
      </c>
      <c r="N20" s="145">
        <f t="shared" si="14"/>
        <v>0</v>
      </c>
      <c r="O20" s="146">
        <f t="shared" si="15"/>
        <v>0</v>
      </c>
      <c r="P20" s="78">
        <f>'Select Historicals'!L23</f>
        <v>0</v>
      </c>
      <c r="Q20" s="145">
        <f t="shared" si="16"/>
        <v>0</v>
      </c>
      <c r="R20" s="146">
        <f t="shared" si="17"/>
        <v>0</v>
      </c>
      <c r="T20" s="78">
        <f>SUMIF('Operating Calculations'!$B$71:$B$82,$B20,'Operating Calculations'!$C$71:$C$82)</f>
        <v>0</v>
      </c>
      <c r="U20" s="145">
        <f>T20/TotalDealUnits</f>
        <v>0</v>
      </c>
      <c r="V20" s="40">
        <f>IF($V$7=GenValidation!$BC$17,IF($T$9,T20/$T$9,),ROUND(IFERROR(IF(CHOOSE(MATCH($V$7,GenValidation!$BC$12:$BC$16,),D20,G20,J20,M20,P20),T20/CHOOSE(MATCH($V$7,GenValidation!$BC$12:$BC$16,),D20,G20,J20,M20,P20)-1,),),4))</f>
        <v>0</v>
      </c>
      <c r="W20" s="147" t="str">
        <f>IF('Adjustments &amp; Notes'!O23&lt;&gt;"",GenValidation!AI16,"")</f>
        <v/>
      </c>
      <c r="Y20" s="149" t="str">
        <f>IF(StorageNotes="","",StorageNotes)</f>
        <v/>
      </c>
      <c r="Z20" s="149"/>
      <c r="AA20" s="149"/>
      <c r="AB20" s="149"/>
      <c r="AC20" s="149"/>
      <c r="AD20" s="149"/>
      <c r="AE20" s="149"/>
      <c r="AF20" s="149"/>
      <c r="AG20" s="149"/>
      <c r="AH20" s="149"/>
      <c r="AI20" s="149"/>
      <c r="AJ20" s="149"/>
      <c r="AK20" s="149"/>
      <c r="AL20" s="149"/>
      <c r="AM20" s="149"/>
      <c r="AN20" s="149"/>
      <c r="AO20" s="149"/>
      <c r="AP20" s="149"/>
      <c r="AQ20" s="149"/>
      <c r="AR20" s="149"/>
    </row>
    <row r="21" spans="2:44">
      <c r="B21" s="32" t="str">
        <f>'Operating Calculations'!B80</f>
        <v>Expense Reimbursements</v>
      </c>
      <c r="C21" s="32"/>
      <c r="D21" s="78">
        <f>'Select Historicals'!D24</f>
        <v>93554</v>
      </c>
      <c r="E21" s="145">
        <f t="shared" si="10"/>
        <v>1169.425</v>
      </c>
      <c r="F21" s="146">
        <f t="shared" si="11"/>
        <v>6.4235414961577128E-2</v>
      </c>
      <c r="G21" s="78">
        <f>'Select Historicals'!F24</f>
        <v>94104</v>
      </c>
      <c r="H21" s="145">
        <f>G21/TotalDealUnits</f>
        <v>1176.3</v>
      </c>
      <c r="I21" s="146">
        <f t="shared" si="12"/>
        <v>6.4403977135848972E-2</v>
      </c>
      <c r="J21" s="78">
        <f>'Select Historicals'!H24</f>
        <v>93786</v>
      </c>
      <c r="K21" s="145">
        <f>J21/TotalDealUnits</f>
        <v>1172.325</v>
      </c>
      <c r="L21" s="146">
        <f t="shared" si="13"/>
        <v>6.5192185779586936E-2</v>
      </c>
      <c r="M21" s="78">
        <f>'Select Historicals'!J24</f>
        <v>95392</v>
      </c>
      <c r="N21" s="145">
        <f t="shared" si="14"/>
        <v>1192.4000000000001</v>
      </c>
      <c r="O21" s="146">
        <f t="shared" si="15"/>
        <v>6.3842545991904573E-2</v>
      </c>
      <c r="P21" s="78">
        <f>'Select Historicals'!L24</f>
        <v>96240</v>
      </c>
      <c r="Q21" s="145">
        <f t="shared" si="16"/>
        <v>1203</v>
      </c>
      <c r="R21" s="146">
        <f t="shared" si="17"/>
        <v>6.4333959025204154E-2</v>
      </c>
      <c r="T21" s="78">
        <f>SUMIF('Operating Calculations'!$B$71:$B$82,$B21,'Operating Calculations'!$C$71:$C$82)</f>
        <v>0</v>
      </c>
      <c r="U21" s="145">
        <f>T21/TotalDealUnits</f>
        <v>0</v>
      </c>
      <c r="V21" s="40">
        <f>IF($V$7=GenValidation!$BC$17,IF($T$9,T21/$T$9,),ROUND(IFERROR(IF(CHOOSE(MATCH($V$7,GenValidation!$BC$12:$BC$16,),D21,G21,J21,M21,P21),T21/CHOOSE(MATCH($V$7,GenValidation!$BC$12:$BC$16,),D21,G21,J21,M21,P21)-1,),),4))</f>
        <v>0</v>
      </c>
      <c r="W21" s="147" t="str">
        <f>IF('Adjustments &amp; Notes'!O24&lt;&gt;"",GenValidation!AI17,"")</f>
        <v/>
      </c>
      <c r="Y21" s="149" t="str">
        <f>IF(ExpenseReimbursementsNotes="","",ExpenseReimbursementsNotes)</f>
        <v/>
      </c>
      <c r="Z21" s="149"/>
      <c r="AA21" s="149"/>
      <c r="AB21" s="149"/>
      <c r="AC21" s="149"/>
      <c r="AD21" s="149"/>
      <c r="AE21" s="149"/>
      <c r="AF21" s="149"/>
      <c r="AG21" s="149"/>
      <c r="AH21" s="149"/>
      <c r="AI21" s="149"/>
      <c r="AJ21" s="149"/>
      <c r="AK21" s="149"/>
      <c r="AL21" s="149"/>
      <c r="AM21" s="149"/>
      <c r="AN21" s="149"/>
      <c r="AO21" s="149"/>
      <c r="AP21" s="149"/>
      <c r="AQ21" s="149"/>
      <c r="AR21" s="149"/>
    </row>
    <row r="22" spans="2:44">
      <c r="B22" s="32" t="str">
        <f>'Operating Calculations'!B81</f>
        <v>Other Residential Income</v>
      </c>
      <c r="C22" s="32"/>
      <c r="D22" s="78">
        <f>'Select Historicals'!D25</f>
        <v>102896</v>
      </c>
      <c r="E22" s="145">
        <f t="shared" si="10"/>
        <v>1286.2</v>
      </c>
      <c r="F22" s="146">
        <f t="shared" si="11"/>
        <v>7.0649755840332215E-2</v>
      </c>
      <c r="G22" s="78">
        <f>'Select Historicals'!F25</f>
        <v>118289.33333333334</v>
      </c>
      <c r="H22" s="145">
        <f>G22/TotalDealUnits</f>
        <v>1478.6166666666668</v>
      </c>
      <c r="I22" s="146">
        <f t="shared" si="12"/>
        <v>8.0956213544746428E-2</v>
      </c>
      <c r="J22" s="78">
        <f>'Select Historicals'!H25</f>
        <v>138798</v>
      </c>
      <c r="K22" s="145">
        <f>J22/TotalDealUnits</f>
        <v>1734.9749999999999</v>
      </c>
      <c r="L22" s="146">
        <f t="shared" si="13"/>
        <v>9.6480764739247937E-2</v>
      </c>
      <c r="M22" s="78">
        <f>'Select Historicals'!J25</f>
        <v>91200</v>
      </c>
      <c r="N22" s="145">
        <f t="shared" si="14"/>
        <v>1140</v>
      </c>
      <c r="O22" s="146">
        <f t="shared" si="15"/>
        <v>6.1036986272032211E-2</v>
      </c>
      <c r="P22" s="78">
        <f>'Select Historicals'!L25</f>
        <v>48792</v>
      </c>
      <c r="Q22" s="145">
        <f t="shared" si="16"/>
        <v>609.9</v>
      </c>
      <c r="R22" s="146">
        <f t="shared" si="17"/>
        <v>3.2616194189087289E-2</v>
      </c>
      <c r="T22" s="78">
        <f>SUMIF('Operating Calculations'!$B$71:$B$82,$B22,'Operating Calculations'!$C$71:$C$82)</f>
        <v>193800.00000000003</v>
      </c>
      <c r="U22" s="145">
        <f>T22/TotalDealUnits</f>
        <v>2422.5000000000005</v>
      </c>
      <c r="V22" s="40">
        <f>IF($V$7=GenValidation!$BC$17,IF($T$9,T22/$T$9,),ROUND(IFERROR(IF(CHOOSE(MATCH($V$7,GenValidation!$BC$12:$BC$16,),D22,G22,J22,M22,P22),T22/CHOOSE(MATCH($V$7,GenValidation!$BC$12:$BC$16,),D22,G22,J22,M22,P22)-1,),),4))</f>
        <v>0.12086333088862612</v>
      </c>
      <c r="W22" s="147" t="str">
        <f>IF('Adjustments &amp; Notes'!O25&lt;&gt;"",GenValidation!AI18,"")</f>
        <v/>
      </c>
      <c r="Y22" s="149" t="str">
        <f>IF(OtherResidentialIncomeNotes="","",OtherResidentialIncomeNotes)</f>
        <v/>
      </c>
      <c r="Z22" s="149"/>
      <c r="AA22" s="149"/>
      <c r="AB22" s="149"/>
      <c r="AC22" s="149"/>
      <c r="AD22" s="149"/>
      <c r="AE22" s="149"/>
      <c r="AF22" s="149"/>
      <c r="AG22" s="149"/>
      <c r="AH22" s="149"/>
      <c r="AI22" s="149"/>
      <c r="AJ22" s="149"/>
      <c r="AK22" s="149"/>
      <c r="AL22" s="149"/>
      <c r="AM22" s="149"/>
      <c r="AN22" s="149"/>
      <c r="AO22" s="149"/>
      <c r="AP22" s="149"/>
      <c r="AQ22" s="149"/>
      <c r="AR22" s="149"/>
    </row>
    <row r="23" spans="2:44" hidden="1">
      <c r="B23" s="32" t="str">
        <f>'Operating Calculations'!B82</f>
        <v>Commercial Net Income</v>
      </c>
      <c r="C23" s="32"/>
      <c r="D23" s="78">
        <f>'Select Historicals'!D26</f>
        <v>0</v>
      </c>
      <c r="E23" s="145">
        <f t="shared" si="10"/>
        <v>0</v>
      </c>
      <c r="F23" s="146">
        <f t="shared" si="11"/>
        <v>0</v>
      </c>
      <c r="G23" s="78">
        <f>'Select Historicals'!F26</f>
        <v>0</v>
      </c>
      <c r="H23" s="145">
        <f>G23/TotalDealUnits</f>
        <v>0</v>
      </c>
      <c r="I23" s="146">
        <f t="shared" si="12"/>
        <v>0</v>
      </c>
      <c r="J23" s="78">
        <f>'Select Historicals'!H26</f>
        <v>0</v>
      </c>
      <c r="K23" s="145">
        <f>J23/TotalDealUnits</f>
        <v>0</v>
      </c>
      <c r="L23" s="146">
        <f t="shared" si="13"/>
        <v>0</v>
      </c>
      <c r="M23" s="78">
        <f>'Select Historicals'!J26</f>
        <v>0</v>
      </c>
      <c r="N23" s="145">
        <f t="shared" si="14"/>
        <v>0</v>
      </c>
      <c r="O23" s="146">
        <f t="shared" si="15"/>
        <v>0</v>
      </c>
      <c r="P23" s="78">
        <f>'Select Historicals'!L26</f>
        <v>0</v>
      </c>
      <c r="Q23" s="145">
        <f t="shared" si="16"/>
        <v>0</v>
      </c>
      <c r="R23" s="146">
        <f t="shared" si="17"/>
        <v>0</v>
      </c>
      <c r="T23" s="78">
        <f>SUMIF('Operating Calculations'!$B$71:$B$82,$B23,'Operating Calculations'!$C$71:$C$82)</f>
        <v>0</v>
      </c>
      <c r="U23" s="145">
        <f>T23/TotalDealUnits</f>
        <v>0</v>
      </c>
      <c r="V23" s="40">
        <f>IF($V$7=GenValidation!$BC$17,IF($T$9,T23/$T$9,),ROUND(IFERROR(IF(CHOOSE(MATCH($V$7,GenValidation!$BC$12:$BC$16,),D23,G23,J23,M23,P23),T23/CHOOSE(MATCH($V$7,GenValidation!$BC$12:$BC$16,),D23,G23,J23,M23,P23)-1,),),4))</f>
        <v>0</v>
      </c>
      <c r="W23" s="147" t="str">
        <f>IF('Adjustments &amp; Notes'!O30&lt;&gt;"",GenValidation!AI19,"")</f>
        <v/>
      </c>
      <c r="Y23" s="149" t="str">
        <f>IF(CommercialNetIncomeNotes="","",CommercialNetIncomeNotes)</f>
        <v/>
      </c>
      <c r="Z23" s="149"/>
      <c r="AA23" s="149"/>
      <c r="AB23" s="149"/>
      <c r="AC23" s="149"/>
      <c r="AD23" s="149"/>
      <c r="AE23" s="149"/>
      <c r="AF23" s="149"/>
      <c r="AG23" s="149"/>
      <c r="AH23" s="149"/>
      <c r="AI23" s="149"/>
      <c r="AJ23" s="149"/>
      <c r="AK23" s="149"/>
      <c r="AL23" s="149"/>
      <c r="AM23" s="149"/>
      <c r="AN23" s="149"/>
      <c r="AO23" s="149"/>
      <c r="AP23" s="149"/>
      <c r="AQ23" s="149"/>
      <c r="AR23" s="149"/>
    </row>
    <row r="24" spans="2:44">
      <c r="B24" s="46" t="s">
        <v>123</v>
      </c>
      <c r="C24" s="46"/>
      <c r="D24" s="150">
        <f>SUBTOTAL(9,D19:D23)</f>
        <v>196450</v>
      </c>
      <c r="E24" s="151">
        <f t="shared" si="10"/>
        <v>2455.625</v>
      </c>
      <c r="F24" s="152">
        <f t="shared" si="11"/>
        <v>0.13488517080190934</v>
      </c>
      <c r="G24" s="150">
        <f>SUBTOTAL(9,G19:G23)</f>
        <v>212393.33333333334</v>
      </c>
      <c r="H24" s="151">
        <f>G24/TotalDealUnits</f>
        <v>2654.916666666667</v>
      </c>
      <c r="I24" s="152">
        <f t="shared" si="12"/>
        <v>0.14536019068059541</v>
      </c>
      <c r="J24" s="150">
        <f>SUBTOTAL(9,J19:J23)</f>
        <v>232584</v>
      </c>
      <c r="K24" s="151">
        <f>J24/TotalDealUnits</f>
        <v>2907.3</v>
      </c>
      <c r="L24" s="152">
        <f t="shared" si="13"/>
        <v>0.1616729505188349</v>
      </c>
      <c r="M24" s="150">
        <f>SUBTOTAL(9,M19:M23)</f>
        <v>186592</v>
      </c>
      <c r="N24" s="151">
        <f t="shared" si="14"/>
        <v>2332.4</v>
      </c>
      <c r="O24" s="152">
        <f t="shared" si="15"/>
        <v>0.12487953226393678</v>
      </c>
      <c r="P24" s="150">
        <f>SUBTOTAL(9,P19:P23)</f>
        <v>145032</v>
      </c>
      <c r="Q24" s="151">
        <f t="shared" si="16"/>
        <v>1812.9</v>
      </c>
      <c r="R24" s="152">
        <f t="shared" si="17"/>
        <v>9.6950153214291457E-2</v>
      </c>
      <c r="T24" s="150">
        <f>SUBTOTAL(9,T19:T23)</f>
        <v>193800.00000000003</v>
      </c>
      <c r="U24" s="151">
        <f>T24/TotalDealUnits</f>
        <v>2422.5000000000005</v>
      </c>
      <c r="V24" s="48">
        <f>IF($V$7=GenValidation!$BC$17,IF($T$9,T24/$T$9,),ROUND(IFERROR(IF(CHOOSE(MATCH($V$7,GenValidation!$BC$12:$BC$16,),D24,G24,J24,M24,P24),T24/CHOOSE(MATCH($V$7,GenValidation!$BC$12:$BC$16,),D24,G24,J24,M24,P24)-1,),),4))</f>
        <v>0.12086333088862612</v>
      </c>
      <c r="W24" s="147" t="str">
        <f>IF('Adjustments &amp; Notes'!O31&lt;&gt;"",GenValidation!AI20,"")</f>
        <v/>
      </c>
      <c r="Y24" s="149" t="str">
        <f>IF(OtherIncomeNotes="","",OtherIncomeNotes)</f>
        <v/>
      </c>
      <c r="Z24" s="149"/>
      <c r="AA24" s="149"/>
      <c r="AB24" s="149"/>
      <c r="AC24" s="149"/>
      <c r="AD24" s="149"/>
      <c r="AE24" s="149"/>
      <c r="AF24" s="149"/>
      <c r="AG24" s="149"/>
      <c r="AH24" s="149"/>
      <c r="AI24" s="149"/>
      <c r="AJ24" s="149"/>
      <c r="AK24" s="149"/>
      <c r="AL24" s="149"/>
      <c r="AM24" s="149"/>
      <c r="AN24" s="149"/>
      <c r="AO24" s="149"/>
      <c r="AP24" s="149"/>
      <c r="AQ24" s="149"/>
      <c r="AR24" s="149"/>
    </row>
    <row r="25" spans="2:44">
      <c r="B25" s="32"/>
      <c r="C25" s="32"/>
      <c r="D25" s="78"/>
      <c r="E25" s="145"/>
      <c r="F25" s="146"/>
      <c r="G25" s="78"/>
      <c r="H25" s="145"/>
      <c r="I25" s="146"/>
      <c r="J25" s="78"/>
      <c r="K25" s="145"/>
      <c r="L25" s="146"/>
      <c r="M25" s="78"/>
      <c r="N25" s="145"/>
      <c r="O25" s="146"/>
      <c r="P25" s="78"/>
      <c r="Q25" s="145"/>
      <c r="R25" s="146"/>
      <c r="T25" s="78"/>
      <c r="U25" s="145"/>
      <c r="V25" s="40"/>
      <c r="W25" s="147"/>
      <c r="Y25" s="149"/>
      <c r="Z25" s="149"/>
      <c r="AA25" s="149"/>
      <c r="AB25" s="149"/>
      <c r="AC25" s="149"/>
      <c r="AD25" s="149"/>
      <c r="AE25" s="149"/>
      <c r="AF25" s="149"/>
      <c r="AG25" s="149"/>
      <c r="AH25" s="149"/>
      <c r="AI25" s="149"/>
      <c r="AJ25" s="149"/>
      <c r="AK25" s="149"/>
      <c r="AL25" s="149"/>
      <c r="AM25" s="149"/>
      <c r="AN25" s="149"/>
      <c r="AO25" s="149"/>
      <c r="AP25" s="149"/>
      <c r="AQ25" s="149"/>
      <c r="AR25" s="149"/>
    </row>
    <row r="26" spans="2:44">
      <c r="B26" s="153" t="s">
        <v>124</v>
      </c>
      <c r="C26" s="153"/>
      <c r="D26" s="154">
        <f>SUBTOTAL(9,D9:D24)</f>
        <v>1307725</v>
      </c>
      <c r="E26" s="155">
        <f>D26/TotalDealUnits</f>
        <v>16346.5625</v>
      </c>
      <c r="F26" s="156">
        <f>IF(E$9,E26/E$9,)</f>
        <v>0.89790129797366702</v>
      </c>
      <c r="G26" s="154">
        <f>SUBTOTAL(9,G9:G24)</f>
        <v>1342752</v>
      </c>
      <c r="H26" s="155">
        <f>G26/TotalDealUnits</f>
        <v>16784.400000000001</v>
      </c>
      <c r="I26" s="156">
        <f>IF(H$9,H26/H$9,)</f>
        <v>0.91896804712993585</v>
      </c>
      <c r="J26" s="154">
        <f>SUBTOTAL(9,J9:J24)</f>
        <v>1299208</v>
      </c>
      <c r="K26" s="155">
        <f>J26/TotalDealUnits</f>
        <v>16240.1</v>
      </c>
      <c r="L26" s="156">
        <f>IF(K$9,K26/K$9,)</f>
        <v>0.9031007751937985</v>
      </c>
      <c r="M26" s="154">
        <f>SUBTOTAL(9,M9:M24)</f>
        <v>1304192</v>
      </c>
      <c r="N26" s="155">
        <f>M26/TotalDealUnits</f>
        <v>16302.4</v>
      </c>
      <c r="O26" s="156">
        <f>IF(N$9,N26/N$9,)</f>
        <v>0.87285032017647179</v>
      </c>
      <c r="P26" s="154">
        <f>SUBTOTAL(9,P9:P24)</f>
        <v>1422336</v>
      </c>
      <c r="Q26" s="155">
        <f>P26/TotalDealUnits</f>
        <v>17779.2</v>
      </c>
      <c r="R26" s="156">
        <f>IF(Q$9,Q26/Q$9,)</f>
        <v>0.95079494954356591</v>
      </c>
      <c r="T26" s="154">
        <f>SUBTOTAL(9,T9:T24)</f>
        <v>1453102.7586710614</v>
      </c>
      <c r="U26" s="155">
        <f>T26/TotalDealUnits</f>
        <v>18163.784483388266</v>
      </c>
      <c r="V26" s="157">
        <f>IF($V$7=GenValidation!$BC$17,IF($T$9,T26/$T$9,),ROUND(IFERROR(IF(CHOOSE(MATCH($V$7,GenValidation!$BC$12:$BC$16,),D26,G26,J26,M26,P26),T26/CHOOSE(MATCH($V$7,GenValidation!$BC$12:$BC$16,),D26,G26,J26,M26,P26)-1,),),4))</f>
        <v>0.90622724219007167</v>
      </c>
      <c r="W26" s="147" t="str">
        <f>IF('Adjustments &amp; Notes'!O33&lt;&gt;"",GenValidation!AI22,"")</f>
        <v/>
      </c>
      <c r="Y26" s="149" t="str">
        <f>IF(EffectiveGrossRevenueNotes="","",EffectiveGrossRevenueNotes)</f>
        <v/>
      </c>
      <c r="Z26" s="149"/>
      <c r="AA26" s="149"/>
      <c r="AB26" s="149"/>
      <c r="AC26" s="149"/>
      <c r="AD26" s="149"/>
      <c r="AE26" s="149"/>
      <c r="AF26" s="149"/>
      <c r="AG26" s="149"/>
      <c r="AH26" s="149"/>
      <c r="AI26" s="149"/>
      <c r="AJ26" s="149"/>
      <c r="AK26" s="149"/>
      <c r="AL26" s="149"/>
      <c r="AM26" s="149"/>
      <c r="AN26" s="149"/>
      <c r="AO26" s="149"/>
      <c r="AP26" s="149"/>
      <c r="AQ26" s="149"/>
      <c r="AR26" s="149"/>
    </row>
    <row r="27" spans="2:44">
      <c r="B27" s="32"/>
      <c r="C27" s="32"/>
      <c r="D27" s="40"/>
      <c r="E27" s="158"/>
      <c r="F27" s="158"/>
      <c r="G27" s="40"/>
      <c r="H27" s="158"/>
      <c r="I27" s="158"/>
      <c r="J27" s="40"/>
      <c r="K27" s="158"/>
      <c r="L27" s="158"/>
      <c r="M27" s="40"/>
      <c r="N27" s="158"/>
      <c r="O27" s="158"/>
      <c r="P27" s="40"/>
      <c r="Q27" s="158"/>
      <c r="R27" s="158"/>
      <c r="T27" s="159"/>
      <c r="U27" s="158"/>
      <c r="V27" s="40"/>
      <c r="W27" s="147"/>
      <c r="Y27" s="160"/>
      <c r="Z27" s="160"/>
      <c r="AA27" s="160"/>
      <c r="AB27" s="160"/>
      <c r="AC27" s="160"/>
      <c r="AD27" s="160"/>
      <c r="AE27" s="160"/>
      <c r="AF27" s="160"/>
      <c r="AG27" s="160"/>
      <c r="AH27" s="160"/>
      <c r="AI27" s="160"/>
      <c r="AJ27" s="160"/>
      <c r="AK27" s="160"/>
      <c r="AL27" s="160"/>
      <c r="AM27" s="160"/>
      <c r="AN27" s="160"/>
      <c r="AO27" s="160"/>
      <c r="AP27" s="160"/>
      <c r="AQ27" s="160"/>
      <c r="AR27" s="160"/>
    </row>
    <row r="28" spans="2:44">
      <c r="V28" s="161"/>
      <c r="W28" s="161"/>
    </row>
    <row r="29" spans="2:44" ht="13.5">
      <c r="D29" s="162" t="str">
        <f>'Select Historicals'!D32</f>
        <v>Trailing 12</v>
      </c>
      <c r="E29" s="163"/>
      <c r="G29" s="162" t="str">
        <f>'Select Historicals'!F32</f>
        <v>Trailing 12</v>
      </c>
      <c r="H29" s="163"/>
      <c r="I29" s="162"/>
      <c r="J29" s="162" t="str">
        <f>'Select Historicals'!H32</f>
        <v>Trailing 12</v>
      </c>
      <c r="K29" s="163"/>
      <c r="L29" s="163"/>
      <c r="M29" s="162" t="str">
        <f>'Select Historicals'!J32</f>
        <v>Trailing 12</v>
      </c>
      <c r="N29" s="163"/>
      <c r="O29" s="162"/>
      <c r="P29" s="162" t="str">
        <f>'Select Historicals'!L32</f>
        <v>Trailing 12</v>
      </c>
      <c r="Q29" s="163"/>
      <c r="T29" s="162" t="str">
        <f>'Adjustments &amp; Notes'!K36</f>
        <v>Year 1 Pro Forma</v>
      </c>
      <c r="U29" s="163"/>
      <c r="V29" s="164"/>
      <c r="W29" s="161"/>
    </row>
    <row r="30" spans="2:44" s="17" customFormat="1" ht="14.25" customHeight="1">
      <c r="B30" s="1176" t="s">
        <v>125</v>
      </c>
      <c r="C30" s="121"/>
      <c r="D30" s="121"/>
      <c r="E30" s="121"/>
      <c r="F30" s="144" t="s">
        <v>126</v>
      </c>
      <c r="G30" s="121"/>
      <c r="H30" s="121"/>
      <c r="I30" s="144" t="s">
        <v>126</v>
      </c>
      <c r="J30" s="121"/>
      <c r="K30" s="121"/>
      <c r="L30" s="144" t="s">
        <v>126</v>
      </c>
      <c r="M30" s="121"/>
      <c r="N30" s="121"/>
      <c r="O30" s="144" t="s">
        <v>126</v>
      </c>
      <c r="P30" s="121"/>
      <c r="Q30" s="121"/>
      <c r="R30" s="144" t="s">
        <v>126</v>
      </c>
      <c r="T30" s="121"/>
      <c r="U30" s="165"/>
      <c r="V30" s="144" t="str">
        <f>IF(V7="% Mkt / % EGR","EGR","")</f>
        <v>EGR</v>
      </c>
      <c r="W30" s="166"/>
      <c r="Y30" s="143"/>
      <c r="Z30" s="143"/>
      <c r="AA30" s="143"/>
      <c r="AB30" s="143"/>
      <c r="AC30" s="143"/>
      <c r="AD30" s="143"/>
      <c r="AE30" s="143"/>
      <c r="AF30" s="143"/>
      <c r="AG30" s="143"/>
      <c r="AH30" s="143"/>
      <c r="AI30" s="143"/>
      <c r="AJ30" s="143"/>
      <c r="AK30" s="143"/>
      <c r="AL30" s="143"/>
      <c r="AM30" s="143"/>
      <c r="AN30" s="143"/>
      <c r="AO30" s="143"/>
      <c r="AP30" s="143"/>
      <c r="AQ30" s="143"/>
      <c r="AR30" s="143"/>
    </row>
    <row r="31" spans="2:44">
      <c r="B31" s="32" t="str">
        <f>'Operating Calculations'!B88</f>
        <v>Repair &amp; Maintenance</v>
      </c>
      <c r="C31" s="32"/>
      <c r="D31" s="78">
        <f>'Select Historicals'!D34</f>
        <v>90278</v>
      </c>
      <c r="E31" s="145">
        <f>D31/TotalDealUnits</f>
        <v>1128.4749999999999</v>
      </c>
      <c r="F31" s="146">
        <f>IF(E$26,E31/E$26,)</f>
        <v>6.9034391787264143E-2</v>
      </c>
      <c r="G31" s="78">
        <f>'Select Historicals'!F34</f>
        <v>90278</v>
      </c>
      <c r="H31" s="145">
        <f>G31/TotalDealUnits</f>
        <v>1128.4749999999999</v>
      </c>
      <c r="I31" s="146">
        <f>IF(H$26,H31/H$26,)</f>
        <v>6.7233562117204063E-2</v>
      </c>
      <c r="J31" s="78">
        <f>'Select Historicals'!H34</f>
        <v>90278</v>
      </c>
      <c r="K31" s="145">
        <f t="shared" ref="K31:K49" si="18">J31/TotalDealUnits</f>
        <v>1128.4749999999999</v>
      </c>
      <c r="L31" s="146">
        <f>IF(K$26,K31/K$26,)</f>
        <v>6.9486948971989079E-2</v>
      </c>
      <c r="M31" s="78">
        <f>'Select Historicals'!J34</f>
        <v>90278</v>
      </c>
      <c r="N31" s="145">
        <f>M31/TotalDealUnits</f>
        <v>1128.4749999999999</v>
      </c>
      <c r="O31" s="146">
        <f>IF(N$26,N31/N$26,)</f>
        <v>6.9221402983609764E-2</v>
      </c>
      <c r="P31" s="78">
        <f>'Select Historicals'!L34</f>
        <v>90278</v>
      </c>
      <c r="Q31" s="145">
        <f>P31/TotalDealUnits</f>
        <v>1128.4749999999999</v>
      </c>
      <c r="R31" s="146">
        <f>IF(Q$26,Q31/Q$26,)</f>
        <v>6.3471641018718494E-2</v>
      </c>
      <c r="T31" s="78">
        <f>-SUMIF(RMHistExpenseCategory,$B31,'Operating Calculations'!C$88:C$107)</f>
        <v>94000</v>
      </c>
      <c r="U31" s="145">
        <f t="shared" ref="U31:U49" si="19">T31/TotalDealUnits</f>
        <v>1175</v>
      </c>
      <c r="V31" s="167">
        <f>IF($V$7=GenValidation!$BC$17,IF($T$26,T31/$T$26,),ROUND(IFERROR(IF(CHOOSE(MATCH($V$7,GenValidation!$BC$12:$BC$16,),D31,G31,J31,M31,P31),T31/CHOOSE(MATCH($V$7,GenValidation!$BC$12:$BC$16,),D31,G31,J31,M31,P31)-1,),),4))</f>
        <v>6.4689162166320521E-2</v>
      </c>
      <c r="W31" s="147" t="str">
        <f>IF('Adjustments &amp; Notes'!O38&lt;&gt;"",GenValidation!AI27,"")</f>
        <v/>
      </c>
      <c r="Y31" s="148" t="str">
        <f>IF(RepairMaintenanceNotes="","",RepairMaintenanceNotes)</f>
        <v/>
      </c>
      <c r="Z31" s="148"/>
      <c r="AA31" s="148"/>
      <c r="AB31" s="148"/>
      <c r="AC31" s="148"/>
      <c r="AD31" s="148"/>
      <c r="AE31" s="148"/>
      <c r="AF31" s="148"/>
      <c r="AG31" s="148"/>
      <c r="AH31" s="148"/>
      <c r="AI31" s="148"/>
      <c r="AJ31" s="148"/>
      <c r="AK31" s="148"/>
      <c r="AL31" s="148"/>
      <c r="AM31" s="148"/>
      <c r="AN31" s="148"/>
      <c r="AO31" s="148"/>
      <c r="AP31" s="148"/>
      <c r="AQ31" s="148"/>
      <c r="AR31" s="148"/>
    </row>
    <row r="32" spans="2:44">
      <c r="B32" s="32" t="str">
        <f>'Operating Calculations'!B89</f>
        <v>Contract Services</v>
      </c>
      <c r="C32" s="32"/>
      <c r="D32" s="78">
        <f>'Select Historicals'!D35</f>
        <v>0</v>
      </c>
      <c r="E32" s="145">
        <f>D32/TotalDealUnits</f>
        <v>0</v>
      </c>
      <c r="F32" s="146">
        <f t="shared" ref="F32:F49" si="20">IF(E$26,E32/E$26,)</f>
        <v>0</v>
      </c>
      <c r="G32" s="78">
        <f>'Select Historicals'!F35</f>
        <v>0</v>
      </c>
      <c r="H32" s="145">
        <f>G32/TotalDealUnits</f>
        <v>0</v>
      </c>
      <c r="I32" s="146">
        <f t="shared" ref="I32:I49" si="21">IF(H$26,H32/H$26,)</f>
        <v>0</v>
      </c>
      <c r="J32" s="78">
        <f>'Select Historicals'!H35</f>
        <v>0</v>
      </c>
      <c r="K32" s="145">
        <f t="shared" si="18"/>
        <v>0</v>
      </c>
      <c r="L32" s="146">
        <f t="shared" ref="L32:L49" si="22">IF(K$26,K32/K$26,)</f>
        <v>0</v>
      </c>
      <c r="M32" s="78">
        <f>'Select Historicals'!J35</f>
        <v>0</v>
      </c>
      <c r="N32" s="145">
        <f>M32/TotalDealUnits</f>
        <v>0</v>
      </c>
      <c r="O32" s="146">
        <f t="shared" ref="O32:O49" si="23">IF(N$26,N32/N$26,)</f>
        <v>0</v>
      </c>
      <c r="P32" s="78">
        <f>'Select Historicals'!L35</f>
        <v>0</v>
      </c>
      <c r="Q32" s="145">
        <f>P32/TotalDealUnits</f>
        <v>0</v>
      </c>
      <c r="R32" s="146">
        <f t="shared" ref="R32:R49" si="24">IF(Q$26,Q32/Q$26,)</f>
        <v>0</v>
      </c>
      <c r="T32" s="78">
        <f>-SUMIF(RMHistExpenseCategory,$B32,'Operating Calculations'!C$88:C$107)</f>
        <v>0</v>
      </c>
      <c r="U32" s="145">
        <f t="shared" si="19"/>
        <v>0</v>
      </c>
      <c r="V32" s="167">
        <f>IF($V$7=GenValidation!$BC$17,IF($T$26,T32/$T$26,),ROUND(IFERROR(IF(CHOOSE(MATCH($V$7,GenValidation!$BC$12:$BC$16,),D32,G32,J32,M32,P32),T32/CHOOSE(MATCH($V$7,GenValidation!$BC$12:$BC$16,),D32,G32,J32,M32,P32)-1,),),4))</f>
        <v>0</v>
      </c>
      <c r="W32" s="147" t="str">
        <f>IF('Adjustments &amp; Notes'!O39&lt;&gt;"",GenValidation!AI28,"")</f>
        <v/>
      </c>
      <c r="Y32" s="149" t="str">
        <f>IF(ContractServicesNotes="","",ContractServicesNotes)</f>
        <v/>
      </c>
      <c r="Z32" s="149"/>
      <c r="AA32" s="149"/>
      <c r="AB32" s="149"/>
      <c r="AC32" s="149"/>
      <c r="AD32" s="149"/>
      <c r="AE32" s="149"/>
      <c r="AF32" s="149"/>
      <c r="AG32" s="149"/>
      <c r="AH32" s="149"/>
      <c r="AI32" s="149"/>
      <c r="AJ32" s="149"/>
      <c r="AK32" s="149"/>
      <c r="AL32" s="149"/>
      <c r="AM32" s="149"/>
      <c r="AN32" s="149"/>
      <c r="AO32" s="149"/>
      <c r="AP32" s="149"/>
      <c r="AQ32" s="149"/>
      <c r="AR32" s="149"/>
    </row>
    <row r="33" spans="2:44">
      <c r="B33" s="32" t="str">
        <f>'Operating Calculations'!B90</f>
        <v>Security</v>
      </c>
      <c r="C33" s="32"/>
      <c r="D33" s="78">
        <f>'Select Historicals'!D36</f>
        <v>0</v>
      </c>
      <c r="E33" s="145">
        <f>D33/TotalDealUnits</f>
        <v>0</v>
      </c>
      <c r="F33" s="146">
        <f t="shared" si="20"/>
        <v>0</v>
      </c>
      <c r="G33" s="78">
        <f>'Select Historicals'!F36</f>
        <v>0</v>
      </c>
      <c r="H33" s="145">
        <f>G33/TotalDealUnits</f>
        <v>0</v>
      </c>
      <c r="I33" s="146">
        <f t="shared" si="21"/>
        <v>0</v>
      </c>
      <c r="J33" s="78">
        <f>'Select Historicals'!H36</f>
        <v>0</v>
      </c>
      <c r="K33" s="145">
        <f t="shared" si="18"/>
        <v>0</v>
      </c>
      <c r="L33" s="146">
        <f t="shared" si="22"/>
        <v>0</v>
      </c>
      <c r="M33" s="78">
        <f>'Select Historicals'!J36</f>
        <v>0</v>
      </c>
      <c r="N33" s="145">
        <f>M33/TotalDealUnits</f>
        <v>0</v>
      </c>
      <c r="O33" s="146">
        <f t="shared" si="23"/>
        <v>0</v>
      </c>
      <c r="P33" s="78">
        <f>'Select Historicals'!L36</f>
        <v>0</v>
      </c>
      <c r="Q33" s="145">
        <f>P33/TotalDealUnits</f>
        <v>0</v>
      </c>
      <c r="R33" s="146">
        <f t="shared" si="24"/>
        <v>0</v>
      </c>
      <c r="T33" s="78">
        <f>-SUMIF(RMHistExpenseCategory,$B33,'Operating Calculations'!C$88:C$107)</f>
        <v>0</v>
      </c>
      <c r="U33" s="145">
        <f t="shared" si="19"/>
        <v>0</v>
      </c>
      <c r="V33" s="167">
        <f>IF($V$7=GenValidation!$BC$17,IF($T$26,T33/$T$26,),ROUND(IFERROR(IF(CHOOSE(MATCH($V$7,GenValidation!$BC$12:$BC$16,),D33,G33,J33,M33,P33),T33/CHOOSE(MATCH($V$7,GenValidation!$BC$12:$BC$16,),D33,G33,J33,M33,P33)-1,),),4))</f>
        <v>0</v>
      </c>
      <c r="W33" s="147" t="str">
        <f>IF('Adjustments &amp; Notes'!O40&lt;&gt;"",GenValidation!AI29,"")</f>
        <v/>
      </c>
      <c r="Y33" s="148" t="str">
        <f>IF(SecurityNotes="","",SecurityNotes)</f>
        <v/>
      </c>
      <c r="Z33" s="148"/>
      <c r="AA33" s="148"/>
      <c r="AB33" s="148"/>
      <c r="AC33" s="148"/>
      <c r="AD33" s="148"/>
      <c r="AE33" s="148"/>
      <c r="AF33" s="148"/>
      <c r="AG33" s="148"/>
      <c r="AH33" s="148"/>
      <c r="AI33" s="148"/>
      <c r="AJ33" s="148"/>
      <c r="AK33" s="148"/>
      <c r="AL33" s="148"/>
      <c r="AM33" s="148"/>
      <c r="AN33" s="148"/>
      <c r="AO33" s="148"/>
      <c r="AP33" s="148"/>
      <c r="AQ33" s="148"/>
      <c r="AR33" s="148"/>
    </row>
    <row r="34" spans="2:44">
      <c r="B34" s="32" t="str">
        <f>'Operating Calculations'!B91</f>
        <v>Landscaping / Grounds</v>
      </c>
      <c r="C34" s="32"/>
      <c r="D34" s="78">
        <f>'Select Historicals'!D37</f>
        <v>16274</v>
      </c>
      <c r="E34" s="145">
        <f>D34/TotalDealUnits</f>
        <v>203.42500000000001</v>
      </c>
      <c r="F34" s="146">
        <f t="shared" si="20"/>
        <v>1.244451241660135E-2</v>
      </c>
      <c r="G34" s="78">
        <f>'Select Historicals'!F37</f>
        <v>16274</v>
      </c>
      <c r="H34" s="145">
        <f>G34/TotalDealUnits</f>
        <v>203.42500000000001</v>
      </c>
      <c r="I34" s="146">
        <f t="shared" si="21"/>
        <v>1.2119885131431567E-2</v>
      </c>
      <c r="J34" s="78">
        <f>'Select Historicals'!H37</f>
        <v>16274</v>
      </c>
      <c r="K34" s="145">
        <f t="shared" si="18"/>
        <v>203.42500000000001</v>
      </c>
      <c r="L34" s="146">
        <f t="shared" si="22"/>
        <v>1.2526092819625495E-2</v>
      </c>
      <c r="M34" s="78">
        <f>'Select Historicals'!J37</f>
        <v>16274</v>
      </c>
      <c r="N34" s="145">
        <f>M34/TotalDealUnits</f>
        <v>203.42500000000001</v>
      </c>
      <c r="O34" s="146">
        <f t="shared" si="23"/>
        <v>1.247822406516832E-2</v>
      </c>
      <c r="P34" s="78">
        <f>'Select Historicals'!L37</f>
        <v>16274</v>
      </c>
      <c r="Q34" s="145">
        <f>P34/TotalDealUnits</f>
        <v>203.42500000000001</v>
      </c>
      <c r="R34" s="146">
        <f t="shared" si="24"/>
        <v>1.1441740910727142E-2</v>
      </c>
      <c r="T34" s="78">
        <f>-SUMIF(RMHistExpenseCategory,$B34,'Operating Calculations'!C$88:C$107)</f>
        <v>16000</v>
      </c>
      <c r="U34" s="145">
        <f t="shared" si="19"/>
        <v>200</v>
      </c>
      <c r="V34" s="167">
        <f>IF($V$7=GenValidation!$BC$17,IF($T$26,T34/$T$26,),ROUND(IFERROR(IF(CHOOSE(MATCH($V$7,GenValidation!$BC$12:$BC$16,),D34,G34,J34,M34,P34),T34/CHOOSE(MATCH($V$7,GenValidation!$BC$12:$BC$16,),D34,G34,J34,M34,P34)-1,),),4))</f>
        <v>1.1010921219799238E-2</v>
      </c>
      <c r="W34" s="147" t="str">
        <f>IF('Adjustments &amp; Notes'!O41&lt;&gt;"",GenValidation!AI30,"")</f>
        <v/>
      </c>
      <c r="Y34" s="149" t="str">
        <f>IF(LandscapingGroundsNotes="","",LandscapingGroundsNotes)</f>
        <v/>
      </c>
      <c r="Z34" s="149"/>
      <c r="AA34" s="149"/>
      <c r="AB34" s="149"/>
      <c r="AC34" s="149"/>
      <c r="AD34" s="149"/>
      <c r="AE34" s="149"/>
      <c r="AF34" s="149"/>
      <c r="AG34" s="149"/>
      <c r="AH34" s="149"/>
      <c r="AI34" s="149"/>
      <c r="AJ34" s="149"/>
      <c r="AK34" s="149"/>
      <c r="AL34" s="149"/>
      <c r="AM34" s="149"/>
      <c r="AN34" s="149"/>
      <c r="AO34" s="149"/>
      <c r="AP34" s="149"/>
      <c r="AQ34" s="149"/>
      <c r="AR34" s="149"/>
    </row>
    <row r="35" spans="2:44">
      <c r="B35" s="32" t="str">
        <f>'Operating Calculations'!B92</f>
        <v>Personnel</v>
      </c>
      <c r="C35" s="32"/>
      <c r="D35" s="78">
        <f>'Select Historicals'!D38</f>
        <v>78724</v>
      </c>
      <c r="E35" s="145">
        <f>D35/TotalDealUnits</f>
        <v>984.05</v>
      </c>
      <c r="F35" s="146">
        <f t="shared" si="20"/>
        <v>6.0199200902330378E-2</v>
      </c>
      <c r="G35" s="78">
        <f>'Select Historicals'!F38</f>
        <v>78724</v>
      </c>
      <c r="H35" s="145">
        <f>G35/TotalDealUnits</f>
        <v>984.05</v>
      </c>
      <c r="I35" s="146">
        <f t="shared" si="21"/>
        <v>5.8628845833035431E-2</v>
      </c>
      <c r="J35" s="78">
        <f>'Select Historicals'!H38</f>
        <v>78724</v>
      </c>
      <c r="K35" s="145">
        <f t="shared" si="18"/>
        <v>984.05</v>
      </c>
      <c r="L35" s="146">
        <f t="shared" si="22"/>
        <v>6.0593838707889723E-2</v>
      </c>
      <c r="M35" s="78">
        <f>'Select Historicals'!J38</f>
        <v>78724</v>
      </c>
      <c r="N35" s="145">
        <f>M35/TotalDealUnits</f>
        <v>984.05</v>
      </c>
      <c r="O35" s="146">
        <f t="shared" si="23"/>
        <v>6.0362277946805376E-2</v>
      </c>
      <c r="P35" s="78">
        <f>'Select Historicals'!L38</f>
        <v>78724</v>
      </c>
      <c r="Q35" s="145">
        <f>P35/TotalDealUnits</f>
        <v>984.05</v>
      </c>
      <c r="R35" s="146">
        <f t="shared" si="24"/>
        <v>5.5348384629229655E-2</v>
      </c>
      <c r="T35" s="78">
        <f>-SUMIF(RMHistExpenseCategory,$B35,'Operating Calculations'!C$88:C$107)</f>
        <v>146700</v>
      </c>
      <c r="U35" s="145">
        <f t="shared" si="19"/>
        <v>1833.75</v>
      </c>
      <c r="V35" s="167">
        <f>IF($V$7=GenValidation!$BC$17,IF($T$26,T35/$T$26,),ROUND(IFERROR(IF(CHOOSE(MATCH($V$7,GenValidation!$BC$12:$BC$16,),D35,G35,J35,M35,P35),T35/CHOOSE(MATCH($V$7,GenValidation!$BC$12:$BC$16,),D35,G35,J35,M35,P35)-1,),),4))</f>
        <v>0.10095638393403426</v>
      </c>
      <c r="W35" s="147" t="str">
        <f>IF('Adjustments &amp; Notes'!O42&lt;&gt;"",GenValidation!AI31,"")</f>
        <v/>
      </c>
      <c r="Y35" s="148" t="str">
        <f>IF(PersonnelNotes="","",PersonnelNotes)</f>
        <v/>
      </c>
      <c r="Z35" s="148"/>
      <c r="AA35" s="148"/>
      <c r="AB35" s="148"/>
      <c r="AC35" s="148"/>
      <c r="AD35" s="148"/>
      <c r="AE35" s="148"/>
      <c r="AF35" s="148"/>
      <c r="AG35" s="148"/>
      <c r="AH35" s="148"/>
      <c r="AI35" s="148"/>
      <c r="AJ35" s="148"/>
      <c r="AK35" s="148"/>
      <c r="AL35" s="148"/>
      <c r="AM35" s="148"/>
      <c r="AN35" s="148"/>
      <c r="AO35" s="148"/>
      <c r="AP35" s="148"/>
      <c r="AQ35" s="148"/>
      <c r="AR35" s="148"/>
    </row>
    <row r="36" spans="2:44">
      <c r="B36" s="32" t="str">
        <f>'Operating Calculations'!B93</f>
        <v>Marketing / Advertising</v>
      </c>
      <c r="C36" s="32"/>
      <c r="D36" s="78">
        <f>'Select Historicals'!D39</f>
        <v>13451</v>
      </c>
      <c r="E36" s="145">
        <f>D36/TotalDealUnits</f>
        <v>168.13749999999999</v>
      </c>
      <c r="F36" s="146">
        <f t="shared" si="20"/>
        <v>1.0285801678487449E-2</v>
      </c>
      <c r="G36" s="78">
        <f>'Select Historicals'!F39</f>
        <v>13451</v>
      </c>
      <c r="H36" s="145">
        <f>G36/TotalDealUnits</f>
        <v>168.13749999999999</v>
      </c>
      <c r="I36" s="146">
        <f t="shared" si="21"/>
        <v>1.0017486475536807E-2</v>
      </c>
      <c r="J36" s="78">
        <f>'Select Historicals'!H39</f>
        <v>13451</v>
      </c>
      <c r="K36" s="145">
        <f t="shared" si="18"/>
        <v>168.13749999999999</v>
      </c>
      <c r="L36" s="146">
        <f t="shared" si="22"/>
        <v>1.035323058355552E-2</v>
      </c>
      <c r="M36" s="78">
        <f>'Select Historicals'!J39</f>
        <v>13451</v>
      </c>
      <c r="N36" s="145">
        <f>M36/TotalDealUnits</f>
        <v>168.13749999999999</v>
      </c>
      <c r="O36" s="146">
        <f t="shared" si="23"/>
        <v>1.0313665472568456E-2</v>
      </c>
      <c r="P36" s="78">
        <f>'Select Historicals'!L39</f>
        <v>13451</v>
      </c>
      <c r="Q36" s="145">
        <f>P36/TotalDealUnits</f>
        <v>168.13749999999999</v>
      </c>
      <c r="R36" s="146">
        <f t="shared" si="24"/>
        <v>9.4569778167746567E-3</v>
      </c>
      <c r="T36" s="78">
        <f>-SUMIF(RMHistExpenseCategory,$B36,'Operating Calculations'!C$88:C$107)</f>
        <v>0</v>
      </c>
      <c r="U36" s="145">
        <f t="shared" si="19"/>
        <v>0</v>
      </c>
      <c r="V36" s="167">
        <f>IF($V$7=GenValidation!$BC$17,IF($T$26,T36/$T$26,),ROUND(IFERROR(IF(CHOOSE(MATCH($V$7,GenValidation!$BC$12:$BC$16,),D36,G36,J36,M36,P36),T36/CHOOSE(MATCH($V$7,GenValidation!$BC$12:$BC$16,),D36,G36,J36,M36,P36)-1,),),4))</f>
        <v>0</v>
      </c>
      <c r="W36" s="147" t="str">
        <f>IF('Adjustments &amp; Notes'!O43&lt;&gt;"",GenValidation!AI32,"")</f>
        <v/>
      </c>
      <c r="Y36" s="149" t="str">
        <f>IF(MarketingAdvertisingNotes="","",MarketingAdvertisingNotes)</f>
        <v/>
      </c>
      <c r="Z36" s="149"/>
      <c r="AA36" s="149"/>
      <c r="AB36" s="149"/>
      <c r="AC36" s="149"/>
      <c r="AD36" s="149"/>
      <c r="AE36" s="149"/>
      <c r="AF36" s="149"/>
      <c r="AG36" s="149"/>
      <c r="AH36" s="149"/>
      <c r="AI36" s="149"/>
      <c r="AJ36" s="149"/>
      <c r="AK36" s="149"/>
      <c r="AL36" s="149"/>
      <c r="AM36" s="149"/>
      <c r="AN36" s="149"/>
      <c r="AO36" s="149"/>
      <c r="AP36" s="149"/>
      <c r="AQ36" s="149"/>
      <c r="AR36" s="149"/>
    </row>
    <row r="37" spans="2:44">
      <c r="B37" s="32" t="str">
        <f>'Operating Calculations'!B94</f>
        <v>Leasing Commissions</v>
      </c>
      <c r="C37" s="32"/>
      <c r="D37" s="78">
        <f>'Select Historicals'!D40</f>
        <v>0</v>
      </c>
      <c r="E37" s="145">
        <f>D37/TotalDealUnits</f>
        <v>0</v>
      </c>
      <c r="F37" s="146">
        <f t="shared" si="20"/>
        <v>0</v>
      </c>
      <c r="G37" s="78">
        <f>'Select Historicals'!F40</f>
        <v>0</v>
      </c>
      <c r="H37" s="145">
        <f>G37/TotalDealUnits</f>
        <v>0</v>
      </c>
      <c r="I37" s="146">
        <f t="shared" si="21"/>
        <v>0</v>
      </c>
      <c r="J37" s="78">
        <f>'Select Historicals'!H40</f>
        <v>0</v>
      </c>
      <c r="K37" s="145">
        <f t="shared" si="18"/>
        <v>0</v>
      </c>
      <c r="L37" s="146">
        <f t="shared" si="22"/>
        <v>0</v>
      </c>
      <c r="M37" s="78">
        <f>'Select Historicals'!J40</f>
        <v>0</v>
      </c>
      <c r="N37" s="145">
        <f>M37/TotalDealUnits</f>
        <v>0</v>
      </c>
      <c r="O37" s="146">
        <f t="shared" si="23"/>
        <v>0</v>
      </c>
      <c r="P37" s="78">
        <f>'Select Historicals'!L40</f>
        <v>0</v>
      </c>
      <c r="Q37" s="145">
        <f>P37/TotalDealUnits</f>
        <v>0</v>
      </c>
      <c r="R37" s="146">
        <f t="shared" si="24"/>
        <v>0</v>
      </c>
      <c r="T37" s="78">
        <f>-SUMIF(RMHistExpenseCategory,$B37,'Operating Calculations'!C$88:C$107)</f>
        <v>0</v>
      </c>
      <c r="U37" s="145">
        <f t="shared" si="19"/>
        <v>0</v>
      </c>
      <c r="V37" s="167">
        <f>IF($V$7=GenValidation!$BC$17,IF($T$26,T37/$T$26,),ROUND(IFERROR(IF(CHOOSE(MATCH($V$7,GenValidation!$BC$12:$BC$16,),D37,G37,J37,M37,P37),T37/CHOOSE(MATCH($V$7,GenValidation!$BC$12:$BC$16,),D37,G37,J37,M37,P37)-1,),),4))</f>
        <v>0</v>
      </c>
      <c r="W37" s="147" t="str">
        <f>IF('Adjustments &amp; Notes'!O44&lt;&gt;"",GenValidation!AI33,"")</f>
        <v/>
      </c>
      <c r="Y37" s="148" t="str">
        <f>IF(LeasingCommissionsNotes="","",LeasingCommissionsNotes)</f>
        <v/>
      </c>
      <c r="Z37" s="148"/>
      <c r="AA37" s="148"/>
      <c r="AB37" s="148"/>
      <c r="AC37" s="148"/>
      <c r="AD37" s="148"/>
      <c r="AE37" s="148"/>
      <c r="AF37" s="148"/>
      <c r="AG37" s="148"/>
      <c r="AH37" s="148"/>
      <c r="AI37" s="148"/>
      <c r="AJ37" s="148"/>
      <c r="AK37" s="148"/>
      <c r="AL37" s="148"/>
      <c r="AM37" s="148"/>
      <c r="AN37" s="148"/>
      <c r="AO37" s="148"/>
      <c r="AP37" s="148"/>
      <c r="AQ37" s="148"/>
      <c r="AR37" s="148"/>
    </row>
    <row r="38" spans="2:44">
      <c r="B38" s="32" t="str">
        <f>'Operating Calculations'!B95</f>
        <v>Administrative Expenses</v>
      </c>
      <c r="C38" s="32"/>
      <c r="D38" s="78">
        <f>'Select Historicals'!D41</f>
        <v>35119</v>
      </c>
      <c r="E38" s="145">
        <f>D38/TotalDealUnits</f>
        <v>438.98750000000001</v>
      </c>
      <c r="F38" s="146">
        <f t="shared" si="20"/>
        <v>2.685503450649028E-2</v>
      </c>
      <c r="G38" s="78">
        <f>'Select Historicals'!F41</f>
        <v>35119</v>
      </c>
      <c r="H38" s="145">
        <f>G38/TotalDealUnits</f>
        <v>438.98750000000001</v>
      </c>
      <c r="I38" s="146">
        <f t="shared" si="21"/>
        <v>2.6154494649793854E-2</v>
      </c>
      <c r="J38" s="78">
        <f>'Select Historicals'!H41</f>
        <v>35119</v>
      </c>
      <c r="K38" s="145">
        <f t="shared" si="18"/>
        <v>438.98750000000001</v>
      </c>
      <c r="L38" s="146">
        <f t="shared" si="22"/>
        <v>2.703108355244118E-2</v>
      </c>
      <c r="M38" s="78">
        <f>'Select Historicals'!J41</f>
        <v>35119</v>
      </c>
      <c r="N38" s="145">
        <f>M38/TotalDealUnits</f>
        <v>438.98750000000001</v>
      </c>
      <c r="O38" s="146">
        <f t="shared" si="23"/>
        <v>2.6927783639218765E-2</v>
      </c>
      <c r="P38" s="78">
        <f>'Select Historicals'!L41</f>
        <v>35119</v>
      </c>
      <c r="Q38" s="145">
        <f>P38/TotalDealUnits</f>
        <v>438.98750000000001</v>
      </c>
      <c r="R38" s="146">
        <f t="shared" si="24"/>
        <v>2.4691071589272858E-2</v>
      </c>
      <c r="T38" s="78">
        <f>-SUMIF(RMHistExpenseCategory,$B38,'Operating Calculations'!C$88:C$107)</f>
        <v>0</v>
      </c>
      <c r="U38" s="145">
        <f t="shared" si="19"/>
        <v>0</v>
      </c>
      <c r="V38" s="167">
        <f>IF($V$7=GenValidation!$BC$17,IF($T$26,T38/$T$26,),ROUND(IFERROR(IF(CHOOSE(MATCH($V$7,GenValidation!$BC$12:$BC$16,),D38,G38,J38,M38,P38),T38/CHOOSE(MATCH($V$7,GenValidation!$BC$12:$BC$16,),D38,G38,J38,M38,P38)-1,),),4))</f>
        <v>0</v>
      </c>
      <c r="W38" s="147" t="str">
        <f>IF('Adjustments &amp; Notes'!O45&lt;&gt;"",GenValidation!AI34,"")</f>
        <v/>
      </c>
      <c r="Y38" s="149" t="str">
        <f>IF(AdministrativeExpensesNotes="","",AdministrativeExpensesNotes)</f>
        <v/>
      </c>
      <c r="Z38" s="149"/>
      <c r="AA38" s="149"/>
      <c r="AB38" s="149"/>
      <c r="AC38" s="149"/>
      <c r="AD38" s="149"/>
      <c r="AE38" s="149"/>
      <c r="AF38" s="149"/>
      <c r="AG38" s="149"/>
      <c r="AH38" s="149"/>
      <c r="AI38" s="149"/>
      <c r="AJ38" s="149"/>
      <c r="AK38" s="149"/>
      <c r="AL38" s="149"/>
      <c r="AM38" s="149"/>
      <c r="AN38" s="149"/>
      <c r="AO38" s="149"/>
      <c r="AP38" s="149"/>
      <c r="AQ38" s="149"/>
      <c r="AR38" s="149"/>
    </row>
    <row r="39" spans="2:44">
      <c r="B39" s="32" t="str">
        <f>'Operating Calculations'!B96</f>
        <v>Turnover / Make-Ready</v>
      </c>
      <c r="C39" s="32"/>
      <c r="D39" s="78">
        <f>'Select Historicals'!D42</f>
        <v>0</v>
      </c>
      <c r="E39" s="145">
        <f>D39/TotalDealUnits</f>
        <v>0</v>
      </c>
      <c r="F39" s="146">
        <f t="shared" si="20"/>
        <v>0</v>
      </c>
      <c r="G39" s="78">
        <f>'Select Historicals'!F42</f>
        <v>0</v>
      </c>
      <c r="H39" s="145">
        <f>G39/TotalDealUnits</f>
        <v>0</v>
      </c>
      <c r="I39" s="146">
        <f t="shared" si="21"/>
        <v>0</v>
      </c>
      <c r="J39" s="78">
        <f>'Select Historicals'!H42</f>
        <v>0</v>
      </c>
      <c r="K39" s="145">
        <f t="shared" si="18"/>
        <v>0</v>
      </c>
      <c r="L39" s="146">
        <f t="shared" si="22"/>
        <v>0</v>
      </c>
      <c r="M39" s="78">
        <f>'Select Historicals'!J42</f>
        <v>0</v>
      </c>
      <c r="N39" s="145">
        <f>M39/TotalDealUnits</f>
        <v>0</v>
      </c>
      <c r="O39" s="146">
        <f t="shared" si="23"/>
        <v>0</v>
      </c>
      <c r="P39" s="78">
        <f>'Select Historicals'!L42</f>
        <v>0</v>
      </c>
      <c r="Q39" s="145">
        <f>P39/TotalDealUnits</f>
        <v>0</v>
      </c>
      <c r="R39" s="146">
        <f t="shared" si="24"/>
        <v>0</v>
      </c>
      <c r="T39" s="78">
        <f>-SUMIF(RMHistExpenseCategory,$B39,'Operating Calculations'!C$88:C$107)</f>
        <v>0</v>
      </c>
      <c r="U39" s="145">
        <f t="shared" si="19"/>
        <v>0</v>
      </c>
      <c r="V39" s="167">
        <f>IF($V$7=GenValidation!$BC$17,IF($T$26,T39/$T$26,),ROUND(IFERROR(IF(CHOOSE(MATCH($V$7,GenValidation!$BC$12:$BC$16,),D39,G39,J39,M39,P39),T39/CHOOSE(MATCH($V$7,GenValidation!$BC$12:$BC$16,),D39,G39,J39,M39,P39)-1,),),4))</f>
        <v>0</v>
      </c>
      <c r="W39" s="147" t="str">
        <f>IF('Adjustments &amp; Notes'!O46&lt;&gt;"",GenValidation!AI35,"")</f>
        <v/>
      </c>
      <c r="Y39" s="148" t="str">
        <f>IF(TurnoverMakeReadyNotes="","",TurnoverMakeReadyNotes)</f>
        <v/>
      </c>
      <c r="Z39" s="148"/>
      <c r="AA39" s="148"/>
      <c r="AB39" s="148"/>
      <c r="AC39" s="148"/>
      <c r="AD39" s="148"/>
      <c r="AE39" s="148"/>
      <c r="AF39" s="148"/>
      <c r="AG39" s="148"/>
      <c r="AH39" s="148"/>
      <c r="AI39" s="148"/>
      <c r="AJ39" s="148"/>
      <c r="AK39" s="148"/>
      <c r="AL39" s="148"/>
      <c r="AM39" s="148"/>
      <c r="AN39" s="148"/>
      <c r="AO39" s="148"/>
      <c r="AP39" s="148"/>
      <c r="AQ39" s="148"/>
      <c r="AR39" s="148"/>
    </row>
    <row r="40" spans="2:44">
      <c r="B40" s="32" t="str">
        <f>'Operating Calculations'!B97</f>
        <v>Electricity</v>
      </c>
      <c r="C40" s="32"/>
      <c r="D40" s="78">
        <f>'Select Historicals'!D43</f>
        <v>26947</v>
      </c>
      <c r="E40" s="145">
        <f>D40/TotalDealUnits</f>
        <v>336.83749999999998</v>
      </c>
      <c r="F40" s="146">
        <f t="shared" si="20"/>
        <v>2.0606014261408168E-2</v>
      </c>
      <c r="G40" s="78">
        <f>'Select Historicals'!F43</f>
        <v>26947</v>
      </c>
      <c r="H40" s="145">
        <f>G40/TotalDealUnits</f>
        <v>336.83749999999998</v>
      </c>
      <c r="I40" s="146">
        <f t="shared" si="21"/>
        <v>2.0068486213388619E-2</v>
      </c>
      <c r="J40" s="78">
        <f>'Select Historicals'!H43</f>
        <v>26947</v>
      </c>
      <c r="K40" s="145">
        <f t="shared" si="18"/>
        <v>336.83749999999998</v>
      </c>
      <c r="L40" s="146">
        <f t="shared" si="22"/>
        <v>2.074109765333957E-2</v>
      </c>
      <c r="M40" s="78">
        <f>'Select Historicals'!J43</f>
        <v>26947</v>
      </c>
      <c r="N40" s="145">
        <f>M40/TotalDealUnits</f>
        <v>336.83749999999998</v>
      </c>
      <c r="O40" s="146">
        <f t="shared" si="23"/>
        <v>2.0661835067229364E-2</v>
      </c>
      <c r="P40" s="78">
        <f>'Select Historicals'!L43</f>
        <v>26947</v>
      </c>
      <c r="Q40" s="145">
        <f>P40/TotalDealUnits</f>
        <v>336.83749999999998</v>
      </c>
      <c r="R40" s="146">
        <f t="shared" si="24"/>
        <v>1.8945593727501799E-2</v>
      </c>
      <c r="T40" s="78">
        <f>-SUMIF(RMHistExpenseCategory,$B40,'Operating Calculations'!C$88:C$107)</f>
        <v>0</v>
      </c>
      <c r="U40" s="145">
        <f t="shared" si="19"/>
        <v>0</v>
      </c>
      <c r="V40" s="167">
        <f>IF($V$7=GenValidation!$BC$17,IF($T$26,T40/$T$26,),ROUND(IFERROR(IF(CHOOSE(MATCH($V$7,GenValidation!$BC$12:$BC$16,),D40,G40,J40,M40,P40),T40/CHOOSE(MATCH($V$7,GenValidation!$BC$12:$BC$16,),D40,G40,J40,M40,P40)-1,),),4))</f>
        <v>0</v>
      </c>
      <c r="W40" s="147" t="str">
        <f>IF('Adjustments &amp; Notes'!O47&lt;&gt;"",GenValidation!AI36,"")</f>
        <v/>
      </c>
      <c r="Y40" s="149" t="str">
        <f>IF(ElectricityNotes="","",ElectricityNotes)</f>
        <v/>
      </c>
      <c r="Z40" s="149"/>
      <c r="AA40" s="149"/>
      <c r="AB40" s="149"/>
      <c r="AC40" s="149"/>
      <c r="AD40" s="149"/>
      <c r="AE40" s="149"/>
      <c r="AF40" s="149"/>
      <c r="AG40" s="149"/>
      <c r="AH40" s="149"/>
      <c r="AI40" s="149"/>
      <c r="AJ40" s="149"/>
      <c r="AK40" s="149"/>
      <c r="AL40" s="149"/>
      <c r="AM40" s="149"/>
      <c r="AN40" s="149"/>
      <c r="AO40" s="149"/>
      <c r="AP40" s="149"/>
      <c r="AQ40" s="149"/>
      <c r="AR40" s="149"/>
    </row>
    <row r="41" spans="2:44">
      <c r="B41" s="32" t="str">
        <f>'Operating Calculations'!B98</f>
        <v>Fuel (Gas &amp; Oil)</v>
      </c>
      <c r="C41" s="32"/>
      <c r="D41" s="78">
        <f>'Select Historicals'!D44</f>
        <v>0</v>
      </c>
      <c r="E41" s="145">
        <f>D41/TotalDealUnits</f>
        <v>0</v>
      </c>
      <c r="F41" s="146">
        <f t="shared" si="20"/>
        <v>0</v>
      </c>
      <c r="G41" s="78">
        <f>'Select Historicals'!F44</f>
        <v>0</v>
      </c>
      <c r="H41" s="145">
        <f>G41/TotalDealUnits</f>
        <v>0</v>
      </c>
      <c r="I41" s="146">
        <f t="shared" si="21"/>
        <v>0</v>
      </c>
      <c r="J41" s="78">
        <f>'Select Historicals'!H44</f>
        <v>0</v>
      </c>
      <c r="K41" s="145">
        <f t="shared" si="18"/>
        <v>0</v>
      </c>
      <c r="L41" s="146">
        <f t="shared" si="22"/>
        <v>0</v>
      </c>
      <c r="M41" s="78">
        <f>'Select Historicals'!J44</f>
        <v>0</v>
      </c>
      <c r="N41" s="145">
        <f>M41/TotalDealUnits</f>
        <v>0</v>
      </c>
      <c r="O41" s="146">
        <f t="shared" si="23"/>
        <v>0</v>
      </c>
      <c r="P41" s="78">
        <f>'Select Historicals'!L44</f>
        <v>0</v>
      </c>
      <c r="Q41" s="145">
        <f>P41/TotalDealUnits</f>
        <v>0</v>
      </c>
      <c r="R41" s="146">
        <f t="shared" si="24"/>
        <v>0</v>
      </c>
      <c r="T41" s="78">
        <f>-SUMIF(RMHistExpenseCategory,$B41,'Operating Calculations'!C$88:C$107)</f>
        <v>0</v>
      </c>
      <c r="U41" s="145">
        <f t="shared" si="19"/>
        <v>0</v>
      </c>
      <c r="V41" s="167">
        <f>IF($V$7=GenValidation!$BC$17,IF($T$26,T41/$T$26,),ROUND(IFERROR(IF(CHOOSE(MATCH($V$7,GenValidation!$BC$12:$BC$16,),D41,G41,J41,M41,P41),T41/CHOOSE(MATCH($V$7,GenValidation!$BC$12:$BC$16,),D41,G41,J41,M41,P41)-1,),),4))</f>
        <v>0</v>
      </c>
      <c r="W41" s="147" t="str">
        <f>IF('Adjustments &amp; Notes'!O48&lt;&gt;"",GenValidation!AI37,"")</f>
        <v/>
      </c>
      <c r="Y41" s="148" t="str">
        <f>IF(FuelGasOilNotes="","",FuelGasOilNotes)</f>
        <v/>
      </c>
      <c r="Z41" s="148"/>
      <c r="AA41" s="148"/>
      <c r="AB41" s="148"/>
      <c r="AC41" s="148"/>
      <c r="AD41" s="148"/>
      <c r="AE41" s="148"/>
      <c r="AF41" s="148"/>
      <c r="AG41" s="148"/>
      <c r="AH41" s="148"/>
      <c r="AI41" s="148"/>
      <c r="AJ41" s="148"/>
      <c r="AK41" s="148"/>
      <c r="AL41" s="148"/>
      <c r="AM41" s="148"/>
      <c r="AN41" s="148"/>
      <c r="AO41" s="148"/>
      <c r="AP41" s="148"/>
      <c r="AQ41" s="148"/>
      <c r="AR41" s="148"/>
    </row>
    <row r="42" spans="2:44">
      <c r="B42" s="32" t="str">
        <f>'Operating Calculations'!B99</f>
        <v>Water &amp; Sewer</v>
      </c>
      <c r="C42" s="32"/>
      <c r="D42" s="78">
        <f>'Select Historicals'!D45</f>
        <v>0</v>
      </c>
      <c r="E42" s="145">
        <f>D42/TotalDealUnits</f>
        <v>0</v>
      </c>
      <c r="F42" s="146">
        <f t="shared" si="20"/>
        <v>0</v>
      </c>
      <c r="G42" s="78">
        <f>'Select Historicals'!F45</f>
        <v>0</v>
      </c>
      <c r="H42" s="145">
        <f>G42/TotalDealUnits</f>
        <v>0</v>
      </c>
      <c r="I42" s="146">
        <f t="shared" si="21"/>
        <v>0</v>
      </c>
      <c r="J42" s="78">
        <f>'Select Historicals'!H45</f>
        <v>0</v>
      </c>
      <c r="K42" s="145">
        <f t="shared" si="18"/>
        <v>0</v>
      </c>
      <c r="L42" s="146">
        <f t="shared" si="22"/>
        <v>0</v>
      </c>
      <c r="M42" s="78">
        <f>'Select Historicals'!J45</f>
        <v>0</v>
      </c>
      <c r="N42" s="145">
        <f>M42/TotalDealUnits</f>
        <v>0</v>
      </c>
      <c r="O42" s="146">
        <f t="shared" si="23"/>
        <v>0</v>
      </c>
      <c r="P42" s="78">
        <f>'Select Historicals'!L45</f>
        <v>0</v>
      </c>
      <c r="Q42" s="145">
        <f>P42/TotalDealUnits</f>
        <v>0</v>
      </c>
      <c r="R42" s="146">
        <f t="shared" si="24"/>
        <v>0</v>
      </c>
      <c r="T42" s="78">
        <f>-SUMIF(RMHistExpenseCategory,$B42,'Operating Calculations'!C$88:C$107)</f>
        <v>0</v>
      </c>
      <c r="U42" s="145">
        <f t="shared" si="19"/>
        <v>0</v>
      </c>
      <c r="V42" s="167">
        <f>IF($V$7=GenValidation!$BC$17,IF($T$26,T42/$T$26,),ROUND(IFERROR(IF(CHOOSE(MATCH($V$7,GenValidation!$BC$12:$BC$16,),D42,G42,J42,M42,P42),T42/CHOOSE(MATCH($V$7,GenValidation!$BC$12:$BC$16,),D42,G42,J42,M42,P42)-1,),),4))</f>
        <v>0</v>
      </c>
      <c r="W42" s="147" t="str">
        <f>IF('Adjustments &amp; Notes'!O49&lt;&gt;"",GenValidation!AI38,"")</f>
        <v/>
      </c>
      <c r="Y42" s="149" t="str">
        <f>IF(WaterSewerNotes="","",WaterSewerNotes)</f>
        <v/>
      </c>
      <c r="Z42" s="149"/>
      <c r="AA42" s="149"/>
      <c r="AB42" s="149"/>
      <c r="AC42" s="149"/>
      <c r="AD42" s="149"/>
      <c r="AE42" s="149"/>
      <c r="AF42" s="149"/>
      <c r="AG42" s="149"/>
      <c r="AH42" s="149"/>
      <c r="AI42" s="149"/>
      <c r="AJ42" s="149"/>
      <c r="AK42" s="149"/>
      <c r="AL42" s="149"/>
      <c r="AM42" s="149"/>
      <c r="AN42" s="149"/>
      <c r="AO42" s="149"/>
      <c r="AP42" s="149"/>
      <c r="AQ42" s="149"/>
      <c r="AR42" s="149"/>
    </row>
    <row r="43" spans="2:44">
      <c r="B43" s="32" t="str">
        <f>'Operating Calculations'!B100</f>
        <v>Other Utilities</v>
      </c>
      <c r="C43" s="32"/>
      <c r="D43" s="78">
        <f>'Select Historicals'!D46</f>
        <v>61042</v>
      </c>
      <c r="E43" s="145">
        <f>D43/TotalDealUnits</f>
        <v>763.02499999999998</v>
      </c>
      <c r="F43" s="146">
        <f t="shared" si="20"/>
        <v>4.6678009520350228E-2</v>
      </c>
      <c r="G43" s="78">
        <f>'Select Historicals'!F46</f>
        <v>61042</v>
      </c>
      <c r="H43" s="145">
        <f>G43/TotalDealUnits</f>
        <v>763.02499999999998</v>
      </c>
      <c r="I43" s="146">
        <f t="shared" si="21"/>
        <v>4.5460367960725431E-2</v>
      </c>
      <c r="J43" s="78">
        <f>'Select Historicals'!H46</f>
        <v>61042</v>
      </c>
      <c r="K43" s="145">
        <f t="shared" si="18"/>
        <v>763.02499999999998</v>
      </c>
      <c r="L43" s="146">
        <f t="shared" si="22"/>
        <v>4.698400871915813E-2</v>
      </c>
      <c r="M43" s="78">
        <f>'Select Historicals'!J46</f>
        <v>61042</v>
      </c>
      <c r="N43" s="145">
        <f>M43/TotalDealUnits</f>
        <v>763.02499999999998</v>
      </c>
      <c r="O43" s="146">
        <f t="shared" si="23"/>
        <v>4.6804458239277653E-2</v>
      </c>
      <c r="P43" s="78">
        <f>'Select Historicals'!L46</f>
        <v>61042</v>
      </c>
      <c r="Q43" s="145">
        <f>P43/TotalDealUnits</f>
        <v>763.02499999999998</v>
      </c>
      <c r="R43" s="146">
        <f t="shared" si="24"/>
        <v>4.2916722912167027E-2</v>
      </c>
      <c r="T43" s="78">
        <f>-SUMIF(RMHistExpenseCategory,$B43,'Operating Calculations'!C$88:C$107)</f>
        <v>0</v>
      </c>
      <c r="U43" s="145">
        <f t="shared" si="19"/>
        <v>0</v>
      </c>
      <c r="V43" s="167">
        <f>IF($V$7=GenValidation!$BC$17,IF($T$26,T43/$T$26,),ROUND(IFERROR(IF(CHOOSE(MATCH($V$7,GenValidation!$BC$12:$BC$16,),D43,G43,J43,M43,P43),T43/CHOOSE(MATCH($V$7,GenValidation!$BC$12:$BC$16,),D43,G43,J43,M43,P43)-1,),),4))</f>
        <v>0</v>
      </c>
      <c r="W43" s="147" t="str">
        <f>IF('Adjustments &amp; Notes'!O50&lt;&gt;"",GenValidation!AI39,"")</f>
        <v/>
      </c>
      <c r="Y43" s="148" t="str">
        <f>IF(OtherUtilitiesNotes="","",OtherUtilitiesNotes)</f>
        <v/>
      </c>
      <c r="Z43" s="148"/>
      <c r="AA43" s="148"/>
      <c r="AB43" s="148"/>
      <c r="AC43" s="148"/>
      <c r="AD43" s="148"/>
      <c r="AE43" s="148"/>
      <c r="AF43" s="148"/>
      <c r="AG43" s="148"/>
      <c r="AH43" s="148"/>
      <c r="AI43" s="148"/>
      <c r="AJ43" s="148"/>
      <c r="AK43" s="148"/>
      <c r="AL43" s="148"/>
      <c r="AM43" s="148"/>
      <c r="AN43" s="148"/>
      <c r="AO43" s="148"/>
      <c r="AP43" s="148"/>
      <c r="AQ43" s="148"/>
      <c r="AR43" s="148"/>
    </row>
    <row r="44" spans="2:44">
      <c r="B44" s="32" t="str">
        <f>'Operating Calculations'!B101</f>
        <v>Insurance</v>
      </c>
      <c r="C44" s="32"/>
      <c r="D44" s="78">
        <f>'Select Historicals'!D47</f>
        <v>41934</v>
      </c>
      <c r="E44" s="145">
        <f>D44/TotalDealUnits</f>
        <v>524.17499999999995</v>
      </c>
      <c r="F44" s="146">
        <f t="shared" si="20"/>
        <v>3.2066374811217949E-2</v>
      </c>
      <c r="G44" s="78">
        <f>'Select Historicals'!F47</f>
        <v>41934</v>
      </c>
      <c r="H44" s="145">
        <f>G44/TotalDealUnits</f>
        <v>524.17499999999995</v>
      </c>
      <c r="I44" s="146">
        <f t="shared" si="21"/>
        <v>3.122989204261099E-2</v>
      </c>
      <c r="J44" s="78">
        <f>'Select Historicals'!H47</f>
        <v>41934</v>
      </c>
      <c r="K44" s="145">
        <f t="shared" si="18"/>
        <v>524.17499999999995</v>
      </c>
      <c r="L44" s="146">
        <f t="shared" si="22"/>
        <v>3.2276586966829016E-2</v>
      </c>
      <c r="M44" s="78">
        <f>'Select Historicals'!J47</f>
        <v>41934</v>
      </c>
      <c r="N44" s="145">
        <f>M44/TotalDealUnits</f>
        <v>524.17499999999995</v>
      </c>
      <c r="O44" s="146">
        <f t="shared" si="23"/>
        <v>3.2153241240553534E-2</v>
      </c>
      <c r="P44" s="78">
        <f>'Select Historicals'!L47</f>
        <v>41934</v>
      </c>
      <c r="Q44" s="145">
        <f>P44/TotalDealUnits</f>
        <v>524.17499999999995</v>
      </c>
      <c r="R44" s="146">
        <f t="shared" si="24"/>
        <v>2.9482485151187902E-2</v>
      </c>
      <c r="T44" s="78">
        <f>-SUMIF(RMHistExpenseCategory,$B44,'Operating Calculations'!C$88:C$107)</f>
        <v>0</v>
      </c>
      <c r="U44" s="145">
        <f t="shared" si="19"/>
        <v>0</v>
      </c>
      <c r="V44" s="167">
        <f>IF($V$7=GenValidation!$BC$17,IF($T$26,T44/$T$26,),ROUND(IFERROR(IF(CHOOSE(MATCH($V$7,GenValidation!$BC$12:$BC$16,),D44,G44,J44,M44,P44),T44/CHOOSE(MATCH($V$7,GenValidation!$BC$12:$BC$16,),D44,G44,J44,M44,P44)-1,),),4))</f>
        <v>0</v>
      </c>
      <c r="W44" s="147" t="str">
        <f>IF('Adjustments &amp; Notes'!O51&lt;&gt;"",GenValidation!AI40,"")</f>
        <v/>
      </c>
      <c r="Y44" s="149" t="str">
        <f>IF(InsuranceNotes="","",InsuranceNotes)</f>
        <v/>
      </c>
      <c r="Z44" s="149"/>
      <c r="AA44" s="149"/>
      <c r="AB44" s="149"/>
      <c r="AC44" s="149"/>
      <c r="AD44" s="149"/>
      <c r="AE44" s="149"/>
      <c r="AF44" s="149"/>
      <c r="AG44" s="149"/>
      <c r="AH44" s="149"/>
      <c r="AI44" s="149"/>
      <c r="AJ44" s="149"/>
      <c r="AK44" s="149"/>
      <c r="AL44" s="149"/>
      <c r="AM44" s="149"/>
      <c r="AN44" s="149"/>
      <c r="AO44" s="149"/>
      <c r="AP44" s="149"/>
      <c r="AQ44" s="149"/>
      <c r="AR44" s="149"/>
    </row>
    <row r="45" spans="2:44">
      <c r="B45" s="32" t="str">
        <f>'Operating Calculations'!B102</f>
        <v>Real Estate Taxes</v>
      </c>
      <c r="C45" s="32"/>
      <c r="D45" s="78">
        <f>'Select Historicals'!D48</f>
        <v>182667</v>
      </c>
      <c r="E45" s="145">
        <f>D45/TotalDealUnits</f>
        <v>2283.3375000000001</v>
      </c>
      <c r="F45" s="146">
        <f t="shared" si="20"/>
        <v>0.13968303733583132</v>
      </c>
      <c r="G45" s="78">
        <f>'Select Historicals'!F48</f>
        <v>182667</v>
      </c>
      <c r="H45" s="145">
        <f>G45/TotalDealUnits</f>
        <v>2283.3375000000001</v>
      </c>
      <c r="I45" s="146">
        <f t="shared" si="21"/>
        <v>0.13603926860656324</v>
      </c>
      <c r="J45" s="78">
        <f>'Select Historicals'!H48</f>
        <v>182667</v>
      </c>
      <c r="K45" s="145">
        <f t="shared" si="18"/>
        <v>2283.3375000000001</v>
      </c>
      <c r="L45" s="146">
        <f t="shared" si="22"/>
        <v>0.14059873399794337</v>
      </c>
      <c r="M45" s="78">
        <f>'Select Historicals'!J48</f>
        <v>182667</v>
      </c>
      <c r="N45" s="145">
        <f>M45/TotalDealUnits</f>
        <v>2283.3375000000001</v>
      </c>
      <c r="O45" s="146">
        <f t="shared" si="23"/>
        <v>0.14006143267248994</v>
      </c>
      <c r="P45" s="78">
        <f>'Select Historicals'!L48</f>
        <v>182667</v>
      </c>
      <c r="Q45" s="145">
        <f>P45/TotalDealUnits</f>
        <v>2283.3375000000001</v>
      </c>
      <c r="R45" s="146">
        <f t="shared" si="24"/>
        <v>0.12842746017818574</v>
      </c>
      <c r="T45" s="78">
        <f>-SUMIF(RMHistExpenseCategory,$B45,'Operating Calculations'!C$88:C$107)</f>
        <v>182667</v>
      </c>
      <c r="U45" s="145">
        <f t="shared" si="19"/>
        <v>2283.3375000000001</v>
      </c>
      <c r="V45" s="167">
        <f>IF($V$7=GenValidation!$BC$17,IF($T$26,T45/$T$26,),ROUND(IFERROR(IF(CHOOSE(MATCH($V$7,GenValidation!$BC$12:$BC$16,),D45,G45,J45,M45,P45),T45/CHOOSE(MATCH($V$7,GenValidation!$BC$12:$BC$16,),D45,G45,J45,M45,P45)-1,),),4))</f>
        <v>0.1257082466535667</v>
      </c>
      <c r="W45" s="147" t="str">
        <f>IF('Adjustments &amp; Notes'!O52&lt;&gt;"",GenValidation!AI41,"")</f>
        <v/>
      </c>
      <c r="Y45" s="148" t="str">
        <f>IF(RealEstateTaxesNotes="","",RealEstateTaxesNotes)</f>
        <v/>
      </c>
      <c r="Z45" s="148"/>
      <c r="AA45" s="148"/>
      <c r="AB45" s="148"/>
      <c r="AC45" s="148"/>
      <c r="AD45" s="148"/>
      <c r="AE45" s="148"/>
      <c r="AF45" s="148"/>
      <c r="AG45" s="148"/>
      <c r="AH45" s="148"/>
      <c r="AI45" s="148"/>
      <c r="AJ45" s="148"/>
      <c r="AK45" s="148"/>
      <c r="AL45" s="148"/>
      <c r="AM45" s="148"/>
      <c r="AN45" s="148"/>
      <c r="AO45" s="148"/>
      <c r="AP45" s="148"/>
      <c r="AQ45" s="148"/>
      <c r="AR45" s="148"/>
    </row>
    <row r="46" spans="2:44">
      <c r="B46" s="32" t="str">
        <f>'Operating Calculations'!B103</f>
        <v>Other Property Taxes</v>
      </c>
      <c r="C46" s="32"/>
      <c r="D46" s="78">
        <f>'Select Historicals'!D49</f>
        <v>0</v>
      </c>
      <c r="E46" s="145">
        <f>D46/TotalDealUnits</f>
        <v>0</v>
      </c>
      <c r="F46" s="146">
        <f t="shared" si="20"/>
        <v>0</v>
      </c>
      <c r="G46" s="78">
        <f>'Select Historicals'!F49</f>
        <v>0</v>
      </c>
      <c r="H46" s="145">
        <f>G46/TotalDealUnits</f>
        <v>0</v>
      </c>
      <c r="I46" s="146">
        <f t="shared" si="21"/>
        <v>0</v>
      </c>
      <c r="J46" s="78">
        <f>'Select Historicals'!H49</f>
        <v>0</v>
      </c>
      <c r="K46" s="145">
        <f t="shared" si="18"/>
        <v>0</v>
      </c>
      <c r="L46" s="146">
        <f t="shared" si="22"/>
        <v>0</v>
      </c>
      <c r="M46" s="78">
        <f>'Select Historicals'!J49</f>
        <v>0</v>
      </c>
      <c r="N46" s="145">
        <f>M46/TotalDealUnits</f>
        <v>0</v>
      </c>
      <c r="O46" s="146">
        <f t="shared" si="23"/>
        <v>0</v>
      </c>
      <c r="P46" s="78">
        <f>'Select Historicals'!L49</f>
        <v>0</v>
      </c>
      <c r="Q46" s="145">
        <f>P46/TotalDealUnits</f>
        <v>0</v>
      </c>
      <c r="R46" s="146">
        <f t="shared" si="24"/>
        <v>0</v>
      </c>
      <c r="T46" s="78">
        <f>-SUMIF(RMHistExpenseCategory,$B46,'Operating Calculations'!C$88:C$107)</f>
        <v>0</v>
      </c>
      <c r="U46" s="145">
        <f t="shared" si="19"/>
        <v>0</v>
      </c>
      <c r="V46" s="167">
        <f>IF($V$7=GenValidation!$BC$17,IF($T$26,T46/$T$26,),ROUND(IFERROR(IF(CHOOSE(MATCH($V$7,GenValidation!$BC$12:$BC$16,),D46,G46,J46,M46,P46),T46/CHOOSE(MATCH($V$7,GenValidation!$BC$12:$BC$16,),D46,G46,J46,M46,P46)-1,),),4))</f>
        <v>0</v>
      </c>
      <c r="W46" s="147" t="str">
        <f>IF('Adjustments &amp; Notes'!O53&lt;&gt;"",GenValidation!AI42,"")</f>
        <v/>
      </c>
      <c r="Y46" s="149" t="str">
        <f>IF(OtherPropertyTaxesNotes="","",OtherPropertyTaxesNotes)</f>
        <v/>
      </c>
      <c r="Z46" s="149"/>
      <c r="AA46" s="149"/>
      <c r="AB46" s="149"/>
      <c r="AC46" s="149"/>
      <c r="AD46" s="149"/>
      <c r="AE46" s="149"/>
      <c r="AF46" s="149"/>
      <c r="AG46" s="149"/>
      <c r="AH46" s="149"/>
      <c r="AI46" s="149"/>
      <c r="AJ46" s="149"/>
      <c r="AK46" s="149"/>
      <c r="AL46" s="149"/>
      <c r="AM46" s="149"/>
      <c r="AN46" s="149"/>
      <c r="AO46" s="149"/>
      <c r="AP46" s="149"/>
      <c r="AQ46" s="149"/>
      <c r="AR46" s="149"/>
    </row>
    <row r="47" spans="2:44">
      <c r="B47" s="32" t="str">
        <f>'Operating Calculations'!B104</f>
        <v>Property Management Fee</v>
      </c>
      <c r="C47" s="32"/>
      <c r="D47" s="78">
        <f>'Select Historicals'!D50</f>
        <v>45772</v>
      </c>
      <c r="E47" s="145">
        <f>D47/TotalDealUnits</f>
        <v>572.15</v>
      </c>
      <c r="F47" s="146">
        <f t="shared" si="20"/>
        <v>3.5001242615993425E-2</v>
      </c>
      <c r="G47" s="78">
        <f>'Select Historicals'!F50</f>
        <v>45772</v>
      </c>
      <c r="H47" s="145">
        <f>G47/TotalDealUnits</f>
        <v>572.15</v>
      </c>
      <c r="I47" s="146">
        <f t="shared" si="21"/>
        <v>3.4088200948499792E-2</v>
      </c>
      <c r="J47" s="78">
        <f>'Select Historicals'!H50</f>
        <v>45772</v>
      </c>
      <c r="K47" s="145">
        <f t="shared" si="18"/>
        <v>572.15</v>
      </c>
      <c r="L47" s="146">
        <f t="shared" si="22"/>
        <v>3.5230694392275906E-2</v>
      </c>
      <c r="M47" s="78">
        <f>'Select Historicals'!J50</f>
        <v>45772</v>
      </c>
      <c r="N47" s="145">
        <f>M47/TotalDealUnits</f>
        <v>572.15</v>
      </c>
      <c r="O47" s="146">
        <f t="shared" si="23"/>
        <v>3.509605947590539E-2</v>
      </c>
      <c r="P47" s="78">
        <f>'Select Historicals'!L50</f>
        <v>45772</v>
      </c>
      <c r="Q47" s="145">
        <f>P47/TotalDealUnits</f>
        <v>572.15</v>
      </c>
      <c r="R47" s="146">
        <f t="shared" si="24"/>
        <v>3.2180863030957518E-2</v>
      </c>
      <c r="T47" s="78">
        <f>-SUMIF(RMHistExpenseCategory,$B47,'Operating Calculations'!C$88:C$107)</f>
        <v>0</v>
      </c>
      <c r="U47" s="145">
        <f t="shared" si="19"/>
        <v>0</v>
      </c>
      <c r="V47" s="167">
        <f>IF($V$7=GenValidation!$BC$17,IF($T$26,T47/$T$26,),ROUND(IFERROR(IF(CHOOSE(MATCH($V$7,GenValidation!$BC$12:$BC$16,),D47,G47,J47,M47,P47),T47/CHOOSE(MATCH($V$7,GenValidation!$BC$12:$BC$16,),D47,G47,J47,M47,P47)-1,),),4))</f>
        <v>0</v>
      </c>
      <c r="W47" s="147" t="str">
        <f>IF('Adjustments &amp; Notes'!O54&lt;&gt;"",GenValidation!AI43,"")</f>
        <v/>
      </c>
      <c r="Y47" s="148" t="str">
        <f>IF(PropertyManagementFeeNotes="","",PropertyManagementFeeNotes)</f>
        <v/>
      </c>
      <c r="Z47" s="148"/>
      <c r="AA47" s="148"/>
      <c r="AB47" s="148"/>
      <c r="AC47" s="148"/>
      <c r="AD47" s="148"/>
      <c r="AE47" s="148"/>
      <c r="AF47" s="148"/>
      <c r="AG47" s="148"/>
      <c r="AH47" s="148"/>
      <c r="AI47" s="148"/>
      <c r="AJ47" s="148"/>
      <c r="AK47" s="148"/>
      <c r="AL47" s="148"/>
      <c r="AM47" s="148"/>
      <c r="AN47" s="148"/>
      <c r="AO47" s="148"/>
      <c r="AP47" s="148"/>
      <c r="AQ47" s="148"/>
      <c r="AR47" s="148"/>
    </row>
    <row r="48" spans="2:44">
      <c r="B48" s="32" t="str">
        <f>'Operating Calculations'!B105</f>
        <v>Other Operating Expenses</v>
      </c>
      <c r="C48" s="32"/>
      <c r="D48" s="78">
        <f>'Select Historicals'!D51</f>
        <v>0</v>
      </c>
      <c r="E48" s="145">
        <f>D48/TotalDealUnits</f>
        <v>0</v>
      </c>
      <c r="F48" s="146">
        <f t="shared" si="20"/>
        <v>0</v>
      </c>
      <c r="G48" s="78">
        <f>'Select Historicals'!F51</f>
        <v>0</v>
      </c>
      <c r="H48" s="145">
        <f>G48/TotalDealUnits</f>
        <v>0</v>
      </c>
      <c r="I48" s="146">
        <f t="shared" si="21"/>
        <v>0</v>
      </c>
      <c r="J48" s="78">
        <f>'Select Historicals'!H51</f>
        <v>0</v>
      </c>
      <c r="K48" s="145">
        <f t="shared" si="18"/>
        <v>0</v>
      </c>
      <c r="L48" s="146">
        <f t="shared" si="22"/>
        <v>0</v>
      </c>
      <c r="M48" s="78">
        <f>'Select Historicals'!J51</f>
        <v>0</v>
      </c>
      <c r="N48" s="145">
        <f>M48/TotalDealUnits</f>
        <v>0</v>
      </c>
      <c r="O48" s="146">
        <f t="shared" si="23"/>
        <v>0</v>
      </c>
      <c r="P48" s="78">
        <f>'Select Historicals'!L51</f>
        <v>0</v>
      </c>
      <c r="Q48" s="145">
        <f>P48/TotalDealUnits</f>
        <v>0</v>
      </c>
      <c r="R48" s="146">
        <f t="shared" si="24"/>
        <v>0</v>
      </c>
      <c r="T48" s="78">
        <f>-SUMIF(RMHistExpenseCategory,$B48,'Operating Calculations'!C$88:C$107)</f>
        <v>0</v>
      </c>
      <c r="U48" s="145">
        <f>T48/TotalDealUnits</f>
        <v>0</v>
      </c>
      <c r="V48" s="167">
        <f>IF($V$7=GenValidation!$BC$17,IF($T$26,T48/$T$26,),ROUND(IFERROR(IF(CHOOSE(MATCH($V$7,GenValidation!$BC$12:$BC$16,),D48,G48,J48,M48,P48),T48/CHOOSE(MATCH($V$7,GenValidation!$BC$12:$BC$16,),D48,G48,J48,M48,P48)-1,),),4))</f>
        <v>0</v>
      </c>
      <c r="W48" s="147" t="str">
        <f>IF('Adjustments &amp; Notes'!O55&lt;&gt;"",GenValidation!AI44,"")</f>
        <v/>
      </c>
      <c r="Y48" s="149" t="str">
        <f>IF(OtherOperatingExpensesNotes="","",OtherOperatingExpensesNotes)</f>
        <v/>
      </c>
      <c r="Z48" s="149"/>
      <c r="AA48" s="149"/>
      <c r="AB48" s="149"/>
      <c r="AC48" s="149"/>
      <c r="AD48" s="149"/>
      <c r="AE48" s="149"/>
      <c r="AF48" s="149"/>
      <c r="AG48" s="149"/>
      <c r="AH48" s="149"/>
      <c r="AI48" s="149"/>
      <c r="AJ48" s="149"/>
      <c r="AK48" s="149"/>
      <c r="AL48" s="149"/>
      <c r="AM48" s="149"/>
      <c r="AN48" s="149"/>
      <c r="AO48" s="149"/>
      <c r="AP48" s="149"/>
      <c r="AQ48" s="149"/>
      <c r="AR48" s="149"/>
    </row>
    <row r="49" spans="2:44">
      <c r="B49" s="32" t="str">
        <f>'Select Historicals'!B52</f>
        <v>Reimbursements</v>
      </c>
      <c r="C49" s="32"/>
      <c r="D49" s="78">
        <f>'Select Historicals'!D52</f>
        <v>0</v>
      </c>
      <c r="E49" s="145">
        <f>D49/TotalDealUnits</f>
        <v>0</v>
      </c>
      <c r="F49" s="146">
        <f t="shared" si="20"/>
        <v>0</v>
      </c>
      <c r="G49" s="78">
        <f>'Select Historicals'!F52</f>
        <v>0</v>
      </c>
      <c r="H49" s="145">
        <f>G49/TotalDealUnits</f>
        <v>0</v>
      </c>
      <c r="I49" s="146">
        <f t="shared" si="21"/>
        <v>0</v>
      </c>
      <c r="J49" s="78">
        <f>'Select Historicals'!H52</f>
        <v>0</v>
      </c>
      <c r="K49" s="145">
        <f t="shared" si="18"/>
        <v>0</v>
      </c>
      <c r="L49" s="146">
        <f t="shared" si="22"/>
        <v>0</v>
      </c>
      <c r="M49" s="78">
        <f>'Select Historicals'!J52</f>
        <v>0</v>
      </c>
      <c r="N49" s="145">
        <f>M49/TotalDealUnits</f>
        <v>0</v>
      </c>
      <c r="O49" s="146">
        <f t="shared" si="23"/>
        <v>0</v>
      </c>
      <c r="P49" s="78">
        <f>'Select Historicals'!L52</f>
        <v>0</v>
      </c>
      <c r="Q49" s="145">
        <f>P49/TotalDealUnits</f>
        <v>0</v>
      </c>
      <c r="R49" s="146">
        <f t="shared" si="24"/>
        <v>0</v>
      </c>
      <c r="T49" s="78">
        <f>-ROUND('Operating Calculations'!C136-'Historical CF'!T21,)</f>
        <v>0</v>
      </c>
      <c r="U49" s="145">
        <f t="shared" si="19"/>
        <v>0</v>
      </c>
      <c r="V49" s="167">
        <f>IF($V$7=GenValidation!$BC$17,IF($T$26,T49/$T$26,),ROUND(IFERROR(IF(CHOOSE(MATCH($V$7,GenValidation!$BC$12:$BC$16,),D49,G49,J49,M49,P49),T49/CHOOSE(MATCH($V$7,GenValidation!$BC$12:$BC$16,),D49,G49,J49,M49,P49)-1,),),4))</f>
        <v>0</v>
      </c>
      <c r="W49" s="147" t="str">
        <f>IF('Adjustments &amp; Notes'!O56&lt;&gt;"",GenValidation!AI45,"")</f>
        <v/>
      </c>
      <c r="Y49" s="148" t="str">
        <f>IF(ReimbursementsNotes="","",ReimbursementsNotes)</f>
        <v/>
      </c>
      <c r="Z49" s="148"/>
      <c r="AA49" s="148"/>
      <c r="AB49" s="148"/>
      <c r="AC49" s="148"/>
      <c r="AD49" s="148"/>
      <c r="AE49" s="148"/>
      <c r="AF49" s="148"/>
      <c r="AG49" s="148"/>
      <c r="AH49" s="148"/>
      <c r="AI49" s="148"/>
      <c r="AJ49" s="148"/>
      <c r="AK49" s="148"/>
      <c r="AL49" s="148"/>
      <c r="AM49" s="148"/>
      <c r="AN49" s="148"/>
      <c r="AO49" s="148"/>
      <c r="AP49" s="148"/>
      <c r="AQ49" s="148"/>
      <c r="AR49" s="148"/>
    </row>
    <row r="50" spans="2:44">
      <c r="B50" s="32"/>
      <c r="C50" s="32"/>
      <c r="D50" s="78"/>
      <c r="E50" s="145"/>
      <c r="F50" s="146"/>
      <c r="G50" s="78"/>
      <c r="H50" s="145"/>
      <c r="I50" s="146"/>
      <c r="J50" s="78"/>
      <c r="K50" s="145"/>
      <c r="L50" s="146"/>
      <c r="M50" s="78"/>
      <c r="N50" s="145"/>
      <c r="O50" s="146"/>
      <c r="P50" s="78"/>
      <c r="Q50" s="145"/>
      <c r="R50" s="146"/>
      <c r="T50" s="78"/>
      <c r="U50" s="145"/>
      <c r="V50" s="167"/>
      <c r="W50" s="147"/>
      <c r="Y50" s="149"/>
      <c r="Z50" s="149"/>
      <c r="AA50" s="149"/>
      <c r="AB50" s="149"/>
      <c r="AC50" s="149"/>
      <c r="AD50" s="149"/>
      <c r="AE50" s="149"/>
      <c r="AF50" s="149"/>
      <c r="AG50" s="149"/>
      <c r="AH50" s="149"/>
      <c r="AI50" s="149"/>
      <c r="AJ50" s="149"/>
      <c r="AK50" s="149"/>
      <c r="AL50" s="149"/>
      <c r="AM50" s="149"/>
      <c r="AN50" s="149"/>
      <c r="AO50" s="149"/>
      <c r="AP50" s="149"/>
      <c r="AQ50" s="149"/>
      <c r="AR50" s="149"/>
    </row>
    <row r="51" spans="2:44">
      <c r="B51" s="153" t="s">
        <v>127</v>
      </c>
      <c r="C51" s="153"/>
      <c r="D51" s="154">
        <f>SUBTOTAL(9,D31:D49)</f>
        <v>592208</v>
      </c>
      <c r="E51" s="155">
        <f>D51/TotalDealUnits</f>
        <v>7402.6</v>
      </c>
      <c r="F51" s="156">
        <f>IF(E$26,E51/E$26,)</f>
        <v>0.45285361983597472</v>
      </c>
      <c r="G51" s="154">
        <f>SUBTOTAL(9,G31:G49)</f>
        <v>592208</v>
      </c>
      <c r="H51" s="155">
        <f>G51/TotalDealUnits</f>
        <v>7402.6</v>
      </c>
      <c r="I51" s="156">
        <f>IF(H$26,H51/H$26,)</f>
        <v>0.44104048997878981</v>
      </c>
      <c r="J51" s="154">
        <f>SUBTOTAL(9,J31:J49)</f>
        <v>592208</v>
      </c>
      <c r="K51" s="155">
        <f>J51/TotalDealUnits</f>
        <v>7402.6</v>
      </c>
      <c r="L51" s="156">
        <f>IF(K$26,K51/K$26,)</f>
        <v>0.455822316365047</v>
      </c>
      <c r="M51" s="154">
        <f>SUBTOTAL(9,M31:M49)</f>
        <v>592208</v>
      </c>
      <c r="N51" s="155">
        <f>M51/TotalDealUnits</f>
        <v>7402.6</v>
      </c>
      <c r="O51" s="156">
        <f>IF(N$26,N51/N$26,)</f>
        <v>0.45408038080282659</v>
      </c>
      <c r="P51" s="154">
        <f>SUBTOTAL(9,P31:P49)</f>
        <v>592208</v>
      </c>
      <c r="Q51" s="155">
        <f>P51/TotalDealUnits</f>
        <v>7402.6</v>
      </c>
      <c r="R51" s="156">
        <f>IF(Q$26,Q51/Q$26,)</f>
        <v>0.41636294096472282</v>
      </c>
      <c r="T51" s="154">
        <f>SUBTOTAL(9,T31:T49)</f>
        <v>439367</v>
      </c>
      <c r="U51" s="155">
        <f>T51/TotalDealUnits</f>
        <v>5492.0874999999996</v>
      </c>
      <c r="V51" s="157">
        <f>IF($V$7=GenValidation!$BC$17,IF($T$26,T51/$T$26,),ROUND(IFERROR(IF(CHOOSE(MATCH($V$7,GenValidation!$BC$12:$BC$16,),D51,G51,J51,M51,P51),T51/CHOOSE(MATCH($V$7,GenValidation!$BC$12:$BC$16,),D51,G51,J51,M51,P51)-1,),),4))</f>
        <v>0.30236471397372072</v>
      </c>
      <c r="W51" s="147" t="str">
        <f>IF('Adjustments &amp; Notes'!O58&lt;&gt;"",GenValidation!AI47,"")</f>
        <v/>
      </c>
      <c r="Y51" s="148" t="str">
        <f>IF(TotalOperatingExpensesNotes="","",TotalOperatingExpensesNotes)</f>
        <v/>
      </c>
      <c r="Z51" s="148"/>
      <c r="AA51" s="148"/>
      <c r="AB51" s="148"/>
      <c r="AC51" s="148"/>
      <c r="AD51" s="148"/>
      <c r="AE51" s="148"/>
      <c r="AF51" s="148"/>
      <c r="AG51" s="148"/>
      <c r="AH51" s="148"/>
      <c r="AI51" s="148"/>
      <c r="AJ51" s="148"/>
      <c r="AK51" s="148"/>
      <c r="AL51" s="148"/>
      <c r="AM51" s="148"/>
      <c r="AN51" s="148"/>
      <c r="AO51" s="148"/>
      <c r="AP51" s="148"/>
      <c r="AQ51" s="148"/>
      <c r="AR51" s="148"/>
    </row>
    <row r="52" spans="2:44">
      <c r="B52" s="32"/>
      <c r="C52" s="32"/>
      <c r="D52" s="40"/>
      <c r="E52" s="145"/>
      <c r="F52" s="146"/>
      <c r="G52" s="40"/>
      <c r="H52" s="145"/>
      <c r="I52" s="146"/>
      <c r="J52" s="40"/>
      <c r="K52" s="145"/>
      <c r="L52" s="146"/>
      <c r="M52" s="40"/>
      <c r="N52" s="145"/>
      <c r="O52" s="146"/>
      <c r="P52" s="40"/>
      <c r="Q52" s="145"/>
      <c r="R52" s="146"/>
      <c r="S52" s="168"/>
      <c r="T52" s="78"/>
      <c r="U52" s="145"/>
      <c r="V52" s="167"/>
      <c r="W52" s="147"/>
      <c r="Y52" s="160"/>
      <c r="Z52" s="160"/>
      <c r="AA52" s="160"/>
      <c r="AB52" s="160"/>
      <c r="AC52" s="160"/>
      <c r="AD52" s="160"/>
      <c r="AE52" s="160"/>
      <c r="AF52" s="160"/>
      <c r="AG52" s="160"/>
      <c r="AH52" s="160"/>
      <c r="AI52" s="160"/>
      <c r="AJ52" s="160"/>
      <c r="AK52" s="160"/>
      <c r="AL52" s="160"/>
      <c r="AM52" s="160"/>
      <c r="AN52" s="160"/>
      <c r="AO52" s="160"/>
      <c r="AP52" s="160"/>
      <c r="AQ52" s="160"/>
      <c r="AR52" s="160"/>
    </row>
    <row r="55" spans="2:44" s="17" customFormat="1" ht="14.25" customHeight="1">
      <c r="B55" s="1176" t="s">
        <v>128</v>
      </c>
      <c r="C55" s="121"/>
      <c r="D55" s="143"/>
      <c r="E55" s="143"/>
      <c r="F55" s="143"/>
      <c r="G55" s="143"/>
      <c r="H55" s="143"/>
      <c r="I55" s="143"/>
      <c r="J55" s="143"/>
      <c r="K55" s="143"/>
      <c r="L55" s="143"/>
      <c r="M55" s="143"/>
      <c r="N55" s="143"/>
      <c r="O55" s="143"/>
      <c r="P55" s="143"/>
      <c r="Q55" s="143"/>
      <c r="R55" s="143"/>
      <c r="T55" s="143"/>
      <c r="U55" s="143"/>
      <c r="V55" s="166"/>
      <c r="W55" s="166"/>
      <c r="Y55" s="143"/>
      <c r="Z55" s="143"/>
      <c r="AA55" s="143"/>
      <c r="AB55" s="143"/>
      <c r="AC55" s="143"/>
      <c r="AD55" s="143"/>
      <c r="AE55" s="143"/>
      <c r="AF55" s="143"/>
      <c r="AG55" s="143"/>
      <c r="AH55" s="143"/>
      <c r="AI55" s="143"/>
      <c r="AJ55" s="143"/>
      <c r="AK55" s="143"/>
      <c r="AL55" s="143"/>
      <c r="AM55" s="143"/>
      <c r="AN55" s="143"/>
      <c r="AO55" s="143"/>
      <c r="AP55" s="143"/>
      <c r="AQ55" s="143"/>
      <c r="AR55" s="143"/>
    </row>
    <row r="56" spans="2:44">
      <c r="B56" s="32" t="s">
        <v>129</v>
      </c>
      <c r="C56" s="32"/>
      <c r="D56" s="78">
        <f>D26-D51</f>
        <v>715517</v>
      </c>
      <c r="E56" s="145">
        <f>D56/TotalDealUnits</f>
        <v>8943.9624999999996</v>
      </c>
      <c r="F56" s="146">
        <f t="shared" ref="F56:F57" si="25">IF(E$26,E56/E$26,)</f>
        <v>0.54714638016402528</v>
      </c>
      <c r="G56" s="78">
        <f>G26-G51</f>
        <v>750544</v>
      </c>
      <c r="H56" s="145">
        <f>G56/TotalDealUnits</f>
        <v>9381.7999999999993</v>
      </c>
      <c r="I56" s="146">
        <f t="shared" ref="I56:I57" si="26">IF(H$26,H56/H$26,)</f>
        <v>0.55895951002121003</v>
      </c>
      <c r="J56" s="78">
        <f>J26-J51</f>
        <v>707000</v>
      </c>
      <c r="K56" s="145">
        <f>J56/TotalDealUnits</f>
        <v>8837.5</v>
      </c>
      <c r="L56" s="146">
        <f t="shared" ref="L56:L57" si="27">IF(K$26,K56/K$26,)</f>
        <v>0.544177683634953</v>
      </c>
      <c r="M56" s="78">
        <f>M26-M51</f>
        <v>711984</v>
      </c>
      <c r="N56" s="145">
        <f>M56/TotalDealUnits</f>
        <v>8899.7999999999993</v>
      </c>
      <c r="O56" s="146">
        <f t="shared" ref="O56:O57" si="28">IF(N$26,N56/N$26,)</f>
        <v>0.54591961919717336</v>
      </c>
      <c r="P56" s="78">
        <f>P26-P51</f>
        <v>830128</v>
      </c>
      <c r="Q56" s="145">
        <f>P56/TotalDealUnits</f>
        <v>10376.6</v>
      </c>
      <c r="R56" s="146">
        <f t="shared" ref="R56:R57" si="29">IF(Q$26,Q56/Q$26,)</f>
        <v>0.58363705903527718</v>
      </c>
      <c r="T56" s="78">
        <f>T26-T51</f>
        <v>1013735.7586710614</v>
      </c>
      <c r="U56" s="145">
        <f>T56/TotalDealUnits</f>
        <v>12671.696983388267</v>
      </c>
      <c r="V56" s="167">
        <f>IF($V$7=GenValidation!$BC$17,IF($T$26,T56/$T$26,),ROUND(IFERROR(IF(CHOOSE(MATCH($V$7,GenValidation!$BC$12:$BC$16,),D56,G56,J56,M56,P56),T56/CHOOSE(MATCH($V$7,GenValidation!$BC$12:$BC$16,),D56,G56,J56,M56,P56)-1,),),4))</f>
        <v>0.69763528602627922</v>
      </c>
      <c r="W56" s="147"/>
      <c r="Y56" s="148"/>
      <c r="Z56" s="148"/>
      <c r="AA56" s="148"/>
      <c r="AB56" s="148"/>
      <c r="AC56" s="148"/>
      <c r="AD56" s="148"/>
      <c r="AE56" s="148"/>
      <c r="AF56" s="148"/>
      <c r="AG56" s="148"/>
      <c r="AH56" s="148"/>
      <c r="AI56" s="148"/>
      <c r="AJ56" s="148"/>
      <c r="AK56" s="148"/>
      <c r="AL56" s="148"/>
      <c r="AM56" s="148"/>
      <c r="AN56" s="148"/>
      <c r="AO56" s="148"/>
      <c r="AP56" s="148"/>
      <c r="AQ56" s="148"/>
      <c r="AR56" s="148"/>
    </row>
    <row r="57" spans="2:44">
      <c r="B57" s="32" t="s">
        <v>130</v>
      </c>
      <c r="C57" s="32"/>
      <c r="D57" s="78">
        <f>'Select Historicals'!D60</f>
        <v>0</v>
      </c>
      <c r="E57" s="145">
        <f>D57/TotalDealUnits</f>
        <v>0</v>
      </c>
      <c r="F57" s="146">
        <f t="shared" si="25"/>
        <v>0</v>
      </c>
      <c r="G57" s="78">
        <f>'Select Historicals'!F60</f>
        <v>0</v>
      </c>
      <c r="H57" s="145">
        <f>G57/TotalDealUnits</f>
        <v>0</v>
      </c>
      <c r="I57" s="146">
        <f t="shared" si="26"/>
        <v>0</v>
      </c>
      <c r="J57" s="78">
        <f>'Select Historicals'!H60</f>
        <v>0</v>
      </c>
      <c r="K57" s="145">
        <f>J57/TotalDealUnits</f>
        <v>0</v>
      </c>
      <c r="L57" s="146">
        <f t="shared" si="27"/>
        <v>0</v>
      </c>
      <c r="M57" s="78">
        <f>'Select Historicals'!J60</f>
        <v>0</v>
      </c>
      <c r="N57" s="145">
        <f>M57/TotalDealUnits</f>
        <v>0</v>
      </c>
      <c r="O57" s="146">
        <f t="shared" si="28"/>
        <v>0</v>
      </c>
      <c r="P57" s="78">
        <f>'Select Historicals'!L60</f>
        <v>0</v>
      </c>
      <c r="Q57" s="145">
        <f>P57/TotalDealUnits</f>
        <v>0</v>
      </c>
      <c r="R57" s="146">
        <f t="shared" si="29"/>
        <v>0</v>
      </c>
      <c r="T57" s="78">
        <f>-'CF Calculations'!E60</f>
        <v>0</v>
      </c>
      <c r="U57" s="145">
        <f>T57/TotalDealUnits</f>
        <v>0</v>
      </c>
      <c r="V57" s="167">
        <f>IF($V$7=GenValidation!$BC$17,IF($T$26,T57/$T$26,),ROUND(IFERROR(IF(CHOOSE(MATCH($V$7,GenValidation!$BC$12:$BC$16,),D57,G57,J57,M57,P57),T57/CHOOSE(MATCH($V$7,GenValidation!$BC$12:$BC$16,),D57,G57,J57,M57,P57)-1,),),4))</f>
        <v>0</v>
      </c>
      <c r="W57" s="147" t="str">
        <f>IF('Adjustments &amp; Notes'!O64&lt;&gt;"",GenValidation!AI53,"")</f>
        <v/>
      </c>
      <c r="Y57" s="149" t="str">
        <f>IF(ReplacementReservesNotes="","",ReplacementReservesNotes)</f>
        <v/>
      </c>
      <c r="Z57" s="149"/>
      <c r="AA57" s="149"/>
      <c r="AB57" s="149"/>
      <c r="AC57" s="149"/>
      <c r="AD57" s="149"/>
      <c r="AE57" s="149"/>
      <c r="AF57" s="149"/>
      <c r="AG57" s="149"/>
      <c r="AH57" s="149"/>
      <c r="AI57" s="149"/>
      <c r="AJ57" s="149"/>
      <c r="AK57" s="149"/>
      <c r="AL57" s="149"/>
      <c r="AM57" s="149"/>
      <c r="AN57" s="149"/>
      <c r="AO57" s="149"/>
      <c r="AP57" s="149"/>
      <c r="AQ57" s="149"/>
      <c r="AR57" s="149"/>
    </row>
    <row r="58" spans="2:44">
      <c r="B58" s="32"/>
      <c r="C58" s="32"/>
      <c r="D58" s="78"/>
      <c r="E58" s="145"/>
      <c r="F58" s="146"/>
      <c r="G58" s="78"/>
      <c r="H58" s="145"/>
      <c r="I58" s="146"/>
      <c r="J58" s="78"/>
      <c r="K58" s="145"/>
      <c r="L58" s="146"/>
      <c r="M58" s="78"/>
      <c r="N58" s="145"/>
      <c r="O58" s="146"/>
      <c r="P58" s="78"/>
      <c r="Q58" s="145"/>
      <c r="R58" s="146"/>
      <c r="T58" s="78"/>
      <c r="U58" s="145"/>
      <c r="V58" s="167"/>
      <c r="W58" s="147"/>
      <c r="Y58" s="148"/>
      <c r="Z58" s="148"/>
      <c r="AA58" s="148"/>
      <c r="AB58" s="148"/>
      <c r="AC58" s="148"/>
      <c r="AD58" s="148"/>
      <c r="AE58" s="148"/>
      <c r="AF58" s="148"/>
      <c r="AG58" s="148"/>
      <c r="AH58" s="148"/>
      <c r="AI58" s="148"/>
      <c r="AJ58" s="148"/>
      <c r="AK58" s="148"/>
      <c r="AL58" s="148"/>
      <c r="AM58" s="148"/>
      <c r="AN58" s="148"/>
      <c r="AO58" s="148"/>
      <c r="AP58" s="148"/>
      <c r="AQ58" s="148"/>
      <c r="AR58" s="148"/>
    </row>
    <row r="59" spans="2:44" s="17" customFormat="1" ht="14.25" customHeight="1">
      <c r="B59" s="153" t="s">
        <v>131</v>
      </c>
      <c r="C59" s="153"/>
      <c r="D59" s="154">
        <f>D26-D51-D57</f>
        <v>715517</v>
      </c>
      <c r="E59" s="155">
        <f>D59/TotalDealUnits</f>
        <v>8943.9624999999996</v>
      </c>
      <c r="F59" s="156">
        <f>IF(E$26,E59/E$26,)</f>
        <v>0.54714638016402528</v>
      </c>
      <c r="G59" s="154">
        <f>G26-G51-G57</f>
        <v>750544</v>
      </c>
      <c r="H59" s="155">
        <f>G59/TotalDealUnits</f>
        <v>9381.7999999999993</v>
      </c>
      <c r="I59" s="156">
        <f>IF(H$26,H59/H$26,)</f>
        <v>0.55895951002121003</v>
      </c>
      <c r="J59" s="154">
        <f>J26-J51-J57</f>
        <v>707000</v>
      </c>
      <c r="K59" s="155">
        <f>J59/TotalDealUnits</f>
        <v>8837.5</v>
      </c>
      <c r="L59" s="156">
        <f>IF(K$26,K59/K$26,)</f>
        <v>0.544177683634953</v>
      </c>
      <c r="M59" s="154">
        <f>M26-M51-M57</f>
        <v>711984</v>
      </c>
      <c r="N59" s="155">
        <f>M59/TotalDealUnits</f>
        <v>8899.7999999999993</v>
      </c>
      <c r="O59" s="156">
        <f>IF(N$26,N59/N$26,)</f>
        <v>0.54591961919717336</v>
      </c>
      <c r="P59" s="154">
        <f>P26-P51-P57</f>
        <v>830128</v>
      </c>
      <c r="Q59" s="155">
        <f>P59/TotalDealUnits</f>
        <v>10376.6</v>
      </c>
      <c r="R59" s="156">
        <f>IF(Q$26,Q59/Q$26,)</f>
        <v>0.58363705903527718</v>
      </c>
      <c r="S59"/>
      <c r="T59" s="154">
        <f>T26-T51-T57</f>
        <v>1013735.7586710614</v>
      </c>
      <c r="U59" s="155">
        <f>T59/TotalDealUnits</f>
        <v>12671.696983388267</v>
      </c>
      <c r="V59" s="157">
        <f>IF($V$7=GenValidation!$BC$17,IF($T$26,T59/$T$26,),ROUND(IFERROR(IF(CHOOSE(MATCH($V$7,GenValidation!$BC$12:$BC$16,),D59,G59,J59,M59,P59),T59/CHOOSE(MATCH($V$7,GenValidation!$BC$12:$BC$16,),D59,G59,J59,M59,P59)-1,),),4))</f>
        <v>0.69763528602627922</v>
      </c>
      <c r="W59" s="147" t="str">
        <f>IF('Adjustments &amp; Notes'!O66&lt;&gt;"",GenValidation!AI55,"")</f>
        <v/>
      </c>
      <c r="Y59" s="149" t="str">
        <f>IF(NetOperatingIncomeAfterReservesNotes="","",NetOperatingIncomeAfterReservesNotes)</f>
        <v/>
      </c>
      <c r="Z59" s="149"/>
      <c r="AA59" s="149"/>
      <c r="AB59" s="149"/>
      <c r="AC59" s="149"/>
      <c r="AD59" s="149"/>
      <c r="AE59" s="149"/>
      <c r="AF59" s="149"/>
      <c r="AG59" s="149"/>
      <c r="AH59" s="149"/>
      <c r="AI59" s="149"/>
      <c r="AJ59" s="149"/>
      <c r="AK59" s="149"/>
      <c r="AL59" s="149"/>
      <c r="AM59" s="149"/>
      <c r="AN59" s="149"/>
      <c r="AO59" s="149"/>
      <c r="AP59" s="149"/>
      <c r="AQ59" s="149"/>
      <c r="AR59" s="149"/>
    </row>
    <row r="60" spans="2:44" s="17" customFormat="1" ht="14.25" customHeight="1">
      <c r="B60" s="153"/>
      <c r="C60" s="153"/>
      <c r="D60" s="169"/>
      <c r="E60" s="91"/>
      <c r="F60" s="91"/>
      <c r="G60" s="169"/>
      <c r="H60" s="91"/>
      <c r="I60" s="91"/>
      <c r="J60" s="169"/>
      <c r="K60" s="91"/>
      <c r="L60" s="91"/>
      <c r="M60" s="169"/>
      <c r="N60" s="91"/>
      <c r="O60" s="91"/>
      <c r="P60" s="169"/>
      <c r="Q60" s="91"/>
      <c r="R60" s="91"/>
      <c r="S60"/>
      <c r="T60" s="169"/>
      <c r="U60" s="91"/>
      <c r="V60" s="170"/>
      <c r="W60" s="171"/>
      <c r="Y60" s="27"/>
      <c r="Z60" s="27"/>
      <c r="AA60" s="27"/>
      <c r="AB60" s="27"/>
      <c r="AC60" s="27"/>
      <c r="AD60" s="27"/>
      <c r="AE60" s="27"/>
      <c r="AF60" s="27"/>
      <c r="AG60" s="27"/>
      <c r="AH60" s="27"/>
      <c r="AI60" s="27"/>
      <c r="AJ60" s="27"/>
      <c r="AK60" s="27"/>
      <c r="AL60" s="27"/>
      <c r="AM60" s="27"/>
      <c r="AN60" s="27"/>
      <c r="AO60" s="27"/>
      <c r="AP60" s="27"/>
      <c r="AQ60" s="27"/>
      <c r="AR60" s="27"/>
    </row>
    <row r="63" spans="2:44" ht="14.25" customHeight="1">
      <c r="B63" s="1176" t="s">
        <v>132</v>
      </c>
      <c r="C63" s="121"/>
      <c r="D63" s="121"/>
      <c r="E63" s="121"/>
      <c r="F63" s="121"/>
      <c r="G63" s="121"/>
      <c r="H63" s="121"/>
      <c r="I63" s="121"/>
      <c r="J63" s="121"/>
      <c r="K63" s="121"/>
      <c r="L63" s="121"/>
      <c r="M63" s="121"/>
      <c r="N63" s="121"/>
      <c r="O63" s="121"/>
      <c r="P63" s="121"/>
      <c r="Q63" s="121"/>
      <c r="R63" s="121"/>
      <c r="T63" s="172"/>
      <c r="U63" s="173"/>
      <c r="V63" s="174"/>
      <c r="W63" s="174"/>
    </row>
    <row r="64" spans="2:44">
      <c r="B64" s="32" t="s">
        <v>133</v>
      </c>
      <c r="C64" s="32"/>
      <c r="D64" s="44">
        <f>IF(D59,IF(AND(Input!$F$32&gt;0,D59&gt;0),D59/Input!$F$32,"n/a"),"")</f>
        <v>5.5E-2</v>
      </c>
      <c r="E64" s="90"/>
      <c r="F64" s="90"/>
      <c r="G64" s="44">
        <f>IF(G59,IF(AND(Input!$F$32&gt;0,G59&gt;0),G59/Input!$F$32,"n/a"),"")</f>
        <v>5.7692437775762141E-2</v>
      </c>
      <c r="H64" s="90"/>
      <c r="I64" s="90"/>
      <c r="J64" s="44">
        <f>IF(J59,IF(AND(Input!$F$32&gt;0,J59&gt;0),J59/Input!$F$32,"n/a"),"")</f>
        <v>5.4345319538180087E-2</v>
      </c>
      <c r="K64" s="90"/>
      <c r="L64" s="90"/>
      <c r="M64" s="44">
        <f>IF(M59,IF(AND(Input!$F$32&gt;0,M59&gt;0),M59/Input!$F$32,"n/a"),"")</f>
        <v>5.4728427137300723E-2</v>
      </c>
      <c r="N64" s="90"/>
      <c r="O64" s="90"/>
      <c r="P64" s="44">
        <f>IF(P59,IF(AND(Input!$F$32&gt;0,P59&gt;0),P59/Input!$F$32,"n/a"),"")</f>
        <v>6.3809860562362597E-2</v>
      </c>
      <c r="Q64" s="90"/>
      <c r="R64" s="90"/>
      <c r="T64" s="44">
        <f>IF(T59,IF(AND(Input!$F$32&gt;0,T59&gt;0),T59/Input!$F$32,"n/a"),"")</f>
        <v>7.7923329182826365E-2</v>
      </c>
      <c r="U64" s="90"/>
      <c r="V64" s="27"/>
      <c r="W64" s="27"/>
    </row>
    <row r="65" spans="2:24">
      <c r="B65" s="32" t="str">
        <f>IF('CF Calculations'!E92,"DSCR (Year 1 Combined Debt Payment)","")</f>
        <v/>
      </c>
      <c r="C65" s="27"/>
      <c r="D65" s="175" t="str">
        <f>IF(AND('CF Calculations'!$E$92&lt;0,D59&gt;0),-D59/'CF Calculations'!$E$92,"")</f>
        <v/>
      </c>
      <c r="E65" s="90"/>
      <c r="F65" s="90"/>
      <c r="G65" s="175" t="str">
        <f>IF(AND('CF Calculations'!$E$92&lt;0,G59&gt;0),-G59/'CF Calculations'!$E$92,"")</f>
        <v/>
      </c>
      <c r="H65" s="90"/>
      <c r="I65" s="90"/>
      <c r="J65" s="175" t="str">
        <f>IF(AND('CF Calculations'!$E$92&lt;0,J59&gt;0),-J59/'CF Calculations'!$E$92,"")</f>
        <v/>
      </c>
      <c r="K65" s="90"/>
      <c r="L65" s="90"/>
      <c r="M65" s="175" t="str">
        <f>IF(AND('CF Calculations'!$E$92&lt;0,M59&gt;0),-M59/'CF Calculations'!$E$92,"")</f>
        <v/>
      </c>
      <c r="N65" s="90"/>
      <c r="O65" s="90"/>
      <c r="P65" s="175" t="str">
        <f>IF(AND('CF Calculations'!$E$92&lt;0,P59&gt;0),-P59/'CF Calculations'!$E$92,"")</f>
        <v/>
      </c>
      <c r="Q65" s="90"/>
      <c r="R65" s="90"/>
      <c r="T65" s="175" t="str">
        <f>IF('CF Calculations'!$E$125,'CF Calculations'!$E$125,"")</f>
        <v/>
      </c>
      <c r="U65" s="90"/>
      <c r="V65" s="27"/>
      <c r="W65" s="27"/>
    </row>
    <row r="66" spans="2:24">
      <c r="B66" s="27"/>
      <c r="C66" s="27"/>
      <c r="D66" s="27"/>
      <c r="E66" s="90"/>
      <c r="F66" s="90"/>
      <c r="G66" s="27"/>
      <c r="H66" s="90"/>
      <c r="I66" s="90"/>
      <c r="J66" s="27"/>
      <c r="K66" s="90"/>
      <c r="L66" s="90"/>
      <c r="M66" s="27"/>
      <c r="N66" s="90"/>
      <c r="O66" s="90"/>
      <c r="P66" s="27"/>
      <c r="Q66" s="90"/>
      <c r="R66" s="90"/>
      <c r="T66" s="27"/>
      <c r="U66" s="90"/>
      <c r="V66" s="27"/>
      <c r="W66" s="27"/>
    </row>
    <row r="69" spans="2:24" s="138" customFormat="1" ht="17.100000000000001" customHeight="1">
      <c r="B69" s="1039" t="s">
        <v>134</v>
      </c>
      <c r="C69" s="1027"/>
      <c r="D69" s="1027"/>
      <c r="E69" s="1027"/>
      <c r="F69" s="1027"/>
      <c r="G69" s="1027"/>
      <c r="H69" s="1027"/>
      <c r="I69" s="1027"/>
      <c r="J69" s="1027"/>
      <c r="K69" s="1027"/>
      <c r="L69" s="1027"/>
      <c r="M69" s="1027"/>
      <c r="N69" s="1027"/>
      <c r="O69" s="1027"/>
      <c r="P69" s="1027"/>
      <c r="Q69" s="1027"/>
      <c r="R69" s="1027"/>
      <c r="S69" s="1027"/>
      <c r="T69" s="1027"/>
      <c r="U69" s="1027"/>
      <c r="V69" s="1027"/>
      <c r="W69" s="1027"/>
      <c r="X69" s="141"/>
    </row>
    <row r="70" spans="2:24" ht="24" customHeight="1">
      <c r="B70" s="176" t="str">
        <f>IF(GenValidation!AJ5&lt;&gt;"",ROW()-ROW($B$69),"")</f>
        <v/>
      </c>
      <c r="C70" s="1266" t="str">
        <f>IF(GenValidation!AJ5&lt;&gt;"",GenValidation!AJ5,"")</f>
        <v/>
      </c>
      <c r="D70" s="1266"/>
      <c r="E70" s="1266"/>
      <c r="F70" s="1266"/>
      <c r="G70" s="1266"/>
      <c r="H70" s="1266"/>
      <c r="I70" s="1266"/>
      <c r="J70" s="1266"/>
      <c r="K70" s="1266"/>
      <c r="L70" s="1266"/>
      <c r="M70" s="1266"/>
      <c r="N70" s="1266"/>
      <c r="O70" s="1266"/>
      <c r="P70" s="1266"/>
      <c r="Q70" s="1266"/>
      <c r="R70" s="1266"/>
      <c r="S70" s="1266"/>
      <c r="T70" s="1266"/>
      <c r="U70" s="1266"/>
      <c r="V70" s="1266"/>
      <c r="W70" s="1266"/>
    </row>
    <row r="71" spans="2:24" ht="24" customHeight="1">
      <c r="B71" s="176" t="str">
        <f>IF(GenValidation!AJ6&lt;&gt;"",ROW()-ROW($B$69),"")</f>
        <v/>
      </c>
      <c r="C71" s="1266" t="str">
        <f>IF(GenValidation!AJ6&lt;&gt;"",GenValidation!AJ6,"")</f>
        <v/>
      </c>
      <c r="D71" s="1266"/>
      <c r="E71" s="1266"/>
      <c r="F71" s="1266"/>
      <c r="G71" s="1266"/>
      <c r="H71" s="1266"/>
      <c r="I71" s="1266"/>
      <c r="J71" s="1266"/>
      <c r="K71" s="1266"/>
      <c r="L71" s="1266"/>
      <c r="M71" s="1266"/>
      <c r="N71" s="1266"/>
      <c r="O71" s="1266"/>
      <c r="P71" s="1266"/>
      <c r="Q71" s="1266"/>
      <c r="R71" s="1266"/>
      <c r="S71" s="1266"/>
      <c r="T71" s="1266"/>
      <c r="U71" s="1266"/>
      <c r="V71" s="1266"/>
      <c r="W71" s="1266"/>
    </row>
    <row r="72" spans="2:24" ht="24" customHeight="1">
      <c r="B72" s="176" t="str">
        <f>IF(GenValidation!AJ7&lt;&gt;"",ROW()-ROW($B$69),"")</f>
        <v/>
      </c>
      <c r="C72" s="1266" t="str">
        <f>IF(GenValidation!AJ7&lt;&gt;"",GenValidation!AJ7,"")</f>
        <v/>
      </c>
      <c r="D72" s="1266"/>
      <c r="E72" s="1266"/>
      <c r="F72" s="1266"/>
      <c r="G72" s="1266"/>
      <c r="H72" s="1266"/>
      <c r="I72" s="1266"/>
      <c r="J72" s="1266"/>
      <c r="K72" s="1266"/>
      <c r="L72" s="1266"/>
      <c r="M72" s="1266"/>
      <c r="N72" s="1266"/>
      <c r="O72" s="1266"/>
      <c r="P72" s="1266"/>
      <c r="Q72" s="1266"/>
      <c r="R72" s="1266"/>
      <c r="S72" s="1266"/>
      <c r="T72" s="1266"/>
      <c r="U72" s="1266"/>
      <c r="V72" s="1266"/>
      <c r="W72" s="1266"/>
    </row>
    <row r="73" spans="2:24" ht="24" customHeight="1">
      <c r="B73" s="176" t="str">
        <f>IF(GenValidation!AJ8&lt;&gt;"",ROW()-ROW($B$69),"")</f>
        <v/>
      </c>
      <c r="C73" s="1266" t="str">
        <f>IF(GenValidation!AJ8&lt;&gt;"",GenValidation!AJ8,"")</f>
        <v/>
      </c>
      <c r="D73" s="1266"/>
      <c r="E73" s="1266"/>
      <c r="F73" s="1266"/>
      <c r="G73" s="1266"/>
      <c r="H73" s="1266"/>
      <c r="I73" s="1266"/>
      <c r="J73" s="1266"/>
      <c r="K73" s="1266"/>
      <c r="L73" s="1266"/>
      <c r="M73" s="1266"/>
      <c r="N73" s="1266"/>
      <c r="O73" s="1266"/>
      <c r="P73" s="1266"/>
      <c r="Q73" s="1266"/>
      <c r="R73" s="1266"/>
      <c r="S73" s="1266"/>
      <c r="T73" s="1266"/>
      <c r="U73" s="1266"/>
      <c r="V73" s="1266"/>
      <c r="W73" s="1266"/>
    </row>
    <row r="74" spans="2:24" ht="24" customHeight="1">
      <c r="B74" s="176" t="str">
        <f>IF(GenValidation!AJ9&lt;&gt;"",ROW()-ROW($B$69),"")</f>
        <v/>
      </c>
      <c r="C74" s="1266" t="str">
        <f>IF(GenValidation!AJ9&lt;&gt;"",GenValidation!AJ9,"")</f>
        <v/>
      </c>
      <c r="D74" s="1266"/>
      <c r="E74" s="1266"/>
      <c r="F74" s="1266"/>
      <c r="G74" s="1266"/>
      <c r="H74" s="1266"/>
      <c r="I74" s="1266"/>
      <c r="J74" s="1266"/>
      <c r="K74" s="1266"/>
      <c r="L74" s="1266"/>
      <c r="M74" s="1266"/>
      <c r="N74" s="1266"/>
      <c r="O74" s="1266"/>
      <c r="P74" s="1266"/>
      <c r="Q74" s="1266"/>
      <c r="R74" s="1266"/>
      <c r="S74" s="1266"/>
      <c r="T74" s="1266"/>
      <c r="U74" s="1266"/>
      <c r="V74" s="1266"/>
      <c r="W74" s="1266"/>
    </row>
    <row r="75" spans="2:24" ht="24" customHeight="1">
      <c r="B75" s="176" t="str">
        <f>IF(GenValidation!AJ10&lt;&gt;"",ROW()-ROW($B$69),"")</f>
        <v/>
      </c>
      <c r="C75" s="1266" t="str">
        <f>IF(GenValidation!AJ10&lt;&gt;"",GenValidation!AJ10,"")</f>
        <v/>
      </c>
      <c r="D75" s="1266"/>
      <c r="E75" s="1266"/>
      <c r="F75" s="1266"/>
      <c r="G75" s="1266"/>
      <c r="H75" s="1266"/>
      <c r="I75" s="1266"/>
      <c r="J75" s="1266"/>
      <c r="K75" s="1266"/>
      <c r="L75" s="1266"/>
      <c r="M75" s="1266"/>
      <c r="N75" s="1266"/>
      <c r="O75" s="1266"/>
      <c r="P75" s="1266"/>
      <c r="Q75" s="1266"/>
      <c r="R75" s="1266"/>
      <c r="S75" s="1266"/>
      <c r="T75" s="1266"/>
      <c r="U75" s="1266"/>
      <c r="V75" s="1266"/>
      <c r="W75" s="1266"/>
    </row>
    <row r="76" spans="2:24" ht="24" customHeight="1">
      <c r="B76" s="176" t="str">
        <f>IF(GenValidation!AJ11&lt;&gt;"",ROW()-ROW($B$69),"")</f>
        <v/>
      </c>
      <c r="C76" s="1266" t="str">
        <f>IF(GenValidation!AJ11&lt;&gt;"",GenValidation!AJ11,"")</f>
        <v/>
      </c>
      <c r="D76" s="1266"/>
      <c r="E76" s="1266"/>
      <c r="F76" s="1266"/>
      <c r="G76" s="1266"/>
      <c r="H76" s="1266"/>
      <c r="I76" s="1266"/>
      <c r="J76" s="1266"/>
      <c r="K76" s="1266"/>
      <c r="L76" s="1266"/>
      <c r="M76" s="1266"/>
      <c r="N76" s="1266"/>
      <c r="O76" s="1266"/>
      <c r="P76" s="1266"/>
      <c r="Q76" s="1266"/>
      <c r="R76" s="1266"/>
      <c r="S76" s="1266"/>
      <c r="T76" s="1266"/>
      <c r="U76" s="1266"/>
      <c r="V76" s="1266"/>
      <c r="W76" s="1266"/>
    </row>
    <row r="77" spans="2:24" ht="24" customHeight="1">
      <c r="B77" s="176" t="str">
        <f>IF(GenValidation!AJ12&lt;&gt;"",ROW()-ROW($B$69),"")</f>
        <v/>
      </c>
      <c r="C77" s="1266" t="str">
        <f>IF(GenValidation!AJ12&lt;&gt;"",GenValidation!AJ12,"")</f>
        <v/>
      </c>
      <c r="D77" s="1266"/>
      <c r="E77" s="1266"/>
      <c r="F77" s="1266"/>
      <c r="G77" s="1266"/>
      <c r="H77" s="1266"/>
      <c r="I77" s="1266"/>
      <c r="J77" s="1266"/>
      <c r="K77" s="1266"/>
      <c r="L77" s="1266"/>
      <c r="M77" s="1266"/>
      <c r="N77" s="1266"/>
      <c r="O77" s="1266"/>
      <c r="P77" s="1266"/>
      <c r="Q77" s="1266"/>
      <c r="R77" s="1266"/>
      <c r="S77" s="1266"/>
      <c r="T77" s="1266"/>
      <c r="U77" s="1266"/>
      <c r="V77" s="1266"/>
      <c r="W77" s="1266"/>
    </row>
    <row r="78" spans="2:24" ht="24" customHeight="1">
      <c r="B78" s="176" t="str">
        <f>IF(GenValidation!AJ13&lt;&gt;"",ROW()-ROW($B$69),"")</f>
        <v/>
      </c>
      <c r="C78" s="1266" t="str">
        <f>IF(GenValidation!AJ13&lt;&gt;"",GenValidation!AJ13,"")</f>
        <v/>
      </c>
      <c r="D78" s="1266"/>
      <c r="E78" s="1266"/>
      <c r="F78" s="1266"/>
      <c r="G78" s="1266"/>
      <c r="H78" s="1266"/>
      <c r="I78" s="1266"/>
      <c r="J78" s="1266"/>
      <c r="K78" s="1266"/>
      <c r="L78" s="1266"/>
      <c r="M78" s="1266"/>
      <c r="N78" s="1266"/>
      <c r="O78" s="1266"/>
      <c r="P78" s="1266"/>
      <c r="Q78" s="1266"/>
      <c r="R78" s="1266"/>
      <c r="S78" s="1266"/>
      <c r="T78" s="1266"/>
      <c r="U78" s="1266"/>
      <c r="V78" s="1266"/>
      <c r="W78" s="1266"/>
    </row>
    <row r="79" spans="2:24" ht="24" customHeight="1">
      <c r="B79" s="176" t="str">
        <f>IF(GenValidation!AJ14&lt;&gt;"",ROW()-ROW($B$69),"")</f>
        <v/>
      </c>
      <c r="C79" s="1266" t="str">
        <f>IF(GenValidation!AJ14&lt;&gt;"",GenValidation!AJ14,"")</f>
        <v/>
      </c>
      <c r="D79" s="1266"/>
      <c r="E79" s="1266"/>
      <c r="F79" s="1266"/>
      <c r="G79" s="1266"/>
      <c r="H79" s="1266"/>
      <c r="I79" s="1266"/>
      <c r="J79" s="1266"/>
      <c r="K79" s="1266"/>
      <c r="L79" s="1266"/>
      <c r="M79" s="1266"/>
      <c r="N79" s="1266"/>
      <c r="O79" s="1266"/>
      <c r="P79" s="1266"/>
      <c r="Q79" s="1266"/>
      <c r="R79" s="1266"/>
      <c r="S79" s="1266"/>
      <c r="T79" s="1266"/>
      <c r="U79" s="1266"/>
      <c r="V79" s="1266"/>
      <c r="W79" s="1266"/>
    </row>
    <row r="80" spans="2:24" ht="24" customHeight="1">
      <c r="B80" s="176" t="str">
        <f>IF(GenValidation!AJ15&lt;&gt;"",ROW()-ROW($B$69),"")</f>
        <v/>
      </c>
      <c r="C80" s="1266" t="str">
        <f>IF(GenValidation!AJ15&lt;&gt;"",GenValidation!AJ15,"")</f>
        <v/>
      </c>
      <c r="D80" s="1266"/>
      <c r="E80" s="1266"/>
      <c r="F80" s="1266"/>
      <c r="G80" s="1266"/>
      <c r="H80" s="1266"/>
      <c r="I80" s="1266"/>
      <c r="J80" s="1266"/>
      <c r="K80" s="1266"/>
      <c r="L80" s="1266"/>
      <c r="M80" s="1266"/>
      <c r="N80" s="1266"/>
      <c r="O80" s="1266"/>
      <c r="P80" s="1266"/>
      <c r="Q80" s="1266"/>
      <c r="R80" s="1266"/>
      <c r="S80" s="1266"/>
      <c r="T80" s="1266"/>
      <c r="U80" s="1266"/>
      <c r="V80" s="1266"/>
      <c r="W80" s="1266"/>
    </row>
    <row r="81" spans="2:23" ht="24" customHeight="1">
      <c r="B81" s="176" t="str">
        <f>IF(GenValidation!AJ16&lt;&gt;"",ROW()-ROW($B$69),"")</f>
        <v/>
      </c>
      <c r="C81" s="1266" t="str">
        <f>IF(GenValidation!AJ16&lt;&gt;"",GenValidation!AJ16,"")</f>
        <v/>
      </c>
      <c r="D81" s="1266"/>
      <c r="E81" s="1266"/>
      <c r="F81" s="1266"/>
      <c r="G81" s="1266"/>
      <c r="H81" s="1266"/>
      <c r="I81" s="1266"/>
      <c r="J81" s="1266"/>
      <c r="K81" s="1266"/>
      <c r="L81" s="1266"/>
      <c r="M81" s="1266"/>
      <c r="N81" s="1266"/>
      <c r="O81" s="1266"/>
      <c r="P81" s="1266"/>
      <c r="Q81" s="1266"/>
      <c r="R81" s="1266"/>
      <c r="S81" s="1266"/>
      <c r="T81" s="1266"/>
      <c r="U81" s="1266"/>
      <c r="V81" s="1266"/>
      <c r="W81" s="1266"/>
    </row>
    <row r="82" spans="2:23" ht="24" customHeight="1">
      <c r="B82" s="176" t="str">
        <f>IF(GenValidation!AJ17&lt;&gt;"",ROW()-ROW($B$69),"")</f>
        <v/>
      </c>
      <c r="C82" s="1266" t="str">
        <f>IF(GenValidation!AJ17&lt;&gt;"",GenValidation!AJ17,"")</f>
        <v/>
      </c>
      <c r="D82" s="1266"/>
      <c r="E82" s="1266"/>
      <c r="F82" s="1266"/>
      <c r="G82" s="1266"/>
      <c r="H82" s="1266"/>
      <c r="I82" s="1266"/>
      <c r="J82" s="1266"/>
      <c r="K82" s="1266"/>
      <c r="L82" s="1266"/>
      <c r="M82" s="1266"/>
      <c r="N82" s="1266"/>
      <c r="O82" s="1266"/>
      <c r="P82" s="1266"/>
      <c r="Q82" s="1266"/>
      <c r="R82" s="1266"/>
      <c r="S82" s="1266"/>
      <c r="T82" s="1266"/>
      <c r="U82" s="1266"/>
      <c r="V82" s="1266"/>
      <c r="W82" s="1266"/>
    </row>
    <row r="83" spans="2:23" ht="24" customHeight="1">
      <c r="B83" s="176" t="str">
        <f>IF(GenValidation!AJ18&lt;&gt;"",ROW()-ROW($B$69),"")</f>
        <v/>
      </c>
      <c r="C83" s="1266" t="str">
        <f>IF(GenValidation!AJ18&lt;&gt;"",GenValidation!AJ18,"")</f>
        <v/>
      </c>
      <c r="D83" s="1266"/>
      <c r="E83" s="1266"/>
      <c r="F83" s="1266"/>
      <c r="G83" s="1266"/>
      <c r="H83" s="1266"/>
      <c r="I83" s="1266"/>
      <c r="J83" s="1266"/>
      <c r="K83" s="1266"/>
      <c r="L83" s="1266"/>
      <c r="M83" s="1266"/>
      <c r="N83" s="1266"/>
      <c r="O83" s="1266"/>
      <c r="P83" s="1266"/>
      <c r="Q83" s="1266"/>
      <c r="R83" s="1266"/>
      <c r="S83" s="1266"/>
      <c r="T83" s="1266"/>
      <c r="U83" s="1266"/>
      <c r="V83" s="1266"/>
      <c r="W83" s="1266"/>
    </row>
    <row r="84" spans="2:23" ht="24" customHeight="1">
      <c r="B84" s="176" t="str">
        <f>IF(GenValidation!AJ19&lt;&gt;"",ROW()-ROW($B$69),"")</f>
        <v/>
      </c>
      <c r="C84" s="1266" t="str">
        <f>IF(GenValidation!AJ19&lt;&gt;"",GenValidation!AJ19,"")</f>
        <v/>
      </c>
      <c r="D84" s="1266"/>
      <c r="E84" s="1266"/>
      <c r="F84" s="1266"/>
      <c r="G84" s="1266"/>
      <c r="H84" s="1266"/>
      <c r="I84" s="1266"/>
      <c r="J84" s="1266"/>
      <c r="K84" s="1266"/>
      <c r="L84" s="1266"/>
      <c r="M84" s="1266"/>
      <c r="N84" s="1266"/>
      <c r="O84" s="1266"/>
      <c r="P84" s="1266"/>
      <c r="Q84" s="1266"/>
      <c r="R84" s="1266"/>
      <c r="S84" s="1266"/>
      <c r="T84" s="1266"/>
      <c r="U84" s="1266"/>
      <c r="V84" s="1266"/>
      <c r="W84" s="1266"/>
    </row>
    <row r="85" spans="2:23" ht="24" customHeight="1">
      <c r="B85" s="176" t="str">
        <f>IF(GenValidation!AJ20&lt;&gt;"",ROW()-ROW($B$69),"")</f>
        <v/>
      </c>
      <c r="C85" s="1266" t="str">
        <f>IF(GenValidation!AJ20&lt;&gt;"",GenValidation!AJ20,"")</f>
        <v/>
      </c>
      <c r="D85" s="1266"/>
      <c r="E85" s="1266"/>
      <c r="F85" s="1266"/>
      <c r="G85" s="1266"/>
      <c r="H85" s="1266"/>
      <c r="I85" s="1266"/>
      <c r="J85" s="1266"/>
      <c r="K85" s="1266"/>
      <c r="L85" s="1266"/>
      <c r="M85" s="1266"/>
      <c r="N85" s="1266"/>
      <c r="O85" s="1266"/>
      <c r="P85" s="1266"/>
      <c r="Q85" s="1266"/>
      <c r="R85" s="1266"/>
      <c r="S85" s="1266"/>
      <c r="T85" s="1266"/>
      <c r="U85" s="1266"/>
      <c r="V85" s="1266"/>
      <c r="W85" s="1266"/>
    </row>
    <row r="86" spans="2:23" ht="24" customHeight="1">
      <c r="B86" s="176" t="str">
        <f>IF(GenValidation!AJ21&lt;&gt;"",ROW()-ROW($B$69),"")</f>
        <v/>
      </c>
      <c r="C86" s="1266" t="str">
        <f>IF(GenValidation!AJ21&lt;&gt;"",GenValidation!AJ21,"")</f>
        <v/>
      </c>
      <c r="D86" s="1266"/>
      <c r="E86" s="1266"/>
      <c r="F86" s="1266"/>
      <c r="G86" s="1266"/>
      <c r="H86" s="1266"/>
      <c r="I86" s="1266"/>
      <c r="J86" s="1266"/>
      <c r="K86" s="1266"/>
      <c r="L86" s="1266"/>
      <c r="M86" s="1266"/>
      <c r="N86" s="1266"/>
      <c r="O86" s="1266"/>
      <c r="P86" s="1266"/>
      <c r="Q86" s="1266"/>
      <c r="R86" s="1266"/>
      <c r="S86" s="1266"/>
      <c r="T86" s="1266"/>
      <c r="U86" s="1266"/>
      <c r="V86" s="1266"/>
      <c r="W86" s="1266"/>
    </row>
    <row r="87" spans="2:23" ht="24" customHeight="1">
      <c r="B87" s="176" t="str">
        <f>IF(GenValidation!AJ22&lt;&gt;"",ROW()-ROW($B$69),"")</f>
        <v/>
      </c>
      <c r="C87" s="1266" t="str">
        <f>IF(GenValidation!AJ22&lt;&gt;"",GenValidation!AJ22,"")</f>
        <v/>
      </c>
      <c r="D87" s="1266"/>
      <c r="E87" s="1266"/>
      <c r="F87" s="1266"/>
      <c r="G87" s="1266"/>
      <c r="H87" s="1266"/>
      <c r="I87" s="1266"/>
      <c r="J87" s="1266"/>
      <c r="K87" s="1266"/>
      <c r="L87" s="1266"/>
      <c r="M87" s="1266"/>
      <c r="N87" s="1266"/>
      <c r="O87" s="1266"/>
      <c r="P87" s="1266"/>
      <c r="Q87" s="1266"/>
      <c r="R87" s="1266"/>
      <c r="S87" s="1266"/>
      <c r="T87" s="1266"/>
      <c r="U87" s="1266"/>
      <c r="V87" s="1266"/>
      <c r="W87" s="1266"/>
    </row>
    <row r="88" spans="2:23" ht="24" customHeight="1">
      <c r="B88" s="176" t="str">
        <f>IF(GenValidation!AJ23&lt;&gt;"",ROW()-ROW($B$69),"")</f>
        <v/>
      </c>
      <c r="C88" s="1266" t="str">
        <f>IF(GenValidation!AJ23&lt;&gt;"",GenValidation!AJ23,"")</f>
        <v/>
      </c>
      <c r="D88" s="1266"/>
      <c r="E88" s="1266"/>
      <c r="F88" s="1266"/>
      <c r="G88" s="1266"/>
      <c r="H88" s="1266"/>
      <c r="I88" s="1266"/>
      <c r="J88" s="1266"/>
      <c r="K88" s="1266"/>
      <c r="L88" s="1266"/>
      <c r="M88" s="1266"/>
      <c r="N88" s="1266"/>
      <c r="O88" s="1266"/>
      <c r="P88" s="1266"/>
      <c r="Q88" s="1266"/>
      <c r="R88" s="1266"/>
      <c r="S88" s="1266"/>
      <c r="T88" s="1266"/>
      <c r="U88" s="1266"/>
      <c r="V88" s="1266"/>
      <c r="W88" s="1266"/>
    </row>
    <row r="89" spans="2:23" ht="24" customHeight="1">
      <c r="B89" s="176" t="str">
        <f>IF(GenValidation!AJ24&lt;&gt;"",ROW()-ROW($B$69),"")</f>
        <v/>
      </c>
      <c r="C89" s="1266" t="str">
        <f>IF(GenValidation!AJ24&lt;&gt;"",GenValidation!AJ24,"")</f>
        <v/>
      </c>
      <c r="D89" s="1266"/>
      <c r="E89" s="1266"/>
      <c r="F89" s="1266"/>
      <c r="G89" s="1266"/>
      <c r="H89" s="1266"/>
      <c r="I89" s="1266"/>
      <c r="J89" s="1266"/>
      <c r="K89" s="1266"/>
      <c r="L89" s="1266"/>
      <c r="M89" s="1266"/>
      <c r="N89" s="1266"/>
      <c r="O89" s="1266"/>
      <c r="P89" s="1266"/>
      <c r="Q89" s="1266"/>
      <c r="R89" s="1266"/>
      <c r="S89" s="1266"/>
      <c r="T89" s="1266"/>
      <c r="U89" s="1266"/>
      <c r="V89" s="1266"/>
      <c r="W89" s="1266"/>
    </row>
    <row r="90" spans="2:23" ht="24" customHeight="1">
      <c r="B90" s="176" t="str">
        <f>IF(GenValidation!AJ25&lt;&gt;"",ROW()-ROW($B$69),"")</f>
        <v/>
      </c>
      <c r="C90" s="1266" t="str">
        <f>IF(GenValidation!AJ25&lt;&gt;"",GenValidation!AJ25,"")</f>
        <v/>
      </c>
      <c r="D90" s="1266"/>
      <c r="E90" s="1266"/>
      <c r="F90" s="1266"/>
      <c r="G90" s="1266"/>
      <c r="H90" s="1266"/>
      <c r="I90" s="1266"/>
      <c r="J90" s="1266"/>
      <c r="K90" s="1266"/>
      <c r="L90" s="1266"/>
      <c r="M90" s="1266"/>
      <c r="N90" s="1266"/>
      <c r="O90" s="1266"/>
      <c r="P90" s="1266"/>
      <c r="Q90" s="1266"/>
      <c r="R90" s="1266"/>
      <c r="S90" s="1266"/>
      <c r="T90" s="1266"/>
      <c r="U90" s="1266"/>
      <c r="V90" s="1266"/>
      <c r="W90" s="1266"/>
    </row>
    <row r="91" spans="2:23" ht="24" customHeight="1">
      <c r="B91" s="176" t="str">
        <f>IF(GenValidation!AJ26&lt;&gt;"",ROW()-ROW($B$69),"")</f>
        <v/>
      </c>
      <c r="C91" s="1266" t="str">
        <f>IF(GenValidation!AJ26&lt;&gt;"",GenValidation!AJ26,"")</f>
        <v/>
      </c>
      <c r="D91" s="1266"/>
      <c r="E91" s="1266"/>
      <c r="F91" s="1266"/>
      <c r="G91" s="1266"/>
      <c r="H91" s="1266"/>
      <c r="I91" s="1266"/>
      <c r="J91" s="1266"/>
      <c r="K91" s="1266"/>
      <c r="L91" s="1266"/>
      <c r="M91" s="1266"/>
      <c r="N91" s="1266"/>
      <c r="O91" s="1266"/>
      <c r="P91" s="1266"/>
      <c r="Q91" s="1266"/>
      <c r="R91" s="1266"/>
      <c r="S91" s="1266"/>
      <c r="T91" s="1266"/>
      <c r="U91" s="1266"/>
      <c r="V91" s="1266"/>
      <c r="W91" s="1266"/>
    </row>
    <row r="92" spans="2:23" ht="24" customHeight="1">
      <c r="B92" s="176" t="str">
        <f>IF(GenValidation!AJ27&lt;&gt;"",ROW()-ROW($B$69),"")</f>
        <v/>
      </c>
      <c r="C92" s="1266" t="str">
        <f>IF(GenValidation!AJ27&lt;&gt;"",GenValidation!AJ27,"")</f>
        <v/>
      </c>
      <c r="D92" s="1266"/>
      <c r="E92" s="1266"/>
      <c r="F92" s="1266"/>
      <c r="G92" s="1266"/>
      <c r="H92" s="1266"/>
      <c r="I92" s="1266"/>
      <c r="J92" s="1266"/>
      <c r="K92" s="1266"/>
      <c r="L92" s="1266"/>
      <c r="M92" s="1266"/>
      <c r="N92" s="1266"/>
      <c r="O92" s="1266"/>
      <c r="P92" s="1266"/>
      <c r="Q92" s="1266"/>
      <c r="R92" s="1266"/>
      <c r="S92" s="1266"/>
      <c r="T92" s="1266"/>
      <c r="U92" s="1266"/>
      <c r="V92" s="1266"/>
      <c r="W92" s="1266"/>
    </row>
    <row r="93" spans="2:23" ht="24" customHeight="1">
      <c r="B93" s="176" t="str">
        <f>IF(GenValidation!AJ28&lt;&gt;"",ROW()-ROW($B$69),"")</f>
        <v/>
      </c>
      <c r="C93" s="1266" t="str">
        <f>IF(GenValidation!AJ28&lt;&gt;"",GenValidation!AJ28,"")</f>
        <v/>
      </c>
      <c r="D93" s="1266"/>
      <c r="E93" s="1266"/>
      <c r="F93" s="1266"/>
      <c r="G93" s="1266"/>
      <c r="H93" s="1266"/>
      <c r="I93" s="1266"/>
      <c r="J93" s="1266"/>
      <c r="K93" s="1266"/>
      <c r="L93" s="1266"/>
      <c r="M93" s="1266"/>
      <c r="N93" s="1266"/>
      <c r="O93" s="1266"/>
      <c r="P93" s="1266"/>
      <c r="Q93" s="1266"/>
      <c r="R93" s="1266"/>
      <c r="S93" s="1266"/>
      <c r="T93" s="1266"/>
      <c r="U93" s="1266"/>
      <c r="V93" s="1266"/>
      <c r="W93" s="1266"/>
    </row>
    <row r="94" spans="2:23" ht="24" customHeight="1">
      <c r="B94" s="176" t="str">
        <f>IF(GenValidation!AJ29&lt;&gt;"",ROW()-ROW($B$69),"")</f>
        <v/>
      </c>
      <c r="C94" s="1266" t="str">
        <f>IF(GenValidation!AJ29&lt;&gt;"",GenValidation!AJ29,"")</f>
        <v/>
      </c>
      <c r="D94" s="1266"/>
      <c r="E94" s="1266"/>
      <c r="F94" s="1266"/>
      <c r="G94" s="1266"/>
      <c r="H94" s="1266"/>
      <c r="I94" s="1266"/>
      <c r="J94" s="1266"/>
      <c r="K94" s="1266"/>
      <c r="L94" s="1266"/>
      <c r="M94" s="1266"/>
      <c r="N94" s="1266"/>
      <c r="O94" s="1266"/>
      <c r="P94" s="1266"/>
      <c r="Q94" s="1266"/>
      <c r="R94" s="1266"/>
      <c r="S94" s="1266"/>
      <c r="T94" s="1266"/>
      <c r="U94" s="1266"/>
      <c r="V94" s="1266"/>
      <c r="W94" s="1266"/>
    </row>
    <row r="95" spans="2:23" ht="24" customHeight="1">
      <c r="B95" s="176" t="str">
        <f>IF(GenValidation!AJ30&lt;&gt;"",ROW()-ROW($B$69),"")</f>
        <v/>
      </c>
      <c r="C95" s="1266" t="str">
        <f>IF(GenValidation!AJ30&lt;&gt;"",GenValidation!AJ30,"")</f>
        <v/>
      </c>
      <c r="D95" s="1266"/>
      <c r="E95" s="1266"/>
      <c r="F95" s="1266"/>
      <c r="G95" s="1266"/>
      <c r="H95" s="1266"/>
      <c r="I95" s="1266"/>
      <c r="J95" s="1266"/>
      <c r="K95" s="1266"/>
      <c r="L95" s="1266"/>
      <c r="M95" s="1266"/>
      <c r="N95" s="1266"/>
      <c r="O95" s="1266"/>
      <c r="P95" s="1266"/>
      <c r="Q95" s="1266"/>
      <c r="R95" s="1266"/>
      <c r="S95" s="1266"/>
      <c r="T95" s="1266"/>
      <c r="U95" s="1266"/>
      <c r="V95" s="1266"/>
      <c r="W95" s="1266"/>
    </row>
    <row r="96" spans="2:23" ht="24" customHeight="1">
      <c r="B96" s="176" t="str">
        <f>IF(GenValidation!AJ31&lt;&gt;"",ROW()-ROW($B$69),"")</f>
        <v/>
      </c>
      <c r="C96" s="1266" t="str">
        <f>IF(GenValidation!AJ31&lt;&gt;"",GenValidation!AJ31,"")</f>
        <v/>
      </c>
      <c r="D96" s="1266"/>
      <c r="E96" s="1266"/>
      <c r="F96" s="1266"/>
      <c r="G96" s="1266"/>
      <c r="H96" s="1266"/>
      <c r="I96" s="1266"/>
      <c r="J96" s="1266"/>
      <c r="K96" s="1266"/>
      <c r="L96" s="1266"/>
      <c r="M96" s="1266"/>
      <c r="N96" s="1266"/>
      <c r="O96" s="1266"/>
      <c r="P96" s="1266"/>
      <c r="Q96" s="1266"/>
      <c r="R96" s="1266"/>
      <c r="S96" s="1266"/>
      <c r="T96" s="1266"/>
      <c r="U96" s="1266"/>
      <c r="V96" s="1266"/>
      <c r="W96" s="1266"/>
    </row>
    <row r="97" spans="2:23" ht="24" customHeight="1">
      <c r="B97" s="176" t="str">
        <f>IF(GenValidation!AJ32&lt;&gt;"",ROW()-ROW($B$69),"")</f>
        <v/>
      </c>
      <c r="C97" s="1266" t="str">
        <f>IF(GenValidation!AJ32&lt;&gt;"",GenValidation!AJ32,"")</f>
        <v/>
      </c>
      <c r="D97" s="1266"/>
      <c r="E97" s="1266"/>
      <c r="F97" s="1266"/>
      <c r="G97" s="1266"/>
      <c r="H97" s="1266"/>
      <c r="I97" s="1266"/>
      <c r="J97" s="1266"/>
      <c r="K97" s="1266"/>
      <c r="L97" s="1266"/>
      <c r="M97" s="1266"/>
      <c r="N97" s="1266"/>
      <c r="O97" s="1266"/>
      <c r="P97" s="1266"/>
      <c r="Q97" s="1266"/>
      <c r="R97" s="1266"/>
      <c r="S97" s="1266"/>
      <c r="T97" s="1266"/>
      <c r="U97" s="1266"/>
      <c r="V97" s="1266"/>
      <c r="W97" s="1266"/>
    </row>
    <row r="98" spans="2:23" ht="24" customHeight="1">
      <c r="B98" s="176" t="str">
        <f>IF(GenValidation!AJ33&lt;&gt;"",ROW()-ROW($B$69),"")</f>
        <v/>
      </c>
      <c r="C98" s="1266" t="str">
        <f>IF(GenValidation!AJ33&lt;&gt;"",GenValidation!AJ33,"")</f>
        <v/>
      </c>
      <c r="D98" s="1266"/>
      <c r="E98" s="1266"/>
      <c r="F98" s="1266"/>
      <c r="G98" s="1266"/>
      <c r="H98" s="1266"/>
      <c r="I98" s="1266"/>
      <c r="J98" s="1266"/>
      <c r="K98" s="1266"/>
      <c r="L98" s="1266"/>
      <c r="M98" s="1266"/>
      <c r="N98" s="1266"/>
      <c r="O98" s="1266"/>
      <c r="P98" s="1266"/>
      <c r="Q98" s="1266"/>
      <c r="R98" s="1266"/>
      <c r="S98" s="1266"/>
      <c r="T98" s="1266"/>
      <c r="U98" s="1266"/>
      <c r="V98" s="1266"/>
      <c r="W98" s="1266"/>
    </row>
    <row r="99" spans="2:23" ht="24" customHeight="1">
      <c r="B99" s="176" t="str">
        <f>IF(GenValidation!AJ34&lt;&gt;"",ROW()-ROW($B$69),"")</f>
        <v/>
      </c>
      <c r="C99" s="1266" t="str">
        <f>IF(GenValidation!AJ34&lt;&gt;"",GenValidation!AJ34,"")</f>
        <v/>
      </c>
      <c r="D99" s="1266"/>
      <c r="E99" s="1266"/>
      <c r="F99" s="1266"/>
      <c r="G99" s="1266"/>
      <c r="H99" s="1266"/>
      <c r="I99" s="1266"/>
      <c r="J99" s="1266"/>
      <c r="K99" s="1266"/>
      <c r="L99" s="1266"/>
      <c r="M99" s="1266"/>
      <c r="N99" s="1266"/>
      <c r="O99" s="1266"/>
      <c r="P99" s="1266"/>
      <c r="Q99" s="1266"/>
      <c r="R99" s="1266"/>
      <c r="S99" s="1266"/>
      <c r="T99" s="1266"/>
      <c r="U99" s="1266"/>
      <c r="V99" s="1266"/>
      <c r="W99" s="1266"/>
    </row>
    <row r="100" spans="2:23" ht="24" customHeight="1">
      <c r="B100" s="176" t="str">
        <f>IF(GenValidation!AJ35&lt;&gt;"",ROW()-ROW($B$69),"")</f>
        <v/>
      </c>
      <c r="C100" s="1266" t="str">
        <f>IF(GenValidation!AJ35&lt;&gt;"",GenValidation!AJ35,"")</f>
        <v/>
      </c>
      <c r="D100" s="1266"/>
      <c r="E100" s="1266"/>
      <c r="F100" s="1266"/>
      <c r="G100" s="1266"/>
      <c r="H100" s="1266"/>
      <c r="I100" s="1266"/>
      <c r="J100" s="1266"/>
      <c r="K100" s="1266"/>
      <c r="L100" s="1266"/>
      <c r="M100" s="1266"/>
      <c r="N100" s="1266"/>
      <c r="O100" s="1266"/>
      <c r="P100" s="1266"/>
      <c r="Q100" s="1266"/>
      <c r="R100" s="1266"/>
      <c r="S100" s="1266"/>
      <c r="T100" s="1266"/>
      <c r="U100" s="1266"/>
      <c r="V100" s="1266"/>
      <c r="W100" s="1266"/>
    </row>
    <row r="101" spans="2:23" ht="24" customHeight="1">
      <c r="B101" s="176" t="str">
        <f>IF(GenValidation!AJ36&lt;&gt;"",ROW()-ROW($B$69),"")</f>
        <v/>
      </c>
      <c r="C101" s="1266" t="str">
        <f>IF(GenValidation!AJ36&lt;&gt;"",GenValidation!AJ36,"")</f>
        <v/>
      </c>
      <c r="D101" s="1266"/>
      <c r="E101" s="1266"/>
      <c r="F101" s="1266"/>
      <c r="G101" s="1266"/>
      <c r="H101" s="1266"/>
      <c r="I101" s="1266"/>
      <c r="J101" s="1266"/>
      <c r="K101" s="1266"/>
      <c r="L101" s="1266"/>
      <c r="M101" s="1266"/>
      <c r="N101" s="1266"/>
      <c r="O101" s="1266"/>
      <c r="P101" s="1266"/>
      <c r="Q101" s="1266"/>
      <c r="R101" s="1266"/>
      <c r="S101" s="1266"/>
      <c r="T101" s="1266"/>
      <c r="U101" s="1266"/>
      <c r="V101" s="1266"/>
      <c r="W101" s="1266"/>
    </row>
    <row r="102" spans="2:23" ht="24" customHeight="1">
      <c r="B102" s="176" t="str">
        <f>IF(GenValidation!AJ37&lt;&gt;"",ROW()-ROW($B$69),"")</f>
        <v/>
      </c>
      <c r="C102" s="1266" t="str">
        <f>IF(GenValidation!AJ37&lt;&gt;"",GenValidation!AJ37,"")</f>
        <v/>
      </c>
      <c r="D102" s="1266"/>
      <c r="E102" s="1266"/>
      <c r="F102" s="1266"/>
      <c r="G102" s="1266"/>
      <c r="H102" s="1266"/>
      <c r="I102" s="1266"/>
      <c r="J102" s="1266"/>
      <c r="K102" s="1266"/>
      <c r="L102" s="1266"/>
      <c r="M102" s="1266"/>
      <c r="N102" s="1266"/>
      <c r="O102" s="1266"/>
      <c r="P102" s="1266"/>
      <c r="Q102" s="1266"/>
      <c r="R102" s="1266"/>
      <c r="S102" s="1266"/>
      <c r="T102" s="1266"/>
      <c r="U102" s="1266"/>
      <c r="V102" s="1266"/>
      <c r="W102" s="1266"/>
    </row>
    <row r="103" spans="2:23" ht="24" customHeight="1">
      <c r="B103" s="176" t="str">
        <f>IF(GenValidation!AJ38&lt;&gt;"",ROW()-ROW($B$69),"")</f>
        <v/>
      </c>
      <c r="C103" s="1266" t="str">
        <f>IF(GenValidation!AJ38&lt;&gt;"",GenValidation!AJ38,"")</f>
        <v/>
      </c>
      <c r="D103" s="1266"/>
      <c r="E103" s="1266"/>
      <c r="F103" s="1266"/>
      <c r="G103" s="1266"/>
      <c r="H103" s="1266"/>
      <c r="I103" s="1266"/>
      <c r="J103" s="1266"/>
      <c r="K103" s="1266"/>
      <c r="L103" s="1266"/>
      <c r="M103" s="1266"/>
      <c r="N103" s="1266"/>
      <c r="O103" s="1266"/>
      <c r="P103" s="1266"/>
      <c r="Q103" s="1266"/>
      <c r="R103" s="1266"/>
      <c r="S103" s="1266"/>
      <c r="T103" s="1266"/>
      <c r="U103" s="1266"/>
      <c r="V103" s="1266"/>
      <c r="W103" s="1266"/>
    </row>
    <row r="104" spans="2:23" ht="24" customHeight="1">
      <c r="B104" s="176" t="str">
        <f>IF(GenValidation!AJ39&lt;&gt;"",ROW()-ROW($B$69),"")</f>
        <v/>
      </c>
      <c r="C104" s="1266" t="str">
        <f>IF(GenValidation!AJ39&lt;&gt;"",GenValidation!AJ39,"")</f>
        <v/>
      </c>
      <c r="D104" s="1266"/>
      <c r="E104" s="1266"/>
      <c r="F104" s="1266"/>
      <c r="G104" s="1266"/>
      <c r="H104" s="1266"/>
      <c r="I104" s="1266"/>
      <c r="J104" s="1266"/>
      <c r="K104" s="1266"/>
      <c r="L104" s="1266"/>
      <c r="M104" s="1266"/>
      <c r="N104" s="1266"/>
      <c r="O104" s="1266"/>
      <c r="P104" s="1266"/>
      <c r="Q104" s="1266"/>
      <c r="R104" s="1266"/>
      <c r="S104" s="1266"/>
      <c r="T104" s="1266"/>
      <c r="U104" s="1266"/>
      <c r="V104" s="1266"/>
      <c r="W104" s="1266"/>
    </row>
    <row r="105" spans="2:23" ht="24" customHeight="1">
      <c r="B105" s="176" t="str">
        <f>IF(GenValidation!AJ40&lt;&gt;"",ROW()-ROW($B$69),"")</f>
        <v/>
      </c>
      <c r="C105" s="1266" t="str">
        <f>IF(GenValidation!AJ40&lt;&gt;"",GenValidation!AJ40,"")</f>
        <v/>
      </c>
      <c r="D105" s="1266"/>
      <c r="E105" s="1266"/>
      <c r="F105" s="1266"/>
      <c r="G105" s="1266"/>
      <c r="H105" s="1266"/>
      <c r="I105" s="1266"/>
      <c r="J105" s="1266"/>
      <c r="K105" s="1266"/>
      <c r="L105" s="1266"/>
      <c r="M105" s="1266"/>
      <c r="N105" s="1266"/>
      <c r="O105" s="1266"/>
      <c r="P105" s="1266"/>
      <c r="Q105" s="1266"/>
      <c r="R105" s="1266"/>
      <c r="S105" s="1266"/>
      <c r="T105" s="1266"/>
      <c r="U105" s="1266"/>
      <c r="V105" s="1266"/>
      <c r="W105" s="1266"/>
    </row>
    <row r="106" spans="2:23" ht="24" customHeight="1">
      <c r="B106" s="176" t="str">
        <f>IF(GenValidation!AJ41&lt;&gt;"",ROW()-ROW($B$69),"")</f>
        <v/>
      </c>
      <c r="C106" s="1266" t="str">
        <f>IF(GenValidation!AJ41&lt;&gt;"",GenValidation!AJ41,"")</f>
        <v/>
      </c>
      <c r="D106" s="1266"/>
      <c r="E106" s="1266"/>
      <c r="F106" s="1266"/>
      <c r="G106" s="1266"/>
      <c r="H106" s="1266"/>
      <c r="I106" s="1266"/>
      <c r="J106" s="1266"/>
      <c r="K106" s="1266"/>
      <c r="L106" s="1266"/>
      <c r="M106" s="1266"/>
      <c r="N106" s="1266"/>
      <c r="O106" s="1266"/>
      <c r="P106" s="1266"/>
      <c r="Q106" s="1266"/>
      <c r="R106" s="1266"/>
      <c r="S106" s="1266"/>
      <c r="T106" s="1266"/>
      <c r="U106" s="1266"/>
      <c r="V106" s="1266"/>
      <c r="W106" s="1266"/>
    </row>
    <row r="107" spans="2:23" ht="6.75" customHeight="1">
      <c r="B107" s="27"/>
      <c r="C107" s="177"/>
      <c r="D107" s="177"/>
      <c r="E107" s="177"/>
      <c r="F107" s="177"/>
      <c r="G107" s="177"/>
      <c r="H107" s="177"/>
      <c r="I107" s="177"/>
      <c r="J107" s="177"/>
      <c r="K107" s="177"/>
      <c r="L107" s="177"/>
      <c r="M107" s="177"/>
      <c r="N107" s="177"/>
      <c r="O107" s="177"/>
      <c r="P107" s="177"/>
      <c r="Q107" s="177"/>
      <c r="R107" s="177"/>
      <c r="S107" s="177"/>
      <c r="T107" s="177"/>
      <c r="U107" s="177"/>
      <c r="V107" s="177"/>
      <c r="W107" s="177"/>
    </row>
  </sheetData>
  <mergeCells count="37">
    <mergeCell ref="C75:W75"/>
    <mergeCell ref="C70:W70"/>
    <mergeCell ref="C71:W71"/>
    <mergeCell ref="C72:W72"/>
    <mergeCell ref="C73:W73"/>
    <mergeCell ref="C74:W74"/>
    <mergeCell ref="C87:W87"/>
    <mergeCell ref="C76:W76"/>
    <mergeCell ref="C77:W77"/>
    <mergeCell ref="C78:W78"/>
    <mergeCell ref="C79:W79"/>
    <mergeCell ref="C80:W80"/>
    <mergeCell ref="C81:W81"/>
    <mergeCell ref="C82:W82"/>
    <mergeCell ref="C83:W83"/>
    <mergeCell ref="C84:W84"/>
    <mergeCell ref="C85:W85"/>
    <mergeCell ref="C86:W86"/>
    <mergeCell ref="C99:W99"/>
    <mergeCell ref="C88:W88"/>
    <mergeCell ref="C89:W89"/>
    <mergeCell ref="C90:W90"/>
    <mergeCell ref="C91:W91"/>
    <mergeCell ref="C92:W92"/>
    <mergeCell ref="C93:W93"/>
    <mergeCell ref="C94:W94"/>
    <mergeCell ref="C95:W95"/>
    <mergeCell ref="C96:W96"/>
    <mergeCell ref="C97:W97"/>
    <mergeCell ref="C98:W98"/>
    <mergeCell ref="C106:W106"/>
    <mergeCell ref="C100:W100"/>
    <mergeCell ref="C101:W101"/>
    <mergeCell ref="C102:W102"/>
    <mergeCell ref="C103:W103"/>
    <mergeCell ref="C104:W104"/>
    <mergeCell ref="C105:W105"/>
  </mergeCells>
  <conditionalFormatting sqref="V7">
    <cfRule type="expression" dxfId="225" priority="1">
      <formula>$V$7="% Mkt / % EGR"</formula>
    </cfRule>
  </conditionalFormatting>
  <dataValidations count="1">
    <dataValidation type="list" allowBlank="1" showInputMessage="1" showErrorMessage="1" sqref="V7" xr:uid="{00000000-0002-0000-0700-000000000000}">
      <formula1>DeltaColumnSelection</formula1>
    </dataValidation>
  </dataValidations>
  <hyperlinks>
    <hyperlink ref="Y9:AR9" location="PotentialMarketRentNotes" tooltip="Click here to edit or delete this note" display="PotentialMarketRentNotes" xr:uid="{00000000-0004-0000-0700-000000000000}"/>
    <hyperlink ref="Y10:AR10" location="LosstoLeaseGaintoLeaseNotes" tooltip="Click here to edit or delete this note" display="LosstoLeaseGaintoLeaseNotes" xr:uid="{00000000-0004-0000-0700-000001000000}"/>
    <hyperlink ref="Y13:AR13" location="VacancyNotes" tooltip="Click here to edit or delete this note" display="VacancyNotes" xr:uid="{00000000-0004-0000-0700-000002000000}"/>
    <hyperlink ref="Y14:AR14" location="ConcessionsNotes" tooltip="Click here to edit or delete this note" display="ConcessionsNotes" xr:uid="{00000000-0004-0000-0700-000003000000}"/>
    <hyperlink ref="Y15:AR15" location="NonRevenueUnitsNotes" tooltip="Click here to edit or delete this note" display="NonRevenueUnitsNotes" xr:uid="{00000000-0004-0000-0700-000004000000}"/>
    <hyperlink ref="Y16:AR16" location="CollectionLossNotes" tooltip="Click here to edit or delete this note" display="CollectionLossNotes" xr:uid="{00000000-0004-0000-0700-000005000000}"/>
    <hyperlink ref="Y17:AR17" location="BaseRentalRevenueNotes" tooltip="Click here to edit or delete this note" display="BaseRentalRevenueNotes" xr:uid="{00000000-0004-0000-0700-000006000000}"/>
    <hyperlink ref="Y19:AR19" location="GarageParkingNotes" tooltip="Click here to edit or delete this note" display="GarageParkingNotes" xr:uid="{00000000-0004-0000-0700-000007000000}"/>
    <hyperlink ref="Y20:AR20" location="StorageNotes" tooltip="Click here to edit or delete this note" display="StorageNotes" xr:uid="{00000000-0004-0000-0700-000008000000}"/>
    <hyperlink ref="Y21:AR21" location="ExpenseReimbursementsNotes" tooltip="Click here to edit or delete this note" display="ExpenseReimbursementsNotes" xr:uid="{00000000-0004-0000-0700-000009000000}"/>
    <hyperlink ref="Y22:AR22" location="OtherResidentialIncomeNotes" tooltip="Click here to edit or delete this note" display="OtherResidentialIncomeNotes" xr:uid="{00000000-0004-0000-0700-00000A000000}"/>
    <hyperlink ref="Y23:AR23" location="CommercialNetIncomeNotes" tooltip="Click here to edit or delete this note" display="CommercialNetIncomeNotes" xr:uid="{00000000-0004-0000-0700-00000B000000}"/>
    <hyperlink ref="Y24:AR24" location="OtherIncomeNotes" tooltip="Click here to edit or delete this note" display="OtherIncomeNotes" xr:uid="{00000000-0004-0000-0700-00000C000000}"/>
    <hyperlink ref="Y26:AR26" location="EffectiveGrossRevenueNotes" tooltip="Click here to edit or delete this note" display="EffectiveGrossRevenueNotes" xr:uid="{00000000-0004-0000-0700-00000D000000}"/>
    <hyperlink ref="Y31:AR31" location="RepairMaintenanceNotes" tooltip="Click here to edit or delete this note" display="RepairMaintenanceNotes" xr:uid="{00000000-0004-0000-0700-00000E000000}"/>
    <hyperlink ref="Y32:AR32" location="ContractServicesNotes" tooltip="Click here to edit or delete this note" display="ContractServicesNotes" xr:uid="{00000000-0004-0000-0700-00000F000000}"/>
    <hyperlink ref="Y33:AR33" location="SecurityNotes" tooltip="Click here to edit or delete this note" display="SecurityNotes" xr:uid="{00000000-0004-0000-0700-000010000000}"/>
    <hyperlink ref="Y34:AR34" location="LandscapingGroundsNotes" tooltip="Click here to edit or delete this note" display="LandscapingGroundsNotes" xr:uid="{00000000-0004-0000-0700-000011000000}"/>
    <hyperlink ref="Y35:AR35" location="PersonnelNotes" tooltip="Click here to edit or delete this note" display="PersonnelNotes" xr:uid="{00000000-0004-0000-0700-000012000000}"/>
    <hyperlink ref="Y36:AR36" location="MarketingAdvertisingNotes" tooltip="Click here to edit or delete this note" display="MarketingAdvertisingNotes" xr:uid="{00000000-0004-0000-0700-000013000000}"/>
    <hyperlink ref="Y37:AR37" location="LeasingCommissionsNotes" tooltip="Click here to edit or delete this note" display="LeasingCommissionsNotes" xr:uid="{00000000-0004-0000-0700-000014000000}"/>
    <hyperlink ref="Y38:AR38" location="AdministrativeExpensesNotes" tooltip="Click here to edit or delete this note" display="AdministrativeExpensesNotes" xr:uid="{00000000-0004-0000-0700-000015000000}"/>
    <hyperlink ref="Y39:AR39" location="TurnoverMakeReadyNotes" tooltip="Click here to edit or delete this note" display="TurnoverMakeReadyNotes" xr:uid="{00000000-0004-0000-0700-000016000000}"/>
    <hyperlink ref="Y40:AR40" location="ElectricityNotes" tooltip="Click here to edit or delete this note" display="ElectricityNotes" xr:uid="{00000000-0004-0000-0700-000017000000}"/>
    <hyperlink ref="Y41:AR41" location="FuelGasOilNotes" tooltip="Click here to edit or delete this note" display="FuelGasOilNotes" xr:uid="{00000000-0004-0000-0700-000018000000}"/>
    <hyperlink ref="Y42:AR42" location="WaterSewerNotes" tooltip="Click here to edit or delete this note" display="WaterSewerNotes" xr:uid="{00000000-0004-0000-0700-000019000000}"/>
    <hyperlink ref="Y43:AR43" location="OtherUtilitiesNotes" tooltip="Click here to edit or delete this note" display="OtherUtilitiesNotes" xr:uid="{00000000-0004-0000-0700-00001A000000}"/>
    <hyperlink ref="Y44:AR44" location="InsuranceNotes" tooltip="Click here to edit or delete this note" display="InsuranceNotes" xr:uid="{00000000-0004-0000-0700-00001B000000}"/>
    <hyperlink ref="Y45:AR45" location="RealEstateTaxesNotes" tooltip="Click here to edit or delete this note" display="RealEstateTaxesNotes" xr:uid="{00000000-0004-0000-0700-00001C000000}"/>
    <hyperlink ref="Y46:AR46" location="OtherPropertyTaxesNotes" tooltip="Click here to edit or delete this note" display="OtherPropertyTaxesNotes" xr:uid="{00000000-0004-0000-0700-00001D000000}"/>
    <hyperlink ref="Y47:AR47" location="PropertyManagementFeeNotes" tooltip="Click here to edit or delete this note" display="PropertyManagementFeeNotes" xr:uid="{00000000-0004-0000-0700-00001E000000}"/>
    <hyperlink ref="Y48:AR48" location="OtherOperatingExpensesNotes" tooltip="Click here to edit or delete this note" display="OtherOperatingExpensesNotes" xr:uid="{00000000-0004-0000-0700-00001F000000}"/>
    <hyperlink ref="Y49:AR49" location="ReimbursementsNotes" tooltip="Click here to edit or delete this note" display="ReimbursementsNotes" xr:uid="{00000000-0004-0000-0700-000020000000}"/>
    <hyperlink ref="Y51:AR51" location="TotalOperatingExpensesNotes" tooltip="Click here to edit or delete this note" display="TotalOperatingExpensesNotes" xr:uid="{00000000-0004-0000-0700-000021000000}"/>
    <hyperlink ref="Y57:AR57" location="ReplacementReservesNotes" tooltip="Click here to edit or delete this note" display="ReplacementReservesNotes" xr:uid="{00000000-0004-0000-0700-000022000000}"/>
    <hyperlink ref="Y59:AR59" location="NetOperatingIncomeAfterReservesNotes" tooltip="Click here to edit or delete this note" display="NetOperatingIncomeAfterReservesNotes" xr:uid="{00000000-0004-0000-0700-000023000000}"/>
    <hyperlink ref="Y11:AR11" location="GrossPotentialRevenueNotes" tooltip="Click here to edit or delete this note" display="GrossPotentialRevenueNotes" xr:uid="{00000000-0004-0000-0700-000024000000}"/>
  </hyperlinks>
  <pageMargins left="0.3" right="0.3" top="0.6" bottom="0.41" header="0.25" footer="0.2"/>
  <pageSetup scale="72" orientation="portrait" r:id="rId1"/>
  <headerFooter scaleWithDoc="0">
    <oddHeader>&amp;C&amp;"Gill Sans for CW,Regular"&amp;8&amp;KFF0000STRICTLY CONFIDENTIAL&amp;R&amp;G</oddHeader>
    <oddFooter>&amp;L&amp;8&amp;F&amp;C&amp;8Page &amp;P of &amp;N&amp;R&amp;8&amp;D  &amp;T</oddFooter>
  </headerFooter>
  <rowBreaks count="1" manualBreakCount="1">
    <brk id="68" min="1" max="17" man="1"/>
  </rowBreaks>
  <legacyDrawingHF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670F8B-3299-41F6-88C4-8948637D29EB}">
  <sheetPr codeName="OutHistoricalsAdjusted"/>
  <dimension ref="B1:AO107"/>
  <sheetViews>
    <sheetView showGridLines="0" zoomScale="90" zoomScaleNormal="90" zoomScaleSheetLayoutView="100" workbookViewId="0">
      <pane xSplit="3" ySplit="7" topLeftCell="D8" activePane="bottomRight" state="frozen"/>
      <selection activeCell="L26" sqref="L26"/>
      <selection pane="topRight" activeCell="L26" sqref="L26"/>
      <selection pane="bottomLeft" activeCell="L26" sqref="L26"/>
      <selection pane="bottomRight" activeCell="R77" sqref="R77"/>
    </sheetView>
  </sheetViews>
  <sheetFormatPr defaultColWidth="9.140625" defaultRowHeight="12.75"/>
  <cols>
    <col min="1" max="1" width="1.7109375" customWidth="1"/>
    <col min="2" max="2" width="4.85546875" bestFit="1" customWidth="1"/>
    <col min="3" max="3" width="32.7109375" customWidth="1"/>
    <col min="4" max="4" width="15.28515625" customWidth="1"/>
    <col min="5" max="6" width="9" customWidth="1"/>
    <col min="7" max="7" width="15.28515625" customWidth="1"/>
    <col min="8" max="9" width="9" customWidth="1"/>
    <col min="10" max="10" width="2" customWidth="1"/>
    <col min="11" max="11" width="15.28515625" customWidth="1"/>
    <col min="12" max="14" width="9" customWidth="1"/>
    <col min="15" max="15" width="6" customWidth="1"/>
    <col min="16" max="16" width="2" customWidth="1"/>
  </cols>
  <sheetData>
    <row r="1" spans="2:41" ht="14.25" customHeight="1">
      <c r="B1" s="130" t="s">
        <v>0</v>
      </c>
      <c r="C1" s="130"/>
    </row>
    <row r="2" spans="2:41" s="136" customFormat="1" ht="19.5" customHeight="1">
      <c r="B2" s="1166" t="str">
        <f>Input!E10</f>
        <v>Chaney Place Townhomes</v>
      </c>
      <c r="C2" s="131"/>
      <c r="D2" s="132"/>
      <c r="E2" s="1012" t="s">
        <v>105</v>
      </c>
      <c r="F2" s="132"/>
      <c r="G2" s="132"/>
      <c r="H2" s="132"/>
      <c r="I2" s="132"/>
      <c r="J2" s="132"/>
      <c r="K2" s="132"/>
      <c r="L2" s="132"/>
      <c r="M2" s="132"/>
      <c r="N2" s="135"/>
      <c r="O2" s="1167" t="str">
        <f>Input!$M$4</f>
        <v>Huntsville, AL</v>
      </c>
      <c r="Q2" s="132"/>
      <c r="R2" s="132"/>
      <c r="S2" s="132"/>
      <c r="T2" s="132"/>
      <c r="U2" s="132"/>
      <c r="V2" s="132"/>
      <c r="W2" s="132"/>
      <c r="X2" s="132"/>
      <c r="Y2" s="132"/>
      <c r="Z2" s="132"/>
      <c r="AA2" s="132"/>
      <c r="AB2" s="132"/>
      <c r="AC2" s="132"/>
      <c r="AD2" s="132"/>
      <c r="AE2" s="132"/>
      <c r="AF2" s="132"/>
      <c r="AG2" s="132"/>
      <c r="AH2" s="132"/>
      <c r="AI2" s="132"/>
      <c r="AJ2" s="132"/>
    </row>
    <row r="5" spans="2:41" s="138" customFormat="1" ht="15.75" customHeight="1">
      <c r="B5" s="1039" t="str">
        <f>UPPER(IF('Adjustments &amp; Notes'!D10="","",IFERROR("Trailing "&amp;AdjstedHistSelection*1&amp;IF(AdjstedHistSelection=1," Month Annualized"," Months Annualized"),AdjstedHistSelection)))&amp;" CASH FLOW"</f>
        <v>TRAILING 12 MONTHS ANNUALIZED CASH FLOW</v>
      </c>
      <c r="C5" s="1026"/>
      <c r="D5" s="1027"/>
      <c r="E5" s="1027"/>
      <c r="F5" s="1027"/>
      <c r="G5" s="1027"/>
      <c r="H5" s="1027"/>
      <c r="I5" s="1027"/>
      <c r="J5" s="137"/>
      <c r="K5" s="1039" t="s">
        <v>107</v>
      </c>
      <c r="L5" s="1027"/>
      <c r="M5" s="1027"/>
      <c r="N5" s="1027"/>
      <c r="O5" s="1027"/>
      <c r="Q5" s="1036" t="s">
        <v>108</v>
      </c>
      <c r="R5" s="1024"/>
      <c r="S5" s="1024"/>
      <c r="T5" s="1024"/>
      <c r="U5" s="1024"/>
      <c r="V5" s="1024"/>
      <c r="W5" s="1024"/>
      <c r="X5" s="1024"/>
      <c r="Y5" s="1024"/>
      <c r="Z5" s="1024"/>
      <c r="AA5" s="1024"/>
      <c r="AB5" s="1024"/>
      <c r="AC5" s="1024"/>
      <c r="AD5" s="1024"/>
      <c r="AE5" s="1024"/>
      <c r="AF5" s="1024"/>
      <c r="AG5" s="1024"/>
      <c r="AH5" s="1024"/>
      <c r="AI5" s="1024"/>
      <c r="AJ5" s="1024"/>
    </row>
    <row r="6" spans="2:41" s="138" customFormat="1" ht="20.100000000000001" customHeight="1">
      <c r="D6" s="1168" t="s">
        <v>135</v>
      </c>
      <c r="E6" s="1168"/>
      <c r="F6" s="1168"/>
      <c r="G6" s="1168" t="str">
        <f>'Adjustments &amp; Notes'!G9</f>
        <v>Adjusted Historicals</v>
      </c>
      <c r="H6" s="1169"/>
      <c r="I6" s="1169"/>
      <c r="J6" s="1170"/>
      <c r="K6" s="1168" t="s">
        <v>136</v>
      </c>
      <c r="L6" s="1168"/>
      <c r="M6" s="1168"/>
      <c r="N6" s="1177"/>
      <c r="O6" s="1172"/>
      <c r="Q6" s="139" t="s">
        <v>110</v>
      </c>
      <c r="T6" s="140"/>
      <c r="U6" s="140"/>
      <c r="AN6" s="140"/>
      <c r="AO6" s="140"/>
    </row>
    <row r="7" spans="2:41" s="138" customFormat="1" ht="12.75" customHeight="1">
      <c r="D7" s="1162">
        <f>'Adjustments &amp; Notes'!D10</f>
        <v>45962</v>
      </c>
      <c r="E7" s="1048" t="s">
        <v>111</v>
      </c>
      <c r="F7" s="1048" t="s">
        <v>112</v>
      </c>
      <c r="G7" s="1162">
        <f>D7</f>
        <v>45962</v>
      </c>
      <c r="H7" s="1048" t="s">
        <v>111</v>
      </c>
      <c r="I7" s="1048" t="s">
        <v>112</v>
      </c>
      <c r="J7" s="1170"/>
      <c r="K7" s="1173">
        <f>'CF Calculations'!E4</f>
        <v>46477</v>
      </c>
      <c r="L7" s="1048" t="s">
        <v>111</v>
      </c>
      <c r="M7" s="1048" t="s">
        <v>112</v>
      </c>
      <c r="N7" s="1048" t="s">
        <v>137</v>
      </c>
      <c r="O7" s="1175" t="s">
        <v>114</v>
      </c>
      <c r="P7" s="141"/>
      <c r="T7" s="142"/>
      <c r="U7" s="142"/>
      <c r="AN7" s="142"/>
      <c r="AO7" s="142"/>
    </row>
    <row r="8" spans="2:41" s="17" customFormat="1" ht="14.25" customHeight="1">
      <c r="B8" s="1176" t="s">
        <v>115</v>
      </c>
      <c r="C8" s="121"/>
      <c r="D8" s="143"/>
      <c r="E8" s="143"/>
      <c r="F8" s="144" t="s">
        <v>116</v>
      </c>
      <c r="G8" s="143"/>
      <c r="H8" s="143"/>
      <c r="I8" s="144" t="s">
        <v>116</v>
      </c>
      <c r="K8" s="143"/>
      <c r="L8" s="143"/>
      <c r="M8" s="144" t="s">
        <v>116</v>
      </c>
      <c r="N8" s="178"/>
      <c r="O8" s="143"/>
      <c r="Q8" s="143"/>
      <c r="R8" s="143"/>
      <c r="S8" s="143"/>
      <c r="T8" s="143"/>
      <c r="U8" s="143"/>
      <c r="V8" s="143"/>
      <c r="W8" s="143"/>
      <c r="X8" s="143"/>
      <c r="Y8" s="143"/>
      <c r="Z8" s="143"/>
      <c r="AA8" s="143"/>
      <c r="AB8" s="143"/>
      <c r="AC8" s="143"/>
      <c r="AD8" s="143"/>
      <c r="AE8" s="143"/>
      <c r="AF8" s="143"/>
      <c r="AG8" s="143"/>
      <c r="AH8" s="143"/>
      <c r="AI8" s="143"/>
      <c r="AJ8" s="143"/>
    </row>
    <row r="9" spans="2:41">
      <c r="B9" s="32" t="s">
        <v>117</v>
      </c>
      <c r="C9" s="32"/>
      <c r="D9" s="78">
        <f>'Adjustments &amp; Notes'!D12</f>
        <v>1456424</v>
      </c>
      <c r="E9" s="179">
        <f>D9/TotalDealUnits</f>
        <v>18205.3</v>
      </c>
      <c r="F9" s="180">
        <f>IF(D$9,D9/D$9,)</f>
        <v>1</v>
      </c>
      <c r="G9" s="78">
        <f>'Adjustments &amp; Notes'!G12</f>
        <v>1456424</v>
      </c>
      <c r="H9" s="145">
        <f>G9/TotalDealUnits</f>
        <v>18205.3</v>
      </c>
      <c r="I9" s="180">
        <f>IF(G$9,G9/G$9,)</f>
        <v>1</v>
      </c>
      <c r="K9" s="78">
        <f>SUMIF('Operating Calculations'!$B$71:$B$82,$B9,'Operating Calculations'!$C$71:$C$82)</f>
        <v>1603464.0000000002</v>
      </c>
      <c r="L9" s="145">
        <f>K9/TotalDealUnits</f>
        <v>20043.300000000003</v>
      </c>
      <c r="M9" s="180">
        <f>IF(K$9,K9/K$9,)</f>
        <v>1</v>
      </c>
      <c r="N9" s="40">
        <f>ROUND(IF(G9,K9/G9-1,),4)</f>
        <v>0.10100000000000001</v>
      </c>
      <c r="O9" s="147" t="str">
        <f>IF('Adjustments &amp; Notes'!O12&lt;&gt;"",GenValidation!AI5,"")</f>
        <v/>
      </c>
      <c r="Q9" s="148" t="str">
        <f>IF(PotentialMarketRentNotes="","",PotentialMarketRentNotes)</f>
        <v/>
      </c>
      <c r="R9" s="148"/>
      <c r="S9" s="148"/>
      <c r="T9" s="148"/>
      <c r="U9" s="148"/>
      <c r="V9" s="148"/>
      <c r="W9" s="148"/>
      <c r="X9" s="148"/>
      <c r="Y9" s="148"/>
      <c r="Z9" s="148"/>
      <c r="AA9" s="148"/>
      <c r="AB9" s="148"/>
      <c r="AC9" s="148"/>
      <c r="AD9" s="148"/>
      <c r="AE9" s="148"/>
      <c r="AF9" s="148"/>
      <c r="AG9" s="148"/>
      <c r="AH9" s="148"/>
      <c r="AI9" s="148"/>
      <c r="AJ9" s="148"/>
    </row>
    <row r="10" spans="2:41">
      <c r="B10" s="32" t="s">
        <v>118</v>
      </c>
      <c r="C10" s="32"/>
      <c r="D10" s="78">
        <f>'Adjustments &amp; Notes'!D13</f>
        <v>4891</v>
      </c>
      <c r="E10" s="179">
        <f>D10/TotalDealUnits</f>
        <v>61.137500000000003</v>
      </c>
      <c r="F10" s="180">
        <f t="shared" ref="F10:F11" si="0">IF(D$9,D10/D$9,)</f>
        <v>3.3582253519579461E-3</v>
      </c>
      <c r="G10" s="78">
        <f>'Adjustments &amp; Notes'!G13</f>
        <v>4891</v>
      </c>
      <c r="H10" s="145">
        <f>G10/TotalDealUnits</f>
        <v>61.137500000000003</v>
      </c>
      <c r="I10" s="180">
        <f t="shared" ref="I10:I11" si="1">IF(G$9,G10/G$9,)</f>
        <v>3.3582253519579461E-3</v>
      </c>
      <c r="K10" s="78">
        <f>SUMIF('Operating Calculations'!$B$71:$B$82,$B10,'Operating Calculations'!$C$71:$C$82)</f>
        <v>-88190.520000000062</v>
      </c>
      <c r="L10" s="145">
        <f>K10/TotalDealUnits</f>
        <v>-1102.3815000000009</v>
      </c>
      <c r="M10" s="180">
        <f t="shared" ref="M10:M11" si="2">IF(K$9,K10/K$9,)</f>
        <v>-5.5000000000000028E-2</v>
      </c>
      <c r="N10" s="40">
        <f t="shared" ref="N10:N11" si="3">ROUND(IF(G10,K10/G10-1,),4)</f>
        <v>-19.031199999999998</v>
      </c>
      <c r="O10" s="147" t="str">
        <f>IF('Adjustments &amp; Notes'!O13&lt;&gt;"",GenValidation!AI6,"")</f>
        <v/>
      </c>
      <c r="Q10" s="149" t="str">
        <f>IF(LosstoLeaseGaintoLeaseNotes="","",LosstoLeaseGaintoLeaseNotes)</f>
        <v/>
      </c>
      <c r="R10" s="149"/>
      <c r="S10" s="149"/>
      <c r="T10" s="149"/>
      <c r="U10" s="149"/>
      <c r="V10" s="149"/>
      <c r="W10" s="149"/>
      <c r="X10" s="149"/>
      <c r="Y10" s="149"/>
      <c r="Z10" s="149"/>
      <c r="AA10" s="149"/>
      <c r="AB10" s="149"/>
      <c r="AC10" s="149"/>
      <c r="AD10" s="149"/>
      <c r="AE10" s="149"/>
      <c r="AF10" s="149"/>
      <c r="AG10" s="149"/>
      <c r="AH10" s="149"/>
      <c r="AI10" s="149"/>
      <c r="AJ10" s="149"/>
    </row>
    <row r="11" spans="2:41">
      <c r="B11" s="46" t="s">
        <v>119</v>
      </c>
      <c r="C11" s="46"/>
      <c r="D11" s="150">
        <f>SUBTOTAL(9,D9:D10)</f>
        <v>1461315</v>
      </c>
      <c r="E11" s="181">
        <f>D11/TotalDealUnits</f>
        <v>18266.4375</v>
      </c>
      <c r="F11" s="182">
        <f t="shared" si="0"/>
        <v>1.003358225351958</v>
      </c>
      <c r="G11" s="150">
        <f>SUBTOTAL(9,G9:G10)</f>
        <v>1461315</v>
      </c>
      <c r="H11" s="151">
        <f>G11/TotalDealUnits</f>
        <v>18266.4375</v>
      </c>
      <c r="I11" s="182">
        <f t="shared" si="1"/>
        <v>1.003358225351958</v>
      </c>
      <c r="K11" s="150">
        <f>SUBTOTAL(9,K9:K10)</f>
        <v>1515273.4800000002</v>
      </c>
      <c r="L11" s="151">
        <f>K11/TotalDealUnits</f>
        <v>18940.918500000003</v>
      </c>
      <c r="M11" s="182">
        <f t="shared" si="2"/>
        <v>0.94499999999999995</v>
      </c>
      <c r="N11" s="48">
        <f t="shared" si="3"/>
        <v>3.6900000000000002E-2</v>
      </c>
      <c r="O11" s="147" t="str">
        <f>IF('Adjustments &amp; Notes'!O14&lt;&gt;"",GenValidation!AI7,"")</f>
        <v/>
      </c>
      <c r="Q11" s="149" t="str">
        <f>IF(GrossPotentialRevenueNotes="","",GrossPotentialRevenueNotes)</f>
        <v/>
      </c>
      <c r="R11" s="149"/>
      <c r="S11" s="149"/>
      <c r="T11" s="149"/>
      <c r="U11" s="149"/>
      <c r="V11" s="149"/>
      <c r="W11" s="149"/>
      <c r="X11" s="149"/>
      <c r="Y11" s="149"/>
      <c r="Z11" s="149"/>
      <c r="AA11" s="149"/>
      <c r="AB11" s="149"/>
      <c r="AC11" s="149"/>
      <c r="AD11" s="149"/>
      <c r="AE11" s="149"/>
      <c r="AF11" s="149"/>
      <c r="AG11" s="149"/>
      <c r="AH11" s="149"/>
      <c r="AI11" s="149"/>
      <c r="AJ11" s="149"/>
    </row>
    <row r="12" spans="2:41">
      <c r="B12" s="32"/>
      <c r="C12" s="32"/>
      <c r="D12" s="78"/>
      <c r="E12" s="179"/>
      <c r="F12" s="183"/>
      <c r="G12" s="78"/>
      <c r="H12" s="145"/>
      <c r="I12" s="183"/>
      <c r="K12" s="78"/>
      <c r="L12" s="145"/>
      <c r="M12" s="183"/>
      <c r="N12" s="40"/>
      <c r="O12" s="147"/>
      <c r="Q12" s="149"/>
      <c r="R12" s="149"/>
      <c r="S12" s="149"/>
      <c r="T12" s="149"/>
      <c r="U12" s="149"/>
      <c r="V12" s="149"/>
      <c r="W12" s="149"/>
      <c r="X12" s="149"/>
      <c r="Y12" s="149"/>
      <c r="Z12" s="149"/>
      <c r="AA12" s="149"/>
      <c r="AB12" s="149"/>
      <c r="AC12" s="149"/>
      <c r="AD12" s="149"/>
      <c r="AE12" s="149"/>
      <c r="AF12" s="149"/>
      <c r="AG12" s="149"/>
      <c r="AH12" s="149"/>
      <c r="AI12" s="149"/>
      <c r="AJ12" s="149"/>
    </row>
    <row r="13" spans="2:41">
      <c r="B13" s="32" t="str">
        <f>"Vacancy"&amp;IF(IsRenov," (incl. Renovation Downtime)","")</f>
        <v>Vacancy</v>
      </c>
      <c r="C13" s="32"/>
      <c r="D13" s="78">
        <f>'Adjustments &amp; Notes'!D16</f>
        <v>-168572</v>
      </c>
      <c r="E13" s="179">
        <f>D13/TotalDealUnits</f>
        <v>-2107.15</v>
      </c>
      <c r="F13" s="180">
        <f t="shared" ref="F13:F17" si="4">IF(D$9,D13/D$9,)</f>
        <v>-0.11574376692501634</v>
      </c>
      <c r="G13" s="78">
        <f>'Adjustments &amp; Notes'!G16</f>
        <v>-168572</v>
      </c>
      <c r="H13" s="145">
        <f>G13/TotalDealUnits</f>
        <v>-2107.15</v>
      </c>
      <c r="I13" s="180">
        <f t="shared" ref="I13:I17" si="5">IF(G$9,G13/G$9,)</f>
        <v>-0.11574376692501634</v>
      </c>
      <c r="K13" s="78">
        <f>SUM('Operating Calculations'!C72,'Operating Calculations'!C73)</f>
        <v>-80173.200000000055</v>
      </c>
      <c r="L13" s="145">
        <f>K13/TotalDealUnits</f>
        <v>-1002.1650000000006</v>
      </c>
      <c r="M13" s="180">
        <f t="shared" ref="M13:M17" si="6">IF(K$9,K13/K$9,)</f>
        <v>-5.0000000000000031E-2</v>
      </c>
      <c r="N13" s="40">
        <f t="shared" ref="N13:N17" si="7">ROUND(IF(G13,K13/G13-1,),4)</f>
        <v>-0.52439999999999998</v>
      </c>
      <c r="O13" s="147" t="str">
        <f>IF('Adjustments &amp; Notes'!O16&lt;&gt;"",GenValidation!AI9,"")</f>
        <v/>
      </c>
      <c r="Q13" s="149" t="str">
        <f>IF(VacancyNotes="","",VacancyNotes)</f>
        <v/>
      </c>
      <c r="R13" s="149"/>
      <c r="S13" s="149"/>
      <c r="T13" s="149"/>
      <c r="U13" s="149"/>
      <c r="V13" s="149"/>
      <c r="W13" s="149"/>
      <c r="X13" s="149"/>
      <c r="Y13" s="149"/>
      <c r="Z13" s="149"/>
      <c r="AA13" s="149"/>
      <c r="AB13" s="149"/>
      <c r="AC13" s="149"/>
      <c r="AD13" s="149"/>
      <c r="AE13" s="149"/>
      <c r="AF13" s="149"/>
      <c r="AG13" s="149"/>
      <c r="AH13" s="149"/>
      <c r="AI13" s="149"/>
      <c r="AJ13" s="149"/>
    </row>
    <row r="14" spans="2:41">
      <c r="B14" s="32" t="s">
        <v>120</v>
      </c>
      <c r="C14" s="32"/>
      <c r="D14" s="78">
        <f>'Adjustments &amp; Notes'!D17</f>
        <v>-39642</v>
      </c>
      <c r="E14" s="179">
        <f>D14/TotalDealUnits</f>
        <v>-495.52499999999998</v>
      </c>
      <c r="F14" s="180">
        <f t="shared" si="4"/>
        <v>-2.7218722020510511E-2</v>
      </c>
      <c r="G14" s="78">
        <f>'Adjustments &amp; Notes'!G17</f>
        <v>-39642</v>
      </c>
      <c r="H14" s="145">
        <f>G14/TotalDealUnits</f>
        <v>-495.52499999999998</v>
      </c>
      <c r="I14" s="180">
        <f t="shared" si="5"/>
        <v>-2.7218722020510511E-2</v>
      </c>
      <c r="K14" s="78">
        <f>SUMIF('Operating Calculations'!$B$71:$B$82,$B14,'Operating Calculations'!$C$71:$C$82)</f>
        <v>0</v>
      </c>
      <c r="L14" s="145">
        <f>K14/TotalDealUnits</f>
        <v>0</v>
      </c>
      <c r="M14" s="180">
        <f t="shared" si="6"/>
        <v>0</v>
      </c>
      <c r="N14" s="40">
        <f t="shared" si="7"/>
        <v>-1</v>
      </c>
      <c r="O14" s="147" t="str">
        <f>IF('Adjustments &amp; Notes'!O17&lt;&gt;"",GenValidation!AI10,"")</f>
        <v/>
      </c>
      <c r="Q14" s="149" t="str">
        <f>IF(ConcessionsNotes="","",ConcessionsNotes)</f>
        <v/>
      </c>
      <c r="R14" s="149"/>
      <c r="S14" s="149"/>
      <c r="T14" s="149"/>
      <c r="U14" s="149"/>
      <c r="V14" s="149"/>
      <c r="W14" s="149"/>
      <c r="X14" s="149"/>
      <c r="Y14" s="149"/>
      <c r="Z14" s="149"/>
      <c r="AA14" s="149"/>
      <c r="AB14" s="149"/>
      <c r="AC14" s="149"/>
      <c r="AD14" s="149"/>
      <c r="AE14" s="149"/>
      <c r="AF14" s="149"/>
      <c r="AG14" s="149"/>
      <c r="AH14" s="149"/>
      <c r="AI14" s="149"/>
      <c r="AJ14" s="149"/>
    </row>
    <row r="15" spans="2:41">
      <c r="B15" s="32" t="s">
        <v>11</v>
      </c>
      <c r="C15" s="32"/>
      <c r="D15" s="78">
        <f>'Adjustments &amp; Notes'!D18</f>
        <v>-4156</v>
      </c>
      <c r="E15" s="179">
        <f>D15/TotalDealUnits</f>
        <v>-51.95</v>
      </c>
      <c r="F15" s="180">
        <f t="shared" si="4"/>
        <v>-2.8535646212916018E-3</v>
      </c>
      <c r="G15" s="78">
        <f>'Adjustments &amp; Notes'!G18</f>
        <v>-4156</v>
      </c>
      <c r="H15" s="145">
        <f>G15/TotalDealUnits</f>
        <v>-51.95</v>
      </c>
      <c r="I15" s="180">
        <f t="shared" si="5"/>
        <v>-2.8535646212916018E-3</v>
      </c>
      <c r="K15" s="78">
        <f>SUMIF('Operating Calculations'!$B$71:$B$82,$B15,'Operating Calculations'!$C$71:$C$82)</f>
        <v>-19789.142857142881</v>
      </c>
      <c r="L15" s="145">
        <f>K15/TotalDealUnits</f>
        <v>-247.36428571428601</v>
      </c>
      <c r="M15" s="180">
        <f t="shared" si="6"/>
        <v>-1.2341494949149391E-2</v>
      </c>
      <c r="N15" s="40">
        <f t="shared" si="7"/>
        <v>3.7616000000000001</v>
      </c>
      <c r="O15" s="147" t="str">
        <f>IF('Adjustments &amp; Notes'!O18&lt;&gt;"",GenValidation!AI11,"")</f>
        <v/>
      </c>
      <c r="Q15" s="149" t="str">
        <f>IF(NonRevenueUnitsNotes="","",NonRevenueUnitsNotes)</f>
        <v/>
      </c>
      <c r="R15" s="149"/>
      <c r="S15" s="149"/>
      <c r="T15" s="149"/>
      <c r="U15" s="149"/>
      <c r="V15" s="149"/>
      <c r="W15" s="149"/>
      <c r="X15" s="149"/>
      <c r="Y15" s="149"/>
      <c r="Z15" s="149"/>
      <c r="AA15" s="149"/>
      <c r="AB15" s="149"/>
      <c r="AC15" s="149"/>
      <c r="AD15" s="149"/>
      <c r="AE15" s="149"/>
      <c r="AF15" s="149"/>
      <c r="AG15" s="149"/>
      <c r="AH15" s="149"/>
      <c r="AI15" s="149"/>
      <c r="AJ15" s="149"/>
    </row>
    <row r="16" spans="2:41">
      <c r="B16" s="32" t="s">
        <v>121</v>
      </c>
      <c r="C16" s="32"/>
      <c r="D16" s="78">
        <f>'Adjustments &amp; Notes'!D19</f>
        <v>-137670</v>
      </c>
      <c r="E16" s="179">
        <f>D16/TotalDealUnits</f>
        <v>-1720.875</v>
      </c>
      <c r="F16" s="180">
        <f t="shared" si="4"/>
        <v>-9.4526044613381821E-2</v>
      </c>
      <c r="G16" s="78">
        <f>'Adjustments &amp; Notes'!G19</f>
        <v>-137670</v>
      </c>
      <c r="H16" s="145">
        <f>G16/TotalDealUnits</f>
        <v>-1720.875</v>
      </c>
      <c r="I16" s="180">
        <f t="shared" si="5"/>
        <v>-9.4526044613381821E-2</v>
      </c>
      <c r="K16" s="78">
        <f>SUMIF('Operating Calculations'!$B$71:$B$82,$B16,'Operating Calculations'!$C$71:$C$82)</f>
        <v>-156008.37847179602</v>
      </c>
      <c r="L16" s="145">
        <f>K16/TotalDealUnits</f>
        <v>-1950.1047308974503</v>
      </c>
      <c r="M16" s="180">
        <f t="shared" si="6"/>
        <v>-9.7294593749405037E-2</v>
      </c>
      <c r="N16" s="40">
        <f t="shared" si="7"/>
        <v>0.13320000000000001</v>
      </c>
      <c r="O16" s="147" t="str">
        <f>IF('Adjustments &amp; Notes'!O19&lt;&gt;"",GenValidation!AI12,"")</f>
        <v/>
      </c>
      <c r="Q16" s="149" t="str">
        <f>IF(CollectionLossNotes="","",CollectionLossNotes)</f>
        <v/>
      </c>
      <c r="R16" s="149"/>
      <c r="S16" s="149"/>
      <c r="T16" s="149"/>
      <c r="U16" s="149"/>
      <c r="V16" s="149"/>
      <c r="W16" s="149"/>
      <c r="X16" s="149"/>
      <c r="Y16" s="149"/>
      <c r="Z16" s="149"/>
      <c r="AA16" s="149"/>
      <c r="AB16" s="149"/>
      <c r="AC16" s="149"/>
      <c r="AD16" s="149"/>
      <c r="AE16" s="149"/>
      <c r="AF16" s="149"/>
      <c r="AG16" s="149"/>
      <c r="AH16" s="149"/>
      <c r="AI16" s="149"/>
      <c r="AJ16" s="149"/>
    </row>
    <row r="17" spans="2:36">
      <c r="B17" s="46" t="s">
        <v>122</v>
      </c>
      <c r="C17" s="46"/>
      <c r="D17" s="150">
        <f>SUBTOTAL(9,D9:D16)</f>
        <v>1111275</v>
      </c>
      <c r="E17" s="181">
        <f>D17/TotalDealUnits</f>
        <v>13890.9375</v>
      </c>
      <c r="F17" s="182">
        <f t="shared" si="4"/>
        <v>0.76301612717175771</v>
      </c>
      <c r="G17" s="150">
        <f>SUBTOTAL(9,G9:G16)</f>
        <v>1111275</v>
      </c>
      <c r="H17" s="151">
        <f>G17/TotalDealUnits</f>
        <v>13890.9375</v>
      </c>
      <c r="I17" s="182">
        <f t="shared" si="5"/>
        <v>0.76301612717175771</v>
      </c>
      <c r="K17" s="150">
        <f>SUBTOTAL(9,K9:K16)</f>
        <v>1259302.7586710614</v>
      </c>
      <c r="L17" s="151">
        <f>K17/TotalDealUnits</f>
        <v>15741.284483388266</v>
      </c>
      <c r="M17" s="182">
        <f t="shared" si="6"/>
        <v>0.78536391130144556</v>
      </c>
      <c r="N17" s="48">
        <f t="shared" si="7"/>
        <v>0.13320000000000001</v>
      </c>
      <c r="O17" s="147" t="str">
        <f>IF('Adjustments &amp; Notes'!O20&lt;&gt;"",GenValidation!AI13,"")</f>
        <v/>
      </c>
      <c r="Q17" s="149" t="str">
        <f>IF(BaseRentalRevenueNotes="","",BaseRentalRevenueNotes)</f>
        <v/>
      </c>
      <c r="R17" s="149"/>
      <c r="S17" s="149"/>
      <c r="T17" s="149"/>
      <c r="U17" s="149"/>
      <c r="V17" s="149"/>
      <c r="W17" s="149"/>
      <c r="X17" s="149"/>
      <c r="Y17" s="149"/>
      <c r="Z17" s="149"/>
      <c r="AA17" s="149"/>
      <c r="AB17" s="149"/>
      <c r="AC17" s="149"/>
      <c r="AD17" s="149"/>
      <c r="AE17" s="149"/>
      <c r="AF17" s="149"/>
      <c r="AG17" s="149"/>
      <c r="AH17" s="149"/>
      <c r="AI17" s="149"/>
      <c r="AJ17" s="149"/>
    </row>
    <row r="18" spans="2:36">
      <c r="B18" s="32"/>
      <c r="C18" s="32"/>
      <c r="D18" s="78"/>
      <c r="E18" s="179"/>
      <c r="F18" s="183"/>
      <c r="G18" s="78"/>
      <c r="H18" s="145"/>
      <c r="I18" s="183"/>
      <c r="K18" s="78"/>
      <c r="L18" s="145"/>
      <c r="M18" s="183"/>
      <c r="N18" s="40"/>
      <c r="O18" s="147"/>
      <c r="Q18" s="149"/>
      <c r="R18" s="149"/>
      <c r="S18" s="149"/>
      <c r="T18" s="149"/>
      <c r="U18" s="149"/>
      <c r="V18" s="149"/>
      <c r="W18" s="149"/>
      <c r="X18" s="149"/>
      <c r="Y18" s="149"/>
      <c r="Z18" s="149"/>
      <c r="AA18" s="149"/>
      <c r="AB18" s="149"/>
      <c r="AC18" s="149"/>
      <c r="AD18" s="149"/>
      <c r="AE18" s="149"/>
      <c r="AF18" s="149"/>
      <c r="AG18" s="149"/>
      <c r="AH18" s="149"/>
      <c r="AI18" s="149"/>
      <c r="AJ18" s="149"/>
    </row>
    <row r="19" spans="2:36">
      <c r="B19" s="32" t="str">
        <f>'Operating Calculations'!B78</f>
        <v>Garage / Parking</v>
      </c>
      <c r="C19" s="32"/>
      <c r="D19" s="78">
        <f>'Adjustments &amp; Notes'!D22</f>
        <v>0</v>
      </c>
      <c r="E19" s="179">
        <f>D19/TotalDealUnits</f>
        <v>0</v>
      </c>
      <c r="F19" s="180">
        <f t="shared" ref="F19:F24" si="8">IF(D$9,D19/D$9,)</f>
        <v>0</v>
      </c>
      <c r="G19" s="78">
        <f>'Adjustments &amp; Notes'!G22</f>
        <v>0</v>
      </c>
      <c r="H19" s="145">
        <f>G19/TotalDealUnits</f>
        <v>0</v>
      </c>
      <c r="I19" s="180">
        <f t="shared" ref="I19:I24" si="9">IF(G$9,G19/G$9,)</f>
        <v>0</v>
      </c>
      <c r="K19" s="78">
        <f>SUMIF('Operating Calculations'!$B$71:$B$82,$B19,'Operating Calculations'!$C$71:$C$82)</f>
        <v>0</v>
      </c>
      <c r="L19" s="145">
        <f t="shared" ref="L19:L24" si="10">K19/TotalDealUnits</f>
        <v>0</v>
      </c>
      <c r="M19" s="180">
        <f t="shared" ref="M19:M24" si="11">IF(K$9,K19/K$9,)</f>
        <v>0</v>
      </c>
      <c r="N19" s="40">
        <f t="shared" ref="N19:N24" si="12">ROUND(IF(G19,K19/G19-1,),4)</f>
        <v>0</v>
      </c>
      <c r="O19" s="147" t="str">
        <f>IF('Adjustments &amp; Notes'!O22&lt;&gt;"",GenValidation!AI15,"")</f>
        <v/>
      </c>
      <c r="Q19" s="149" t="str">
        <f>IF(GarageParkingNotes="","",GarageParkingNotes)</f>
        <v/>
      </c>
      <c r="R19" s="149"/>
      <c r="S19" s="149"/>
      <c r="T19" s="149"/>
      <c r="U19" s="149"/>
      <c r="V19" s="149"/>
      <c r="W19" s="149"/>
      <c r="X19" s="149"/>
      <c r="Y19" s="149"/>
      <c r="Z19" s="149"/>
      <c r="AA19" s="149"/>
      <c r="AB19" s="149"/>
      <c r="AC19" s="149"/>
      <c r="AD19" s="149"/>
      <c r="AE19" s="149"/>
      <c r="AF19" s="149"/>
      <c r="AG19" s="149"/>
      <c r="AH19" s="149"/>
      <c r="AI19" s="149"/>
      <c r="AJ19" s="149"/>
    </row>
    <row r="20" spans="2:36">
      <c r="B20" s="32" t="str">
        <f>'Operating Calculations'!B79</f>
        <v>Storage</v>
      </c>
      <c r="C20" s="32"/>
      <c r="D20" s="78">
        <f>'Adjustments &amp; Notes'!D23</f>
        <v>0</v>
      </c>
      <c r="E20" s="179">
        <f>D20/TotalDealUnits</f>
        <v>0</v>
      </c>
      <c r="F20" s="180">
        <f t="shared" si="8"/>
        <v>0</v>
      </c>
      <c r="G20" s="78">
        <f>'Adjustments &amp; Notes'!G23</f>
        <v>0</v>
      </c>
      <c r="H20" s="145">
        <f>G20/TotalDealUnits</f>
        <v>0</v>
      </c>
      <c r="I20" s="180">
        <f t="shared" si="9"/>
        <v>0</v>
      </c>
      <c r="K20" s="78">
        <f>SUMIF('Operating Calculations'!$B$71:$B$82,$B20,'Operating Calculations'!$C$71:$C$82)</f>
        <v>0</v>
      </c>
      <c r="L20" s="145">
        <f t="shared" si="10"/>
        <v>0</v>
      </c>
      <c r="M20" s="180">
        <f t="shared" si="11"/>
        <v>0</v>
      </c>
      <c r="N20" s="40">
        <f t="shared" si="12"/>
        <v>0</v>
      </c>
      <c r="O20" s="147" t="str">
        <f>IF('Adjustments &amp; Notes'!O23&lt;&gt;"",GenValidation!AI16,"")</f>
        <v/>
      </c>
      <c r="Q20" s="149" t="str">
        <f>IF(StorageNotes="","",StorageNotes)</f>
        <v/>
      </c>
      <c r="R20" s="149"/>
      <c r="S20" s="149"/>
      <c r="T20" s="149"/>
      <c r="U20" s="149"/>
      <c r="V20" s="149"/>
      <c r="W20" s="149"/>
      <c r="X20" s="149"/>
      <c r="Y20" s="149"/>
      <c r="Z20" s="149"/>
      <c r="AA20" s="149"/>
      <c r="AB20" s="149"/>
      <c r="AC20" s="149"/>
      <c r="AD20" s="149"/>
      <c r="AE20" s="149"/>
      <c r="AF20" s="149"/>
      <c r="AG20" s="149"/>
      <c r="AH20" s="149"/>
      <c r="AI20" s="149"/>
      <c r="AJ20" s="149"/>
    </row>
    <row r="21" spans="2:36">
      <c r="B21" s="32" t="str">
        <f>'Operating Calculations'!B80</f>
        <v>Expense Reimbursements</v>
      </c>
      <c r="C21" s="32"/>
      <c r="D21" s="78">
        <f>'Adjustments &amp; Notes'!D24</f>
        <v>0</v>
      </c>
      <c r="E21" s="179">
        <f>D21/TotalDealUnits</f>
        <v>0</v>
      </c>
      <c r="F21" s="180">
        <f t="shared" si="8"/>
        <v>0</v>
      </c>
      <c r="G21" s="78">
        <f>'Adjustments &amp; Notes'!G24</f>
        <v>0</v>
      </c>
      <c r="H21" s="145">
        <f>G21/TotalDealUnits</f>
        <v>0</v>
      </c>
      <c r="I21" s="180">
        <f t="shared" si="9"/>
        <v>0</v>
      </c>
      <c r="K21" s="78">
        <f>SUMIF('Operating Calculations'!$B$71:$B$82,$B21,'Operating Calculations'!$C$71:$C$82)</f>
        <v>0</v>
      </c>
      <c r="L21" s="145">
        <f t="shared" si="10"/>
        <v>0</v>
      </c>
      <c r="M21" s="180">
        <f t="shared" si="11"/>
        <v>0</v>
      </c>
      <c r="N21" s="40">
        <f t="shared" si="12"/>
        <v>0</v>
      </c>
      <c r="O21" s="147" t="str">
        <f>IF('Adjustments &amp; Notes'!O24&lt;&gt;"",GenValidation!AI17,"")</f>
        <v/>
      </c>
      <c r="Q21" s="149" t="str">
        <f>IF(ExpenseReimbursementsNotes="","",ExpenseReimbursementsNotes)</f>
        <v/>
      </c>
      <c r="R21" s="149"/>
      <c r="S21" s="149"/>
      <c r="T21" s="149"/>
      <c r="U21" s="149"/>
      <c r="V21" s="149"/>
      <c r="W21" s="149"/>
      <c r="X21" s="149"/>
      <c r="Y21" s="149"/>
      <c r="Z21" s="149"/>
      <c r="AA21" s="149"/>
      <c r="AB21" s="149"/>
      <c r="AC21" s="149"/>
      <c r="AD21" s="149"/>
      <c r="AE21" s="149"/>
      <c r="AF21" s="149"/>
      <c r="AG21" s="149"/>
      <c r="AH21" s="149"/>
      <c r="AI21" s="149"/>
      <c r="AJ21" s="149"/>
    </row>
    <row r="22" spans="2:36">
      <c r="B22" s="32" t="str">
        <f>'Operating Calculations'!B81</f>
        <v>Other Residential Income</v>
      </c>
      <c r="C22" s="32"/>
      <c r="D22" s="78">
        <f>'Adjustments &amp; Notes'!D25</f>
        <v>0</v>
      </c>
      <c r="E22" s="179">
        <f>D22/TotalDealUnits</f>
        <v>0</v>
      </c>
      <c r="F22" s="180">
        <f t="shared" si="8"/>
        <v>0</v>
      </c>
      <c r="G22" s="78">
        <f>'Adjustments &amp; Notes'!G25</f>
        <v>0</v>
      </c>
      <c r="H22" s="145">
        <f>G22/TotalDealUnits</f>
        <v>0</v>
      </c>
      <c r="I22" s="180">
        <f t="shared" si="9"/>
        <v>0</v>
      </c>
      <c r="K22" s="78">
        <f>SUMIF('Operating Calculations'!$B$71:$B$82,$B22,'Operating Calculations'!$C$71:$C$82)</f>
        <v>193800.00000000003</v>
      </c>
      <c r="L22" s="145">
        <f t="shared" si="10"/>
        <v>2422.5000000000005</v>
      </c>
      <c r="M22" s="180">
        <f t="shared" si="11"/>
        <v>0.12086333088862612</v>
      </c>
      <c r="N22" s="40">
        <f t="shared" si="12"/>
        <v>0</v>
      </c>
      <c r="O22" s="147" t="str">
        <f>IF('Adjustments &amp; Notes'!O25&lt;&gt;"",GenValidation!AI18,"")</f>
        <v/>
      </c>
      <c r="Q22" s="149" t="str">
        <f>IF(OtherResidentialIncomeNotes="","",OtherResidentialIncomeNotes)</f>
        <v/>
      </c>
      <c r="R22" s="149"/>
      <c r="S22" s="149"/>
      <c r="T22" s="149"/>
      <c r="U22" s="149"/>
      <c r="V22" s="149"/>
      <c r="W22" s="149"/>
      <c r="X22" s="149"/>
      <c r="Y22" s="149"/>
      <c r="Z22" s="149"/>
      <c r="AA22" s="149"/>
      <c r="AB22" s="149"/>
      <c r="AC22" s="149"/>
      <c r="AD22" s="149"/>
      <c r="AE22" s="149"/>
      <c r="AF22" s="149"/>
      <c r="AG22" s="149"/>
      <c r="AH22" s="149"/>
      <c r="AI22" s="149"/>
      <c r="AJ22" s="149"/>
    </row>
    <row r="23" spans="2:36" hidden="1">
      <c r="B23" s="32" t="str">
        <f>'Operating Calculations'!B82</f>
        <v>Commercial Net Income</v>
      </c>
      <c r="C23" s="32"/>
      <c r="D23" s="78">
        <f>'Adjustments &amp; Notes'!D30</f>
        <v>0</v>
      </c>
      <c r="E23" s="179">
        <f>D23/TotalDealUnits</f>
        <v>0</v>
      </c>
      <c r="F23" s="180">
        <f t="shared" si="8"/>
        <v>0</v>
      </c>
      <c r="G23" s="78">
        <f>'Adjustments &amp; Notes'!G30</f>
        <v>0</v>
      </c>
      <c r="H23" s="145">
        <f>G23/TotalDealUnits</f>
        <v>0</v>
      </c>
      <c r="I23" s="180">
        <f t="shared" si="9"/>
        <v>0</v>
      </c>
      <c r="K23" s="78">
        <f>SUMIF('Operating Calculations'!$B$71:$B$82,$B23,'Operating Calculations'!$C$71:$C$82)</f>
        <v>0</v>
      </c>
      <c r="L23" s="145">
        <f t="shared" si="10"/>
        <v>0</v>
      </c>
      <c r="M23" s="180">
        <f t="shared" si="11"/>
        <v>0</v>
      </c>
      <c r="N23" s="40">
        <f t="shared" si="12"/>
        <v>0</v>
      </c>
      <c r="O23" s="147" t="str">
        <f>IF('Adjustments &amp; Notes'!O30&lt;&gt;"",GenValidation!AI19,"")</f>
        <v/>
      </c>
      <c r="Q23" s="149" t="str">
        <f>IF(CommercialNetIncomeNotes="","",CommercialNetIncomeNotes)</f>
        <v/>
      </c>
      <c r="R23" s="149"/>
      <c r="S23" s="149"/>
      <c r="T23" s="149"/>
      <c r="U23" s="149"/>
      <c r="V23" s="149"/>
      <c r="W23" s="149"/>
      <c r="X23" s="149"/>
      <c r="Y23" s="149"/>
      <c r="Z23" s="149"/>
      <c r="AA23" s="149"/>
      <c r="AB23" s="149"/>
      <c r="AC23" s="149"/>
      <c r="AD23" s="149"/>
      <c r="AE23" s="149"/>
      <c r="AF23" s="149"/>
      <c r="AG23" s="149"/>
      <c r="AH23" s="149"/>
      <c r="AI23" s="149"/>
      <c r="AJ23" s="149"/>
    </row>
    <row r="24" spans="2:36">
      <c r="B24" s="46" t="s">
        <v>123</v>
      </c>
      <c r="C24" s="46"/>
      <c r="D24" s="150">
        <f>SUBTOTAL(9,D19:D23)</f>
        <v>0</v>
      </c>
      <c r="E24" s="181">
        <f>D24/TotalDealUnits</f>
        <v>0</v>
      </c>
      <c r="F24" s="182">
        <f t="shared" si="8"/>
        <v>0</v>
      </c>
      <c r="G24" s="150">
        <f>SUBTOTAL(9,G19:G23)</f>
        <v>0</v>
      </c>
      <c r="H24" s="151">
        <f>G24/TotalDealUnits</f>
        <v>0</v>
      </c>
      <c r="I24" s="182">
        <f t="shared" si="9"/>
        <v>0</v>
      </c>
      <c r="K24" s="150">
        <f>SUBTOTAL(9,K19:K23)</f>
        <v>193800.00000000003</v>
      </c>
      <c r="L24" s="151">
        <f t="shared" si="10"/>
        <v>2422.5000000000005</v>
      </c>
      <c r="M24" s="182">
        <f t="shared" si="11"/>
        <v>0.12086333088862612</v>
      </c>
      <c r="N24" s="48">
        <f t="shared" si="12"/>
        <v>0</v>
      </c>
      <c r="O24" s="147" t="str">
        <f>IF('Adjustments &amp; Notes'!O31&lt;&gt;"",GenValidation!AI20,"")</f>
        <v/>
      </c>
      <c r="Q24" s="149" t="str">
        <f>IF(OtherIncomeNotes="","",OtherIncomeNotes)</f>
        <v/>
      </c>
      <c r="R24" s="149"/>
      <c r="S24" s="149"/>
      <c r="T24" s="149"/>
      <c r="U24" s="149"/>
      <c r="V24" s="149"/>
      <c r="W24" s="149"/>
      <c r="X24" s="149"/>
      <c r="Y24" s="149"/>
      <c r="Z24" s="149"/>
      <c r="AA24" s="149"/>
      <c r="AB24" s="149"/>
      <c r="AC24" s="149"/>
      <c r="AD24" s="149"/>
      <c r="AE24" s="149"/>
      <c r="AF24" s="149"/>
      <c r="AG24" s="149"/>
      <c r="AH24" s="149"/>
      <c r="AI24" s="149"/>
      <c r="AJ24" s="149"/>
    </row>
    <row r="25" spans="2:36">
      <c r="B25" s="32"/>
      <c r="C25" s="32"/>
      <c r="D25" s="78"/>
      <c r="E25" s="179"/>
      <c r="F25" s="183"/>
      <c r="G25" s="78"/>
      <c r="H25" s="145"/>
      <c r="I25" s="183"/>
      <c r="K25" s="78"/>
      <c r="L25" s="145"/>
      <c r="M25" s="183"/>
      <c r="N25" s="40"/>
      <c r="O25" s="147"/>
      <c r="Q25" s="149"/>
      <c r="R25" s="149"/>
      <c r="S25" s="149"/>
      <c r="T25" s="149"/>
      <c r="U25" s="149"/>
      <c r="V25" s="149"/>
      <c r="W25" s="149"/>
      <c r="X25" s="149"/>
      <c r="Y25" s="149"/>
      <c r="Z25" s="149"/>
      <c r="AA25" s="149"/>
      <c r="AB25" s="149"/>
      <c r="AC25" s="149"/>
      <c r="AD25" s="149"/>
      <c r="AE25" s="149"/>
      <c r="AF25" s="149"/>
      <c r="AG25" s="149"/>
      <c r="AH25" s="149"/>
      <c r="AI25" s="149"/>
      <c r="AJ25" s="149"/>
    </row>
    <row r="26" spans="2:36">
      <c r="B26" s="153" t="s">
        <v>124</v>
      </c>
      <c r="C26" s="153"/>
      <c r="D26" s="154">
        <f>SUBTOTAL(9,D9:D24)</f>
        <v>1111275</v>
      </c>
      <c r="E26" s="184">
        <f>D26/TotalDealUnits</f>
        <v>13890.9375</v>
      </c>
      <c r="F26" s="185">
        <f>IF(D$9,D26/D$9,)</f>
        <v>0.76301612717175771</v>
      </c>
      <c r="G26" s="154">
        <f>SUBTOTAL(9,G9:G24)</f>
        <v>1111275</v>
      </c>
      <c r="H26" s="155">
        <f>G26/TotalDealUnits</f>
        <v>13890.9375</v>
      </c>
      <c r="I26" s="185">
        <f>IF(G$9,G26/G$9,)</f>
        <v>0.76301612717175771</v>
      </c>
      <c r="K26" s="154">
        <f>SUBTOTAL(9,K9:K24)</f>
        <v>1453102.7586710614</v>
      </c>
      <c r="L26" s="155">
        <f>K26/TotalDealUnits</f>
        <v>18163.784483388266</v>
      </c>
      <c r="M26" s="185">
        <f>IF(K$9,K26/K$9,)</f>
        <v>0.90622724219007167</v>
      </c>
      <c r="N26" s="157">
        <f>ROUND(IF(G26,K26/G26-1,),4)</f>
        <v>0.30759999999999998</v>
      </c>
      <c r="O26" s="147" t="str">
        <f>IF('Adjustments &amp; Notes'!O33&lt;&gt;"",GenValidation!AI22,"")</f>
        <v/>
      </c>
      <c r="Q26" s="149" t="str">
        <f>IF(EffectiveGrossRevenueNotes="","",EffectiveGrossRevenueNotes)</f>
        <v/>
      </c>
      <c r="R26" s="149"/>
      <c r="S26" s="149"/>
      <c r="T26" s="149"/>
      <c r="U26" s="149"/>
      <c r="V26" s="149"/>
      <c r="W26" s="149"/>
      <c r="X26" s="149"/>
      <c r="Y26" s="149"/>
      <c r="Z26" s="149"/>
      <c r="AA26" s="149"/>
      <c r="AB26" s="149"/>
      <c r="AC26" s="149"/>
      <c r="AD26" s="149"/>
      <c r="AE26" s="149"/>
      <c r="AF26" s="149"/>
      <c r="AG26" s="149"/>
      <c r="AH26" s="149"/>
      <c r="AI26" s="149"/>
      <c r="AJ26" s="149"/>
    </row>
    <row r="27" spans="2:36">
      <c r="B27" s="32"/>
      <c r="C27" s="32"/>
      <c r="D27" s="40"/>
      <c r="E27" s="186"/>
      <c r="F27" s="180"/>
      <c r="G27" s="40"/>
      <c r="H27" s="158"/>
      <c r="I27" s="180"/>
      <c r="K27" s="159"/>
      <c r="L27" s="158"/>
      <c r="M27" s="180"/>
      <c r="N27" s="40"/>
      <c r="O27" s="147"/>
      <c r="Q27" s="160"/>
      <c r="R27" s="160"/>
      <c r="S27" s="160"/>
      <c r="T27" s="160"/>
      <c r="U27" s="160"/>
      <c r="V27" s="160"/>
      <c r="W27" s="160"/>
      <c r="X27" s="160"/>
      <c r="Y27" s="160"/>
      <c r="Z27" s="160"/>
      <c r="AA27" s="160"/>
      <c r="AB27" s="160"/>
      <c r="AC27" s="160"/>
      <c r="AD27" s="160"/>
      <c r="AE27" s="160"/>
      <c r="AF27" s="160"/>
      <c r="AG27" s="160"/>
      <c r="AH27" s="160"/>
      <c r="AI27" s="160"/>
      <c r="AJ27" s="160"/>
    </row>
    <row r="28" spans="2:36">
      <c r="N28" s="161"/>
      <c r="O28" s="161"/>
    </row>
    <row r="29" spans="2:36" ht="13.5">
      <c r="D29" s="162" t="str">
        <f>'Adjustments &amp; Notes'!D36</f>
        <v>Trailing 12 Months</v>
      </c>
      <c r="E29" s="163"/>
      <c r="G29" s="162" t="str">
        <f>D29</f>
        <v>Trailing 12 Months</v>
      </c>
      <c r="H29" s="163"/>
      <c r="K29" s="162" t="str">
        <f>'Adjustments &amp; Notes'!K36</f>
        <v>Year 1 Pro Forma</v>
      </c>
      <c r="L29" s="163"/>
      <c r="N29" s="164"/>
      <c r="O29" s="161"/>
    </row>
    <row r="30" spans="2:36" s="17" customFormat="1" ht="14.25" customHeight="1">
      <c r="B30" s="1176" t="s">
        <v>125</v>
      </c>
      <c r="C30" s="121"/>
      <c r="D30" s="121"/>
      <c r="E30" s="121"/>
      <c r="F30" s="144" t="s">
        <v>126</v>
      </c>
      <c r="G30" s="121"/>
      <c r="H30" s="121"/>
      <c r="I30" s="144" t="s">
        <v>126</v>
      </c>
      <c r="K30" s="121"/>
      <c r="L30" s="121"/>
      <c r="M30" s="144" t="s">
        <v>126</v>
      </c>
      <c r="N30" s="178"/>
      <c r="O30" s="166"/>
      <c r="Q30" s="143"/>
      <c r="R30" s="143"/>
      <c r="S30" s="143"/>
      <c r="T30" s="143"/>
      <c r="U30" s="143"/>
      <c r="V30" s="143"/>
      <c r="W30" s="143"/>
      <c r="X30" s="143"/>
      <c r="Y30" s="143"/>
      <c r="Z30" s="143"/>
      <c r="AA30" s="143"/>
      <c r="AB30" s="143"/>
      <c r="AC30" s="143"/>
      <c r="AD30" s="143"/>
      <c r="AE30" s="143"/>
      <c r="AF30" s="143"/>
      <c r="AG30" s="143"/>
      <c r="AH30" s="143"/>
      <c r="AI30" s="143"/>
      <c r="AJ30" s="143"/>
    </row>
    <row r="31" spans="2:36">
      <c r="B31" s="32" t="str">
        <f>'Operating Calculations'!B88</f>
        <v>Repair &amp; Maintenance</v>
      </c>
      <c r="C31" s="32"/>
      <c r="D31" s="78">
        <f>'Adjustments &amp; Notes'!D38</f>
        <v>90278</v>
      </c>
      <c r="E31" s="145">
        <f>D31/TotalDealUnits</f>
        <v>1128.4749999999999</v>
      </c>
      <c r="F31" s="180">
        <f>IF(D$26,D31/D$26,)</f>
        <v>8.1238217362938972E-2</v>
      </c>
      <c r="G31" s="78">
        <f>'Adjustments &amp; Notes'!G38</f>
        <v>90278</v>
      </c>
      <c r="H31" s="145">
        <f>G31/TotalDealUnits</f>
        <v>1128.4749999999999</v>
      </c>
      <c r="I31" s="180">
        <f>IF(G$26,G31/G$26,)</f>
        <v>8.1238217362938972E-2</v>
      </c>
      <c r="K31" s="78">
        <f>-SUMIF(RMHistExpenseCategory,$B31,'Operating Calculations'!C$88:C$107)</f>
        <v>94000</v>
      </c>
      <c r="L31" s="145">
        <f t="shared" ref="L31:L49" si="13">K31/TotalDealUnits</f>
        <v>1175</v>
      </c>
      <c r="M31" s="180">
        <f>IF(K$26,K31/K$26,)</f>
        <v>6.4689162166320521E-2</v>
      </c>
      <c r="N31" s="167">
        <f t="shared" ref="N31:N49" si="14">ROUND(IF(G31,K31/G31-1,),4)</f>
        <v>4.1200000000000001E-2</v>
      </c>
      <c r="O31" s="147" t="str">
        <f>IF('Adjustments &amp; Notes'!O38&lt;&gt;"",GenValidation!AI27,"")</f>
        <v/>
      </c>
      <c r="Q31" s="148" t="str">
        <f>IF(RepairMaintenanceNotes="","",RepairMaintenanceNotes)</f>
        <v/>
      </c>
      <c r="R31" s="148"/>
      <c r="S31" s="148"/>
      <c r="T31" s="148"/>
      <c r="U31" s="148"/>
      <c r="V31" s="148"/>
      <c r="W31" s="148"/>
      <c r="X31" s="148"/>
      <c r="Y31" s="148"/>
      <c r="Z31" s="148"/>
      <c r="AA31" s="148"/>
      <c r="AB31" s="148"/>
      <c r="AC31" s="148"/>
      <c r="AD31" s="148"/>
      <c r="AE31" s="148"/>
      <c r="AF31" s="148"/>
      <c r="AG31" s="148"/>
      <c r="AH31" s="148"/>
      <c r="AI31" s="148"/>
      <c r="AJ31" s="148"/>
    </row>
    <row r="32" spans="2:36">
      <c r="B32" s="32" t="str">
        <f>'Operating Calculations'!B89</f>
        <v>Contract Services</v>
      </c>
      <c r="C32" s="32"/>
      <c r="D32" s="78">
        <f>'Adjustments &amp; Notes'!D39</f>
        <v>0</v>
      </c>
      <c r="E32" s="145">
        <f>D32/TotalDealUnits</f>
        <v>0</v>
      </c>
      <c r="F32" s="180">
        <f t="shared" ref="F32:F51" si="15">IF(D$26,D32/D$26,)</f>
        <v>0</v>
      </c>
      <c r="G32" s="78">
        <f>'Adjustments &amp; Notes'!G39</f>
        <v>0</v>
      </c>
      <c r="H32" s="145">
        <f>G32/TotalDealUnits</f>
        <v>0</v>
      </c>
      <c r="I32" s="180">
        <f t="shared" ref="I32:I51" si="16">IF(G$26,G32/G$26,)</f>
        <v>0</v>
      </c>
      <c r="K32" s="78">
        <f>-SUMIF(RMHistExpenseCategory,$B32,'Operating Calculations'!C$88:C$107)</f>
        <v>0</v>
      </c>
      <c r="L32" s="145">
        <f t="shared" si="13"/>
        <v>0</v>
      </c>
      <c r="M32" s="180">
        <f t="shared" ref="M32:M51" si="17">IF(K$26,K32/K$26,)</f>
        <v>0</v>
      </c>
      <c r="N32" s="167">
        <f t="shared" si="14"/>
        <v>0</v>
      </c>
      <c r="O32" s="147" t="str">
        <f>IF('Adjustments &amp; Notes'!O39&lt;&gt;"",GenValidation!AI28,"")</f>
        <v/>
      </c>
      <c r="Q32" s="149" t="str">
        <f>IF(ContractServicesNotes="","",ContractServicesNotes)</f>
        <v/>
      </c>
      <c r="R32" s="149"/>
      <c r="S32" s="149"/>
      <c r="T32" s="149"/>
      <c r="U32" s="149"/>
      <c r="V32" s="149"/>
      <c r="W32" s="149"/>
      <c r="X32" s="149"/>
      <c r="Y32" s="149"/>
      <c r="Z32" s="149"/>
      <c r="AA32" s="149"/>
      <c r="AB32" s="149"/>
      <c r="AC32" s="149"/>
      <c r="AD32" s="149"/>
      <c r="AE32" s="149"/>
      <c r="AF32" s="149"/>
      <c r="AG32" s="149"/>
      <c r="AH32" s="149"/>
      <c r="AI32" s="149"/>
      <c r="AJ32" s="149"/>
    </row>
    <row r="33" spans="2:36">
      <c r="B33" s="32" t="str">
        <f>'Operating Calculations'!B90</f>
        <v>Security</v>
      </c>
      <c r="C33" s="32"/>
      <c r="D33" s="78">
        <f>'Adjustments &amp; Notes'!D40</f>
        <v>0</v>
      </c>
      <c r="E33" s="145">
        <f>D33/TotalDealUnits</f>
        <v>0</v>
      </c>
      <c r="F33" s="180">
        <f t="shared" si="15"/>
        <v>0</v>
      </c>
      <c r="G33" s="78">
        <f>'Adjustments &amp; Notes'!G40</f>
        <v>0</v>
      </c>
      <c r="H33" s="145">
        <f>G33/TotalDealUnits</f>
        <v>0</v>
      </c>
      <c r="I33" s="180">
        <f t="shared" si="16"/>
        <v>0</v>
      </c>
      <c r="K33" s="78">
        <f>-SUMIF(RMHistExpenseCategory,$B33,'Operating Calculations'!C$88:C$107)</f>
        <v>0</v>
      </c>
      <c r="L33" s="145">
        <f t="shared" si="13"/>
        <v>0</v>
      </c>
      <c r="M33" s="180">
        <f t="shared" si="17"/>
        <v>0</v>
      </c>
      <c r="N33" s="167">
        <f t="shared" si="14"/>
        <v>0</v>
      </c>
      <c r="O33" s="147" t="str">
        <f>IF('Adjustments &amp; Notes'!O40&lt;&gt;"",GenValidation!AI29,"")</f>
        <v/>
      </c>
      <c r="Q33" s="148" t="str">
        <f>IF(SecurityNotes="","",SecurityNotes)</f>
        <v/>
      </c>
      <c r="R33" s="148"/>
      <c r="S33" s="148"/>
      <c r="T33" s="148"/>
      <c r="U33" s="148"/>
      <c r="V33" s="148"/>
      <c r="W33" s="148"/>
      <c r="X33" s="148"/>
      <c r="Y33" s="148"/>
      <c r="Z33" s="148"/>
      <c r="AA33" s="148"/>
      <c r="AB33" s="148"/>
      <c r="AC33" s="148"/>
      <c r="AD33" s="148"/>
      <c r="AE33" s="148"/>
      <c r="AF33" s="148"/>
      <c r="AG33" s="148"/>
      <c r="AH33" s="148"/>
      <c r="AI33" s="148"/>
      <c r="AJ33" s="148"/>
    </row>
    <row r="34" spans="2:36">
      <c r="B34" s="32" t="str">
        <f>'Operating Calculations'!B91</f>
        <v>Landscaping / Grounds</v>
      </c>
      <c r="C34" s="32"/>
      <c r="D34" s="78">
        <f>'Adjustments &amp; Notes'!D41</f>
        <v>16274</v>
      </c>
      <c r="E34" s="145">
        <f>D34/TotalDealUnits</f>
        <v>203.42500000000001</v>
      </c>
      <c r="F34" s="180">
        <f t="shared" si="15"/>
        <v>1.4644439945108096E-2</v>
      </c>
      <c r="G34" s="78">
        <f>'Adjustments &amp; Notes'!G41</f>
        <v>16274</v>
      </c>
      <c r="H34" s="145">
        <f>G34/TotalDealUnits</f>
        <v>203.42500000000001</v>
      </c>
      <c r="I34" s="180">
        <f t="shared" si="16"/>
        <v>1.4644439945108096E-2</v>
      </c>
      <c r="K34" s="78">
        <f>-SUMIF(RMHistExpenseCategory,$B34,'Operating Calculations'!C$88:C$107)</f>
        <v>16000</v>
      </c>
      <c r="L34" s="145">
        <f t="shared" si="13"/>
        <v>200</v>
      </c>
      <c r="M34" s="180">
        <f t="shared" si="17"/>
        <v>1.1010921219799238E-2</v>
      </c>
      <c r="N34" s="167">
        <f t="shared" si="14"/>
        <v>-1.6799999999999999E-2</v>
      </c>
      <c r="O34" s="147" t="str">
        <f>IF('Adjustments &amp; Notes'!O41&lt;&gt;"",GenValidation!AI30,"")</f>
        <v/>
      </c>
      <c r="Q34" s="149" t="str">
        <f>IF(LandscapingGroundsNotes="","",LandscapingGroundsNotes)</f>
        <v/>
      </c>
      <c r="R34" s="149"/>
      <c r="S34" s="149"/>
      <c r="T34" s="149"/>
      <c r="U34" s="149"/>
      <c r="V34" s="149"/>
      <c r="W34" s="149"/>
      <c r="X34" s="149"/>
      <c r="Y34" s="149"/>
      <c r="Z34" s="149"/>
      <c r="AA34" s="149"/>
      <c r="AB34" s="149"/>
      <c r="AC34" s="149"/>
      <c r="AD34" s="149"/>
      <c r="AE34" s="149"/>
      <c r="AF34" s="149"/>
      <c r="AG34" s="149"/>
      <c r="AH34" s="149"/>
      <c r="AI34" s="149"/>
      <c r="AJ34" s="149"/>
    </row>
    <row r="35" spans="2:36">
      <c r="B35" s="32" t="str">
        <f>'Operating Calculations'!B92</f>
        <v>Personnel</v>
      </c>
      <c r="C35" s="32"/>
      <c r="D35" s="78">
        <f>'Adjustments &amp; Notes'!D42</f>
        <v>78724</v>
      </c>
      <c r="E35" s="145">
        <f>D35/TotalDealUnits</f>
        <v>984.05</v>
      </c>
      <c r="F35" s="180">
        <f t="shared" si="15"/>
        <v>7.0841150930237795E-2</v>
      </c>
      <c r="G35" s="78">
        <f>'Adjustments &amp; Notes'!G42</f>
        <v>78724</v>
      </c>
      <c r="H35" s="145">
        <f>G35/TotalDealUnits</f>
        <v>984.05</v>
      </c>
      <c r="I35" s="180">
        <f t="shared" si="16"/>
        <v>7.0841150930237795E-2</v>
      </c>
      <c r="K35" s="78">
        <f>-SUMIF(RMHistExpenseCategory,$B35,'Operating Calculations'!C$88:C$107)</f>
        <v>146700</v>
      </c>
      <c r="L35" s="145">
        <f t="shared" si="13"/>
        <v>1833.75</v>
      </c>
      <c r="M35" s="180">
        <f t="shared" si="17"/>
        <v>0.10095638393403426</v>
      </c>
      <c r="N35" s="167">
        <f t="shared" si="14"/>
        <v>0.86350000000000005</v>
      </c>
      <c r="O35" s="147" t="str">
        <f>IF('Adjustments &amp; Notes'!O42&lt;&gt;"",GenValidation!AI31,"")</f>
        <v/>
      </c>
      <c r="Q35" s="148" t="str">
        <f>IF(PersonnelNotes="","",PersonnelNotes)</f>
        <v/>
      </c>
      <c r="R35" s="148"/>
      <c r="S35" s="148"/>
      <c r="T35" s="148"/>
      <c r="U35" s="148"/>
      <c r="V35" s="148"/>
      <c r="W35" s="148"/>
      <c r="X35" s="148"/>
      <c r="Y35" s="148"/>
      <c r="Z35" s="148"/>
      <c r="AA35" s="148"/>
      <c r="AB35" s="148"/>
      <c r="AC35" s="148"/>
      <c r="AD35" s="148"/>
      <c r="AE35" s="148"/>
      <c r="AF35" s="148"/>
      <c r="AG35" s="148"/>
      <c r="AH35" s="148"/>
      <c r="AI35" s="148"/>
      <c r="AJ35" s="148"/>
    </row>
    <row r="36" spans="2:36">
      <c r="B36" s="32" t="str">
        <f>'Operating Calculations'!B93</f>
        <v>Marketing / Advertising</v>
      </c>
      <c r="C36" s="32"/>
      <c r="D36" s="78">
        <f>'Adjustments &amp; Notes'!D43</f>
        <v>13451</v>
      </c>
      <c r="E36" s="145">
        <f>D36/TotalDealUnits</f>
        <v>168.13749999999999</v>
      </c>
      <c r="F36" s="180">
        <f t="shared" si="15"/>
        <v>1.2104114643090145E-2</v>
      </c>
      <c r="G36" s="78">
        <f>'Adjustments &amp; Notes'!G43</f>
        <v>13451</v>
      </c>
      <c r="H36" s="145">
        <f>G36/TotalDealUnits</f>
        <v>168.13749999999999</v>
      </c>
      <c r="I36" s="180">
        <f t="shared" si="16"/>
        <v>1.2104114643090145E-2</v>
      </c>
      <c r="K36" s="78">
        <f>-SUMIF(RMHistExpenseCategory,$B36,'Operating Calculations'!C$88:C$107)</f>
        <v>0</v>
      </c>
      <c r="L36" s="145">
        <f t="shared" si="13"/>
        <v>0</v>
      </c>
      <c r="M36" s="180">
        <f t="shared" si="17"/>
        <v>0</v>
      </c>
      <c r="N36" s="167">
        <f t="shared" si="14"/>
        <v>-1</v>
      </c>
      <c r="O36" s="147" t="str">
        <f>IF('Adjustments &amp; Notes'!O43&lt;&gt;"",GenValidation!AI32,"")</f>
        <v/>
      </c>
      <c r="Q36" s="149" t="str">
        <f>IF(MarketingAdvertisingNotes="","",MarketingAdvertisingNotes)</f>
        <v/>
      </c>
      <c r="R36" s="149"/>
      <c r="S36" s="149"/>
      <c r="T36" s="149"/>
      <c r="U36" s="149"/>
      <c r="V36" s="149"/>
      <c r="W36" s="149"/>
      <c r="X36" s="149"/>
      <c r="Y36" s="149"/>
      <c r="Z36" s="149"/>
      <c r="AA36" s="149"/>
      <c r="AB36" s="149"/>
      <c r="AC36" s="149"/>
      <c r="AD36" s="149"/>
      <c r="AE36" s="149"/>
      <c r="AF36" s="149"/>
      <c r="AG36" s="149"/>
      <c r="AH36" s="149"/>
      <c r="AI36" s="149"/>
      <c r="AJ36" s="149"/>
    </row>
    <row r="37" spans="2:36">
      <c r="B37" s="32" t="str">
        <f>'Operating Calculations'!B94</f>
        <v>Leasing Commissions</v>
      </c>
      <c r="C37" s="32"/>
      <c r="D37" s="78">
        <f>'Adjustments &amp; Notes'!D44</f>
        <v>0</v>
      </c>
      <c r="E37" s="145">
        <f>D37/TotalDealUnits</f>
        <v>0</v>
      </c>
      <c r="F37" s="180">
        <f t="shared" si="15"/>
        <v>0</v>
      </c>
      <c r="G37" s="78">
        <f>'Adjustments &amp; Notes'!G44</f>
        <v>0</v>
      </c>
      <c r="H37" s="145">
        <f>G37/TotalDealUnits</f>
        <v>0</v>
      </c>
      <c r="I37" s="180">
        <f t="shared" si="16"/>
        <v>0</v>
      </c>
      <c r="K37" s="78">
        <f>-SUMIF(RMHistExpenseCategory,$B37,'Operating Calculations'!C$88:C$107)</f>
        <v>0</v>
      </c>
      <c r="L37" s="145">
        <f t="shared" si="13"/>
        <v>0</v>
      </c>
      <c r="M37" s="180">
        <f t="shared" si="17"/>
        <v>0</v>
      </c>
      <c r="N37" s="167">
        <f t="shared" si="14"/>
        <v>0</v>
      </c>
      <c r="O37" s="147" t="str">
        <f>IF('Adjustments &amp; Notes'!O44&lt;&gt;"",GenValidation!AI33,"")</f>
        <v/>
      </c>
      <c r="Q37" s="148" t="str">
        <f>IF(LeasingCommissionsNotes="","",LeasingCommissionsNotes)</f>
        <v/>
      </c>
      <c r="R37" s="148"/>
      <c r="S37" s="148"/>
      <c r="T37" s="148"/>
      <c r="U37" s="148"/>
      <c r="V37" s="148"/>
      <c r="W37" s="148"/>
      <c r="X37" s="148"/>
      <c r="Y37" s="148"/>
      <c r="Z37" s="148"/>
      <c r="AA37" s="148"/>
      <c r="AB37" s="148"/>
      <c r="AC37" s="148"/>
      <c r="AD37" s="148"/>
      <c r="AE37" s="148"/>
      <c r="AF37" s="148"/>
      <c r="AG37" s="148"/>
      <c r="AH37" s="148"/>
      <c r="AI37" s="148"/>
      <c r="AJ37" s="148"/>
    </row>
    <row r="38" spans="2:36">
      <c r="B38" s="32" t="str">
        <f>'Operating Calculations'!B95</f>
        <v>Administrative Expenses</v>
      </c>
      <c r="C38" s="32"/>
      <c r="D38" s="78">
        <f>'Adjustments &amp; Notes'!D45</f>
        <v>35119</v>
      </c>
      <c r="E38" s="145">
        <f>D38/TotalDealUnits</f>
        <v>438.98750000000001</v>
      </c>
      <c r="F38" s="180">
        <f t="shared" si="15"/>
        <v>3.1602438640300552E-2</v>
      </c>
      <c r="G38" s="78">
        <f>'Adjustments &amp; Notes'!G45</f>
        <v>35119</v>
      </c>
      <c r="H38" s="145">
        <f>G38/TotalDealUnits</f>
        <v>438.98750000000001</v>
      </c>
      <c r="I38" s="180">
        <f t="shared" si="16"/>
        <v>3.1602438640300552E-2</v>
      </c>
      <c r="K38" s="78">
        <f>-SUMIF(RMHistExpenseCategory,$B38,'Operating Calculations'!C$88:C$107)</f>
        <v>0</v>
      </c>
      <c r="L38" s="145">
        <f t="shared" si="13"/>
        <v>0</v>
      </c>
      <c r="M38" s="180">
        <f t="shared" si="17"/>
        <v>0</v>
      </c>
      <c r="N38" s="167">
        <f t="shared" si="14"/>
        <v>-1</v>
      </c>
      <c r="O38" s="147" t="str">
        <f>IF('Adjustments &amp; Notes'!O45&lt;&gt;"",GenValidation!AI34,"")</f>
        <v/>
      </c>
      <c r="Q38" s="149" t="str">
        <f>IF(AdministrativeExpensesNotes="","",AdministrativeExpensesNotes)</f>
        <v/>
      </c>
      <c r="R38" s="149"/>
      <c r="S38" s="149"/>
      <c r="T38" s="149"/>
      <c r="U38" s="149"/>
      <c r="V38" s="149"/>
      <c r="W38" s="149"/>
      <c r="X38" s="149"/>
      <c r="Y38" s="149"/>
      <c r="Z38" s="149"/>
      <c r="AA38" s="149"/>
      <c r="AB38" s="149"/>
      <c r="AC38" s="149"/>
      <c r="AD38" s="149"/>
      <c r="AE38" s="149"/>
      <c r="AF38" s="149"/>
      <c r="AG38" s="149"/>
      <c r="AH38" s="149"/>
      <c r="AI38" s="149"/>
      <c r="AJ38" s="149"/>
    </row>
    <row r="39" spans="2:36">
      <c r="B39" s="32" t="str">
        <f>'Operating Calculations'!B96</f>
        <v>Turnover / Make-Ready</v>
      </c>
      <c r="C39" s="32"/>
      <c r="D39" s="78">
        <f>'Adjustments &amp; Notes'!D46</f>
        <v>0</v>
      </c>
      <c r="E39" s="145">
        <f>D39/TotalDealUnits</f>
        <v>0</v>
      </c>
      <c r="F39" s="180">
        <f t="shared" si="15"/>
        <v>0</v>
      </c>
      <c r="G39" s="78">
        <f>'Adjustments &amp; Notes'!G46</f>
        <v>0</v>
      </c>
      <c r="H39" s="145">
        <f>G39/TotalDealUnits</f>
        <v>0</v>
      </c>
      <c r="I39" s="180">
        <f t="shared" si="16"/>
        <v>0</v>
      </c>
      <c r="K39" s="78">
        <f>-SUMIF(RMHistExpenseCategory,$B39,'Operating Calculations'!C$88:C$107)</f>
        <v>0</v>
      </c>
      <c r="L39" s="145">
        <f t="shared" si="13"/>
        <v>0</v>
      </c>
      <c r="M39" s="180">
        <f t="shared" si="17"/>
        <v>0</v>
      </c>
      <c r="N39" s="167">
        <f t="shared" si="14"/>
        <v>0</v>
      </c>
      <c r="O39" s="147" t="str">
        <f>IF('Adjustments &amp; Notes'!O46&lt;&gt;"",GenValidation!AI35,"")</f>
        <v/>
      </c>
      <c r="Q39" s="148" t="str">
        <f>IF(TurnoverMakeReadyNotes="","",TurnoverMakeReadyNotes)</f>
        <v/>
      </c>
      <c r="R39" s="148"/>
      <c r="S39" s="148"/>
      <c r="T39" s="148"/>
      <c r="U39" s="148"/>
      <c r="V39" s="148"/>
      <c r="W39" s="148"/>
      <c r="X39" s="148"/>
      <c r="Y39" s="148"/>
      <c r="Z39" s="148"/>
      <c r="AA39" s="148"/>
      <c r="AB39" s="148"/>
      <c r="AC39" s="148"/>
      <c r="AD39" s="148"/>
      <c r="AE39" s="148"/>
      <c r="AF39" s="148"/>
      <c r="AG39" s="148"/>
      <c r="AH39" s="148"/>
      <c r="AI39" s="148"/>
      <c r="AJ39" s="148"/>
    </row>
    <row r="40" spans="2:36">
      <c r="B40" s="32" t="str">
        <f>'Operating Calculations'!B97</f>
        <v>Electricity</v>
      </c>
      <c r="C40" s="32"/>
      <c r="D40" s="78">
        <f>'Adjustments &amp; Notes'!D47</f>
        <v>26947</v>
      </c>
      <c r="E40" s="145">
        <f>D40/TotalDealUnits</f>
        <v>336.83749999999998</v>
      </c>
      <c r="F40" s="180">
        <f t="shared" si="15"/>
        <v>2.4248723313311286E-2</v>
      </c>
      <c r="G40" s="78">
        <f>'Adjustments &amp; Notes'!G47</f>
        <v>26947</v>
      </c>
      <c r="H40" s="145">
        <f>G40/TotalDealUnits</f>
        <v>336.83749999999998</v>
      </c>
      <c r="I40" s="180">
        <f t="shared" si="16"/>
        <v>2.4248723313311286E-2</v>
      </c>
      <c r="K40" s="78">
        <f>-SUMIF(RMHistExpenseCategory,$B40,'Operating Calculations'!C$88:C$107)</f>
        <v>0</v>
      </c>
      <c r="L40" s="145">
        <f t="shared" si="13"/>
        <v>0</v>
      </c>
      <c r="M40" s="180">
        <f t="shared" si="17"/>
        <v>0</v>
      </c>
      <c r="N40" s="167">
        <f t="shared" si="14"/>
        <v>-1</v>
      </c>
      <c r="O40" s="147" t="str">
        <f>IF('Adjustments &amp; Notes'!O47&lt;&gt;"",GenValidation!AI36,"")</f>
        <v/>
      </c>
      <c r="Q40" s="149" t="str">
        <f>IF(ElectricityNotes="","",ElectricityNotes)</f>
        <v/>
      </c>
      <c r="R40" s="149"/>
      <c r="S40" s="149"/>
      <c r="T40" s="149"/>
      <c r="U40" s="149"/>
      <c r="V40" s="149"/>
      <c r="W40" s="149"/>
      <c r="X40" s="149"/>
      <c r="Y40" s="149"/>
      <c r="Z40" s="149"/>
      <c r="AA40" s="149"/>
      <c r="AB40" s="149"/>
      <c r="AC40" s="149"/>
      <c r="AD40" s="149"/>
      <c r="AE40" s="149"/>
      <c r="AF40" s="149"/>
      <c r="AG40" s="149"/>
      <c r="AH40" s="149"/>
      <c r="AI40" s="149"/>
      <c r="AJ40" s="149"/>
    </row>
    <row r="41" spans="2:36">
      <c r="B41" s="32" t="str">
        <f>'Operating Calculations'!B98</f>
        <v>Fuel (Gas &amp; Oil)</v>
      </c>
      <c r="C41" s="32"/>
      <c r="D41" s="78">
        <f>'Adjustments &amp; Notes'!D48</f>
        <v>0</v>
      </c>
      <c r="E41" s="145">
        <f>D41/TotalDealUnits</f>
        <v>0</v>
      </c>
      <c r="F41" s="180">
        <f t="shared" si="15"/>
        <v>0</v>
      </c>
      <c r="G41" s="78">
        <f>'Adjustments &amp; Notes'!G48</f>
        <v>0</v>
      </c>
      <c r="H41" s="145">
        <f>G41/TotalDealUnits</f>
        <v>0</v>
      </c>
      <c r="I41" s="180">
        <f t="shared" si="16"/>
        <v>0</v>
      </c>
      <c r="K41" s="78">
        <f>-SUMIF(RMHistExpenseCategory,$B41,'Operating Calculations'!C$88:C$107)</f>
        <v>0</v>
      </c>
      <c r="L41" s="145">
        <f t="shared" si="13"/>
        <v>0</v>
      </c>
      <c r="M41" s="180">
        <f t="shared" si="17"/>
        <v>0</v>
      </c>
      <c r="N41" s="167">
        <f t="shared" si="14"/>
        <v>0</v>
      </c>
      <c r="O41" s="147" t="str">
        <f>IF('Adjustments &amp; Notes'!O48&lt;&gt;"",GenValidation!AI37,"")</f>
        <v/>
      </c>
      <c r="Q41" s="148" t="str">
        <f>IF(FuelGasOilNotes="","",FuelGasOilNotes)</f>
        <v/>
      </c>
      <c r="R41" s="148"/>
      <c r="S41" s="148"/>
      <c r="T41" s="148"/>
      <c r="U41" s="148"/>
      <c r="V41" s="148"/>
      <c r="W41" s="148"/>
      <c r="X41" s="148"/>
      <c r="Y41" s="148"/>
      <c r="Z41" s="148"/>
      <c r="AA41" s="148"/>
      <c r="AB41" s="148"/>
      <c r="AC41" s="148"/>
      <c r="AD41" s="148"/>
      <c r="AE41" s="148"/>
      <c r="AF41" s="148"/>
      <c r="AG41" s="148"/>
      <c r="AH41" s="148"/>
      <c r="AI41" s="148"/>
      <c r="AJ41" s="148"/>
    </row>
    <row r="42" spans="2:36">
      <c r="B42" s="32" t="str">
        <f>'Operating Calculations'!B99</f>
        <v>Water &amp; Sewer</v>
      </c>
      <c r="C42" s="32"/>
      <c r="D42" s="78">
        <f>'Adjustments &amp; Notes'!D49</f>
        <v>0</v>
      </c>
      <c r="E42" s="145">
        <f>D42/TotalDealUnits</f>
        <v>0</v>
      </c>
      <c r="F42" s="180">
        <f t="shared" si="15"/>
        <v>0</v>
      </c>
      <c r="G42" s="78">
        <f>'Adjustments &amp; Notes'!G49</f>
        <v>0</v>
      </c>
      <c r="H42" s="145">
        <f>G42/TotalDealUnits</f>
        <v>0</v>
      </c>
      <c r="I42" s="180">
        <f t="shared" si="16"/>
        <v>0</v>
      </c>
      <c r="K42" s="78">
        <f>-SUMIF(RMHistExpenseCategory,$B42,'Operating Calculations'!C$88:C$107)</f>
        <v>0</v>
      </c>
      <c r="L42" s="145">
        <f t="shared" si="13"/>
        <v>0</v>
      </c>
      <c r="M42" s="180">
        <f t="shared" si="17"/>
        <v>0</v>
      </c>
      <c r="N42" s="167">
        <f t="shared" si="14"/>
        <v>0</v>
      </c>
      <c r="O42" s="147" t="str">
        <f>IF('Adjustments &amp; Notes'!O49&lt;&gt;"",GenValidation!AI38,"")</f>
        <v/>
      </c>
      <c r="Q42" s="149" t="str">
        <f>IF(WaterSewerNotes="","",WaterSewerNotes)</f>
        <v/>
      </c>
      <c r="R42" s="149"/>
      <c r="S42" s="149"/>
      <c r="T42" s="149"/>
      <c r="U42" s="149"/>
      <c r="V42" s="149"/>
      <c r="W42" s="149"/>
      <c r="X42" s="149"/>
      <c r="Y42" s="149"/>
      <c r="Z42" s="149"/>
      <c r="AA42" s="149"/>
      <c r="AB42" s="149"/>
      <c r="AC42" s="149"/>
      <c r="AD42" s="149"/>
      <c r="AE42" s="149"/>
      <c r="AF42" s="149"/>
      <c r="AG42" s="149"/>
      <c r="AH42" s="149"/>
      <c r="AI42" s="149"/>
      <c r="AJ42" s="149"/>
    </row>
    <row r="43" spans="2:36">
      <c r="B43" s="32" t="str">
        <f>'Operating Calculations'!B100</f>
        <v>Other Utilities</v>
      </c>
      <c r="C43" s="32"/>
      <c r="D43" s="78">
        <f>'Adjustments &amp; Notes'!D50</f>
        <v>61042</v>
      </c>
      <c r="E43" s="145">
        <f>D43/TotalDealUnits</f>
        <v>763.02499999999998</v>
      </c>
      <c r="F43" s="180">
        <f t="shared" si="15"/>
        <v>5.492969786956424E-2</v>
      </c>
      <c r="G43" s="78">
        <f>'Adjustments &amp; Notes'!G50</f>
        <v>61042</v>
      </c>
      <c r="H43" s="145">
        <f>G43/TotalDealUnits</f>
        <v>763.02499999999998</v>
      </c>
      <c r="I43" s="180">
        <f t="shared" si="16"/>
        <v>5.492969786956424E-2</v>
      </c>
      <c r="K43" s="78">
        <f>-SUMIF(RMHistExpenseCategory,$B43,'Operating Calculations'!C$88:C$107)</f>
        <v>0</v>
      </c>
      <c r="L43" s="145">
        <f t="shared" si="13"/>
        <v>0</v>
      </c>
      <c r="M43" s="180">
        <f t="shared" si="17"/>
        <v>0</v>
      </c>
      <c r="N43" s="167">
        <f t="shared" si="14"/>
        <v>-1</v>
      </c>
      <c r="O43" s="147" t="str">
        <f>IF('Adjustments &amp; Notes'!O50&lt;&gt;"",GenValidation!AI39,"")</f>
        <v/>
      </c>
      <c r="Q43" s="148" t="str">
        <f>IF(OtherUtilitiesNotes="","",OtherUtilitiesNotes)</f>
        <v/>
      </c>
      <c r="R43" s="148"/>
      <c r="S43" s="148"/>
      <c r="T43" s="148"/>
      <c r="U43" s="148"/>
      <c r="V43" s="148"/>
      <c r="W43" s="148"/>
      <c r="X43" s="148"/>
      <c r="Y43" s="148"/>
      <c r="Z43" s="148"/>
      <c r="AA43" s="148"/>
      <c r="AB43" s="148"/>
      <c r="AC43" s="148"/>
      <c r="AD43" s="148"/>
      <c r="AE43" s="148"/>
      <c r="AF43" s="148"/>
      <c r="AG43" s="148"/>
      <c r="AH43" s="148"/>
      <c r="AI43" s="148"/>
      <c r="AJ43" s="148"/>
    </row>
    <row r="44" spans="2:36">
      <c r="B44" s="32" t="str">
        <f>'Operating Calculations'!B101</f>
        <v>Insurance</v>
      </c>
      <c r="C44" s="32"/>
      <c r="D44" s="78">
        <f>'Adjustments &amp; Notes'!D51</f>
        <v>41934</v>
      </c>
      <c r="E44" s="145">
        <f>D44/TotalDealUnits</f>
        <v>524.17499999999995</v>
      </c>
      <c r="F44" s="180">
        <f t="shared" si="15"/>
        <v>3.7735034082472835E-2</v>
      </c>
      <c r="G44" s="78">
        <f>'Adjustments &amp; Notes'!G51</f>
        <v>41934</v>
      </c>
      <c r="H44" s="145">
        <f>G44/TotalDealUnits</f>
        <v>524.17499999999995</v>
      </c>
      <c r="I44" s="180">
        <f t="shared" si="16"/>
        <v>3.7735034082472835E-2</v>
      </c>
      <c r="K44" s="78">
        <f>-SUMIF(RMHistExpenseCategory,$B44,'Operating Calculations'!C$88:C$107)</f>
        <v>0</v>
      </c>
      <c r="L44" s="145">
        <f t="shared" si="13"/>
        <v>0</v>
      </c>
      <c r="M44" s="180">
        <f t="shared" si="17"/>
        <v>0</v>
      </c>
      <c r="N44" s="167">
        <f t="shared" si="14"/>
        <v>-1</v>
      </c>
      <c r="O44" s="147" t="str">
        <f>IF('Adjustments &amp; Notes'!O51&lt;&gt;"",GenValidation!AI40,"")</f>
        <v/>
      </c>
      <c r="Q44" s="149" t="str">
        <f>IF(InsuranceNotes="","",InsuranceNotes)</f>
        <v/>
      </c>
      <c r="R44" s="149"/>
      <c r="S44" s="149"/>
      <c r="T44" s="149"/>
      <c r="U44" s="149"/>
      <c r="V44" s="149"/>
      <c r="W44" s="149"/>
      <c r="X44" s="149"/>
      <c r="Y44" s="149"/>
      <c r="Z44" s="149"/>
      <c r="AA44" s="149"/>
      <c r="AB44" s="149"/>
      <c r="AC44" s="149"/>
      <c r="AD44" s="149"/>
      <c r="AE44" s="149"/>
      <c r="AF44" s="149"/>
      <c r="AG44" s="149"/>
      <c r="AH44" s="149"/>
      <c r="AI44" s="149"/>
      <c r="AJ44" s="149"/>
    </row>
    <row r="45" spans="2:36">
      <c r="B45" s="32" t="str">
        <f>'Operating Calculations'!B102</f>
        <v>Real Estate Taxes</v>
      </c>
      <c r="C45" s="32"/>
      <c r="D45" s="78">
        <f>'Adjustments &amp; Notes'!D52</f>
        <v>182667</v>
      </c>
      <c r="E45" s="145">
        <f>D45/TotalDealUnits</f>
        <v>2283.3375000000001</v>
      </c>
      <c r="F45" s="180">
        <f t="shared" si="15"/>
        <v>0.16437605453195653</v>
      </c>
      <c r="G45" s="78">
        <f>'Adjustments &amp; Notes'!G52</f>
        <v>182667</v>
      </c>
      <c r="H45" s="145">
        <f>G45/TotalDealUnits</f>
        <v>2283.3375000000001</v>
      </c>
      <c r="I45" s="180">
        <f t="shared" si="16"/>
        <v>0.16437605453195653</v>
      </c>
      <c r="K45" s="78">
        <f>-SUMIF(RMHistExpenseCategory,$B45,'Operating Calculations'!C$88:C$107)</f>
        <v>182667</v>
      </c>
      <c r="L45" s="145">
        <f t="shared" si="13"/>
        <v>2283.3375000000001</v>
      </c>
      <c r="M45" s="180">
        <f t="shared" si="17"/>
        <v>0.1257082466535667</v>
      </c>
      <c r="N45" s="167">
        <f t="shared" si="14"/>
        <v>0</v>
      </c>
      <c r="O45" s="147" t="str">
        <f>IF('Adjustments &amp; Notes'!O52&lt;&gt;"",GenValidation!AI41,"")</f>
        <v/>
      </c>
      <c r="Q45" s="148" t="str">
        <f>IF(RealEstateTaxesNotes="","",RealEstateTaxesNotes)</f>
        <v/>
      </c>
      <c r="R45" s="148"/>
      <c r="S45" s="148"/>
      <c r="T45" s="148"/>
      <c r="U45" s="148"/>
      <c r="V45" s="148"/>
      <c r="W45" s="148"/>
      <c r="X45" s="148"/>
      <c r="Y45" s="148"/>
      <c r="Z45" s="148"/>
      <c r="AA45" s="148"/>
      <c r="AB45" s="148"/>
      <c r="AC45" s="148"/>
      <c r="AD45" s="148"/>
      <c r="AE45" s="148"/>
      <c r="AF45" s="148"/>
      <c r="AG45" s="148"/>
      <c r="AH45" s="148"/>
      <c r="AI45" s="148"/>
      <c r="AJ45" s="148"/>
    </row>
    <row r="46" spans="2:36">
      <c r="B46" s="32" t="str">
        <f>'Operating Calculations'!B103</f>
        <v>Other Property Taxes</v>
      </c>
      <c r="C46" s="32"/>
      <c r="D46" s="78">
        <f>'Adjustments &amp; Notes'!D53</f>
        <v>0</v>
      </c>
      <c r="E46" s="145">
        <f>D46/TotalDealUnits</f>
        <v>0</v>
      </c>
      <c r="F46" s="180">
        <f t="shared" si="15"/>
        <v>0</v>
      </c>
      <c r="G46" s="78">
        <f>'Adjustments &amp; Notes'!G53</f>
        <v>0</v>
      </c>
      <c r="H46" s="145">
        <f>G46/TotalDealUnits</f>
        <v>0</v>
      </c>
      <c r="I46" s="180">
        <f t="shared" si="16"/>
        <v>0</v>
      </c>
      <c r="K46" s="78">
        <f>-SUMIF(RMHistExpenseCategory,$B46,'Operating Calculations'!C$88:C$107)</f>
        <v>0</v>
      </c>
      <c r="L46" s="145">
        <f t="shared" si="13"/>
        <v>0</v>
      </c>
      <c r="M46" s="180">
        <f t="shared" si="17"/>
        <v>0</v>
      </c>
      <c r="N46" s="167">
        <f t="shared" si="14"/>
        <v>0</v>
      </c>
      <c r="O46" s="147" t="str">
        <f>IF('Adjustments &amp; Notes'!O53&lt;&gt;"",GenValidation!AI42,"")</f>
        <v/>
      </c>
      <c r="Q46" s="149" t="str">
        <f>IF(OtherPropertyTaxesNotes="","",OtherPropertyTaxesNotes)</f>
        <v/>
      </c>
      <c r="R46" s="149"/>
      <c r="S46" s="149"/>
      <c r="T46" s="149"/>
      <c r="U46" s="149"/>
      <c r="V46" s="149"/>
      <c r="W46" s="149"/>
      <c r="X46" s="149"/>
      <c r="Y46" s="149"/>
      <c r="Z46" s="149"/>
      <c r="AA46" s="149"/>
      <c r="AB46" s="149"/>
      <c r="AC46" s="149"/>
      <c r="AD46" s="149"/>
      <c r="AE46" s="149"/>
      <c r="AF46" s="149"/>
      <c r="AG46" s="149"/>
      <c r="AH46" s="149"/>
      <c r="AI46" s="149"/>
      <c r="AJ46" s="149"/>
    </row>
    <row r="47" spans="2:36">
      <c r="B47" s="32" t="str">
        <f>'Operating Calculations'!B104</f>
        <v>Property Management Fee</v>
      </c>
      <c r="C47" s="32"/>
      <c r="D47" s="78">
        <f>'Adjustments &amp; Notes'!D54</f>
        <v>45772</v>
      </c>
      <c r="E47" s="145">
        <f>D47/TotalDealUnits</f>
        <v>572.15</v>
      </c>
      <c r="F47" s="180">
        <f t="shared" si="15"/>
        <v>4.1188724663112193E-2</v>
      </c>
      <c r="G47" s="78">
        <f>'Adjustments &amp; Notes'!G54</f>
        <v>45772</v>
      </c>
      <c r="H47" s="145">
        <f>G47/TotalDealUnits</f>
        <v>572.15</v>
      </c>
      <c r="I47" s="180">
        <f t="shared" si="16"/>
        <v>4.1188724663112193E-2</v>
      </c>
      <c r="K47" s="78">
        <f>-SUMIF(RMHistExpenseCategory,$B47,'Operating Calculations'!C$88:C$107)</f>
        <v>0</v>
      </c>
      <c r="L47" s="145">
        <f t="shared" si="13"/>
        <v>0</v>
      </c>
      <c r="M47" s="180">
        <f t="shared" si="17"/>
        <v>0</v>
      </c>
      <c r="N47" s="167">
        <f t="shared" si="14"/>
        <v>-1</v>
      </c>
      <c r="O47" s="147" t="str">
        <f>IF('Adjustments &amp; Notes'!O54&lt;&gt;"",GenValidation!AI43,"")</f>
        <v/>
      </c>
      <c r="Q47" s="148" t="str">
        <f>IF(PropertyManagementFeeNotes="","",PropertyManagementFeeNotes)</f>
        <v/>
      </c>
      <c r="R47" s="148"/>
      <c r="S47" s="148"/>
      <c r="T47" s="148"/>
      <c r="U47" s="148"/>
      <c r="V47" s="148"/>
      <c r="W47" s="148"/>
      <c r="X47" s="148"/>
      <c r="Y47" s="148"/>
      <c r="Z47" s="148"/>
      <c r="AA47" s="148"/>
      <c r="AB47" s="148"/>
      <c r="AC47" s="148"/>
      <c r="AD47" s="148"/>
      <c r="AE47" s="148"/>
      <c r="AF47" s="148"/>
      <c r="AG47" s="148"/>
      <c r="AH47" s="148"/>
      <c r="AI47" s="148"/>
      <c r="AJ47" s="148"/>
    </row>
    <row r="48" spans="2:36">
      <c r="B48" s="32" t="str">
        <f>'Operating Calculations'!B105</f>
        <v>Other Operating Expenses</v>
      </c>
      <c r="C48" s="32"/>
      <c r="D48" s="78">
        <f>'Adjustments &amp; Notes'!D55</f>
        <v>0</v>
      </c>
      <c r="E48" s="145">
        <f>D48/TotalDealUnits</f>
        <v>0</v>
      </c>
      <c r="F48" s="180">
        <f t="shared" si="15"/>
        <v>0</v>
      </c>
      <c r="G48" s="78">
        <f>'Adjustments &amp; Notes'!G55</f>
        <v>0</v>
      </c>
      <c r="H48" s="145">
        <f>G48/TotalDealUnits</f>
        <v>0</v>
      </c>
      <c r="I48" s="180">
        <f t="shared" si="16"/>
        <v>0</v>
      </c>
      <c r="K48" s="78">
        <f>-SUMIF(RMHistExpenseCategory,$B48,'Operating Calculations'!C$88:C$107)</f>
        <v>0</v>
      </c>
      <c r="L48" s="145">
        <f>K48/TotalDealUnits</f>
        <v>0</v>
      </c>
      <c r="M48" s="180">
        <f t="shared" si="17"/>
        <v>0</v>
      </c>
      <c r="N48" s="167">
        <f t="shared" si="14"/>
        <v>0</v>
      </c>
      <c r="O48" s="147" t="str">
        <f>IF('Adjustments &amp; Notes'!O55&lt;&gt;"",GenValidation!AI44,"")</f>
        <v/>
      </c>
      <c r="Q48" s="149" t="str">
        <f>IF(OtherOperatingExpensesNotes="","",OtherOperatingExpensesNotes)</f>
        <v/>
      </c>
      <c r="R48" s="149"/>
      <c r="S48" s="149"/>
      <c r="T48" s="149"/>
      <c r="U48" s="149"/>
      <c r="V48" s="149"/>
      <c r="W48" s="149"/>
      <c r="X48" s="149"/>
      <c r="Y48" s="149"/>
      <c r="Z48" s="149"/>
      <c r="AA48" s="149"/>
      <c r="AB48" s="149"/>
      <c r="AC48" s="149"/>
      <c r="AD48" s="149"/>
      <c r="AE48" s="149"/>
      <c r="AF48" s="149"/>
      <c r="AG48" s="149"/>
      <c r="AH48" s="149"/>
      <c r="AI48" s="149"/>
      <c r="AJ48" s="149"/>
    </row>
    <row r="49" spans="2:36">
      <c r="B49" s="32" t="str">
        <f>'Select Historicals'!B52</f>
        <v>Reimbursements</v>
      </c>
      <c r="C49" s="32"/>
      <c r="D49" s="78">
        <f>'Adjustments &amp; Notes'!D56</f>
        <v>0</v>
      </c>
      <c r="E49" s="145">
        <f>D49/TotalDealUnits</f>
        <v>0</v>
      </c>
      <c r="F49" s="180">
        <f t="shared" si="15"/>
        <v>0</v>
      </c>
      <c r="G49" s="78">
        <f>'Adjustments &amp; Notes'!G56</f>
        <v>0</v>
      </c>
      <c r="H49" s="145">
        <f>G49/TotalDealUnits</f>
        <v>0</v>
      </c>
      <c r="I49" s="180">
        <f t="shared" si="16"/>
        <v>0</v>
      </c>
      <c r="K49" s="78">
        <f>-ROUND('Operating Calculations'!C136-'Historical CF'!T21,)</f>
        <v>0</v>
      </c>
      <c r="L49" s="145">
        <f t="shared" si="13"/>
        <v>0</v>
      </c>
      <c r="M49" s="180">
        <f t="shared" si="17"/>
        <v>0</v>
      </c>
      <c r="N49" s="167">
        <f t="shared" si="14"/>
        <v>0</v>
      </c>
      <c r="O49" s="147" t="str">
        <f>IF('Adjustments &amp; Notes'!O56&lt;&gt;"",GenValidation!AI45,"")</f>
        <v/>
      </c>
      <c r="Q49" s="148" t="str">
        <f>IF(ReimbursementsNotes="","",ReimbursementsNotes)</f>
        <v/>
      </c>
      <c r="R49" s="148"/>
      <c r="S49" s="148"/>
      <c r="T49" s="148"/>
      <c r="U49" s="148"/>
      <c r="V49" s="148"/>
      <c r="W49" s="148"/>
      <c r="X49" s="148"/>
      <c r="Y49" s="148"/>
      <c r="Z49" s="148"/>
      <c r="AA49" s="148"/>
      <c r="AB49" s="148"/>
      <c r="AC49" s="148"/>
      <c r="AD49" s="148"/>
      <c r="AE49" s="148"/>
      <c r="AF49" s="148"/>
      <c r="AG49" s="148"/>
      <c r="AH49" s="148"/>
      <c r="AI49" s="148"/>
      <c r="AJ49" s="148"/>
    </row>
    <row r="50" spans="2:36">
      <c r="B50" s="32"/>
      <c r="C50" s="32"/>
      <c r="D50" s="78"/>
      <c r="E50" s="145"/>
      <c r="F50" s="183"/>
      <c r="G50" s="78"/>
      <c r="H50" s="145"/>
      <c r="I50" s="183"/>
      <c r="K50" s="78"/>
      <c r="L50" s="145"/>
      <c r="M50" s="183"/>
      <c r="N50" s="167"/>
      <c r="O50" s="147"/>
      <c r="Q50" s="149"/>
      <c r="R50" s="149"/>
      <c r="S50" s="149"/>
      <c r="T50" s="149"/>
      <c r="U50" s="149"/>
      <c r="V50" s="149"/>
      <c r="W50" s="149"/>
      <c r="X50" s="149"/>
      <c r="Y50" s="149"/>
      <c r="Z50" s="149"/>
      <c r="AA50" s="149"/>
      <c r="AB50" s="149"/>
      <c r="AC50" s="149"/>
      <c r="AD50" s="149"/>
      <c r="AE50" s="149"/>
      <c r="AF50" s="149"/>
      <c r="AG50" s="149"/>
      <c r="AH50" s="149"/>
      <c r="AI50" s="149"/>
      <c r="AJ50" s="149"/>
    </row>
    <row r="51" spans="2:36">
      <c r="B51" s="153" t="s">
        <v>127</v>
      </c>
      <c r="C51" s="153"/>
      <c r="D51" s="154">
        <f>SUBTOTAL(9,D31:D49)</f>
        <v>592208</v>
      </c>
      <c r="E51" s="155">
        <f>D51/TotalDealUnits</f>
        <v>7402.6</v>
      </c>
      <c r="F51" s="185">
        <f t="shared" si="15"/>
        <v>0.53290859598209261</v>
      </c>
      <c r="G51" s="154">
        <f>SUBTOTAL(9,G31:G49)</f>
        <v>592208</v>
      </c>
      <c r="H51" s="155">
        <f>G51/TotalDealUnits</f>
        <v>7402.6</v>
      </c>
      <c r="I51" s="185">
        <f t="shared" si="16"/>
        <v>0.53290859598209261</v>
      </c>
      <c r="K51" s="154">
        <f>SUBTOTAL(9,K31:K49)</f>
        <v>439367</v>
      </c>
      <c r="L51" s="155">
        <f>K51/TotalDealUnits</f>
        <v>5492.0874999999996</v>
      </c>
      <c r="M51" s="185">
        <f t="shared" si="17"/>
        <v>0.30236471397372072</v>
      </c>
      <c r="N51" s="157">
        <f>ROUND(IF(G51,K51/G51-1,),4)</f>
        <v>-0.2581</v>
      </c>
      <c r="O51" s="147" t="str">
        <f>IF('Adjustments &amp; Notes'!O58&lt;&gt;"",GenValidation!AI47,"")</f>
        <v/>
      </c>
      <c r="Q51" s="148" t="str">
        <f>IF(TotalOperatingExpensesNotes="","",TotalOperatingExpensesNotes)</f>
        <v/>
      </c>
      <c r="R51" s="148"/>
      <c r="S51" s="148"/>
      <c r="T51" s="148"/>
      <c r="U51" s="148"/>
      <c r="V51" s="148"/>
      <c r="W51" s="148"/>
      <c r="X51" s="148"/>
      <c r="Y51" s="148"/>
      <c r="Z51" s="148"/>
      <c r="AA51" s="148"/>
      <c r="AB51" s="148"/>
      <c r="AC51" s="148"/>
      <c r="AD51" s="148"/>
      <c r="AE51" s="148"/>
      <c r="AF51" s="148"/>
      <c r="AG51" s="148"/>
      <c r="AH51" s="148"/>
      <c r="AI51" s="148"/>
      <c r="AJ51" s="148"/>
    </row>
    <row r="52" spans="2:36">
      <c r="B52" s="32"/>
      <c r="C52" s="32"/>
      <c r="D52" s="40"/>
      <c r="E52" s="145"/>
      <c r="F52" s="183"/>
      <c r="G52" s="40"/>
      <c r="H52" s="145"/>
      <c r="I52" s="183"/>
      <c r="J52" s="168"/>
      <c r="K52" s="78"/>
      <c r="L52" s="145"/>
      <c r="M52" s="183"/>
      <c r="N52" s="167"/>
      <c r="O52" s="147"/>
      <c r="Q52" s="160"/>
      <c r="R52" s="160"/>
      <c r="S52" s="160"/>
      <c r="T52" s="160"/>
      <c r="U52" s="160"/>
      <c r="V52" s="160"/>
      <c r="W52" s="160"/>
      <c r="X52" s="160"/>
      <c r="Y52" s="160"/>
      <c r="Z52" s="160"/>
      <c r="AA52" s="160"/>
      <c r="AB52" s="160"/>
      <c r="AC52" s="160"/>
      <c r="AD52" s="160"/>
      <c r="AE52" s="160"/>
      <c r="AF52" s="160"/>
      <c r="AG52" s="160"/>
      <c r="AH52" s="160"/>
      <c r="AI52" s="160"/>
      <c r="AJ52" s="160"/>
    </row>
    <row r="55" spans="2:36" s="17" customFormat="1" ht="14.25" customHeight="1">
      <c r="B55" s="1176" t="s">
        <v>128</v>
      </c>
      <c r="C55" s="121"/>
      <c r="D55" s="143"/>
      <c r="E55" s="143"/>
      <c r="F55" s="143"/>
      <c r="G55" s="143"/>
      <c r="H55" s="143"/>
      <c r="I55" s="143"/>
      <c r="K55" s="143"/>
      <c r="L55" s="143"/>
      <c r="M55" s="143"/>
      <c r="N55" s="166"/>
      <c r="O55" s="166"/>
      <c r="Q55" s="143"/>
      <c r="R55" s="143"/>
      <c r="S55" s="143"/>
      <c r="T55" s="143"/>
      <c r="U55" s="143"/>
      <c r="V55" s="143"/>
      <c r="W55" s="143"/>
      <c r="X55" s="143"/>
      <c r="Y55" s="143"/>
      <c r="Z55" s="143"/>
      <c r="AA55" s="143"/>
      <c r="AB55" s="143"/>
      <c r="AC55" s="143"/>
      <c r="AD55" s="143"/>
      <c r="AE55" s="143"/>
      <c r="AF55" s="143"/>
      <c r="AG55" s="143"/>
      <c r="AH55" s="143"/>
      <c r="AI55" s="143"/>
      <c r="AJ55" s="143"/>
    </row>
    <row r="56" spans="2:36">
      <c r="B56" s="32" t="s">
        <v>129</v>
      </c>
      <c r="C56" s="32"/>
      <c r="D56" s="78">
        <f>D26-D51</f>
        <v>519067</v>
      </c>
      <c r="E56" s="145">
        <f>D56/TotalDealUnits</f>
        <v>6488.3374999999996</v>
      </c>
      <c r="F56" s="180">
        <f t="shared" ref="F56:F59" si="18">IF(D$26,D56/D$26,)</f>
        <v>0.46709140401790739</v>
      </c>
      <c r="G56" s="78">
        <f>G26-G51</f>
        <v>519067</v>
      </c>
      <c r="H56" s="145">
        <f>G56/TotalDealUnits</f>
        <v>6488.3374999999996</v>
      </c>
      <c r="I56" s="180">
        <f t="shared" ref="I56:I59" si="19">IF(G$26,G56/G$26,)</f>
        <v>0.46709140401790739</v>
      </c>
      <c r="K56" s="78">
        <f>K26-K51</f>
        <v>1013735.7586710614</v>
      </c>
      <c r="L56" s="145">
        <f>K56/TotalDealUnits</f>
        <v>12671.696983388267</v>
      </c>
      <c r="M56" s="180">
        <f t="shared" ref="M56:M59" si="20">IF(K$26,K56/K$26,)</f>
        <v>0.69763528602627922</v>
      </c>
      <c r="N56" s="167">
        <f t="shared" ref="N56:N57" si="21">ROUND(IF(G56,K56/G56-1,),4)</f>
        <v>0.95299999999999996</v>
      </c>
      <c r="O56" s="147"/>
      <c r="Q56" s="148"/>
      <c r="R56" s="148"/>
      <c r="S56" s="148"/>
      <c r="T56" s="148"/>
      <c r="U56" s="148"/>
      <c r="V56" s="148"/>
      <c r="W56" s="148"/>
      <c r="X56" s="148"/>
      <c r="Y56" s="148"/>
      <c r="Z56" s="148"/>
      <c r="AA56" s="148"/>
      <c r="AB56" s="148"/>
      <c r="AC56" s="148"/>
      <c r="AD56" s="148"/>
      <c r="AE56" s="148"/>
      <c r="AF56" s="148"/>
      <c r="AG56" s="148"/>
      <c r="AH56" s="148"/>
      <c r="AI56" s="148"/>
      <c r="AJ56" s="148"/>
    </row>
    <row r="57" spans="2:36">
      <c r="B57" s="32" t="s">
        <v>130</v>
      </c>
      <c r="C57" s="32"/>
      <c r="D57" s="78">
        <f>'Adjustments &amp; Notes'!D64</f>
        <v>0</v>
      </c>
      <c r="E57" s="145">
        <f>D57/TotalDealUnits</f>
        <v>0</v>
      </c>
      <c r="F57" s="180">
        <f t="shared" si="18"/>
        <v>0</v>
      </c>
      <c r="G57" s="78">
        <f>'Adjustments &amp; Notes'!G64</f>
        <v>0</v>
      </c>
      <c r="H57" s="145">
        <f>G57/TotalDealUnits</f>
        <v>0</v>
      </c>
      <c r="I57" s="180">
        <f t="shared" si="19"/>
        <v>0</v>
      </c>
      <c r="K57" s="78">
        <f>-'CF Calculations'!E60</f>
        <v>0</v>
      </c>
      <c r="L57" s="145">
        <f>K57/TotalDealUnits</f>
        <v>0</v>
      </c>
      <c r="M57" s="180">
        <f t="shared" si="20"/>
        <v>0</v>
      </c>
      <c r="N57" s="167">
        <f t="shared" si="21"/>
        <v>0</v>
      </c>
      <c r="O57" s="147" t="str">
        <f>IF('Adjustments &amp; Notes'!O64&lt;&gt;"",GenValidation!AI53,"")</f>
        <v/>
      </c>
      <c r="Q57" s="149" t="str">
        <f>IF(ReplacementReservesNotes="","",ReplacementReservesNotes)</f>
        <v/>
      </c>
      <c r="R57" s="149"/>
      <c r="S57" s="149"/>
      <c r="T57" s="149"/>
      <c r="U57" s="149"/>
      <c r="V57" s="149"/>
      <c r="W57" s="149"/>
      <c r="X57" s="149"/>
      <c r="Y57" s="149"/>
      <c r="Z57" s="149"/>
      <c r="AA57" s="149"/>
      <c r="AB57" s="149"/>
      <c r="AC57" s="149"/>
      <c r="AD57" s="149"/>
      <c r="AE57" s="149"/>
      <c r="AF57" s="149"/>
      <c r="AG57" s="149"/>
      <c r="AH57" s="149"/>
      <c r="AI57" s="149"/>
      <c r="AJ57" s="149"/>
    </row>
    <row r="58" spans="2:36">
      <c r="B58" s="32"/>
      <c r="C58" s="32"/>
      <c r="D58" s="78"/>
      <c r="E58" s="145"/>
      <c r="F58" s="183"/>
      <c r="G58" s="78"/>
      <c r="H58" s="145"/>
      <c r="I58" s="183"/>
      <c r="K58" s="78"/>
      <c r="L58" s="145"/>
      <c r="M58" s="183"/>
      <c r="N58" s="167"/>
      <c r="O58" s="147"/>
      <c r="Q58" s="148"/>
      <c r="R58" s="148"/>
      <c r="S58" s="148"/>
      <c r="T58" s="148"/>
      <c r="U58" s="148"/>
      <c r="V58" s="148"/>
      <c r="W58" s="148"/>
      <c r="X58" s="148"/>
      <c r="Y58" s="148"/>
      <c r="Z58" s="148"/>
      <c r="AA58" s="148"/>
      <c r="AB58" s="148"/>
      <c r="AC58" s="148"/>
      <c r="AD58" s="148"/>
      <c r="AE58" s="148"/>
      <c r="AF58" s="148"/>
      <c r="AG58" s="148"/>
      <c r="AH58" s="148"/>
      <c r="AI58" s="148"/>
      <c r="AJ58" s="148"/>
    </row>
    <row r="59" spans="2:36" s="17" customFormat="1" ht="14.25" customHeight="1">
      <c r="B59" s="153" t="s">
        <v>131</v>
      </c>
      <c r="C59" s="153"/>
      <c r="D59" s="154">
        <f>D26-D51-D57</f>
        <v>519067</v>
      </c>
      <c r="E59" s="155">
        <f>D59/TotalDealUnits</f>
        <v>6488.3374999999996</v>
      </c>
      <c r="F59" s="185">
        <f t="shared" si="18"/>
        <v>0.46709140401790739</v>
      </c>
      <c r="G59" s="154">
        <f>G26-G51-G57</f>
        <v>519067</v>
      </c>
      <c r="H59" s="155">
        <f>G59/TotalDealUnits</f>
        <v>6488.3374999999996</v>
      </c>
      <c r="I59" s="185">
        <f t="shared" si="19"/>
        <v>0.46709140401790739</v>
      </c>
      <c r="J59"/>
      <c r="K59" s="154">
        <f>K26-K51-K57</f>
        <v>1013735.7586710614</v>
      </c>
      <c r="L59" s="155">
        <f>K59/TotalDealUnits</f>
        <v>12671.696983388267</v>
      </c>
      <c r="M59" s="185">
        <f t="shared" si="20"/>
        <v>0.69763528602627922</v>
      </c>
      <c r="N59" s="157">
        <f>ROUND(IF(G59,K59/G59-1,),4)</f>
        <v>0.95299999999999996</v>
      </c>
      <c r="O59" s="147" t="str">
        <f>IF('Adjustments &amp; Notes'!O66&lt;&gt;"",GenValidation!AI55,"")</f>
        <v/>
      </c>
      <c r="Q59" s="149" t="str">
        <f>IF(NetOperatingIncomeAfterReservesNotes="","",NetOperatingIncomeAfterReservesNotes)</f>
        <v/>
      </c>
      <c r="R59" s="149"/>
      <c r="S59" s="149"/>
      <c r="T59" s="149"/>
      <c r="U59" s="149"/>
      <c r="V59" s="149"/>
      <c r="W59" s="149"/>
      <c r="X59" s="149"/>
      <c r="Y59" s="149"/>
      <c r="Z59" s="149"/>
      <c r="AA59" s="149"/>
      <c r="AB59" s="149"/>
      <c r="AC59" s="149"/>
      <c r="AD59" s="149"/>
      <c r="AE59" s="149"/>
      <c r="AF59" s="149"/>
      <c r="AG59" s="149"/>
      <c r="AH59" s="149"/>
      <c r="AI59" s="149"/>
      <c r="AJ59" s="149"/>
    </row>
    <row r="60" spans="2:36" s="17" customFormat="1" ht="14.25" customHeight="1">
      <c r="B60" s="153"/>
      <c r="C60" s="153"/>
      <c r="D60" s="169"/>
      <c r="E60" s="91"/>
      <c r="F60" s="183"/>
      <c r="G60" s="169"/>
      <c r="H60" s="91"/>
      <c r="I60" s="183"/>
      <c r="J60"/>
      <c r="K60" s="169"/>
      <c r="L60" s="91"/>
      <c r="M60" s="183"/>
      <c r="N60" s="170"/>
      <c r="O60" s="147"/>
      <c r="Q60" s="27"/>
      <c r="R60" s="27"/>
      <c r="S60" s="27"/>
      <c r="T60" s="27"/>
      <c r="U60" s="27"/>
      <c r="V60" s="27"/>
      <c r="W60" s="27"/>
      <c r="X60" s="27"/>
      <c r="Y60" s="27"/>
      <c r="Z60" s="27"/>
      <c r="AA60" s="27"/>
      <c r="AB60" s="27"/>
      <c r="AC60" s="27"/>
      <c r="AD60" s="27"/>
      <c r="AE60" s="27"/>
      <c r="AF60" s="27"/>
      <c r="AG60" s="27"/>
      <c r="AH60" s="27"/>
      <c r="AI60" s="27"/>
      <c r="AJ60" s="27"/>
    </row>
    <row r="63" spans="2:36" ht="14.25" customHeight="1">
      <c r="B63" s="1176" t="s">
        <v>132</v>
      </c>
      <c r="C63" s="121"/>
      <c r="D63" s="121"/>
      <c r="E63" s="121"/>
      <c r="F63" s="121"/>
      <c r="G63" s="121"/>
      <c r="H63" s="121"/>
      <c r="I63" s="121"/>
      <c r="K63" s="172"/>
      <c r="L63" s="173"/>
      <c r="M63" s="173"/>
      <c r="N63" s="174"/>
      <c r="O63" s="174"/>
    </row>
    <row r="64" spans="2:36">
      <c r="B64" s="32" t="s">
        <v>133</v>
      </c>
      <c r="C64" s="32"/>
      <c r="D64" s="44">
        <f>IF(D59,IF(AND(Input!$F$32&gt;0,D59&gt;0),D59/Input!$F$32,"n/a"),"")</f>
        <v>3.9899380447983766E-2</v>
      </c>
      <c r="E64" s="187"/>
      <c r="F64" s="188"/>
      <c r="G64" s="44">
        <f>IF(G59,IF(AND(Input!$F$32&gt;0,G59&gt;0),G59/Input!$F$32,"n/a"),"")</f>
        <v>3.9899380447983766E-2</v>
      </c>
      <c r="H64" s="187"/>
      <c r="I64" s="188"/>
      <c r="K64" s="44">
        <f>IF(K59,IF(AND(Input!$F$32&gt;0,K59&gt;0),K59/Input!$F$32,"n/a"),"")</f>
        <v>7.7923329182826365E-2</v>
      </c>
      <c r="L64" s="187"/>
      <c r="M64" s="188"/>
      <c r="N64" s="27"/>
      <c r="O64" s="27"/>
    </row>
    <row r="65" spans="2:16">
      <c r="B65" s="32" t="str">
        <f>IF('CF Calculations'!E92,"DSCR (Year 1 Combined Debt Payment)","")</f>
        <v/>
      </c>
      <c r="C65" s="27"/>
      <c r="D65" s="175" t="str">
        <f>IF(AND('CF Calculations'!$E$92&lt;0,D59&gt;0),-D59/'CF Calculations'!$E$92,"")</f>
        <v/>
      </c>
      <c r="E65" s="187"/>
      <c r="F65" s="188"/>
      <c r="G65" s="175" t="str">
        <f>IF(AND('CF Calculations'!$E$92&lt;0,G59&gt;0),-G59/'CF Calculations'!$E$92,"")</f>
        <v/>
      </c>
      <c r="H65" s="187"/>
      <c r="I65" s="188"/>
      <c r="K65" s="175" t="str">
        <f>IF('CF Calculations'!$E$125,'CF Calculations'!$E$125,"")</f>
        <v/>
      </c>
      <c r="L65" s="187"/>
      <c r="M65" s="188"/>
      <c r="N65" s="27"/>
      <c r="O65" s="27"/>
    </row>
    <row r="66" spans="2:16">
      <c r="B66" s="27"/>
      <c r="C66" s="27"/>
      <c r="D66" s="27"/>
      <c r="E66" s="187"/>
      <c r="F66" s="188"/>
      <c r="G66" s="27"/>
      <c r="H66" s="187"/>
      <c r="I66" s="188"/>
      <c r="K66" s="27"/>
      <c r="L66" s="187"/>
      <c r="M66" s="188"/>
      <c r="N66" s="27"/>
      <c r="O66" s="27"/>
    </row>
    <row r="69" spans="2:16" s="138" customFormat="1" ht="16.5" customHeight="1">
      <c r="B69" s="1039" t="s">
        <v>134</v>
      </c>
      <c r="C69" s="1027"/>
      <c r="D69" s="1027"/>
      <c r="E69" s="1027"/>
      <c r="F69" s="1027"/>
      <c r="G69" s="1027"/>
      <c r="H69" s="1027"/>
      <c r="I69" s="1027"/>
      <c r="J69" s="1027"/>
      <c r="K69" s="1027"/>
      <c r="L69" s="1027"/>
      <c r="M69" s="1027"/>
      <c r="N69" s="1027"/>
      <c r="O69" s="1027"/>
      <c r="P69" s="141"/>
    </row>
    <row r="70" spans="2:16" ht="24" customHeight="1">
      <c r="B70" s="176" t="str">
        <f>IF(GenValidation!AJ5&lt;&gt;"",ROW()-ROW($B$69),"")</f>
        <v/>
      </c>
      <c r="C70" s="1266" t="str">
        <f>IF(GenValidation!AJ5&lt;&gt;"",GenValidation!AJ5,"")</f>
        <v/>
      </c>
      <c r="D70" s="1266"/>
      <c r="E70" s="1266"/>
      <c r="F70" s="1266"/>
      <c r="G70" s="1266"/>
      <c r="H70" s="1266"/>
      <c r="I70" s="1266"/>
      <c r="J70" s="1266"/>
      <c r="K70" s="1266"/>
      <c r="L70" s="1266"/>
      <c r="M70" s="1266"/>
      <c r="N70" s="1266"/>
      <c r="O70" s="1266"/>
    </row>
    <row r="71" spans="2:16" ht="24" customHeight="1">
      <c r="B71" s="176" t="str">
        <f>IF(GenValidation!AJ6&lt;&gt;"",ROW()-ROW($B$69),"")</f>
        <v/>
      </c>
      <c r="C71" s="1266" t="str">
        <f>IF(GenValidation!AJ6&lt;&gt;"",GenValidation!AJ6,"")</f>
        <v/>
      </c>
      <c r="D71" s="1266"/>
      <c r="E71" s="1266"/>
      <c r="F71" s="1266"/>
      <c r="G71" s="1266"/>
      <c r="H71" s="1266"/>
      <c r="I71" s="1266"/>
      <c r="J71" s="1266"/>
      <c r="K71" s="1266"/>
      <c r="L71" s="1266"/>
      <c r="M71" s="1266"/>
      <c r="N71" s="1266"/>
      <c r="O71" s="1266"/>
    </row>
    <row r="72" spans="2:16" ht="24" customHeight="1">
      <c r="B72" s="176" t="str">
        <f>IF(GenValidation!AJ7&lt;&gt;"",ROW()-ROW($B$69),"")</f>
        <v/>
      </c>
      <c r="C72" s="1266" t="str">
        <f>IF(GenValidation!AJ7&lt;&gt;"",GenValidation!AJ7,"")</f>
        <v/>
      </c>
      <c r="D72" s="1266"/>
      <c r="E72" s="1266"/>
      <c r="F72" s="1266"/>
      <c r="G72" s="1266"/>
      <c r="H72" s="1266"/>
      <c r="I72" s="1266"/>
      <c r="J72" s="1266"/>
      <c r="K72" s="1266"/>
      <c r="L72" s="1266"/>
      <c r="M72" s="1266"/>
      <c r="N72" s="1266"/>
      <c r="O72" s="1266"/>
    </row>
    <row r="73" spans="2:16" ht="24" customHeight="1">
      <c r="B73" s="176" t="str">
        <f>IF(GenValidation!AJ8&lt;&gt;"",ROW()-ROW($B$69),"")</f>
        <v/>
      </c>
      <c r="C73" s="1266" t="str">
        <f>IF(GenValidation!AJ8&lt;&gt;"",GenValidation!AJ8,"")</f>
        <v/>
      </c>
      <c r="D73" s="1266"/>
      <c r="E73" s="1266"/>
      <c r="F73" s="1266"/>
      <c r="G73" s="1266"/>
      <c r="H73" s="1266"/>
      <c r="I73" s="1266"/>
      <c r="J73" s="1266"/>
      <c r="K73" s="1266"/>
      <c r="L73" s="1266"/>
      <c r="M73" s="1266"/>
      <c r="N73" s="1266"/>
      <c r="O73" s="1266"/>
    </row>
    <row r="74" spans="2:16" ht="24" customHeight="1">
      <c r="B74" s="176" t="str">
        <f>IF(GenValidation!AJ9&lt;&gt;"",ROW()-ROW($B$69),"")</f>
        <v/>
      </c>
      <c r="C74" s="1266" t="str">
        <f>IF(GenValidation!AJ9&lt;&gt;"",GenValidation!AJ9,"")</f>
        <v/>
      </c>
      <c r="D74" s="1266"/>
      <c r="E74" s="1266"/>
      <c r="F74" s="1266"/>
      <c r="G74" s="1266"/>
      <c r="H74" s="1266"/>
      <c r="I74" s="1266"/>
      <c r="J74" s="1266"/>
      <c r="K74" s="1266"/>
      <c r="L74" s="1266"/>
      <c r="M74" s="1266"/>
      <c r="N74" s="1266"/>
      <c r="O74" s="1266"/>
    </row>
    <row r="75" spans="2:16" ht="24" customHeight="1">
      <c r="B75" s="176" t="str">
        <f>IF(GenValidation!AJ10&lt;&gt;"",ROW()-ROW($B$69),"")</f>
        <v/>
      </c>
      <c r="C75" s="1266" t="str">
        <f>IF(GenValidation!AJ10&lt;&gt;"",GenValidation!AJ10,"")</f>
        <v/>
      </c>
      <c r="D75" s="1266"/>
      <c r="E75" s="1266"/>
      <c r="F75" s="1266"/>
      <c r="G75" s="1266"/>
      <c r="H75" s="1266"/>
      <c r="I75" s="1266"/>
      <c r="J75" s="1266"/>
      <c r="K75" s="1266"/>
      <c r="L75" s="1266"/>
      <c r="M75" s="1266"/>
      <c r="N75" s="1266"/>
      <c r="O75" s="1266"/>
    </row>
    <row r="76" spans="2:16" ht="24" customHeight="1">
      <c r="B76" s="176" t="str">
        <f>IF(GenValidation!AJ11&lt;&gt;"",ROW()-ROW($B$69),"")</f>
        <v/>
      </c>
      <c r="C76" s="1266" t="str">
        <f>IF(GenValidation!AJ11&lt;&gt;"",GenValidation!AJ11,"")</f>
        <v/>
      </c>
      <c r="D76" s="1266"/>
      <c r="E76" s="1266"/>
      <c r="F76" s="1266"/>
      <c r="G76" s="1266"/>
      <c r="H76" s="1266"/>
      <c r="I76" s="1266"/>
      <c r="J76" s="1266"/>
      <c r="K76" s="1266"/>
      <c r="L76" s="1266"/>
      <c r="M76" s="1266"/>
      <c r="N76" s="1266"/>
      <c r="O76" s="1266"/>
    </row>
    <row r="77" spans="2:16" ht="24" customHeight="1">
      <c r="B77" s="176" t="str">
        <f>IF(GenValidation!AJ12&lt;&gt;"",ROW()-ROW($B$69),"")</f>
        <v/>
      </c>
      <c r="C77" s="1266" t="str">
        <f>IF(GenValidation!AJ12&lt;&gt;"",GenValidation!AJ12,"")</f>
        <v/>
      </c>
      <c r="D77" s="1266"/>
      <c r="E77" s="1266"/>
      <c r="F77" s="1266"/>
      <c r="G77" s="1266"/>
      <c r="H77" s="1266"/>
      <c r="I77" s="1266"/>
      <c r="J77" s="1266"/>
      <c r="K77" s="1266"/>
      <c r="L77" s="1266"/>
      <c r="M77" s="1266"/>
      <c r="N77" s="1266"/>
      <c r="O77" s="1266"/>
    </row>
    <row r="78" spans="2:16" ht="24" customHeight="1">
      <c r="B78" s="176" t="str">
        <f>IF(GenValidation!AJ13&lt;&gt;"",ROW()-ROW($B$69),"")</f>
        <v/>
      </c>
      <c r="C78" s="1266" t="str">
        <f>IF(GenValidation!AJ13&lt;&gt;"",GenValidation!AJ13,"")</f>
        <v/>
      </c>
      <c r="D78" s="1266"/>
      <c r="E78" s="1266"/>
      <c r="F78" s="1266"/>
      <c r="G78" s="1266"/>
      <c r="H78" s="1266"/>
      <c r="I78" s="1266"/>
      <c r="J78" s="1266"/>
      <c r="K78" s="1266"/>
      <c r="L78" s="1266"/>
      <c r="M78" s="1266"/>
      <c r="N78" s="1266"/>
      <c r="O78" s="1266"/>
    </row>
    <row r="79" spans="2:16" ht="24" customHeight="1">
      <c r="B79" s="176" t="str">
        <f>IF(GenValidation!AJ14&lt;&gt;"",ROW()-ROW($B$69),"")</f>
        <v/>
      </c>
      <c r="C79" s="1266" t="str">
        <f>IF(GenValidation!AJ14&lt;&gt;"",GenValidation!AJ14,"")</f>
        <v/>
      </c>
      <c r="D79" s="1266"/>
      <c r="E79" s="1266"/>
      <c r="F79" s="1266"/>
      <c r="G79" s="1266"/>
      <c r="H79" s="1266"/>
      <c r="I79" s="1266"/>
      <c r="J79" s="1266"/>
      <c r="K79" s="1266"/>
      <c r="L79" s="1266"/>
      <c r="M79" s="1266"/>
      <c r="N79" s="1266"/>
      <c r="O79" s="1266"/>
    </row>
    <row r="80" spans="2:16" ht="24" customHeight="1">
      <c r="B80" s="176" t="str">
        <f>IF(GenValidation!AJ15&lt;&gt;"",ROW()-ROW($B$69),"")</f>
        <v/>
      </c>
      <c r="C80" s="1266" t="str">
        <f>IF(GenValidation!AJ15&lt;&gt;"",GenValidation!AJ15,"")</f>
        <v/>
      </c>
      <c r="D80" s="1266"/>
      <c r="E80" s="1266"/>
      <c r="F80" s="1266"/>
      <c r="G80" s="1266"/>
      <c r="H80" s="1266"/>
      <c r="I80" s="1266"/>
      <c r="J80" s="1266"/>
      <c r="K80" s="1266"/>
      <c r="L80" s="1266"/>
      <c r="M80" s="1266"/>
      <c r="N80" s="1266"/>
      <c r="O80" s="1266"/>
    </row>
    <row r="81" spans="2:15" ht="24" customHeight="1">
      <c r="B81" s="176" t="str">
        <f>IF(GenValidation!AJ16&lt;&gt;"",ROW()-ROW($B$69),"")</f>
        <v/>
      </c>
      <c r="C81" s="1266" t="str">
        <f>IF(GenValidation!AJ16&lt;&gt;"",GenValidation!AJ16,"")</f>
        <v/>
      </c>
      <c r="D81" s="1266"/>
      <c r="E81" s="1266"/>
      <c r="F81" s="1266"/>
      <c r="G81" s="1266"/>
      <c r="H81" s="1266"/>
      <c r="I81" s="1266"/>
      <c r="J81" s="1266"/>
      <c r="K81" s="1266"/>
      <c r="L81" s="1266"/>
      <c r="M81" s="1266"/>
      <c r="N81" s="1266"/>
      <c r="O81" s="1266"/>
    </row>
    <row r="82" spans="2:15" ht="24" customHeight="1">
      <c r="B82" s="176" t="str">
        <f>IF(GenValidation!AJ17&lt;&gt;"",ROW()-ROW($B$69),"")</f>
        <v/>
      </c>
      <c r="C82" s="1266" t="str">
        <f>IF(GenValidation!AJ17&lt;&gt;"",GenValidation!AJ17,"")</f>
        <v/>
      </c>
      <c r="D82" s="1266"/>
      <c r="E82" s="1266"/>
      <c r="F82" s="1266"/>
      <c r="G82" s="1266"/>
      <c r="H82" s="1266"/>
      <c r="I82" s="1266"/>
      <c r="J82" s="1266"/>
      <c r="K82" s="1266"/>
      <c r="L82" s="1266"/>
      <c r="M82" s="1266"/>
      <c r="N82" s="1266"/>
      <c r="O82" s="1266"/>
    </row>
    <row r="83" spans="2:15" ht="24" customHeight="1">
      <c r="B83" s="176" t="str">
        <f>IF(GenValidation!AJ18&lt;&gt;"",ROW()-ROW($B$69),"")</f>
        <v/>
      </c>
      <c r="C83" s="1266" t="str">
        <f>IF(GenValidation!AJ18&lt;&gt;"",GenValidation!AJ18,"")</f>
        <v/>
      </c>
      <c r="D83" s="1266"/>
      <c r="E83" s="1266"/>
      <c r="F83" s="1266"/>
      <c r="G83" s="1266"/>
      <c r="H83" s="1266"/>
      <c r="I83" s="1266"/>
      <c r="J83" s="1266"/>
      <c r="K83" s="1266"/>
      <c r="L83" s="1266"/>
      <c r="M83" s="1266"/>
      <c r="N83" s="1266"/>
      <c r="O83" s="1266"/>
    </row>
    <row r="84" spans="2:15" ht="24" customHeight="1">
      <c r="B84" s="176" t="str">
        <f>IF(GenValidation!AJ19&lt;&gt;"",ROW()-ROW($B$69),"")</f>
        <v/>
      </c>
      <c r="C84" s="1266" t="str">
        <f>IF(GenValidation!AJ19&lt;&gt;"",GenValidation!AJ19,"")</f>
        <v/>
      </c>
      <c r="D84" s="1266"/>
      <c r="E84" s="1266"/>
      <c r="F84" s="1266"/>
      <c r="G84" s="1266"/>
      <c r="H84" s="1266"/>
      <c r="I84" s="1266"/>
      <c r="J84" s="1266"/>
      <c r="K84" s="1266"/>
      <c r="L84" s="1266"/>
      <c r="M84" s="1266"/>
      <c r="N84" s="1266"/>
      <c r="O84" s="1266"/>
    </row>
    <row r="85" spans="2:15" ht="24" customHeight="1">
      <c r="B85" s="176" t="str">
        <f>IF(GenValidation!AJ20&lt;&gt;"",ROW()-ROW($B$69),"")</f>
        <v/>
      </c>
      <c r="C85" s="1266" t="str">
        <f>IF(GenValidation!AJ20&lt;&gt;"",GenValidation!AJ20,"")</f>
        <v/>
      </c>
      <c r="D85" s="1266"/>
      <c r="E85" s="1266"/>
      <c r="F85" s="1266"/>
      <c r="G85" s="1266"/>
      <c r="H85" s="1266"/>
      <c r="I85" s="1266"/>
      <c r="J85" s="1266"/>
      <c r="K85" s="1266"/>
      <c r="L85" s="1266"/>
      <c r="M85" s="1266"/>
      <c r="N85" s="1266"/>
      <c r="O85" s="1266"/>
    </row>
    <row r="86" spans="2:15" ht="24" customHeight="1">
      <c r="B86" s="176" t="str">
        <f>IF(GenValidation!AJ21&lt;&gt;"",ROW()-ROW($B$69),"")</f>
        <v/>
      </c>
      <c r="C86" s="1266" t="str">
        <f>IF(GenValidation!AJ21&lt;&gt;"",GenValidation!AJ21,"")</f>
        <v/>
      </c>
      <c r="D86" s="1266"/>
      <c r="E86" s="1266"/>
      <c r="F86" s="1266"/>
      <c r="G86" s="1266"/>
      <c r="H86" s="1266"/>
      <c r="I86" s="1266"/>
      <c r="J86" s="1266"/>
      <c r="K86" s="1266"/>
      <c r="L86" s="1266"/>
      <c r="M86" s="1266"/>
      <c r="N86" s="1266"/>
      <c r="O86" s="1266"/>
    </row>
    <row r="87" spans="2:15" ht="24" customHeight="1">
      <c r="B87" s="176" t="str">
        <f>IF(GenValidation!AJ22&lt;&gt;"",ROW()-ROW($B$69),"")</f>
        <v/>
      </c>
      <c r="C87" s="1266" t="str">
        <f>IF(GenValidation!AJ22&lt;&gt;"",GenValidation!AJ22,"")</f>
        <v/>
      </c>
      <c r="D87" s="1266"/>
      <c r="E87" s="1266"/>
      <c r="F87" s="1266"/>
      <c r="G87" s="1266"/>
      <c r="H87" s="1266"/>
      <c r="I87" s="1266"/>
      <c r="J87" s="1266"/>
      <c r="K87" s="1266"/>
      <c r="L87" s="1266"/>
      <c r="M87" s="1266"/>
      <c r="N87" s="1266"/>
      <c r="O87" s="1266"/>
    </row>
    <row r="88" spans="2:15" ht="24" customHeight="1">
      <c r="B88" s="176" t="str">
        <f>IF(GenValidation!AJ23&lt;&gt;"",ROW()-ROW($B$69),"")</f>
        <v/>
      </c>
      <c r="C88" s="1266" t="str">
        <f>IF(GenValidation!AJ23&lt;&gt;"",GenValidation!AJ23,"")</f>
        <v/>
      </c>
      <c r="D88" s="1266"/>
      <c r="E88" s="1266"/>
      <c r="F88" s="1266"/>
      <c r="G88" s="1266"/>
      <c r="H88" s="1266"/>
      <c r="I88" s="1266"/>
      <c r="J88" s="1266"/>
      <c r="K88" s="1266"/>
      <c r="L88" s="1266"/>
      <c r="M88" s="1266"/>
      <c r="N88" s="1266"/>
      <c r="O88" s="1266"/>
    </row>
    <row r="89" spans="2:15" ht="24" customHeight="1">
      <c r="B89" s="176" t="str">
        <f>IF(GenValidation!AJ24&lt;&gt;"",ROW()-ROW($B$69),"")</f>
        <v/>
      </c>
      <c r="C89" s="1266" t="str">
        <f>IF(GenValidation!AJ24&lt;&gt;"",GenValidation!AJ24,"")</f>
        <v/>
      </c>
      <c r="D89" s="1266"/>
      <c r="E89" s="1266"/>
      <c r="F89" s="1266"/>
      <c r="G89" s="1266"/>
      <c r="H89" s="1266"/>
      <c r="I89" s="1266"/>
      <c r="J89" s="1266"/>
      <c r="K89" s="1266"/>
      <c r="L89" s="1266"/>
      <c r="M89" s="1266"/>
      <c r="N89" s="1266"/>
      <c r="O89" s="1266"/>
    </row>
    <row r="90" spans="2:15" ht="24" customHeight="1">
      <c r="B90" s="176" t="str">
        <f>IF(GenValidation!AJ25&lt;&gt;"",ROW()-ROW($B$69),"")</f>
        <v/>
      </c>
      <c r="C90" s="1266" t="str">
        <f>IF(GenValidation!AJ25&lt;&gt;"",GenValidation!AJ25,"")</f>
        <v/>
      </c>
      <c r="D90" s="1266"/>
      <c r="E90" s="1266"/>
      <c r="F90" s="1266"/>
      <c r="G90" s="1266"/>
      <c r="H90" s="1266"/>
      <c r="I90" s="1266"/>
      <c r="J90" s="1266"/>
      <c r="K90" s="1266"/>
      <c r="L90" s="1266"/>
      <c r="M90" s="1266"/>
      <c r="N90" s="1266"/>
      <c r="O90" s="1266"/>
    </row>
    <row r="91" spans="2:15" ht="24" customHeight="1">
      <c r="B91" s="176" t="str">
        <f>IF(GenValidation!AJ26&lt;&gt;"",ROW()-ROW($B$69),"")</f>
        <v/>
      </c>
      <c r="C91" s="1266" t="str">
        <f>IF(GenValidation!AJ26&lt;&gt;"",GenValidation!AJ26,"")</f>
        <v/>
      </c>
      <c r="D91" s="1266"/>
      <c r="E91" s="1266"/>
      <c r="F91" s="1266"/>
      <c r="G91" s="1266"/>
      <c r="H91" s="1266"/>
      <c r="I91" s="1266"/>
      <c r="J91" s="1266"/>
      <c r="K91" s="1266"/>
      <c r="L91" s="1266"/>
      <c r="M91" s="1266"/>
      <c r="N91" s="1266"/>
      <c r="O91" s="1266"/>
    </row>
    <row r="92" spans="2:15" ht="24" customHeight="1">
      <c r="B92" s="176" t="str">
        <f>IF(GenValidation!AJ27&lt;&gt;"",ROW()-ROW($B$69),"")</f>
        <v/>
      </c>
      <c r="C92" s="1266" t="str">
        <f>IF(GenValidation!AJ27&lt;&gt;"",GenValidation!AJ27,"")</f>
        <v/>
      </c>
      <c r="D92" s="1266"/>
      <c r="E92" s="1266"/>
      <c r="F92" s="1266"/>
      <c r="G92" s="1266"/>
      <c r="H92" s="1266"/>
      <c r="I92" s="1266"/>
      <c r="J92" s="1266"/>
      <c r="K92" s="1266"/>
      <c r="L92" s="1266"/>
      <c r="M92" s="1266"/>
      <c r="N92" s="1266"/>
      <c r="O92" s="1266"/>
    </row>
    <row r="93" spans="2:15" ht="24" customHeight="1">
      <c r="B93" s="176" t="str">
        <f>IF(GenValidation!AJ28&lt;&gt;"",ROW()-ROW($B$69),"")</f>
        <v/>
      </c>
      <c r="C93" s="1266" t="str">
        <f>IF(GenValidation!AJ28&lt;&gt;"",GenValidation!AJ28,"")</f>
        <v/>
      </c>
      <c r="D93" s="1266"/>
      <c r="E93" s="1266"/>
      <c r="F93" s="1266"/>
      <c r="G93" s="1266"/>
      <c r="H93" s="1266"/>
      <c r="I93" s="1266"/>
      <c r="J93" s="1266"/>
      <c r="K93" s="1266"/>
      <c r="L93" s="1266"/>
      <c r="M93" s="1266"/>
      <c r="N93" s="1266"/>
      <c r="O93" s="1266"/>
    </row>
    <row r="94" spans="2:15" ht="24" customHeight="1">
      <c r="B94" s="176" t="str">
        <f>IF(GenValidation!AJ29&lt;&gt;"",ROW()-ROW($B$69),"")</f>
        <v/>
      </c>
      <c r="C94" s="1266" t="str">
        <f>IF(GenValidation!AJ29&lt;&gt;"",GenValidation!AJ29,"")</f>
        <v/>
      </c>
      <c r="D94" s="1266"/>
      <c r="E94" s="1266"/>
      <c r="F94" s="1266"/>
      <c r="G94" s="1266"/>
      <c r="H94" s="1266"/>
      <c r="I94" s="1266"/>
      <c r="J94" s="1266"/>
      <c r="K94" s="1266"/>
      <c r="L94" s="1266"/>
      <c r="M94" s="1266"/>
      <c r="N94" s="1266"/>
      <c r="O94" s="1266"/>
    </row>
    <row r="95" spans="2:15" ht="24" customHeight="1">
      <c r="B95" s="176" t="str">
        <f>IF(GenValidation!AJ30&lt;&gt;"",ROW()-ROW($B$69),"")</f>
        <v/>
      </c>
      <c r="C95" s="1266" t="str">
        <f>IF(GenValidation!AJ30&lt;&gt;"",GenValidation!AJ30,"")</f>
        <v/>
      </c>
      <c r="D95" s="1266"/>
      <c r="E95" s="1266"/>
      <c r="F95" s="1266"/>
      <c r="G95" s="1266"/>
      <c r="H95" s="1266"/>
      <c r="I95" s="1266"/>
      <c r="J95" s="1266"/>
      <c r="K95" s="1266"/>
      <c r="L95" s="1266"/>
      <c r="M95" s="1266"/>
      <c r="N95" s="1266"/>
      <c r="O95" s="1266"/>
    </row>
    <row r="96" spans="2:15" ht="24" customHeight="1">
      <c r="B96" s="176" t="str">
        <f>IF(GenValidation!AJ31&lt;&gt;"",ROW()-ROW($B$69),"")</f>
        <v/>
      </c>
      <c r="C96" s="1266" t="str">
        <f>IF(GenValidation!AJ31&lt;&gt;"",GenValidation!AJ31,"")</f>
        <v/>
      </c>
      <c r="D96" s="1266"/>
      <c r="E96" s="1266"/>
      <c r="F96" s="1266"/>
      <c r="G96" s="1266"/>
      <c r="H96" s="1266"/>
      <c r="I96" s="1266"/>
      <c r="J96" s="1266"/>
      <c r="K96" s="1266"/>
      <c r="L96" s="1266"/>
      <c r="M96" s="1266"/>
      <c r="N96" s="1266"/>
      <c r="O96" s="1266"/>
    </row>
    <row r="97" spans="2:15" ht="24" customHeight="1">
      <c r="B97" s="176" t="str">
        <f>IF(GenValidation!AJ32&lt;&gt;"",ROW()-ROW($B$69),"")</f>
        <v/>
      </c>
      <c r="C97" s="1266" t="str">
        <f>IF(GenValidation!AJ32&lt;&gt;"",GenValidation!AJ32,"")</f>
        <v/>
      </c>
      <c r="D97" s="1266"/>
      <c r="E97" s="1266"/>
      <c r="F97" s="1266"/>
      <c r="G97" s="1266"/>
      <c r="H97" s="1266"/>
      <c r="I97" s="1266"/>
      <c r="J97" s="1266"/>
      <c r="K97" s="1266"/>
      <c r="L97" s="1266"/>
      <c r="M97" s="1266"/>
      <c r="N97" s="1266"/>
      <c r="O97" s="1266"/>
    </row>
    <row r="98" spans="2:15" ht="24" customHeight="1">
      <c r="B98" s="176" t="str">
        <f>IF(GenValidation!AJ33&lt;&gt;"",ROW()-ROW($B$69),"")</f>
        <v/>
      </c>
      <c r="C98" s="1266" t="str">
        <f>IF(GenValidation!AJ33&lt;&gt;"",GenValidation!AJ33,"")</f>
        <v/>
      </c>
      <c r="D98" s="1266"/>
      <c r="E98" s="1266"/>
      <c r="F98" s="1266"/>
      <c r="G98" s="1266"/>
      <c r="H98" s="1266"/>
      <c r="I98" s="1266"/>
      <c r="J98" s="1266"/>
      <c r="K98" s="1266"/>
      <c r="L98" s="1266"/>
      <c r="M98" s="1266"/>
      <c r="N98" s="1266"/>
      <c r="O98" s="1266"/>
    </row>
    <row r="99" spans="2:15" ht="24" customHeight="1">
      <c r="B99" s="176" t="str">
        <f>IF(GenValidation!AJ34&lt;&gt;"",ROW()-ROW($B$69),"")</f>
        <v/>
      </c>
      <c r="C99" s="1266" t="str">
        <f>IF(GenValidation!AJ34&lt;&gt;"",GenValidation!AJ34,"")</f>
        <v/>
      </c>
      <c r="D99" s="1266"/>
      <c r="E99" s="1266"/>
      <c r="F99" s="1266"/>
      <c r="G99" s="1266"/>
      <c r="H99" s="1266"/>
      <c r="I99" s="1266"/>
      <c r="J99" s="1266"/>
      <c r="K99" s="1266"/>
      <c r="L99" s="1266"/>
      <c r="M99" s="1266"/>
      <c r="N99" s="1266"/>
      <c r="O99" s="1266"/>
    </row>
    <row r="100" spans="2:15" ht="24" customHeight="1">
      <c r="B100" s="176" t="str">
        <f>IF(GenValidation!AJ35&lt;&gt;"",ROW()-ROW($B$69),"")</f>
        <v/>
      </c>
      <c r="C100" s="1266" t="str">
        <f>IF(GenValidation!AJ35&lt;&gt;"",GenValidation!AJ35,"")</f>
        <v/>
      </c>
      <c r="D100" s="1266"/>
      <c r="E100" s="1266"/>
      <c r="F100" s="1266"/>
      <c r="G100" s="1266"/>
      <c r="H100" s="1266"/>
      <c r="I100" s="1266"/>
      <c r="J100" s="1266"/>
      <c r="K100" s="1266"/>
      <c r="L100" s="1266"/>
      <c r="M100" s="1266"/>
      <c r="N100" s="1266"/>
      <c r="O100" s="1266"/>
    </row>
    <row r="101" spans="2:15" ht="24" customHeight="1">
      <c r="B101" s="176" t="str">
        <f>IF(GenValidation!AJ36&lt;&gt;"",ROW()-ROW($B$69),"")</f>
        <v/>
      </c>
      <c r="C101" s="1266" t="str">
        <f>IF(GenValidation!AJ36&lt;&gt;"",GenValidation!AJ36,"")</f>
        <v/>
      </c>
      <c r="D101" s="1266"/>
      <c r="E101" s="1266"/>
      <c r="F101" s="1266"/>
      <c r="G101" s="1266"/>
      <c r="H101" s="1266"/>
      <c r="I101" s="1266"/>
      <c r="J101" s="1266"/>
      <c r="K101" s="1266"/>
      <c r="L101" s="1266"/>
      <c r="M101" s="1266"/>
      <c r="N101" s="1266"/>
      <c r="O101" s="1266"/>
    </row>
    <row r="102" spans="2:15" ht="24" customHeight="1">
      <c r="B102" s="176" t="str">
        <f>IF(GenValidation!AJ37&lt;&gt;"",ROW()-ROW($B$69),"")</f>
        <v/>
      </c>
      <c r="C102" s="1266" t="str">
        <f>IF(GenValidation!AJ37&lt;&gt;"",GenValidation!AJ37,"")</f>
        <v/>
      </c>
      <c r="D102" s="1266"/>
      <c r="E102" s="1266"/>
      <c r="F102" s="1266"/>
      <c r="G102" s="1266"/>
      <c r="H102" s="1266"/>
      <c r="I102" s="1266"/>
      <c r="J102" s="1266"/>
      <c r="K102" s="1266"/>
      <c r="L102" s="1266"/>
      <c r="M102" s="1266"/>
      <c r="N102" s="1266"/>
      <c r="O102" s="1266"/>
    </row>
    <row r="103" spans="2:15" ht="24" customHeight="1">
      <c r="B103" s="176" t="str">
        <f>IF(GenValidation!AJ38&lt;&gt;"",ROW()-ROW($B$69),"")</f>
        <v/>
      </c>
      <c r="C103" s="1266" t="str">
        <f>IF(GenValidation!AJ38&lt;&gt;"",GenValidation!AJ38,"")</f>
        <v/>
      </c>
      <c r="D103" s="1266"/>
      <c r="E103" s="1266"/>
      <c r="F103" s="1266"/>
      <c r="G103" s="1266"/>
      <c r="H103" s="1266"/>
      <c r="I103" s="1266"/>
      <c r="J103" s="1266"/>
      <c r="K103" s="1266"/>
      <c r="L103" s="1266"/>
      <c r="M103" s="1266"/>
      <c r="N103" s="1266"/>
      <c r="O103" s="1266"/>
    </row>
    <row r="104" spans="2:15" ht="24" customHeight="1">
      <c r="B104" s="176" t="str">
        <f>IF(GenValidation!AJ39&lt;&gt;"",ROW()-ROW($B$69),"")</f>
        <v/>
      </c>
      <c r="C104" s="1266" t="str">
        <f>IF(GenValidation!AJ39&lt;&gt;"",GenValidation!AJ39,"")</f>
        <v/>
      </c>
      <c r="D104" s="1266"/>
      <c r="E104" s="1266"/>
      <c r="F104" s="1266"/>
      <c r="G104" s="1266"/>
      <c r="H104" s="1266"/>
      <c r="I104" s="1266"/>
      <c r="J104" s="1266"/>
      <c r="K104" s="1266"/>
      <c r="L104" s="1266"/>
      <c r="M104" s="1266"/>
      <c r="N104" s="1266"/>
      <c r="O104" s="1266"/>
    </row>
    <row r="105" spans="2:15" ht="24" customHeight="1">
      <c r="B105" s="176" t="str">
        <f>IF(GenValidation!AJ40&lt;&gt;"",ROW()-ROW($B$69),"")</f>
        <v/>
      </c>
      <c r="C105" s="1266" t="str">
        <f>IF(GenValidation!AJ40&lt;&gt;"",GenValidation!AJ40,"")</f>
        <v/>
      </c>
      <c r="D105" s="1266"/>
      <c r="E105" s="1266"/>
      <c r="F105" s="1266"/>
      <c r="G105" s="1266"/>
      <c r="H105" s="1266"/>
      <c r="I105" s="1266"/>
      <c r="J105" s="1266"/>
      <c r="K105" s="1266"/>
      <c r="L105" s="1266"/>
      <c r="M105" s="1266"/>
      <c r="N105" s="1266"/>
      <c r="O105" s="1266"/>
    </row>
    <row r="106" spans="2:15" ht="24" customHeight="1">
      <c r="B106" s="176" t="str">
        <f>IF(GenValidation!AJ41&lt;&gt;"",ROW()-ROW($B$69),"")</f>
        <v/>
      </c>
      <c r="C106" s="1266" t="str">
        <f>IF(GenValidation!AJ41&lt;&gt;"",GenValidation!AJ41,"")</f>
        <v/>
      </c>
      <c r="D106" s="1266"/>
      <c r="E106" s="1266"/>
      <c r="F106" s="1266"/>
      <c r="G106" s="1266"/>
      <c r="H106" s="1266"/>
      <c r="I106" s="1266"/>
      <c r="J106" s="1266"/>
      <c r="K106" s="1266"/>
      <c r="L106" s="1266"/>
      <c r="M106" s="1266"/>
      <c r="N106" s="1266"/>
      <c r="O106" s="1266"/>
    </row>
    <row r="107" spans="2:15" ht="6.75" customHeight="1">
      <c r="B107" s="27"/>
      <c r="C107" s="177"/>
      <c r="D107" s="177"/>
      <c r="E107" s="177"/>
      <c r="F107" s="177"/>
      <c r="G107" s="177"/>
      <c r="H107" s="177"/>
      <c r="I107" s="177"/>
      <c r="J107" s="177"/>
      <c r="K107" s="177"/>
      <c r="L107" s="177"/>
      <c r="M107" s="177"/>
      <c r="N107" s="177"/>
      <c r="O107" s="177"/>
    </row>
  </sheetData>
  <mergeCells count="37">
    <mergeCell ref="C75:O75"/>
    <mergeCell ref="C70:O70"/>
    <mergeCell ref="C71:O71"/>
    <mergeCell ref="C72:O72"/>
    <mergeCell ref="C73:O73"/>
    <mergeCell ref="C74:O74"/>
    <mergeCell ref="C87:O87"/>
    <mergeCell ref="C76:O76"/>
    <mergeCell ref="C77:O77"/>
    <mergeCell ref="C78:O78"/>
    <mergeCell ref="C79:O79"/>
    <mergeCell ref="C80:O80"/>
    <mergeCell ref="C81:O81"/>
    <mergeCell ref="C82:O82"/>
    <mergeCell ref="C83:O83"/>
    <mergeCell ref="C84:O84"/>
    <mergeCell ref="C85:O85"/>
    <mergeCell ref="C86:O86"/>
    <mergeCell ref="C99:O99"/>
    <mergeCell ref="C88:O88"/>
    <mergeCell ref="C89:O89"/>
    <mergeCell ref="C90:O90"/>
    <mergeCell ref="C91:O91"/>
    <mergeCell ref="C92:O92"/>
    <mergeCell ref="C93:O93"/>
    <mergeCell ref="C94:O94"/>
    <mergeCell ref="C95:O95"/>
    <mergeCell ref="C96:O96"/>
    <mergeCell ref="C97:O97"/>
    <mergeCell ref="C98:O98"/>
    <mergeCell ref="C106:O106"/>
    <mergeCell ref="C100:O100"/>
    <mergeCell ref="C101:O101"/>
    <mergeCell ref="C102:O102"/>
    <mergeCell ref="C103:O103"/>
    <mergeCell ref="C104:O104"/>
    <mergeCell ref="C105:O105"/>
  </mergeCells>
  <hyperlinks>
    <hyperlink ref="Q9:AJ9" location="PotentialMarketRentNotes" tooltip="Click here to edit or delete this note" display="PotentialMarketRentNotes" xr:uid="{00000000-0004-0000-0800-000000000000}"/>
    <hyperlink ref="Q10:AJ10" location="LosstoLeaseGaintoLeaseNotes" tooltip="Click here to edit or delete this note" display="LosstoLeaseGaintoLeaseNotes" xr:uid="{00000000-0004-0000-0800-000001000000}"/>
    <hyperlink ref="Q13:AJ13" location="VacancyNotes" tooltip="Click here to edit or delete this note" display="VacancyNotes" xr:uid="{00000000-0004-0000-0800-000002000000}"/>
    <hyperlink ref="Q14:AJ14" location="ConcessionsNotes" tooltip="Click here to edit or delete this note" display="ConcessionsNotes" xr:uid="{00000000-0004-0000-0800-000003000000}"/>
    <hyperlink ref="Q15:AJ15" location="NonRevenueUnitsNotes" tooltip="Click here to edit or delete this note" display="NonRevenueUnitsNotes" xr:uid="{00000000-0004-0000-0800-000004000000}"/>
    <hyperlink ref="Q16:AJ16" location="CollectionLossNotes" tooltip="Click here to edit or delete this note" display="CollectionLossNotes" xr:uid="{00000000-0004-0000-0800-000005000000}"/>
    <hyperlink ref="Q17:AJ17" location="BaseRentalRevenueNotes" tooltip="Click here to edit or delete this note" display="BaseRentalRevenueNotes" xr:uid="{00000000-0004-0000-0800-000006000000}"/>
    <hyperlink ref="Q19:AJ19" location="GarageParkingNotes" tooltip="Click here to edit or delete this note" display="GarageParkingNotes" xr:uid="{00000000-0004-0000-0800-000007000000}"/>
    <hyperlink ref="Q20:AJ20" location="StorageNotes" tooltip="Click here to edit or delete this note" display="StorageNotes" xr:uid="{00000000-0004-0000-0800-000008000000}"/>
    <hyperlink ref="Q21:AJ21" location="ExpenseReimbursementsNotes" tooltip="Click here to edit or delete this note" display="ExpenseReimbursementsNotes" xr:uid="{00000000-0004-0000-0800-000009000000}"/>
    <hyperlink ref="Q22:AJ22" location="OtherResidentialIncomeNotes" tooltip="Click here to edit or delete this note" display="OtherResidentialIncomeNotes" xr:uid="{00000000-0004-0000-0800-00000A000000}"/>
    <hyperlink ref="Q23:AJ23" location="CommercialNetIncomeNotes" tooltip="Click here to edit or delete this note" display="CommercialNetIncomeNotes" xr:uid="{00000000-0004-0000-0800-00000B000000}"/>
    <hyperlink ref="Q24:AJ24" location="OtherIncomeNotes" tooltip="Click here to edit or delete this note" display="OtherIncomeNotes" xr:uid="{00000000-0004-0000-0800-00000C000000}"/>
    <hyperlink ref="Q26:AJ26" location="EffectiveGrossRevenueNotes" tooltip="Click here to edit or delete this note" display="EffectiveGrossRevenueNotes" xr:uid="{00000000-0004-0000-0800-00000D000000}"/>
    <hyperlink ref="Q31:AJ31" location="RepairMaintenanceNotes" tooltip="Click here to edit or delete this note" display="RepairMaintenanceNotes" xr:uid="{00000000-0004-0000-0800-00000E000000}"/>
    <hyperlink ref="Q32:AJ32" location="ContractServicesNotes" tooltip="Click here to edit or delete this note" display="ContractServicesNotes" xr:uid="{00000000-0004-0000-0800-00000F000000}"/>
    <hyperlink ref="Q33:AJ33" location="SecurityNotes" tooltip="Click here to edit or delete this note" display="SecurityNotes" xr:uid="{00000000-0004-0000-0800-000010000000}"/>
    <hyperlink ref="Q34:AJ34" location="LandscapingGroundsNotes" tooltip="Click here to edit or delete this note" display="LandscapingGroundsNotes" xr:uid="{00000000-0004-0000-0800-000011000000}"/>
    <hyperlink ref="Q35:AJ35" location="PersonnelNotes" tooltip="Click here to edit or delete this note" display="PersonnelNotes" xr:uid="{00000000-0004-0000-0800-000012000000}"/>
    <hyperlink ref="Q36:AJ36" location="MarketingAdvertisingNotes" tooltip="Click here to edit or delete this note" display="MarketingAdvertisingNotes" xr:uid="{00000000-0004-0000-0800-000013000000}"/>
    <hyperlink ref="Q37:AJ37" location="LeasingCommissionsNotes" tooltip="Click here to edit or delete this note" display="LeasingCommissionsNotes" xr:uid="{00000000-0004-0000-0800-000014000000}"/>
    <hyperlink ref="Q38:AJ38" location="AdministrativeExpensesNotes" tooltip="Click here to edit or delete this note" display="AdministrativeExpensesNotes" xr:uid="{00000000-0004-0000-0800-000015000000}"/>
    <hyperlink ref="Q39:AJ39" location="TurnoverMakeReadyNotes" tooltip="Click here to edit or delete this note" display="TurnoverMakeReadyNotes" xr:uid="{00000000-0004-0000-0800-000016000000}"/>
    <hyperlink ref="Q40:AJ40" location="ElectricityNotes" tooltip="Click here to edit or delete this note" display="ElectricityNotes" xr:uid="{00000000-0004-0000-0800-000017000000}"/>
    <hyperlink ref="Q41:AJ41" location="FuelGasOilNotes" tooltip="Click here to edit or delete this note" display="FuelGasOilNotes" xr:uid="{00000000-0004-0000-0800-000018000000}"/>
    <hyperlink ref="Q42:AJ42" location="WaterSewerNotes" tooltip="Click here to edit or delete this note" display="WaterSewerNotes" xr:uid="{00000000-0004-0000-0800-000019000000}"/>
    <hyperlink ref="Q43:AJ43" location="OtherUtilitiesNotes" tooltip="Click here to edit or delete this note" display="OtherUtilitiesNotes" xr:uid="{00000000-0004-0000-0800-00001A000000}"/>
    <hyperlink ref="Q44:AJ44" location="InsuranceNotes" tooltip="Click here to edit or delete this note" display="InsuranceNotes" xr:uid="{00000000-0004-0000-0800-00001B000000}"/>
    <hyperlink ref="Q45:AJ45" location="RealEstateTaxesNotes" tooltip="Click here to edit or delete this note" display="RealEstateTaxesNotes" xr:uid="{00000000-0004-0000-0800-00001C000000}"/>
    <hyperlink ref="Q46:AJ46" location="OtherPropertyTaxesNotes" tooltip="Click here to edit or delete this note" display="OtherPropertyTaxesNotes" xr:uid="{00000000-0004-0000-0800-00001D000000}"/>
    <hyperlink ref="Q47:AJ47" location="PropertyManagementFeeNotes" tooltip="Click here to edit or delete this note" display="PropertyManagementFeeNotes" xr:uid="{00000000-0004-0000-0800-00001E000000}"/>
    <hyperlink ref="Q48:AJ48" location="OtherOperatingExpensesNotes" tooltip="Click here to edit or delete this note" display="OtherOperatingExpensesNotes" xr:uid="{00000000-0004-0000-0800-00001F000000}"/>
    <hyperlink ref="Q49:AJ49" location="ReimbursementsNotes" tooltip="Click here to edit or delete this note" display="ReimbursementsNotes" xr:uid="{00000000-0004-0000-0800-000020000000}"/>
    <hyperlink ref="Q51:AJ51" location="TotalOperatingExpensesNotes" tooltip="Click here to edit or delete this note" display="TotalOperatingExpensesNotes" xr:uid="{00000000-0004-0000-0800-000021000000}"/>
    <hyperlink ref="Q57:AJ57" location="ReplacementReservesNotes" tooltip="Click here to edit or delete this note" display="ReplacementReservesNotes" xr:uid="{00000000-0004-0000-0800-000022000000}"/>
    <hyperlink ref="Q59:AJ59" location="NetOperatingIncomeAfterReservesNotes" tooltip="Click here to edit or delete this note" display="NetOperatingIncomeAfterReservesNotes" xr:uid="{00000000-0004-0000-0800-000023000000}"/>
    <hyperlink ref="Q11:AJ11" location="GrossPotentialRevenueNotes" tooltip="Click here to edit or delete this note" display="GrossPotentialRevenueNotes" xr:uid="{00000000-0004-0000-0800-000024000000}"/>
  </hyperlinks>
  <pageMargins left="0.3" right="0.3" top="0.6" bottom="0.41" header="0.25" footer="0.2"/>
  <pageSetup scale="72" orientation="portrait" r:id="rId1"/>
  <headerFooter scaleWithDoc="0">
    <oddHeader>&amp;C&amp;"Gill Sans for CW,Regular"&amp;8&amp;KFF0000STRICTLY CONFIDENTIAL&amp;R&amp;G</oddHeader>
    <oddFooter>&amp;L&amp;8&amp;F&amp;C&amp;8Page &amp;P of &amp;N&amp;R&amp;8&amp;D  &amp;T</oddFooter>
  </headerFooter>
  <rowBreaks count="1" manualBreakCount="1">
    <brk id="68" min="1" max="17" man="1"/>
  </rowBreaks>
  <legacyDrawingHF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A59C3C-528A-48F1-B46D-937715C897FC}">
  <sheetPr codeName="OutProformaCF"/>
  <dimension ref="B1:R98"/>
  <sheetViews>
    <sheetView showGridLines="0" view="pageBreakPreview" zoomScaleNormal="90" zoomScaleSheetLayoutView="100" workbookViewId="0">
      <pane xSplit="2" ySplit="6" topLeftCell="C7" activePane="bottomRight" state="frozen"/>
      <selection activeCell="L26" sqref="L26"/>
      <selection pane="topRight" activeCell="L26" sqref="L26"/>
      <selection pane="bottomLeft" activeCell="L26" sqref="L26"/>
      <selection pane="bottomRight" activeCell="B23" sqref="B23"/>
    </sheetView>
  </sheetViews>
  <sheetFormatPr defaultColWidth="9.140625" defaultRowHeight="12.75" outlineLevelRow="1" outlineLevelCol="1"/>
  <cols>
    <col min="1" max="1" width="1.7109375" customWidth="1"/>
    <col min="2" max="2" width="39.42578125" customWidth="1"/>
    <col min="3" max="10" width="14" customWidth="1"/>
    <col min="11" max="14" width="14" customWidth="1" outlineLevel="1"/>
    <col min="15" max="15" width="3.7109375" customWidth="1" outlineLevel="1"/>
    <col min="16" max="16" width="14" customWidth="1" outlineLevel="1"/>
    <col min="17" max="17" width="9.140625" customWidth="1"/>
  </cols>
  <sheetData>
    <row r="1" spans="2:17">
      <c r="B1" s="130" t="s">
        <v>0</v>
      </c>
    </row>
    <row r="2" spans="2:17" s="192" customFormat="1" ht="18.75">
      <c r="B2" s="1041" t="str">
        <f>Input!$E$10</f>
        <v>Chaney Place Townhomes</v>
      </c>
      <c r="C2" s="190"/>
      <c r="D2" s="1005" t="s">
        <v>138</v>
      </c>
      <c r="E2" s="190"/>
      <c r="F2" s="190"/>
      <c r="G2" s="190"/>
      <c r="H2" s="190"/>
      <c r="I2" s="190"/>
      <c r="J2" s="1042" t="str">
        <f>Input!$M$4</f>
        <v>Huntsville, AL</v>
      </c>
      <c r="K2" s="190"/>
      <c r="L2" s="190"/>
      <c r="M2" s="190"/>
      <c r="N2" s="190"/>
      <c r="O2" s="191"/>
      <c r="P2" s="191"/>
      <c r="Q2"/>
    </row>
    <row r="4" spans="2:17" ht="13.5">
      <c r="C4" s="193">
        <f>'Adjustments &amp; Notes'!D10</f>
        <v>45962</v>
      </c>
      <c r="D4" s="194">
        <f>EOMONTH(ClosingDate,12)</f>
        <v>46477</v>
      </c>
      <c r="E4" s="194">
        <f t="shared" ref="E4:N4" si="0">EOMONTH(D4,12)</f>
        <v>46843</v>
      </c>
      <c r="F4" s="194">
        <f t="shared" si="0"/>
        <v>47208</v>
      </c>
      <c r="G4" s="194">
        <f t="shared" si="0"/>
        <v>47573</v>
      </c>
      <c r="H4" s="194">
        <f t="shared" si="0"/>
        <v>47938</v>
      </c>
      <c r="I4" s="194">
        <f t="shared" si="0"/>
        <v>48304</v>
      </c>
      <c r="J4" s="194">
        <f t="shared" si="0"/>
        <v>48669</v>
      </c>
      <c r="K4" s="194">
        <f t="shared" si="0"/>
        <v>49034</v>
      </c>
      <c r="L4" s="194">
        <f t="shared" si="0"/>
        <v>49399</v>
      </c>
      <c r="M4" s="194">
        <f t="shared" si="0"/>
        <v>49765</v>
      </c>
      <c r="N4" s="194">
        <f t="shared" si="0"/>
        <v>50130</v>
      </c>
      <c r="P4" s="1046" t="s">
        <v>139</v>
      </c>
    </row>
    <row r="5" spans="2:17">
      <c r="C5" s="1048" t="str">
        <f>IFERROR("T"&amp;AdjstedHistSelection*1&amp;IF(OR(IsAdjustedHistoricalNOIWithReassessedTaxes,AdjustedHistoricalNOI)," Adjusted"," Ann'd"),IF(OR(IsAdjustedHistoricalNOIWithReassessedTaxes,AdjustedHistoricalNOI),"YE Adjusted","Year Ending"))</f>
        <v>T12 Adjusted</v>
      </c>
      <c r="D5" s="1049">
        <v>1</v>
      </c>
      <c r="E5" s="1049">
        <f t="shared" ref="E5:N5" si="1">D5+1</f>
        <v>2</v>
      </c>
      <c r="F5" s="1049">
        <f t="shared" si="1"/>
        <v>3</v>
      </c>
      <c r="G5" s="1049">
        <f t="shared" si="1"/>
        <v>4</v>
      </c>
      <c r="H5" s="1049">
        <f t="shared" si="1"/>
        <v>5</v>
      </c>
      <c r="I5" s="1049">
        <f t="shared" si="1"/>
        <v>6</v>
      </c>
      <c r="J5" s="1049">
        <f t="shared" si="1"/>
        <v>7</v>
      </c>
      <c r="K5" s="1049">
        <f t="shared" si="1"/>
        <v>8</v>
      </c>
      <c r="L5" s="1049">
        <f t="shared" si="1"/>
        <v>9</v>
      </c>
      <c r="M5" s="1049">
        <f t="shared" si="1"/>
        <v>10</v>
      </c>
      <c r="N5" s="1049">
        <f t="shared" si="1"/>
        <v>11</v>
      </c>
      <c r="P5" s="1047">
        <f>ReversionYear</f>
        <v>8</v>
      </c>
    </row>
    <row r="6" spans="2:17" ht="12.75" customHeight="1" outlineLevel="1">
      <c r="C6" s="195"/>
    </row>
    <row r="7" spans="2:17" s="192" customFormat="1" ht="15.75" customHeight="1">
      <c r="B7" s="1038" t="s">
        <v>140</v>
      </c>
      <c r="C7" s="1019"/>
      <c r="D7" s="1019"/>
      <c r="E7" s="1019"/>
      <c r="F7" s="1019"/>
      <c r="G7" s="1019"/>
      <c r="H7" s="1019"/>
      <c r="I7" s="1019"/>
      <c r="J7" s="1019"/>
      <c r="K7" s="1019"/>
      <c r="L7" s="1019"/>
      <c r="M7" s="1019"/>
      <c r="N7" s="1019"/>
      <c r="O7"/>
      <c r="P7" s="1019"/>
      <c r="Q7"/>
    </row>
    <row r="9" spans="2:17" s="192" customFormat="1" ht="14.25" customHeight="1">
      <c r="B9" s="1043" t="s">
        <v>115</v>
      </c>
      <c r="C9" s="196"/>
      <c r="D9" s="196"/>
      <c r="E9" s="197"/>
      <c r="F9" s="197"/>
      <c r="G9" s="197"/>
      <c r="H9" s="197"/>
      <c r="I9" s="197"/>
      <c r="J9" s="197"/>
      <c r="K9" s="197"/>
      <c r="L9" s="197"/>
      <c r="M9" s="197"/>
      <c r="N9" s="197"/>
      <c r="O9"/>
      <c r="P9" s="197"/>
      <c r="Q9"/>
    </row>
    <row r="10" spans="2:17">
      <c r="B10" s="32" t="s">
        <v>117</v>
      </c>
      <c r="C10" s="145">
        <f>IF(OR(IsAdjustedHistoricalNOIWithReassessedTaxes,AdjustedHistoricalNOI),'Adjustments &amp; Notes'!G12,'Adjustments &amp; Notes'!D12)</f>
        <v>1456424</v>
      </c>
      <c r="D10" s="78">
        <f>'Operating Calculations'!C69</f>
        <v>1603464.0000000002</v>
      </c>
      <c r="E10" s="78">
        <f>'Operating Calculations'!D69</f>
        <v>1620782.3065218285</v>
      </c>
      <c r="F10" s="78">
        <f>'Operating Calculations'!E69</f>
        <v>1661990.6758604911</v>
      </c>
      <c r="G10" s="78">
        <f>'Operating Calculations'!F69</f>
        <v>1711850.3961363076</v>
      </c>
      <c r="H10" s="78">
        <f>'Operating Calculations'!G69</f>
        <v>1763205.9080203988</v>
      </c>
      <c r="I10" s="78">
        <f>'Operating Calculations'!H69</f>
        <v>1816102.0852610124</v>
      </c>
      <c r="J10" s="78">
        <f>'Operating Calculations'!I69</f>
        <v>1870585.1478188443</v>
      </c>
      <c r="K10" s="78">
        <f>'Operating Calculations'!J69</f>
        <v>1926702.7022534118</v>
      </c>
      <c r="L10" s="78">
        <f>'Operating Calculations'!K69</f>
        <v>1984503.7833210158</v>
      </c>
      <c r="M10" s="78">
        <f>'Operating Calculations'!L69</f>
        <v>2044038.896820649</v>
      </c>
      <c r="N10" s="78">
        <f>'Operating Calculations'!M69</f>
        <v>2105360.0637252708</v>
      </c>
      <c r="P10" s="78">
        <f>'Operating Calculations'!O69</f>
        <v>1926702.7022534118</v>
      </c>
    </row>
    <row r="11" spans="2:17" hidden="1">
      <c r="B11" s="32" t="s">
        <v>88</v>
      </c>
      <c r="C11" s="145"/>
      <c r="D11" s="78">
        <f>'Operating Calculations'!C70</f>
        <v>0</v>
      </c>
      <c r="E11" s="78">
        <f>'Operating Calculations'!D70</f>
        <v>0</v>
      </c>
      <c r="F11" s="78">
        <f>'Operating Calculations'!E70</f>
        <v>0</v>
      </c>
      <c r="G11" s="78">
        <f>'Operating Calculations'!F70</f>
        <v>0</v>
      </c>
      <c r="H11" s="78">
        <f>'Operating Calculations'!G70</f>
        <v>0</v>
      </c>
      <c r="I11" s="78">
        <f>'Operating Calculations'!H70</f>
        <v>0</v>
      </c>
      <c r="J11" s="78">
        <f>'Operating Calculations'!I70</f>
        <v>0</v>
      </c>
      <c r="K11" s="78">
        <f>'Operating Calculations'!J70</f>
        <v>0</v>
      </c>
      <c r="L11" s="78">
        <f>'Operating Calculations'!K70</f>
        <v>0</v>
      </c>
      <c r="M11" s="78">
        <f>'Operating Calculations'!L70</f>
        <v>0</v>
      </c>
      <c r="N11" s="78">
        <f>'Operating Calculations'!M70</f>
        <v>0</v>
      </c>
      <c r="P11" s="78">
        <f>'Operating Calculations'!O70</f>
        <v>0</v>
      </c>
    </row>
    <row r="12" spans="2:17">
      <c r="B12" s="32" t="s">
        <v>118</v>
      </c>
      <c r="C12" s="145">
        <f>IF(OR(IsAdjustedHistoricalNOIWithReassessedTaxes,AdjustedHistoricalNOI),'Adjustments &amp; Notes'!G13,'Adjustments &amp; Notes'!D13)</f>
        <v>4891</v>
      </c>
      <c r="D12" s="78">
        <f>'Operating Calculations'!C75</f>
        <v>-88190.520000000062</v>
      </c>
      <c r="E12" s="78">
        <f>'Operating Calculations'!D75</f>
        <v>-56727.380728264012</v>
      </c>
      <c r="F12" s="78">
        <f>'Operating Calculations'!E75</f>
        <v>-24929.860137907366</v>
      </c>
      <c r="G12" s="78">
        <f>'Operating Calculations'!F75</f>
        <v>-17118.50396136308</v>
      </c>
      <c r="H12" s="78">
        <f>'Operating Calculations'!G75</f>
        <v>-8816.0295401019921</v>
      </c>
      <c r="I12" s="78">
        <f>'Operating Calculations'!H75</f>
        <v>-9080.5104263050598</v>
      </c>
      <c r="J12" s="78">
        <f>'Operating Calculations'!I75</f>
        <v>-9352.9257390942239</v>
      </c>
      <c r="K12" s="78">
        <f>'Operating Calculations'!J75</f>
        <v>-9633.5135112670596</v>
      </c>
      <c r="L12" s="78">
        <f>'Operating Calculations'!K75</f>
        <v>-9922.5189166050804</v>
      </c>
      <c r="M12" s="78">
        <f>'Operating Calculations'!L75</f>
        <v>-10220.194484103244</v>
      </c>
      <c r="N12" s="78">
        <f>'Operating Calculations'!M75</f>
        <v>-10526.800318626352</v>
      </c>
      <c r="P12" s="78">
        <f>'Operating Calculations'!O75</f>
        <v>-9633.5135112670596</v>
      </c>
    </row>
    <row r="13" spans="2:17">
      <c r="B13" s="46" t="s">
        <v>119</v>
      </c>
      <c r="C13" s="151">
        <f t="shared" ref="C13:M13" si="2">SUBTOTAL(9,C10:C12)</f>
        <v>1461315</v>
      </c>
      <c r="D13" s="150">
        <f t="shared" si="2"/>
        <v>1515273.4800000002</v>
      </c>
      <c r="E13" s="150">
        <f t="shared" si="2"/>
        <v>1564054.9257935644</v>
      </c>
      <c r="F13" s="150">
        <f t="shared" si="2"/>
        <v>1637060.8157225838</v>
      </c>
      <c r="G13" s="150">
        <f t="shared" si="2"/>
        <v>1694731.8921749445</v>
      </c>
      <c r="H13" s="150">
        <f t="shared" si="2"/>
        <v>1754389.8784802968</v>
      </c>
      <c r="I13" s="150">
        <f t="shared" si="2"/>
        <v>1807021.5748347074</v>
      </c>
      <c r="J13" s="150">
        <f t="shared" si="2"/>
        <v>1861232.2220797502</v>
      </c>
      <c r="K13" s="150">
        <f t="shared" si="2"/>
        <v>1917069.1887421447</v>
      </c>
      <c r="L13" s="150">
        <f t="shared" si="2"/>
        <v>1974581.2644044107</v>
      </c>
      <c r="M13" s="150">
        <f t="shared" si="2"/>
        <v>2033818.7023365458</v>
      </c>
      <c r="N13" s="150">
        <f>SUBTOTAL(9,N10:N12)</f>
        <v>2094833.2634066443</v>
      </c>
      <c r="P13" s="150">
        <f>SUBTOTAL(9,P10:P12)</f>
        <v>1917069.1887421447</v>
      </c>
    </row>
    <row r="14" spans="2:17">
      <c r="B14" s="32"/>
      <c r="C14" s="145"/>
      <c r="D14" s="78"/>
      <c r="E14" s="78"/>
      <c r="F14" s="78"/>
      <c r="G14" s="78"/>
      <c r="H14" s="78"/>
      <c r="I14" s="78"/>
      <c r="J14" s="78"/>
      <c r="K14" s="78"/>
      <c r="L14" s="78"/>
      <c r="M14" s="78"/>
      <c r="N14" s="78"/>
      <c r="P14" s="78"/>
    </row>
    <row r="15" spans="2:17">
      <c r="B15" s="41" t="s">
        <v>141</v>
      </c>
      <c r="C15" s="145">
        <f>IF(OR(IsAdjustedHistoricalNOIWithReassessedTaxes,AdjustedHistoricalNOI),'Adjustments &amp; Notes'!G16,'Adjustments &amp; Notes'!D16)</f>
        <v>-168572</v>
      </c>
      <c r="D15" s="78">
        <f>'Operating Calculations'!C73</f>
        <v>-80173.200000000055</v>
      </c>
      <c r="E15" s="78">
        <f>'Operating Calculations'!D73</f>
        <v>-81039.115326091443</v>
      </c>
      <c r="F15" s="78">
        <f>'Operating Calculations'!E73</f>
        <v>-83099.533793024559</v>
      </c>
      <c r="G15" s="78">
        <f>'Operating Calculations'!F73</f>
        <v>-85592.519806815384</v>
      </c>
      <c r="H15" s="78">
        <f>'Operating Calculations'!G73</f>
        <v>-88160.295401019946</v>
      </c>
      <c r="I15" s="78">
        <f>'Operating Calculations'!H73</f>
        <v>-90805.104263050613</v>
      </c>
      <c r="J15" s="78">
        <f>'Operating Calculations'!I73</f>
        <v>-93529.257390942221</v>
      </c>
      <c r="K15" s="78">
        <f>'Operating Calculations'!J73</f>
        <v>-96335.135112670599</v>
      </c>
      <c r="L15" s="78">
        <f>'Operating Calculations'!K73</f>
        <v>-99225.189166050812</v>
      </c>
      <c r="M15" s="78">
        <f>'Operating Calculations'!L73</f>
        <v>-102201.94484103243</v>
      </c>
      <c r="N15" s="78">
        <f>'Operating Calculations'!M73</f>
        <v>-105268.00318626355</v>
      </c>
      <c r="P15" s="78">
        <f>'Operating Calculations'!O73</f>
        <v>-96335.135112670599</v>
      </c>
    </row>
    <row r="16" spans="2:17" hidden="1">
      <c r="B16" s="41" t="s">
        <v>84</v>
      </c>
      <c r="C16" s="145">
        <v>0</v>
      </c>
      <c r="D16" s="78">
        <f>'Operating Calculations'!C72</f>
        <v>0</v>
      </c>
      <c r="E16" s="78">
        <f>'Operating Calculations'!D72</f>
        <v>0</v>
      </c>
      <c r="F16" s="78">
        <f>'Operating Calculations'!E72</f>
        <v>0</v>
      </c>
      <c r="G16" s="78">
        <f>'Operating Calculations'!F72</f>
        <v>0</v>
      </c>
      <c r="H16" s="78">
        <f>'Operating Calculations'!G72</f>
        <v>0</v>
      </c>
      <c r="I16" s="78">
        <f>'Operating Calculations'!H72</f>
        <v>0</v>
      </c>
      <c r="J16" s="78">
        <f>'Operating Calculations'!I72</f>
        <v>0</v>
      </c>
      <c r="K16" s="78">
        <f>'Operating Calculations'!J72</f>
        <v>0</v>
      </c>
      <c r="L16" s="78">
        <f>'Operating Calculations'!K72</f>
        <v>0</v>
      </c>
      <c r="M16" s="78">
        <f>'Operating Calculations'!L72</f>
        <v>0</v>
      </c>
      <c r="N16" s="78">
        <f>'Operating Calculations'!M72</f>
        <v>0</v>
      </c>
      <c r="P16" s="78">
        <f>'Operating Calculations'!O72</f>
        <v>0</v>
      </c>
    </row>
    <row r="17" spans="2:17">
      <c r="B17" s="32" t="s">
        <v>120</v>
      </c>
      <c r="C17" s="145">
        <f>IF(OR(IsAdjustedHistoricalNOIWithReassessedTaxes,AdjustedHistoricalNOI),'Adjustments &amp; Notes'!G17,'Adjustments &amp; Notes'!D17)</f>
        <v>-39642</v>
      </c>
      <c r="D17" s="78">
        <f>'Operating Calculations'!C76</f>
        <v>0</v>
      </c>
      <c r="E17" s="78">
        <f>'Operating Calculations'!D76</f>
        <v>0</v>
      </c>
      <c r="F17" s="78">
        <f>'Operating Calculations'!E76</f>
        <v>0</v>
      </c>
      <c r="G17" s="78">
        <f>'Operating Calculations'!F76</f>
        <v>0</v>
      </c>
      <c r="H17" s="78">
        <f>'Operating Calculations'!G76</f>
        <v>0</v>
      </c>
      <c r="I17" s="78">
        <f>'Operating Calculations'!H76</f>
        <v>0</v>
      </c>
      <c r="J17" s="78">
        <f>'Operating Calculations'!I76</f>
        <v>0</v>
      </c>
      <c r="K17" s="78">
        <f>'Operating Calculations'!J76</f>
        <v>0</v>
      </c>
      <c r="L17" s="78">
        <f>'Operating Calculations'!K76</f>
        <v>0</v>
      </c>
      <c r="M17" s="78">
        <f>'Operating Calculations'!L76</f>
        <v>0</v>
      </c>
      <c r="N17" s="78">
        <f>'Operating Calculations'!M76</f>
        <v>0</v>
      </c>
      <c r="P17" s="78">
        <f>'Operating Calculations'!O76</f>
        <v>0</v>
      </c>
    </row>
    <row r="18" spans="2:17">
      <c r="B18" s="32" t="s">
        <v>11</v>
      </c>
      <c r="C18" s="145">
        <f>IF(OR(IsAdjustedHistoricalNOIWithReassessedTaxes,AdjustedHistoricalNOI),'Adjustments &amp; Notes'!G18,'Adjustments &amp; Notes'!D18)</f>
        <v>-4156</v>
      </c>
      <c r="D18" s="78">
        <f>'Operating Calculations'!C74</f>
        <v>-19789.142857142881</v>
      </c>
      <c r="E18" s="78">
        <f>'Operating Calculations'!D74</f>
        <v>-20002.87664960984</v>
      </c>
      <c r="F18" s="78">
        <f>'Operating Calculations'!E74</f>
        <v>-20511.449531665621</v>
      </c>
      <c r="G18" s="78">
        <f>'Operating Calculations'!F74</f>
        <v>-21126.793017615611</v>
      </c>
      <c r="H18" s="78">
        <f>'Operating Calculations'!G74</f>
        <v>-21760.596808144102</v>
      </c>
      <c r="I18" s="78">
        <f>'Operating Calculations'!H74</f>
        <v>-22413.41471238845</v>
      </c>
      <c r="J18" s="78">
        <f>'Operating Calculations'!I74</f>
        <v>-23085.81715376013</v>
      </c>
      <c r="K18" s="78">
        <f>'Operating Calculations'!J74</f>
        <v>-23778.391668372955</v>
      </c>
      <c r="L18" s="78">
        <f>'Operating Calculations'!K74</f>
        <v>-24491.743418424165</v>
      </c>
      <c r="M18" s="78">
        <f>'Operating Calculations'!L74</f>
        <v>-25226.49572097692</v>
      </c>
      <c r="N18" s="78">
        <f>'Operating Calculations'!M74</f>
        <v>-25983.290592606252</v>
      </c>
      <c r="P18" s="78">
        <f>'Operating Calculations'!O74</f>
        <v>-23778.391668372955</v>
      </c>
    </row>
    <row r="19" spans="2:17">
      <c r="B19" s="32" t="s">
        <v>121</v>
      </c>
      <c r="C19" s="145">
        <f>IF(OR(IsAdjustedHistoricalNOIWithReassessedTaxes,AdjustedHistoricalNOI),'Adjustments &amp; Notes'!G19,'Adjustments &amp; Notes'!D19)</f>
        <v>-137670</v>
      </c>
      <c r="D19" s="78">
        <f>'Operating Calculations'!C77</f>
        <v>-156008.37847179602</v>
      </c>
      <c r="E19" s="78">
        <f>'Operating Calculations'!D77</f>
        <v>-161266.50140615099</v>
      </c>
      <c r="F19" s="78">
        <f>'Operating Calculations'!E77</f>
        <v>-169030.69264556724</v>
      </c>
      <c r="G19" s="78">
        <f>'Operating Calculations'!F77</f>
        <v>-175045.09149657126</v>
      </c>
      <c r="H19" s="78">
        <f>'Operating Calculations'!G77</f>
        <v>-181268.22665525452</v>
      </c>
      <c r="I19" s="78">
        <f>'Operating Calculations'!H77</f>
        <v>-186706.27345491233</v>
      </c>
      <c r="J19" s="78">
        <f>'Operating Calculations'!I77</f>
        <v>-192307.46165855986</v>
      </c>
      <c r="K19" s="78">
        <f>'Operating Calculations'!J77</f>
        <v>-198076.68550831688</v>
      </c>
      <c r="L19" s="78">
        <f>'Operating Calculations'!K77</f>
        <v>-204018.98607356657</v>
      </c>
      <c r="M19" s="78">
        <f>'Operating Calculations'!L77</f>
        <v>-210139.55565577382</v>
      </c>
      <c r="N19" s="78">
        <f>'Operating Calculations'!M77</f>
        <v>-216443.74232544724</v>
      </c>
      <c r="P19" s="78">
        <f>'Operating Calculations'!O77</f>
        <v>-198076.68550831688</v>
      </c>
    </row>
    <row r="20" spans="2:17">
      <c r="B20" s="46" t="s">
        <v>122</v>
      </c>
      <c r="C20" s="151">
        <f t="shared" ref="C20:N20" si="3">SUBTOTAL(9,C10:C19)</f>
        <v>1111275</v>
      </c>
      <c r="D20" s="150">
        <f t="shared" si="3"/>
        <v>1259302.7586710614</v>
      </c>
      <c r="E20" s="150">
        <f t="shared" si="3"/>
        <v>1301746.4324117121</v>
      </c>
      <c r="F20" s="150">
        <f t="shared" si="3"/>
        <v>1364419.1397523265</v>
      </c>
      <c r="G20" s="150">
        <f t="shared" si="3"/>
        <v>1412967.4878539424</v>
      </c>
      <c r="H20" s="150">
        <f t="shared" si="3"/>
        <v>1463200.7596158781</v>
      </c>
      <c r="I20" s="150">
        <f t="shared" si="3"/>
        <v>1507096.7824043559</v>
      </c>
      <c r="J20" s="150">
        <f t="shared" si="3"/>
        <v>1552309.6858764878</v>
      </c>
      <c r="K20" s="150">
        <f t="shared" si="3"/>
        <v>1598878.9764527844</v>
      </c>
      <c r="L20" s="150">
        <f t="shared" si="3"/>
        <v>1646845.3457463691</v>
      </c>
      <c r="M20" s="150">
        <f t="shared" si="3"/>
        <v>1696250.7061187627</v>
      </c>
      <c r="N20" s="150">
        <f t="shared" si="3"/>
        <v>1747138.2273023273</v>
      </c>
      <c r="P20" s="150">
        <f>SUBTOTAL(9,P10:P19)</f>
        <v>1598878.9764527844</v>
      </c>
    </row>
    <row r="21" spans="2:17">
      <c r="B21" s="32"/>
      <c r="C21" s="90"/>
      <c r="D21" s="27"/>
      <c r="E21" s="27"/>
      <c r="F21" s="27"/>
      <c r="G21" s="27"/>
      <c r="H21" s="27"/>
      <c r="I21" s="27"/>
      <c r="J21" s="27"/>
      <c r="K21" s="27"/>
      <c r="L21" s="27"/>
      <c r="M21" s="27"/>
      <c r="N21" s="27"/>
      <c r="P21" s="27"/>
    </row>
    <row r="22" spans="2:17">
      <c r="B22" s="32" t="s">
        <v>142</v>
      </c>
      <c r="C22" s="145">
        <f>IF(OR(IsAdjustedHistoricalNOIWithReassessedTaxes,AdjustedHistoricalNOI),'Adjustments &amp; Notes'!G24,'Adjustments &amp; Notes'!D24)</f>
        <v>0</v>
      </c>
      <c r="D22" s="78">
        <f>'Operating Calculations'!C80</f>
        <v>0</v>
      </c>
      <c r="E22" s="78">
        <f>'Operating Calculations'!D80</f>
        <v>0</v>
      </c>
      <c r="F22" s="78">
        <f>'Operating Calculations'!E80</f>
        <v>0</v>
      </c>
      <c r="G22" s="78">
        <f>'Operating Calculations'!F80</f>
        <v>0</v>
      </c>
      <c r="H22" s="78">
        <f>'Operating Calculations'!G80</f>
        <v>0</v>
      </c>
      <c r="I22" s="78">
        <f>'Operating Calculations'!H80</f>
        <v>0</v>
      </c>
      <c r="J22" s="78">
        <f>'Operating Calculations'!I80</f>
        <v>0</v>
      </c>
      <c r="K22" s="78">
        <f>'Operating Calculations'!J80</f>
        <v>0</v>
      </c>
      <c r="L22" s="78">
        <f>'Operating Calculations'!K80</f>
        <v>0</v>
      </c>
      <c r="M22" s="78">
        <f>'Operating Calculations'!L80</f>
        <v>0</v>
      </c>
      <c r="N22" s="78">
        <f>'Operating Calculations'!M80</f>
        <v>0</v>
      </c>
      <c r="P22" s="78">
        <f>'Operating Calculations'!O80</f>
        <v>0</v>
      </c>
    </row>
    <row r="23" spans="2:17">
      <c r="B23" s="32" t="s">
        <v>143</v>
      </c>
      <c r="C23" s="145">
        <f>IF(OR(IsAdjustedHistoricalNOIWithReassessedTaxes,AdjustedHistoricalNOI),SUM('Adjustments &amp; Notes'!G22:G23,'Adjustments &amp; Notes'!G25),SUM('Adjustments &amp; Notes'!D22:D23,'Adjustments &amp; Notes'!D25))</f>
        <v>0</v>
      </c>
      <c r="D23" s="78">
        <f>'Operating Calculations'!C152</f>
        <v>193800</v>
      </c>
      <c r="E23" s="78">
        <f>'Operating Calculations'!D152</f>
        <v>193800</v>
      </c>
      <c r="F23" s="78">
        <f>'Operating Calculations'!E152</f>
        <v>193800</v>
      </c>
      <c r="G23" s="78">
        <f>'Operating Calculations'!F152</f>
        <v>193800</v>
      </c>
      <c r="H23" s="78">
        <f>'Operating Calculations'!G152</f>
        <v>193800</v>
      </c>
      <c r="I23" s="78">
        <f>'Operating Calculations'!H152</f>
        <v>193800</v>
      </c>
      <c r="J23" s="78">
        <f>'Operating Calculations'!I152</f>
        <v>193800</v>
      </c>
      <c r="K23" s="78">
        <f>'Operating Calculations'!J152</f>
        <v>193800</v>
      </c>
      <c r="L23" s="78">
        <f>'Operating Calculations'!K152</f>
        <v>193800</v>
      </c>
      <c r="M23" s="78">
        <f>'Operating Calculations'!L152</f>
        <v>193800</v>
      </c>
      <c r="N23" s="78">
        <f>'Operating Calculations'!M152</f>
        <v>193800</v>
      </c>
      <c r="P23" s="78">
        <f>'Operating Calculations'!O152</f>
        <v>193800</v>
      </c>
    </row>
    <row r="24" spans="2:17" hidden="1">
      <c r="B24" s="32" t="s">
        <v>144</v>
      </c>
      <c r="C24" s="145">
        <f>IF(OR(IsAdjustedHistoricalNOIWithReassessedTaxes,AdjustedHistoricalNOI),'Adjustments &amp; Notes'!G30,'Adjustments &amp; Notes'!D30)</f>
        <v>0</v>
      </c>
      <c r="D24" s="78">
        <f>'Operating Calculations'!C82</f>
        <v>0</v>
      </c>
      <c r="E24" s="78">
        <f>'Operating Calculations'!D82</f>
        <v>0</v>
      </c>
      <c r="F24" s="78">
        <f>'Operating Calculations'!E82</f>
        <v>0</v>
      </c>
      <c r="G24" s="78">
        <f>'Operating Calculations'!F82</f>
        <v>0</v>
      </c>
      <c r="H24" s="78">
        <f>'Operating Calculations'!G82</f>
        <v>0</v>
      </c>
      <c r="I24" s="78">
        <f>'Operating Calculations'!H82</f>
        <v>0</v>
      </c>
      <c r="J24" s="78">
        <f>'Operating Calculations'!I82</f>
        <v>0</v>
      </c>
      <c r="K24" s="78">
        <f>'Operating Calculations'!J82</f>
        <v>0</v>
      </c>
      <c r="L24" s="78">
        <f>'Operating Calculations'!K82</f>
        <v>0</v>
      </c>
      <c r="M24" s="78">
        <f>'Operating Calculations'!L82</f>
        <v>0</v>
      </c>
      <c r="N24" s="78">
        <f>'Operating Calculations'!M82</f>
        <v>0</v>
      </c>
      <c r="P24" s="78">
        <f>'Operating Calculations'!O82</f>
        <v>0</v>
      </c>
    </row>
    <row r="25" spans="2:17">
      <c r="B25" s="46" t="s">
        <v>123</v>
      </c>
      <c r="C25" s="151">
        <f t="shared" ref="C25:N25" si="4">SUBTOTAL(9,C22:C24)</f>
        <v>0</v>
      </c>
      <c r="D25" s="150">
        <f t="shared" si="4"/>
        <v>193800</v>
      </c>
      <c r="E25" s="150">
        <f t="shared" si="4"/>
        <v>193800</v>
      </c>
      <c r="F25" s="150">
        <f t="shared" si="4"/>
        <v>193800</v>
      </c>
      <c r="G25" s="150">
        <f t="shared" si="4"/>
        <v>193800</v>
      </c>
      <c r="H25" s="150">
        <f t="shared" si="4"/>
        <v>193800</v>
      </c>
      <c r="I25" s="150">
        <f t="shared" si="4"/>
        <v>193800</v>
      </c>
      <c r="J25" s="150">
        <f t="shared" si="4"/>
        <v>193800</v>
      </c>
      <c r="K25" s="150">
        <f t="shared" si="4"/>
        <v>193800</v>
      </c>
      <c r="L25" s="150">
        <f t="shared" si="4"/>
        <v>193800</v>
      </c>
      <c r="M25" s="150">
        <f t="shared" si="4"/>
        <v>193800</v>
      </c>
      <c r="N25" s="150">
        <f t="shared" si="4"/>
        <v>193800</v>
      </c>
      <c r="P25" s="150">
        <f>SUBTOTAL(9,P22:P24)</f>
        <v>193800</v>
      </c>
    </row>
    <row r="26" spans="2:17">
      <c r="B26" s="32"/>
      <c r="C26" s="90"/>
      <c r="D26" s="27"/>
      <c r="E26" s="27"/>
      <c r="F26" s="27"/>
      <c r="G26" s="27"/>
      <c r="H26" s="27"/>
      <c r="I26" s="27"/>
      <c r="J26" s="27"/>
      <c r="K26" s="27"/>
      <c r="L26" s="27"/>
      <c r="M26" s="27"/>
      <c r="N26" s="27"/>
      <c r="P26" s="27"/>
    </row>
    <row r="27" spans="2:17">
      <c r="B27" s="198" t="s">
        <v>124</v>
      </c>
      <c r="C27" s="155">
        <f t="shared" ref="C27:N27" si="5">SUBTOTAL(9,C10:C26)</f>
        <v>1111275</v>
      </c>
      <c r="D27" s="154">
        <f t="shared" si="5"/>
        <v>1453102.7586710614</v>
      </c>
      <c r="E27" s="154">
        <f t="shared" si="5"/>
        <v>1495546.4324117121</v>
      </c>
      <c r="F27" s="154">
        <f t="shared" si="5"/>
        <v>1558219.1397523265</v>
      </c>
      <c r="G27" s="154">
        <f t="shared" si="5"/>
        <v>1606767.4878539424</v>
      </c>
      <c r="H27" s="154">
        <f t="shared" si="5"/>
        <v>1657000.7596158781</v>
      </c>
      <c r="I27" s="154">
        <f t="shared" si="5"/>
        <v>1700896.7824043559</v>
      </c>
      <c r="J27" s="154">
        <f t="shared" si="5"/>
        <v>1746109.6858764878</v>
      </c>
      <c r="K27" s="154">
        <f t="shared" si="5"/>
        <v>1792678.9764527844</v>
      </c>
      <c r="L27" s="154">
        <f t="shared" si="5"/>
        <v>1840645.3457463691</v>
      </c>
      <c r="M27" s="154">
        <f t="shared" si="5"/>
        <v>1890050.7061187627</v>
      </c>
      <c r="N27" s="199">
        <f t="shared" si="5"/>
        <v>1940938.2273023273</v>
      </c>
      <c r="P27" s="154">
        <f>SUBTOTAL(9,P10:P26)</f>
        <v>1792678.9764527844</v>
      </c>
    </row>
    <row r="28" spans="2:17">
      <c r="B28" s="198"/>
      <c r="C28" s="91"/>
      <c r="D28" s="169"/>
      <c r="E28" s="169"/>
      <c r="F28" s="169"/>
      <c r="G28" s="169"/>
      <c r="H28" s="200"/>
      <c r="I28" s="169"/>
      <c r="J28" s="169"/>
      <c r="K28" s="169"/>
      <c r="L28" s="169"/>
      <c r="M28" s="169"/>
      <c r="N28" s="169"/>
      <c r="O28" s="201"/>
      <c r="P28" s="169">
        <f>P27-'Operating Calculations'!O83</f>
        <v>0</v>
      </c>
    </row>
    <row r="29" spans="2:17">
      <c r="C29" s="201"/>
    </row>
    <row r="31" spans="2:17" s="192" customFormat="1" ht="14.25" customHeight="1" collapsed="1">
      <c r="B31" s="1043" t="s">
        <v>125</v>
      </c>
      <c r="C31" s="196"/>
      <c r="D31" s="196"/>
      <c r="E31" s="197"/>
      <c r="F31" s="197"/>
      <c r="G31" s="197"/>
      <c r="H31" s="197"/>
      <c r="I31" s="197"/>
      <c r="J31" s="197"/>
      <c r="K31" s="197"/>
      <c r="L31" s="197"/>
      <c r="M31" s="197"/>
      <c r="N31" s="197"/>
      <c r="O31"/>
      <c r="P31" s="197"/>
      <c r="Q31"/>
    </row>
    <row r="32" spans="2:17">
      <c r="B32" s="32" t="str">
        <f>GenValidation!L5</f>
        <v>Repair &amp; Maintenance</v>
      </c>
      <c r="C32" s="145">
        <f>-SUMIF(RMHistExpAlloc,'Property CF'!B32,IF(OR(IsAdjustedHistoricalNOIWithReassessedTaxes,AdjustedHistoricalNOI),'Adjustments &amp; Notes'!$G$38:$G$56,'Adjustments &amp; Notes'!$D$38:$D$56))</f>
        <v>-90278</v>
      </c>
      <c r="D32" s="78">
        <f>SUMIF(ProformaCat,$B32,'Operating Calculations'!C$88:C$107)</f>
        <v>-94000</v>
      </c>
      <c r="E32" s="78">
        <f>SUMIF(ProformaCat,$B32,'Operating Calculations'!D$88:D$107)</f>
        <v>-94000</v>
      </c>
      <c r="F32" s="78">
        <f>SUMIF(ProformaCat,$B32,'Operating Calculations'!E$88:E$107)</f>
        <v>-94000</v>
      </c>
      <c r="G32" s="78">
        <f>SUMIF(ProformaCat,$B32,'Operating Calculations'!F$88:F$107)</f>
        <v>-94000</v>
      </c>
      <c r="H32" s="78">
        <f>SUMIF(ProformaCat,$B32,'Operating Calculations'!G$88:G$107)</f>
        <v>-94000</v>
      </c>
      <c r="I32" s="78">
        <f>SUMIF(ProformaCat,$B32,'Operating Calculations'!H$88:H$107)</f>
        <v>-94000</v>
      </c>
      <c r="J32" s="78">
        <f>SUMIF(ProformaCat,$B32,'Operating Calculations'!I$88:I$107)</f>
        <v>-94000</v>
      </c>
      <c r="K32" s="78">
        <f>SUMIF(ProformaCat,$B32,'Operating Calculations'!J$88:J$107)</f>
        <v>-94000</v>
      </c>
      <c r="L32" s="78">
        <f>SUMIF(ProformaCat,$B32,'Operating Calculations'!K$88:K$107)</f>
        <v>-94000</v>
      </c>
      <c r="M32" s="78">
        <f>SUMIF(ProformaCat,$B32,'Operating Calculations'!L$88:L$107)</f>
        <v>-94000</v>
      </c>
      <c r="N32" s="78">
        <f>SUMIF(ProformaCat,$B32,'Operating Calculations'!M$88:M$107)</f>
        <v>-94000</v>
      </c>
      <c r="P32" s="78">
        <f>SUMIF(ProformaCat,$B32,'Operating Calculations'!O$88:O$107)</f>
        <v>-94000</v>
      </c>
    </row>
    <row r="33" spans="2:16">
      <c r="B33" s="32" t="str">
        <f>GenValidation!L6</f>
        <v>Contract Services</v>
      </c>
      <c r="C33" s="145">
        <f>-SUMIF(RMHistExpAlloc,'Property CF'!B33,IF(OR(IsAdjustedHistoricalNOIWithReassessedTaxes,AdjustedHistoricalNOI),'Adjustments &amp; Notes'!$G$38:$G$56,'Adjustments &amp; Notes'!$D$38:$D$56))</f>
        <v>0</v>
      </c>
      <c r="D33" s="78">
        <f>SUMIF(ProformaCat,$B33,'Operating Calculations'!C$88:C$107)</f>
        <v>0</v>
      </c>
      <c r="E33" s="78">
        <f>SUMIF(ProformaCat,$B33,'Operating Calculations'!D$88:D$107)</f>
        <v>0</v>
      </c>
      <c r="F33" s="78">
        <f>SUMIF(ProformaCat,$B33,'Operating Calculations'!E$88:E$107)</f>
        <v>0</v>
      </c>
      <c r="G33" s="78">
        <f>SUMIF(ProformaCat,$B33,'Operating Calculations'!F$88:F$107)</f>
        <v>0</v>
      </c>
      <c r="H33" s="78">
        <f>SUMIF(ProformaCat,$B33,'Operating Calculations'!G$88:G$107)</f>
        <v>0</v>
      </c>
      <c r="I33" s="78">
        <f>SUMIF(ProformaCat,$B33,'Operating Calculations'!H$88:H$107)</f>
        <v>0</v>
      </c>
      <c r="J33" s="78">
        <f>SUMIF(ProformaCat,$B33,'Operating Calculations'!I$88:I$107)</f>
        <v>0</v>
      </c>
      <c r="K33" s="78">
        <f>SUMIF(ProformaCat,$B33,'Operating Calculations'!J$88:J$107)</f>
        <v>0</v>
      </c>
      <c r="L33" s="78">
        <f>SUMIF(ProformaCat,$B33,'Operating Calculations'!K$88:K$107)</f>
        <v>0</v>
      </c>
      <c r="M33" s="78">
        <f>SUMIF(ProformaCat,$B33,'Operating Calculations'!L$88:L$107)</f>
        <v>0</v>
      </c>
      <c r="N33" s="78">
        <f>SUMIF(ProformaCat,$B33,'Operating Calculations'!M$88:M$107)</f>
        <v>0</v>
      </c>
      <c r="P33" s="78">
        <f>SUMIF(ProformaCat,$B33,'Operating Calculations'!O$88:O$107)</f>
        <v>0</v>
      </c>
    </row>
    <row r="34" spans="2:16">
      <c r="B34" s="32" t="str">
        <f>GenValidation!L7</f>
        <v>Security</v>
      </c>
      <c r="C34" s="145">
        <f>-SUMIF(RMHistExpAlloc,'Property CF'!B34,IF(OR(IsAdjustedHistoricalNOIWithReassessedTaxes,AdjustedHistoricalNOI),'Adjustments &amp; Notes'!$G$38:$G$56,'Adjustments &amp; Notes'!$D$38:$D$56))</f>
        <v>0</v>
      </c>
      <c r="D34" s="78">
        <f>SUMIF(ProformaCat,$B34,'Operating Calculations'!C$88:C$107)</f>
        <v>0</v>
      </c>
      <c r="E34" s="78">
        <f>SUMIF(ProformaCat,$B34,'Operating Calculations'!D$88:D$107)</f>
        <v>0</v>
      </c>
      <c r="F34" s="78">
        <f>SUMIF(ProformaCat,$B34,'Operating Calculations'!E$88:E$107)</f>
        <v>0</v>
      </c>
      <c r="G34" s="78">
        <f>SUMIF(ProformaCat,$B34,'Operating Calculations'!F$88:F$107)</f>
        <v>0</v>
      </c>
      <c r="H34" s="78">
        <f>SUMIF(ProformaCat,$B34,'Operating Calculations'!G$88:G$107)</f>
        <v>0</v>
      </c>
      <c r="I34" s="78">
        <f>SUMIF(ProformaCat,$B34,'Operating Calculations'!H$88:H$107)</f>
        <v>0</v>
      </c>
      <c r="J34" s="78">
        <f>SUMIF(ProformaCat,$B34,'Operating Calculations'!I$88:I$107)</f>
        <v>0</v>
      </c>
      <c r="K34" s="78">
        <f>SUMIF(ProformaCat,$B34,'Operating Calculations'!J$88:J$107)</f>
        <v>0</v>
      </c>
      <c r="L34" s="78">
        <f>SUMIF(ProformaCat,$B34,'Operating Calculations'!K$88:K$107)</f>
        <v>0</v>
      </c>
      <c r="M34" s="78">
        <f>SUMIF(ProformaCat,$B34,'Operating Calculations'!L$88:L$107)</f>
        <v>0</v>
      </c>
      <c r="N34" s="78">
        <f>SUMIF(ProformaCat,$B34,'Operating Calculations'!M$88:M$107)</f>
        <v>0</v>
      </c>
      <c r="P34" s="78">
        <f>SUMIF(ProformaCat,$B34,'Operating Calculations'!O$88:O$107)</f>
        <v>0</v>
      </c>
    </row>
    <row r="35" spans="2:16">
      <c r="B35" s="32" t="str">
        <f>GenValidation!L8</f>
        <v>Turnover / Make-Ready</v>
      </c>
      <c r="C35" s="145">
        <f>-SUMIF(RMHistExpAlloc,'Property CF'!B35,IF(OR(IsAdjustedHistoricalNOIWithReassessedTaxes,AdjustedHistoricalNOI),'Adjustments &amp; Notes'!$G$38:$G$56,'Adjustments &amp; Notes'!$D$38:$D$56))</f>
        <v>0</v>
      </c>
      <c r="D35" s="78">
        <f>SUMIF(ProformaCat,$B35,'Operating Calculations'!C$88:C$107)</f>
        <v>0</v>
      </c>
      <c r="E35" s="78">
        <f>SUMIF(ProformaCat,$B35,'Operating Calculations'!D$88:D$107)</f>
        <v>0</v>
      </c>
      <c r="F35" s="78">
        <f>SUMIF(ProformaCat,$B35,'Operating Calculations'!E$88:E$107)</f>
        <v>0</v>
      </c>
      <c r="G35" s="78">
        <f>SUMIF(ProformaCat,$B35,'Operating Calculations'!F$88:F$107)</f>
        <v>0</v>
      </c>
      <c r="H35" s="78">
        <f>SUMIF(ProformaCat,$B35,'Operating Calculations'!G$88:G$107)</f>
        <v>0</v>
      </c>
      <c r="I35" s="78">
        <f>SUMIF(ProformaCat,$B35,'Operating Calculations'!H$88:H$107)</f>
        <v>0</v>
      </c>
      <c r="J35" s="78">
        <f>SUMIF(ProformaCat,$B35,'Operating Calculations'!I$88:I$107)</f>
        <v>0</v>
      </c>
      <c r="K35" s="78">
        <f>SUMIF(ProformaCat,$B35,'Operating Calculations'!J$88:J$107)</f>
        <v>0</v>
      </c>
      <c r="L35" s="78">
        <f>SUMIF(ProformaCat,$B35,'Operating Calculations'!K$88:K$107)</f>
        <v>0</v>
      </c>
      <c r="M35" s="78">
        <f>SUMIF(ProformaCat,$B35,'Operating Calculations'!L$88:L$107)</f>
        <v>0</v>
      </c>
      <c r="N35" s="78">
        <f>SUMIF(ProformaCat,$B35,'Operating Calculations'!M$88:M$107)</f>
        <v>0</v>
      </c>
      <c r="P35" s="78">
        <f>SUMIF(ProformaCat,$B35,'Operating Calculations'!O$88:O$107)</f>
        <v>0</v>
      </c>
    </row>
    <row r="36" spans="2:16">
      <c r="B36" s="32" t="str">
        <f>GenValidation!L9</f>
        <v>Landscaping / Grounds</v>
      </c>
      <c r="C36" s="145">
        <f>-SUMIF(RMHistExpAlloc,'Property CF'!B36,IF(OR(IsAdjustedHistoricalNOIWithReassessedTaxes,AdjustedHistoricalNOI),'Adjustments &amp; Notes'!$G$38:$G$56,'Adjustments &amp; Notes'!$D$38:$D$56))</f>
        <v>-16274</v>
      </c>
      <c r="D36" s="78">
        <f>SUMIF(ProformaCat,$B36,'Operating Calculations'!C$88:C$107)</f>
        <v>-16000</v>
      </c>
      <c r="E36" s="78">
        <f>SUMIF(ProformaCat,$B36,'Operating Calculations'!D$88:D$107)</f>
        <v>-16000</v>
      </c>
      <c r="F36" s="78">
        <f>SUMIF(ProformaCat,$B36,'Operating Calculations'!E$88:E$107)</f>
        <v>-16000</v>
      </c>
      <c r="G36" s="78">
        <f>SUMIF(ProformaCat,$B36,'Operating Calculations'!F$88:F$107)</f>
        <v>-16000</v>
      </c>
      <c r="H36" s="78">
        <f>SUMIF(ProformaCat,$B36,'Operating Calculations'!G$88:G$107)</f>
        <v>-16000</v>
      </c>
      <c r="I36" s="78">
        <f>SUMIF(ProformaCat,$B36,'Operating Calculations'!H$88:H$107)</f>
        <v>-16000</v>
      </c>
      <c r="J36" s="78">
        <f>SUMIF(ProformaCat,$B36,'Operating Calculations'!I$88:I$107)</f>
        <v>-16000</v>
      </c>
      <c r="K36" s="78">
        <f>SUMIF(ProformaCat,$B36,'Operating Calculations'!J$88:J$107)</f>
        <v>-16000</v>
      </c>
      <c r="L36" s="78">
        <f>SUMIF(ProformaCat,$B36,'Operating Calculations'!K$88:K$107)</f>
        <v>-16000</v>
      </c>
      <c r="M36" s="78">
        <f>SUMIF(ProformaCat,$B36,'Operating Calculations'!L$88:L$107)</f>
        <v>-16000</v>
      </c>
      <c r="N36" s="78">
        <f>SUMIF(ProformaCat,$B36,'Operating Calculations'!M$88:M$107)</f>
        <v>-16000</v>
      </c>
      <c r="P36" s="78">
        <f>SUMIF(ProformaCat,$B36,'Operating Calculations'!O$88:O$107)</f>
        <v>-16000</v>
      </c>
    </row>
    <row r="37" spans="2:16">
      <c r="B37" s="32" t="str">
        <f>GenValidation!L10</f>
        <v>Personnel</v>
      </c>
      <c r="C37" s="145">
        <f>-SUMIF(RMHistExpAlloc,'Property CF'!B37,IF(OR(IsAdjustedHistoricalNOIWithReassessedTaxes,AdjustedHistoricalNOI),'Adjustments &amp; Notes'!$G$38:$G$56,'Adjustments &amp; Notes'!$D$38:$D$56))-IF(OR(IsAdjustedHistoricalNOIWithReassessedTaxes,AdjustedHistoricalNOI),'Adjustments &amp; Notes'!$G$44,'Adjustments &amp; Notes'!$D$44)*LeasingCommToPayroll</f>
        <v>-78724</v>
      </c>
      <c r="D37" s="78">
        <f>(SUMIF(ProformaCat,$B37,'Operating Calculations'!C$88:C$107)+Input!$G$153*'Operating Calculations'!C$94)</f>
        <v>-146700</v>
      </c>
      <c r="E37" s="78">
        <f>(SUMIF(ProformaCat,$B37,'Operating Calculations'!D$88:D$107)+Input!$G$153*'Operating Calculations'!D$94)</f>
        <v>-146700</v>
      </c>
      <c r="F37" s="78">
        <f>(SUMIF(ProformaCat,$B37,'Operating Calculations'!E$88:E$107)+Input!$G$153*'Operating Calculations'!E$94)</f>
        <v>-146700</v>
      </c>
      <c r="G37" s="78">
        <f>(SUMIF(ProformaCat,$B37,'Operating Calculations'!F$88:F$107)+Input!$G$153*'Operating Calculations'!F$94)</f>
        <v>-146700</v>
      </c>
      <c r="H37" s="78">
        <f>(SUMIF(ProformaCat,$B37,'Operating Calculations'!G$88:G$107)+Input!$G$153*'Operating Calculations'!G$94)</f>
        <v>-146700</v>
      </c>
      <c r="I37" s="78">
        <f>(SUMIF(ProformaCat,$B37,'Operating Calculations'!H$88:H$107)+Input!$G$153*'Operating Calculations'!H$94)</f>
        <v>-146700</v>
      </c>
      <c r="J37" s="78">
        <f>(SUMIF(ProformaCat,$B37,'Operating Calculations'!I$88:I$107)+Input!$G$153*'Operating Calculations'!I$94)</f>
        <v>-146700</v>
      </c>
      <c r="K37" s="78">
        <f>(SUMIF(ProformaCat,$B37,'Operating Calculations'!J$88:J$107)+Input!$G$153*'Operating Calculations'!J$94)</f>
        <v>-146700</v>
      </c>
      <c r="L37" s="78">
        <f>(SUMIF(ProformaCat,$B37,'Operating Calculations'!K$88:K$107)+Input!$G$153*'Operating Calculations'!K$94)</f>
        <v>-146700</v>
      </c>
      <c r="M37" s="78">
        <f>(SUMIF(ProformaCat,$B37,'Operating Calculations'!L$88:L$107)+Input!$G$153*'Operating Calculations'!L$94)</f>
        <v>-146700</v>
      </c>
      <c r="N37" s="78">
        <f>(SUMIF(ProformaCat,$B37,'Operating Calculations'!M$88:M$107)+Input!$G$153*'Operating Calculations'!M$94)</f>
        <v>-146700</v>
      </c>
      <c r="P37" s="78">
        <f>SUMIF(ProformaCat,$B37,'Operating Calculations'!O$88:O$107)+Input!$G$153*'Operating Calculations'!O$94</f>
        <v>-146700</v>
      </c>
    </row>
    <row r="38" spans="2:16">
      <c r="B38" s="32" t="str">
        <f>GenValidation!L11</f>
        <v>Marketing / Advertising</v>
      </c>
      <c r="C38" s="145">
        <f>-SUMIF(RMHistExpAlloc,'Property CF'!B38,IF(OR(IsAdjustedHistoricalNOIWithReassessedTaxes,AdjustedHistoricalNOI),'Adjustments &amp; Notes'!$G$38:$G$56,'Adjustments &amp; Notes'!$D$38:$D$56))-IF(OR(IsAdjustedHistoricalNOIWithReassessedTaxes,AdjustedHistoricalNOI),'Adjustments &amp; Notes'!$G$44,'Adjustments &amp; Notes'!$D$44)*Input!I153</f>
        <v>-13451</v>
      </c>
      <c r="D38" s="78">
        <f>(SUMIF(ProformaCat,$B38,'Operating Calculations'!C$88:C$107)+Input!$I$153*'Operating Calculations'!C$94)</f>
        <v>0</v>
      </c>
      <c r="E38" s="78">
        <f>(SUMIF(ProformaCat,$B38,'Operating Calculations'!D$88:D$107)+Input!$I$153*'Operating Calculations'!D$94)</f>
        <v>0</v>
      </c>
      <c r="F38" s="78">
        <f>(SUMIF(ProformaCat,$B38,'Operating Calculations'!E$88:E$107)+Input!$I$153*'Operating Calculations'!E$94)</f>
        <v>0</v>
      </c>
      <c r="G38" s="78">
        <f>(SUMIF(ProformaCat,$B38,'Operating Calculations'!F$88:F$107)+Input!$I$153*'Operating Calculations'!F$94)</f>
        <v>0</v>
      </c>
      <c r="H38" s="78">
        <f>(SUMIF(ProformaCat,$B38,'Operating Calculations'!G$88:G$107)+Input!$I$153*'Operating Calculations'!G$94)</f>
        <v>0</v>
      </c>
      <c r="I38" s="78">
        <f>(SUMIF(ProformaCat,$B38,'Operating Calculations'!H$88:H$107)+Input!$I$153*'Operating Calculations'!H$94)</f>
        <v>0</v>
      </c>
      <c r="J38" s="78">
        <f>(SUMIF(ProformaCat,$B38,'Operating Calculations'!I$88:I$107)+Input!$I$153*'Operating Calculations'!I$94)</f>
        <v>0</v>
      </c>
      <c r="K38" s="78">
        <f>(SUMIF(ProformaCat,$B38,'Operating Calculations'!J$88:J$107)+Input!$I$153*'Operating Calculations'!J$94)</f>
        <v>0</v>
      </c>
      <c r="L38" s="78">
        <f>(SUMIF(ProformaCat,$B38,'Operating Calculations'!K$88:K$107)+Input!$I$153*'Operating Calculations'!K$94)</f>
        <v>0</v>
      </c>
      <c r="M38" s="78">
        <f>(SUMIF(ProformaCat,$B38,'Operating Calculations'!L$88:L$107)+Input!$I$153*'Operating Calculations'!L$94)</f>
        <v>0</v>
      </c>
      <c r="N38" s="78">
        <f>(SUMIF(ProformaCat,$B38,'Operating Calculations'!M$88:M$107)+Input!$I$153*'Operating Calculations'!M$94)</f>
        <v>0</v>
      </c>
      <c r="O38" s="202"/>
      <c r="P38" s="78">
        <f>SUMIF(ProformaCat,$B38,'Operating Calculations'!O$88:O$107)+Input!$I$153*'Operating Calculations'!O$94</f>
        <v>0</v>
      </c>
    </row>
    <row r="39" spans="2:16">
      <c r="B39" s="32" t="str">
        <f>GenValidation!L12</f>
        <v>Administrative</v>
      </c>
      <c r="C39" s="145">
        <f>-SUMIF(RMHistExpAlloc,'Property CF'!B39,IF(OR(IsAdjustedHistoricalNOIWithReassessedTaxes,AdjustedHistoricalNOI),'Adjustments &amp; Notes'!$G$38:$G$56,'Adjustments &amp; Notes'!$D$38:$D$56))</f>
        <v>-35119</v>
      </c>
      <c r="D39" s="78">
        <f>SUMIF(ProformaCat,$B39,'Operating Calculations'!C$88:C$107)</f>
        <v>0</v>
      </c>
      <c r="E39" s="78">
        <f>SUMIF(ProformaCat,$B39,'Operating Calculations'!D$88:D$107)</f>
        <v>0</v>
      </c>
      <c r="F39" s="78">
        <f>SUMIF(ProformaCat,$B39,'Operating Calculations'!E$88:E$107)</f>
        <v>0</v>
      </c>
      <c r="G39" s="78">
        <f>SUMIF(ProformaCat,$B39,'Operating Calculations'!F$88:F$107)</f>
        <v>0</v>
      </c>
      <c r="H39" s="78">
        <f>SUMIF(ProformaCat,$B39,'Operating Calculations'!G$88:G$107)</f>
        <v>0</v>
      </c>
      <c r="I39" s="78">
        <f>SUMIF(ProformaCat,$B39,'Operating Calculations'!H$88:H$107)</f>
        <v>0</v>
      </c>
      <c r="J39" s="78">
        <f>SUMIF(ProformaCat,$B39,'Operating Calculations'!I$88:I$107)</f>
        <v>0</v>
      </c>
      <c r="K39" s="78">
        <f>SUMIF(ProformaCat,$B39,'Operating Calculations'!J$88:J$107)</f>
        <v>0</v>
      </c>
      <c r="L39" s="78">
        <f>SUMIF(ProformaCat,$B39,'Operating Calculations'!K$88:K$107)</f>
        <v>0</v>
      </c>
      <c r="M39" s="78">
        <f>SUMIF(ProformaCat,$B39,'Operating Calculations'!L$88:L$107)</f>
        <v>0</v>
      </c>
      <c r="N39" s="78">
        <f>SUMIF(ProformaCat,$B39,'Operating Calculations'!M$88:M$107)</f>
        <v>0</v>
      </c>
      <c r="P39" s="78">
        <f>SUMIF(ProformaCat,$B39,'Operating Calculations'!O$88:O$107)</f>
        <v>0</v>
      </c>
    </row>
    <row r="40" spans="2:16">
      <c r="B40" s="32" t="str">
        <f>GenValidation!L13</f>
        <v>Utilities</v>
      </c>
      <c r="C40" s="145">
        <f>-SUMIF(RMHistExpAlloc,'Property CF'!B40,IF(OR(IsAdjustedHistoricalNOIWithReassessedTaxes,AdjustedHistoricalNOI),'Adjustments &amp; Notes'!$G$38:$G$56,'Adjustments &amp; Notes'!$D$38:$D$56))</f>
        <v>-87989</v>
      </c>
      <c r="D40" s="78">
        <f>SUMIF(ProformaCat,$B40,'Operating Calculations'!C$88:C$107)</f>
        <v>0</v>
      </c>
      <c r="E40" s="78">
        <f>SUMIF(ProformaCat,$B40,'Operating Calculations'!D$88:D$107)</f>
        <v>0</v>
      </c>
      <c r="F40" s="78">
        <f>SUMIF(ProformaCat,$B40,'Operating Calculations'!E$88:E$107)</f>
        <v>0</v>
      </c>
      <c r="G40" s="78">
        <f>SUMIF(ProformaCat,$B40,'Operating Calculations'!F$88:F$107)</f>
        <v>0</v>
      </c>
      <c r="H40" s="78">
        <f>SUMIF(ProformaCat,$B40,'Operating Calculations'!G$88:G$107)</f>
        <v>0</v>
      </c>
      <c r="I40" s="78">
        <f>SUMIF(ProformaCat,$B40,'Operating Calculations'!H$88:H$107)</f>
        <v>0</v>
      </c>
      <c r="J40" s="78">
        <f>SUMIF(ProformaCat,$B40,'Operating Calculations'!I$88:I$107)</f>
        <v>0</v>
      </c>
      <c r="K40" s="78">
        <f>SUMIF(ProformaCat,$B40,'Operating Calculations'!J$88:J$107)</f>
        <v>0</v>
      </c>
      <c r="L40" s="78">
        <f>SUMIF(ProformaCat,$B40,'Operating Calculations'!K$88:K$107)</f>
        <v>0</v>
      </c>
      <c r="M40" s="78">
        <f>SUMIF(ProformaCat,$B40,'Operating Calculations'!L$88:L$107)</f>
        <v>0</v>
      </c>
      <c r="N40" s="78">
        <f>SUMIF(ProformaCat,$B40,'Operating Calculations'!M$88:M$107)</f>
        <v>0</v>
      </c>
      <c r="P40" s="78">
        <f>SUMIF(ProformaCat,$B40,'Operating Calculations'!O$88:O$107)</f>
        <v>0</v>
      </c>
    </row>
    <row r="41" spans="2:16">
      <c r="B41" s="32" t="str">
        <f>GenValidation!L14</f>
        <v>Insurance</v>
      </c>
      <c r="C41" s="145">
        <f>-SUMIF(RMHistExpAlloc,'Property CF'!B41,IF(OR(IsAdjustedHistoricalNOIWithReassessedTaxes,AdjustedHistoricalNOI),'Adjustments &amp; Notes'!$G$38:$G$56,'Adjustments &amp; Notes'!$D$38:$D$56))</f>
        <v>-41934</v>
      </c>
      <c r="D41" s="78">
        <f>SUMIF(ProformaCat,$B41,'Operating Calculations'!C$88:C$107)</f>
        <v>0</v>
      </c>
      <c r="E41" s="78">
        <f>SUMIF(ProformaCat,$B41,'Operating Calculations'!D$88:D$107)</f>
        <v>0</v>
      </c>
      <c r="F41" s="78">
        <f>SUMIF(ProformaCat,$B41,'Operating Calculations'!E$88:E$107)</f>
        <v>0</v>
      </c>
      <c r="G41" s="78">
        <f>SUMIF(ProformaCat,$B41,'Operating Calculations'!F$88:F$107)</f>
        <v>0</v>
      </c>
      <c r="H41" s="78">
        <f>SUMIF(ProformaCat,$B41,'Operating Calculations'!G$88:G$107)</f>
        <v>0</v>
      </c>
      <c r="I41" s="78">
        <f>SUMIF(ProformaCat,$B41,'Operating Calculations'!H$88:H$107)</f>
        <v>0</v>
      </c>
      <c r="J41" s="78">
        <f>SUMIF(ProformaCat,$B41,'Operating Calculations'!I$88:I$107)</f>
        <v>0</v>
      </c>
      <c r="K41" s="78">
        <f>SUMIF(ProformaCat,$B41,'Operating Calculations'!J$88:J$107)</f>
        <v>0</v>
      </c>
      <c r="L41" s="78">
        <f>SUMIF(ProformaCat,$B41,'Operating Calculations'!K$88:K$107)</f>
        <v>0</v>
      </c>
      <c r="M41" s="78">
        <f>SUMIF(ProformaCat,$B41,'Operating Calculations'!L$88:L$107)</f>
        <v>0</v>
      </c>
      <c r="N41" s="78">
        <f>SUMIF(ProformaCat,$B41,'Operating Calculations'!M$88:M$107)</f>
        <v>0</v>
      </c>
      <c r="P41" s="78">
        <f>SUMIF(ProformaCat,$B41,'Operating Calculations'!O$88:O$107)</f>
        <v>0</v>
      </c>
    </row>
    <row r="42" spans="2:16">
      <c r="B42" s="32" t="str">
        <f>GenValidation!L15</f>
        <v>Real Estate Taxes</v>
      </c>
      <c r="C42" s="145">
        <f>-SUMIF(RMHistExpAlloc,'Property CF'!B42,IF(OR(IsAdjustedHistoricalNOIWithReassessedTaxes,AdjustedHistoricalNOI),'Adjustments &amp; Notes'!$G$38:$G$56,'Adjustments &amp; Notes'!$D$38:$D$56))</f>
        <v>-182667</v>
      </c>
      <c r="D42" s="78">
        <f>SUMIF(ProformaCat,$B42,'Operating Calculations'!C$88:C$107)</f>
        <v>-182667</v>
      </c>
      <c r="E42" s="78">
        <f>SUMIF(ProformaCat,$B42,'Operating Calculations'!D$88:D$107)</f>
        <v>-182667</v>
      </c>
      <c r="F42" s="78">
        <f>SUMIF(ProformaCat,$B42,'Operating Calculations'!E$88:E$107)</f>
        <v>-182667</v>
      </c>
      <c r="G42" s="78">
        <f>SUMIF(ProformaCat,$B42,'Operating Calculations'!F$88:F$107)</f>
        <v>-182667</v>
      </c>
      <c r="H42" s="78">
        <f>SUMIF(ProformaCat,$B42,'Operating Calculations'!G$88:G$107)</f>
        <v>-182667</v>
      </c>
      <c r="I42" s="78">
        <f>SUMIF(ProformaCat,$B42,'Operating Calculations'!H$88:H$107)</f>
        <v>-182667</v>
      </c>
      <c r="J42" s="78">
        <f>SUMIF(ProformaCat,$B42,'Operating Calculations'!I$88:I$107)</f>
        <v>-182667</v>
      </c>
      <c r="K42" s="78">
        <f>SUMIF(ProformaCat,$B42,'Operating Calculations'!J$88:J$107)</f>
        <v>-182667</v>
      </c>
      <c r="L42" s="78">
        <f>SUMIF(ProformaCat,$B42,'Operating Calculations'!K$88:K$107)</f>
        <v>-182667</v>
      </c>
      <c r="M42" s="78">
        <f>SUMIF(ProformaCat,$B42,'Operating Calculations'!L$88:L$107)</f>
        <v>-182667</v>
      </c>
      <c r="N42" s="78">
        <f>SUMIF(ProformaCat,$B42,'Operating Calculations'!M$88:M$107)</f>
        <v>-182667</v>
      </c>
      <c r="P42" s="78">
        <f>SUMIF(ProformaCat,$B42,'Operating Calculations'!O$88:O$107)</f>
        <v>-182667</v>
      </c>
    </row>
    <row r="43" spans="2:16">
      <c r="B43" s="32" t="str">
        <f>GenValidation!L16</f>
        <v>Property Management Fee</v>
      </c>
      <c r="C43" s="145">
        <f>-SUMIF(RMHistExpAlloc,'Property CF'!B43,IF(OR(IsAdjustedHistoricalNOIWithReassessedTaxes,AdjustedHistoricalNOI),'Adjustments &amp; Notes'!$G$38:$G$56,'Adjustments &amp; Notes'!$D$38:$D$56))</f>
        <v>-45772</v>
      </c>
      <c r="D43" s="78">
        <f>SUMIF(ProformaCat,$B43,'Operating Calculations'!C$88:C$107)</f>
        <v>0</v>
      </c>
      <c r="E43" s="78">
        <f>SUMIF(ProformaCat,$B43,'Operating Calculations'!D$88:D$107)</f>
        <v>0</v>
      </c>
      <c r="F43" s="78">
        <f>SUMIF(ProformaCat,$B43,'Operating Calculations'!E$88:E$107)</f>
        <v>0</v>
      </c>
      <c r="G43" s="78">
        <f>SUMIF(ProformaCat,$B43,'Operating Calculations'!F$88:F$107)</f>
        <v>0</v>
      </c>
      <c r="H43" s="78">
        <f>SUMIF(ProformaCat,$B43,'Operating Calculations'!G$88:G$107)</f>
        <v>0</v>
      </c>
      <c r="I43" s="78">
        <f>SUMIF(ProformaCat,$B43,'Operating Calculations'!H$88:H$107)</f>
        <v>0</v>
      </c>
      <c r="J43" s="78">
        <f>SUMIF(ProformaCat,$B43,'Operating Calculations'!I$88:I$107)</f>
        <v>0</v>
      </c>
      <c r="K43" s="78">
        <f>SUMIF(ProformaCat,$B43,'Operating Calculations'!J$88:J$107)</f>
        <v>0</v>
      </c>
      <c r="L43" s="78">
        <f>SUMIF(ProformaCat,$B43,'Operating Calculations'!K$88:K$107)</f>
        <v>0</v>
      </c>
      <c r="M43" s="78">
        <f>SUMIF(ProformaCat,$B43,'Operating Calculations'!L$88:L$107)</f>
        <v>0</v>
      </c>
      <c r="N43" s="78">
        <f>SUMIF(ProformaCat,$B43,'Operating Calculations'!M$88:M$107)</f>
        <v>0</v>
      </c>
      <c r="P43" s="78">
        <f>SUMIF(ProformaCat,$B43,'Operating Calculations'!O$88:O$107)</f>
        <v>0</v>
      </c>
    </row>
    <row r="44" spans="2:16">
      <c r="B44" s="32" t="str">
        <f>GenValidation!L17</f>
        <v>Other Operating Expenses</v>
      </c>
      <c r="C44" s="145">
        <f>-SUMIF(RMHistExpAlloc,'Property CF'!B44,IF(OR(IsAdjustedHistoricalNOIWithReassessedTaxes,AdjustedHistoricalNOI),'Adjustments &amp; Notes'!$G$38:$G$56,'Adjustments &amp; Notes'!$D$38:$D$56))</f>
        <v>0</v>
      </c>
      <c r="D44" s="78">
        <f>SUMIF(ProformaCat,$B44,'Operating Calculations'!C$88:C$107)</f>
        <v>0</v>
      </c>
      <c r="E44" s="78">
        <f>SUMIF(ProformaCat,$B44,'Operating Calculations'!D$88:D$107)</f>
        <v>0</v>
      </c>
      <c r="F44" s="78">
        <f>SUMIF(ProformaCat,$B44,'Operating Calculations'!E$88:E$107)</f>
        <v>0</v>
      </c>
      <c r="G44" s="78">
        <f>SUMIF(ProformaCat,$B44,'Operating Calculations'!F$88:F$107)</f>
        <v>0</v>
      </c>
      <c r="H44" s="78">
        <f>SUMIF(ProformaCat,$B44,'Operating Calculations'!G$88:G$107)</f>
        <v>0</v>
      </c>
      <c r="I44" s="78">
        <f>SUMIF(ProformaCat,$B44,'Operating Calculations'!H$88:H$107)</f>
        <v>0</v>
      </c>
      <c r="J44" s="78">
        <f>SUMIF(ProformaCat,$B44,'Operating Calculations'!I$88:I$107)</f>
        <v>0</v>
      </c>
      <c r="K44" s="78">
        <f>SUMIF(ProformaCat,$B44,'Operating Calculations'!J$88:J$107)</f>
        <v>0</v>
      </c>
      <c r="L44" s="78">
        <f>SUMIF(ProformaCat,$B44,'Operating Calculations'!K$88:K$107)</f>
        <v>0</v>
      </c>
      <c r="M44" s="78">
        <f>SUMIF(ProformaCat,$B44,'Operating Calculations'!L$88:L$107)</f>
        <v>0</v>
      </c>
      <c r="N44" s="78">
        <f>SUMIF(ProformaCat,$B44,'Operating Calculations'!M$88:M$107)</f>
        <v>0</v>
      </c>
      <c r="P44" s="78">
        <f>SUMIF(ProformaCat,$B44,'Operating Calculations'!O$88:O$107)</f>
        <v>0</v>
      </c>
    </row>
    <row r="45" spans="2:16">
      <c r="B45" s="32" t="str">
        <f>GenValidation!L18</f>
        <v>Reimbursements</v>
      </c>
      <c r="C45" s="145">
        <f>-SUMIF(RMHistExpAlloc,'Property CF'!B45,IF(OR(IsAdjustedHistoricalNOIWithReassessedTaxes,AdjustedHistoricalNOI),'Adjustments &amp; Notes'!$G$38:$G$56,'Adjustments &amp; Notes'!$D$38:$D$56))</f>
        <v>0</v>
      </c>
      <c r="D45" s="78">
        <f>ROUND(('Operating Calculations'!C136-D22),)</f>
        <v>0</v>
      </c>
      <c r="E45" s="78">
        <f>ROUND(('Operating Calculations'!D136-E22),)</f>
        <v>0</v>
      </c>
      <c r="F45" s="78">
        <f>ROUND(('Operating Calculations'!E136-F22),)</f>
        <v>0</v>
      </c>
      <c r="G45" s="78">
        <f>ROUND(('Operating Calculations'!F136-G22),)</f>
        <v>0</v>
      </c>
      <c r="H45" s="78">
        <f>ROUND(('Operating Calculations'!G136-H22),)</f>
        <v>0</v>
      </c>
      <c r="I45" s="78">
        <f>ROUND(('Operating Calculations'!H136-I22),)</f>
        <v>0</v>
      </c>
      <c r="J45" s="78">
        <f>ROUND(('Operating Calculations'!I136-J22),)</f>
        <v>0</v>
      </c>
      <c r="K45" s="78">
        <f>ROUND(('Operating Calculations'!J136-K22),)</f>
        <v>0</v>
      </c>
      <c r="L45" s="78">
        <f>ROUND(('Operating Calculations'!K136-L22),)</f>
        <v>0</v>
      </c>
      <c r="M45" s="78">
        <f>ROUND(('Operating Calculations'!L136-M22),)</f>
        <v>0</v>
      </c>
      <c r="N45" s="78">
        <f>ROUND(('Operating Calculations'!M136-N22),)</f>
        <v>0</v>
      </c>
      <c r="P45" s="78">
        <f>ROUND('Operating Calculations'!O136-P22,)</f>
        <v>0</v>
      </c>
    </row>
    <row r="46" spans="2:16">
      <c r="B46" s="32"/>
      <c r="C46" s="145"/>
      <c r="D46" s="78"/>
      <c r="E46" s="78"/>
      <c r="F46" s="78"/>
      <c r="G46" s="78"/>
      <c r="H46" s="78"/>
      <c r="I46" s="78"/>
      <c r="J46" s="78"/>
      <c r="K46" s="78"/>
      <c r="L46" s="78"/>
      <c r="M46" s="78"/>
      <c r="N46" s="78"/>
      <c r="P46" s="78"/>
    </row>
    <row r="47" spans="2:16">
      <c r="B47" s="198" t="s">
        <v>127</v>
      </c>
      <c r="C47" s="155">
        <f t="shared" ref="C47:M47" si="6">SUBTOTAL(9,C32:C46)</f>
        <v>-592208</v>
      </c>
      <c r="D47" s="154">
        <f t="shared" si="6"/>
        <v>-439367</v>
      </c>
      <c r="E47" s="154">
        <f t="shared" si="6"/>
        <v>-439367</v>
      </c>
      <c r="F47" s="154">
        <f t="shared" si="6"/>
        <v>-439367</v>
      </c>
      <c r="G47" s="154">
        <f t="shared" si="6"/>
        <v>-439367</v>
      </c>
      <c r="H47" s="154">
        <f t="shared" si="6"/>
        <v>-439367</v>
      </c>
      <c r="I47" s="154">
        <f t="shared" si="6"/>
        <v>-439367</v>
      </c>
      <c r="J47" s="154">
        <f t="shared" si="6"/>
        <v>-439367</v>
      </c>
      <c r="K47" s="154">
        <f t="shared" si="6"/>
        <v>-439367</v>
      </c>
      <c r="L47" s="154">
        <f t="shared" si="6"/>
        <v>-439367</v>
      </c>
      <c r="M47" s="154">
        <f t="shared" si="6"/>
        <v>-439367</v>
      </c>
      <c r="N47" s="199">
        <f>SUBTOTAL(9,N32:N46)</f>
        <v>-439367</v>
      </c>
      <c r="P47" s="154">
        <f>SUBTOTAL(9,P32:P46)</f>
        <v>-439367</v>
      </c>
    </row>
    <row r="48" spans="2:16">
      <c r="B48" s="198"/>
      <c r="C48" s="91"/>
      <c r="D48" s="169"/>
      <c r="E48" s="169"/>
      <c r="F48" s="169"/>
      <c r="G48" s="169"/>
      <c r="H48" s="169"/>
      <c r="I48" s="169"/>
      <c r="J48" s="169"/>
      <c r="K48" s="169"/>
      <c r="L48" s="169"/>
      <c r="M48" s="169"/>
      <c r="N48" s="169"/>
      <c r="P48" s="169"/>
    </row>
    <row r="51" spans="2:18">
      <c r="B51" s="1043" t="s">
        <v>128</v>
      </c>
      <c r="C51" s="196"/>
      <c r="D51" s="196"/>
      <c r="E51" s="197"/>
      <c r="F51" s="197"/>
      <c r="G51" s="197"/>
      <c r="H51" s="197"/>
      <c r="I51" s="197"/>
      <c r="J51" s="197"/>
      <c r="K51" s="197"/>
      <c r="L51" s="197"/>
      <c r="M51" s="197"/>
      <c r="N51" s="197"/>
      <c r="O51" s="197"/>
      <c r="P51" s="197"/>
    </row>
    <row r="52" spans="2:18">
      <c r="B52" s="32" t="s">
        <v>129</v>
      </c>
      <c r="C52" s="145">
        <f t="shared" ref="C52:N52" si="7">SUBTOTAL(9,C10:C47)</f>
        <v>519067</v>
      </c>
      <c r="D52" s="78">
        <f t="shared" si="7"/>
        <v>1013735.7586710614</v>
      </c>
      <c r="E52" s="78">
        <f t="shared" si="7"/>
        <v>1056179.4324117121</v>
      </c>
      <c r="F52" s="78">
        <f t="shared" si="7"/>
        <v>1118852.1397523265</v>
      </c>
      <c r="G52" s="78">
        <f t="shared" si="7"/>
        <v>1167400.4878539424</v>
      </c>
      <c r="H52" s="78">
        <f t="shared" si="7"/>
        <v>1217633.7596158781</v>
      </c>
      <c r="I52" s="78">
        <f t="shared" si="7"/>
        <v>1261529.7824043559</v>
      </c>
      <c r="J52" s="78">
        <f t="shared" si="7"/>
        <v>1306742.6858764878</v>
      </c>
      <c r="K52" s="78">
        <f t="shared" si="7"/>
        <v>1353311.9764527844</v>
      </c>
      <c r="L52" s="78">
        <f t="shared" si="7"/>
        <v>1401278.3457463691</v>
      </c>
      <c r="M52" s="78">
        <f t="shared" si="7"/>
        <v>1450683.7061187627</v>
      </c>
      <c r="N52" s="78">
        <f t="shared" si="7"/>
        <v>1501571.2273023273</v>
      </c>
      <c r="P52" s="78">
        <f>SUBTOTAL(9,P10:P47)</f>
        <v>1353311.9764527844</v>
      </c>
    </row>
    <row r="53" spans="2:18">
      <c r="B53" s="32" t="s">
        <v>130</v>
      </c>
      <c r="C53" s="145">
        <f>-IF(OR(IsAdjustedHistoricalNOIWithReassessedTaxes,AdjustedHistoricalNOI),'Adjustments &amp; Notes'!G64,'Adjustments &amp; Notes'!D64)</f>
        <v>0</v>
      </c>
      <c r="D53" s="78">
        <f>-Input!G171*TotalDealUnits</f>
        <v>0</v>
      </c>
      <c r="E53" s="78">
        <f>-Input!H171*TotalDealUnits</f>
        <v>0</v>
      </c>
      <c r="F53" s="78">
        <f>-Input!I171*TotalDealUnits</f>
        <v>0</v>
      </c>
      <c r="G53" s="78">
        <f>-Input!J171*TotalDealUnits</f>
        <v>0</v>
      </c>
      <c r="H53" s="78">
        <f>-Input!K171*TotalDealUnits</f>
        <v>0</v>
      </c>
      <c r="I53" s="78">
        <f>-Input!L171*TotalDealUnits</f>
        <v>0</v>
      </c>
      <c r="J53" s="78">
        <f>-Input!M171*TotalDealUnits</f>
        <v>0</v>
      </c>
      <c r="K53" s="78">
        <f>-Input!N171*TotalDealUnits</f>
        <v>0</v>
      </c>
      <c r="L53" s="78">
        <f>-Input!O171*TotalDealUnits</f>
        <v>0</v>
      </c>
      <c r="M53" s="78">
        <f>-Input!P171*TotalDealUnits</f>
        <v>0</v>
      </c>
      <c r="N53" s="78">
        <f>-Input!Q171*TotalDealUnits</f>
        <v>0</v>
      </c>
      <c r="P53" s="78">
        <f>'CF Calculations'!Q60</f>
        <v>0</v>
      </c>
    </row>
    <row r="54" spans="2:18">
      <c r="B54" s="32"/>
      <c r="C54" s="145"/>
      <c r="D54" s="78"/>
      <c r="E54" s="78"/>
      <c r="F54" s="78"/>
      <c r="G54" s="78"/>
      <c r="H54" s="78"/>
      <c r="I54" s="78"/>
      <c r="J54" s="78"/>
      <c r="K54" s="78"/>
      <c r="L54" s="78"/>
      <c r="M54" s="78"/>
      <c r="N54" s="78"/>
      <c r="P54" s="78"/>
    </row>
    <row r="55" spans="2:18" ht="14.25" customHeight="1">
      <c r="B55" s="198" t="s">
        <v>131</v>
      </c>
      <c r="C55" s="155">
        <f t="shared" ref="C55:N55" si="8">SUBTOTAL(9,C10:C53)</f>
        <v>519067</v>
      </c>
      <c r="D55" s="154">
        <f t="shared" si="8"/>
        <v>1013735.7586710614</v>
      </c>
      <c r="E55" s="154">
        <f t="shared" si="8"/>
        <v>1056179.4324117121</v>
      </c>
      <c r="F55" s="154">
        <f t="shared" si="8"/>
        <v>1118852.1397523265</v>
      </c>
      <c r="G55" s="154">
        <f t="shared" si="8"/>
        <v>1167400.4878539424</v>
      </c>
      <c r="H55" s="154">
        <f t="shared" si="8"/>
        <v>1217633.7596158781</v>
      </c>
      <c r="I55" s="154">
        <f t="shared" si="8"/>
        <v>1261529.7824043559</v>
      </c>
      <c r="J55" s="154">
        <f t="shared" si="8"/>
        <v>1306742.6858764878</v>
      </c>
      <c r="K55" s="154">
        <f t="shared" si="8"/>
        <v>1353311.9764527844</v>
      </c>
      <c r="L55" s="154">
        <f t="shared" si="8"/>
        <v>1401278.3457463691</v>
      </c>
      <c r="M55" s="154">
        <f t="shared" si="8"/>
        <v>1450683.7061187627</v>
      </c>
      <c r="N55" s="199">
        <f t="shared" si="8"/>
        <v>1501571.2273023273</v>
      </c>
      <c r="P55" s="154">
        <f>SUBTOTAL(9,P10:P53)</f>
        <v>1353311.9764527844</v>
      </c>
    </row>
    <row r="56" spans="2:18" ht="14.25" customHeight="1">
      <c r="B56" s="198"/>
      <c r="C56" s="91"/>
      <c r="D56" s="169"/>
      <c r="E56" s="169"/>
      <c r="F56" s="169"/>
      <c r="G56" s="169"/>
      <c r="H56" s="169"/>
      <c r="I56" s="169"/>
      <c r="J56" s="169"/>
      <c r="K56" s="169"/>
      <c r="L56" s="169"/>
      <c r="M56" s="169"/>
      <c r="N56" s="169"/>
      <c r="P56" s="169"/>
    </row>
    <row r="57" spans="2:18" ht="12.75" customHeight="1">
      <c r="D57" s="201"/>
      <c r="E57" s="201"/>
      <c r="F57" s="201"/>
      <c r="G57" s="201"/>
      <c r="H57" s="201"/>
      <c r="I57" s="201"/>
      <c r="J57" s="201"/>
      <c r="K57" s="201"/>
      <c r="L57" s="201"/>
    </row>
    <row r="58" spans="2:18" ht="12.75" customHeight="1"/>
    <row r="59" spans="2:18" s="192" customFormat="1" ht="14.25" customHeight="1" collapsed="1">
      <c r="B59" s="1043" t="s">
        <v>145</v>
      </c>
      <c r="C59" s="196"/>
      <c r="D59" s="196"/>
      <c r="E59" s="197"/>
      <c r="F59" s="197"/>
      <c r="G59" s="197"/>
      <c r="H59" s="197"/>
      <c r="I59" s="197"/>
      <c r="J59" s="197"/>
      <c r="K59" s="197"/>
      <c r="L59" s="197"/>
      <c r="M59" s="197"/>
      <c r="N59" s="197"/>
      <c r="O59"/>
      <c r="P59"/>
      <c r="Q59"/>
      <c r="R59"/>
    </row>
    <row r="60" spans="2:18">
      <c r="B60" s="32" t="s">
        <v>146</v>
      </c>
      <c r="C60" s="90"/>
      <c r="D60" s="78">
        <f>-SUMPRODUCT(Input!$D$78:$D$80,Input!G78:G80)</f>
        <v>0</v>
      </c>
      <c r="E60" s="203">
        <f>-SUMPRODUCT(FVSCHEDULE(Input!$D$78:$D$80*Input!H78:H80,InflRate*(CFYears&lt;=D$5)*(RenovCostsInfl=Grown)))</f>
        <v>0</v>
      </c>
      <c r="F60" s="203">
        <f>-SUMPRODUCT(FVSCHEDULE(Input!$D$78:$D$80*Input!I78:I80,InflRate*(CFYears&lt;=E$5)*(RenovCostsInfl=Grown)))</f>
        <v>0</v>
      </c>
      <c r="G60" s="203">
        <f>-SUMPRODUCT(FVSCHEDULE(Input!$D$78:$D$80*Input!J78:J80,InflRate*(CFYears&lt;=F$5)*(RenovCostsInfl=Grown)))</f>
        <v>0</v>
      </c>
      <c r="H60" s="203">
        <f>-SUMPRODUCT(FVSCHEDULE(Input!$D$78:$D$80*Input!K78:K80,InflRate*(CFYears&lt;=G$5)*(RenovCostsInfl=Grown)))</f>
        <v>0</v>
      </c>
      <c r="I60" s="203">
        <f>-SUMPRODUCT(FVSCHEDULE(Input!$D$78:$D$80*Input!L78:L80,InflRate*(CFYears&lt;=H$5)*(RenovCostsInfl=Grown)))</f>
        <v>0</v>
      </c>
      <c r="J60" s="203">
        <f>-SUMPRODUCT(FVSCHEDULE(Input!$D$78:$D$80*Input!M78:M80,InflRate*(CFYears&lt;=I$5)*(RenovCostsInfl=Grown)))</f>
        <v>0</v>
      </c>
      <c r="K60" s="203">
        <f>-SUMPRODUCT(FVSCHEDULE(Input!$D$78:$D$80*Input!N78:N80,InflRate*(CFYears&lt;=J$5)*(RenovCostsInfl=Grown)))</f>
        <v>0</v>
      </c>
      <c r="L60" s="203">
        <f>-SUMPRODUCT(FVSCHEDULE(Input!$D$78:$D$80*Input!O78:O80,InflRate*(CFYears&lt;=K$5)*(RenovCostsInfl=Grown)))</f>
        <v>0</v>
      </c>
      <c r="M60" s="203">
        <f>-SUMPRODUCT(FVSCHEDULE(Input!$D$78:$D$80*Input!P78:P80,InflRate*(CFYears&lt;=L$5)*(RenovCostsInfl=Grown)))</f>
        <v>0</v>
      </c>
      <c r="N60" s="90"/>
    </row>
    <row r="61" spans="2:18">
      <c r="B61" s="32" t="s">
        <v>147</v>
      </c>
      <c r="C61" s="90"/>
      <c r="D61" s="78">
        <f>-SUM(Input!G180:G186)</f>
        <v>0</v>
      </c>
      <c r="E61" s="78">
        <f>-SUM(Input!H180:H186)</f>
        <v>0</v>
      </c>
      <c r="F61" s="78">
        <f>-SUM(Input!I180:I186)</f>
        <v>0</v>
      </c>
      <c r="G61" s="78">
        <f>-SUM(Input!J180:J186)</f>
        <v>0</v>
      </c>
      <c r="H61" s="78">
        <f>-SUM(Input!K180:K186)</f>
        <v>0</v>
      </c>
      <c r="I61" s="78">
        <f>-SUM(Input!L180:L186)</f>
        <v>0</v>
      </c>
      <c r="J61" s="78">
        <f>-SUM(Input!M180:M186)</f>
        <v>0</v>
      </c>
      <c r="K61" s="78">
        <f>-SUM(Input!N180:N186)</f>
        <v>0</v>
      </c>
      <c r="L61" s="78">
        <f>-SUM(Input!O180:O186)</f>
        <v>0</v>
      </c>
      <c r="M61" s="78">
        <f>-SUM(Input!P180:P186)</f>
        <v>0</v>
      </c>
      <c r="N61" s="90"/>
    </row>
    <row r="62" spans="2:18" hidden="1">
      <c r="B62" s="32" t="s">
        <v>148</v>
      </c>
      <c r="C62" s="90"/>
      <c r="D62" s="78">
        <f>-SUMPRODUCT((('Commercial CF'!$D$19:$EE$19)+('Commercial CF'!$D$20:$EE$20))*(ROUNDUP('Commercial CF'!$D$17:$EE$17/12,0)=D$5))</f>
        <v>0</v>
      </c>
      <c r="E62" s="78">
        <f>-SUMPRODUCT((('Commercial CF'!$D$19:$EE$19)+('Commercial CF'!$D$20:$EE$20))*(ROUNDUP('Commercial CF'!$D$17:$EE$17/12,0)=E$5))</f>
        <v>0</v>
      </c>
      <c r="F62" s="78">
        <f>-SUMPRODUCT((('Commercial CF'!$D$19:$EE$19)+('Commercial CF'!$D$20:$EE$20))*(ROUNDUP('Commercial CF'!$D$17:$EE$17/12,0)=F$5))</f>
        <v>0</v>
      </c>
      <c r="G62" s="78">
        <f>-SUMPRODUCT((('Commercial CF'!$D$19:$EE$19)+('Commercial CF'!$D$20:$EE$20))*(ROUNDUP('Commercial CF'!$D$17:$EE$17/12,0)=G$5))</f>
        <v>0</v>
      </c>
      <c r="H62" s="78">
        <f>-SUMPRODUCT((('Commercial CF'!$D$19:$EE$19)+('Commercial CF'!$D$20:$EE$20))*(ROUNDUP('Commercial CF'!$D$17:$EE$17/12,0)=H$5))</f>
        <v>0</v>
      </c>
      <c r="I62" s="78">
        <f>-SUMPRODUCT((('Commercial CF'!$D$19:$EE$19)+('Commercial CF'!$D$20:$EE$20))*(ROUNDUP('Commercial CF'!$D$17:$EE$17/12,0)=I$5))</f>
        <v>0</v>
      </c>
      <c r="J62" s="78">
        <f>-SUMPRODUCT((('Commercial CF'!$D$19:$EE$19)+('Commercial CF'!$D$20:$EE$20))*(ROUNDUP('Commercial CF'!$D$17:$EE$17/12,0)=J$5))</f>
        <v>0</v>
      </c>
      <c r="K62" s="78">
        <f>-SUMPRODUCT((('Commercial CF'!$D$19:$EE$19)+('Commercial CF'!$D$20:$EE$20))*(ROUNDUP('Commercial CF'!$D$17:$EE$17/12,0)=K$5))</f>
        <v>0</v>
      </c>
      <c r="L62" s="78">
        <f>-SUMPRODUCT((('Commercial CF'!$D$19:$EE$19)+('Commercial CF'!$D$20:$EE$20))*(ROUNDUP('Commercial CF'!$D$17:$EE$17/12,0)=L$5))</f>
        <v>0</v>
      </c>
      <c r="M62" s="78">
        <f>-SUMPRODUCT((('Commercial CF'!$D$19:$EE$19)+('Commercial CF'!$D$20:$EE$20))*(ROUNDUP('Commercial CF'!$D$17:$EE$17/12,0)=M$5))</f>
        <v>0</v>
      </c>
      <c r="N62" s="90"/>
      <c r="O62" s="202"/>
    </row>
    <row r="63" spans="2:18">
      <c r="B63" s="32"/>
      <c r="C63" s="90"/>
      <c r="D63" s="78"/>
      <c r="E63" s="78"/>
      <c r="F63" s="78"/>
      <c r="G63" s="78"/>
      <c r="H63" s="78"/>
      <c r="I63" s="78"/>
      <c r="J63" s="78"/>
      <c r="K63" s="78"/>
      <c r="L63" s="78"/>
      <c r="M63" s="78"/>
      <c r="N63" s="90"/>
    </row>
    <row r="64" spans="2:18">
      <c r="B64" s="153" t="s">
        <v>149</v>
      </c>
      <c r="C64" s="155"/>
      <c r="D64" s="154">
        <f>SUBTOTAL(9,D60:D63)</f>
        <v>0</v>
      </c>
      <c r="E64" s="154">
        <f t="shared" ref="E64:M64" si="9">SUBTOTAL(9,E60:E63)</f>
        <v>0</v>
      </c>
      <c r="F64" s="154">
        <f t="shared" si="9"/>
        <v>0</v>
      </c>
      <c r="G64" s="154">
        <f t="shared" si="9"/>
        <v>0</v>
      </c>
      <c r="H64" s="154">
        <f t="shared" si="9"/>
        <v>0</v>
      </c>
      <c r="I64" s="154">
        <f t="shared" si="9"/>
        <v>0</v>
      </c>
      <c r="J64" s="154">
        <f t="shared" si="9"/>
        <v>0</v>
      </c>
      <c r="K64" s="154">
        <f t="shared" si="9"/>
        <v>0</v>
      </c>
      <c r="L64" s="154">
        <f t="shared" si="9"/>
        <v>0</v>
      </c>
      <c r="M64" s="154">
        <f t="shared" si="9"/>
        <v>0</v>
      </c>
      <c r="N64" s="155"/>
    </row>
    <row r="65" spans="2:17" ht="12.75" customHeight="1">
      <c r="B65" s="32" t="s">
        <v>150</v>
      </c>
      <c r="C65" s="145"/>
      <c r="D65" s="78">
        <f>'CF Calculations'!E72</f>
        <v>0</v>
      </c>
      <c r="E65" s="78">
        <f>'CF Calculations'!F72</f>
        <v>0</v>
      </c>
      <c r="F65" s="78">
        <f>'CF Calculations'!G72</f>
        <v>0</v>
      </c>
      <c r="G65" s="78">
        <f>'CF Calculations'!H72</f>
        <v>0</v>
      </c>
      <c r="H65" s="78">
        <f>'CF Calculations'!I72</f>
        <v>0</v>
      </c>
      <c r="I65" s="78">
        <f>'CF Calculations'!J72</f>
        <v>0</v>
      </c>
      <c r="J65" s="78">
        <f>'CF Calculations'!K72</f>
        <v>0</v>
      </c>
      <c r="K65" s="78">
        <f>'CF Calculations'!L72</f>
        <v>0</v>
      </c>
      <c r="L65" s="78">
        <f>'CF Calculations'!M72</f>
        <v>0</v>
      </c>
      <c r="M65" s="78">
        <f>'CF Calculations'!N72</f>
        <v>0</v>
      </c>
      <c r="N65" s="145"/>
    </row>
    <row r="66" spans="2:17" ht="12.75" customHeight="1">
      <c r="B66" s="32"/>
      <c r="C66" s="145"/>
      <c r="D66" s="78"/>
      <c r="E66" s="78"/>
      <c r="F66" s="78"/>
      <c r="G66" s="78"/>
      <c r="H66" s="78"/>
      <c r="I66" s="78"/>
      <c r="J66" s="78"/>
      <c r="K66" s="78"/>
      <c r="L66" s="78"/>
      <c r="M66" s="78"/>
      <c r="N66" s="145"/>
    </row>
    <row r="67" spans="2:17" ht="12.75" customHeight="1"/>
    <row r="68" spans="2:17" ht="12.75" customHeight="1"/>
    <row r="69" spans="2:17" ht="14.25" customHeight="1">
      <c r="B69" s="1043" t="s">
        <v>151</v>
      </c>
      <c r="C69" s="204"/>
      <c r="D69" s="204">
        <f t="shared" ref="D69:N69" si="10">SUBTOTAL(9,D10:D65)</f>
        <v>1013735.7586710614</v>
      </c>
      <c r="E69" s="204">
        <f t="shared" si="10"/>
        <v>1056179.4324117121</v>
      </c>
      <c r="F69" s="204">
        <f t="shared" si="10"/>
        <v>1118852.1397523265</v>
      </c>
      <c r="G69" s="204">
        <f t="shared" si="10"/>
        <v>1167400.4878539424</v>
      </c>
      <c r="H69" s="204">
        <f t="shared" si="10"/>
        <v>1217633.7596158781</v>
      </c>
      <c r="I69" s="204">
        <f t="shared" si="10"/>
        <v>1261529.7824043559</v>
      </c>
      <c r="J69" s="204">
        <f t="shared" si="10"/>
        <v>1306742.6858764878</v>
      </c>
      <c r="K69" s="204">
        <f t="shared" si="10"/>
        <v>1353311.9764527844</v>
      </c>
      <c r="L69" s="204">
        <f t="shared" si="10"/>
        <v>1401278.3457463691</v>
      </c>
      <c r="M69" s="204">
        <f t="shared" si="10"/>
        <v>1450683.7061187627</v>
      </c>
      <c r="N69" s="204">
        <f t="shared" si="10"/>
        <v>1501571.2273023273</v>
      </c>
    </row>
    <row r="70" spans="2:17">
      <c r="D70" s="201"/>
      <c r="E70" s="201"/>
      <c r="F70" s="201"/>
      <c r="G70" s="201"/>
      <c r="H70" s="201"/>
      <c r="I70" s="201"/>
      <c r="J70" s="201"/>
      <c r="K70" s="201"/>
    </row>
    <row r="72" spans="2:17" s="192" customFormat="1" ht="15.75" customHeight="1" collapsed="1">
      <c r="B72" s="1038" t="s">
        <v>152</v>
      </c>
      <c r="C72" s="1019"/>
      <c r="D72" s="1019"/>
      <c r="E72" s="1019"/>
      <c r="F72" s="1019"/>
      <c r="G72" s="1019"/>
      <c r="H72" s="1019"/>
      <c r="I72" s="1019"/>
      <c r="J72" s="1019"/>
      <c r="K72" s="1019"/>
      <c r="L72" s="1019"/>
      <c r="M72" s="1019"/>
      <c r="N72" s="1019"/>
      <c r="O72"/>
      <c r="P72"/>
      <c r="Q72"/>
    </row>
    <row r="74" spans="2:17">
      <c r="B74" s="1043" t="s">
        <v>153</v>
      </c>
      <c r="C74" s="196"/>
      <c r="D74" s="196"/>
      <c r="E74" s="197"/>
      <c r="F74" s="197"/>
      <c r="G74" s="197"/>
      <c r="H74" s="197"/>
      <c r="I74" s="197"/>
      <c r="J74" s="197"/>
      <c r="K74" s="197"/>
      <c r="L74" s="197"/>
      <c r="M74" s="197"/>
      <c r="N74" s="197"/>
    </row>
    <row r="75" spans="2:17">
      <c r="B75" s="32" t="s">
        <v>154</v>
      </c>
      <c r="C75" s="145">
        <f>C10/TotalDealUnits/12</f>
        <v>1517.1083333333333</v>
      </c>
      <c r="D75" s="78">
        <f>SUM(D10:D11)/TotalDealUnits/12</f>
        <v>1670.2750000000003</v>
      </c>
      <c r="E75" s="78">
        <f>SUM(E10:E11)/TotalDealUnits/12</f>
        <v>1688.3149026269048</v>
      </c>
      <c r="F75" s="78">
        <f>SUM(F10:F11)/TotalDealUnits/12</f>
        <v>1731.2402873546782</v>
      </c>
      <c r="G75" s="78">
        <f>SUM(G10:G11)/TotalDealUnits/12</f>
        <v>1783.1774959753204</v>
      </c>
      <c r="H75" s="78">
        <f>SUM(H10:H11)/TotalDealUnits/12</f>
        <v>1836.6728208545821</v>
      </c>
      <c r="I75" s="78">
        <f>SUM(I10:I11)/TotalDealUnits/12</f>
        <v>1891.7730054802214</v>
      </c>
      <c r="J75" s="78">
        <f>SUM(J10:J11)/TotalDealUnits/12</f>
        <v>1948.5261956446295</v>
      </c>
      <c r="K75" s="78">
        <f>SUM(K10:K11)/TotalDealUnits/12</f>
        <v>2006.9819815139706</v>
      </c>
      <c r="L75" s="78">
        <f>SUM(L10:L11)/TotalDealUnits/12</f>
        <v>2067.1914409593915</v>
      </c>
      <c r="M75" s="78">
        <f>SUM(M10:M11)/TotalDealUnits/12</f>
        <v>2129.2071841881761</v>
      </c>
      <c r="N75" s="78">
        <f>SUM(N10:N11)/TotalDealUnits/12</f>
        <v>2193.0833997138238</v>
      </c>
    </row>
    <row r="76" spans="2:17">
      <c r="B76" s="32" t="s">
        <v>155</v>
      </c>
      <c r="C76" s="145">
        <f>IF(C90,SUM(C13:C18)/C90/TotalDealUnits/12,)</f>
        <v>1476.0386161326358</v>
      </c>
      <c r="D76" s="78">
        <f>IF(D90,SUM(D13:D18)/D90/TotalDealUnits/12,)</f>
        <v>1572.3020978131663</v>
      </c>
      <c r="E76" s="78">
        <f>IF(E90,SUM(E13:E18)/E90/TotalDealUnits/12,)</f>
        <v>1625.2951344771591</v>
      </c>
      <c r="F76" s="78">
        <f>IF(F90,SUM(F13:F18)/F90/TotalDealUnits/12,)</f>
        <v>1703.5451252349558</v>
      </c>
      <c r="G76" s="78">
        <f>IF(G90,SUM(G13:G18)/G90/TotalDealUnits/12,)</f>
        <v>1764.1601513197777</v>
      </c>
      <c r="H76" s="78">
        <f>IF(H90,SUM(H13:H18)/H90/TotalDealUnits/12,)</f>
        <v>1826.8788883569775</v>
      </c>
      <c r="I76" s="78">
        <f>IF(I90,SUM(I13:I18)/I90/TotalDealUnits/12,)</f>
        <v>1881.6852550076883</v>
      </c>
      <c r="J76" s="78">
        <f>IF(J90,SUM(J13:J18)/J90/TotalDealUnits/12,)</f>
        <v>1938.1358126579207</v>
      </c>
      <c r="K76" s="78">
        <f>IF(K90,SUM(K13:K18)/K90/TotalDealUnits/12,)</f>
        <v>1996.2798870376607</v>
      </c>
      <c r="L76" s="78">
        <f>IF(L90,SUM(L13:L18)/L90/TotalDealUnits/12,)</f>
        <v>2056.1682836487921</v>
      </c>
      <c r="M76" s="78">
        <f>IF(M90,SUM(M13:M18)/M90/TotalDealUnits/12,)</f>
        <v>2117.8533321582586</v>
      </c>
      <c r="N76" s="78">
        <f>IF(N90,SUM(N13:N18)/N90/TotalDealUnits/12,)</f>
        <v>2181.3889321230085</v>
      </c>
    </row>
    <row r="77" spans="2:17">
      <c r="B77" s="27"/>
      <c r="C77" s="27"/>
      <c r="D77" s="27"/>
      <c r="E77" s="27"/>
      <c r="F77" s="27"/>
      <c r="G77" s="27"/>
      <c r="H77" s="27"/>
      <c r="I77" s="27"/>
      <c r="J77" s="27"/>
      <c r="K77" s="27"/>
      <c r="L77" s="27"/>
      <c r="M77" s="27"/>
      <c r="N77" s="27"/>
    </row>
    <row r="80" spans="2:17">
      <c r="B80" s="1043" t="s">
        <v>32</v>
      </c>
      <c r="C80" s="196"/>
      <c r="D80" s="196"/>
      <c r="E80" s="197"/>
      <c r="F80" s="197"/>
      <c r="G80" s="197"/>
      <c r="H80" s="197"/>
      <c r="I80" s="197"/>
      <c r="J80" s="197"/>
      <c r="K80" s="197"/>
      <c r="L80" s="197"/>
      <c r="M80" s="197"/>
      <c r="N80" s="197"/>
    </row>
    <row r="81" spans="2:14">
      <c r="B81" s="32" t="s">
        <v>23</v>
      </c>
      <c r="C81" s="90"/>
      <c r="D81" s="77" t="s">
        <v>33</v>
      </c>
      <c r="E81" s="40">
        <f>IF(D10,E10/D10-1,)</f>
        <v>1.0800558367277446E-2</v>
      </c>
      <c r="F81" s="40">
        <f t="shared" ref="F81:N81" si="11">IF(E10,F10/E10-1,)</f>
        <v>2.5424987163819024E-2</v>
      </c>
      <c r="G81" s="40">
        <f t="shared" si="11"/>
        <v>3.0000000000001137E-2</v>
      </c>
      <c r="H81" s="40">
        <f t="shared" si="11"/>
        <v>3.0000000000001137E-2</v>
      </c>
      <c r="I81" s="40">
        <f t="shared" si="11"/>
        <v>3.0000000000000915E-2</v>
      </c>
      <c r="J81" s="40">
        <f t="shared" si="11"/>
        <v>3.0000000000000915E-2</v>
      </c>
      <c r="K81" s="40">
        <f t="shared" si="11"/>
        <v>3.0000000000001137E-2</v>
      </c>
      <c r="L81" s="40">
        <f t="shared" si="11"/>
        <v>3.0000000000000915E-2</v>
      </c>
      <c r="M81" s="40">
        <f t="shared" si="11"/>
        <v>3.0000000000001359E-2</v>
      </c>
      <c r="N81" s="40">
        <f t="shared" si="11"/>
        <v>3.0000000000001137E-2</v>
      </c>
    </row>
    <row r="82" spans="2:14" hidden="1">
      <c r="B82" s="32" t="s">
        <v>156</v>
      </c>
      <c r="C82" s="90"/>
      <c r="D82" s="77" t="s">
        <v>33</v>
      </c>
      <c r="E82" s="40">
        <f>IF(D10+D11,(E10+E11)/(D10+D11)-1,)</f>
        <v>1.0800558367277446E-2</v>
      </c>
      <c r="F82" s="40">
        <f t="shared" ref="F82:N82" si="12">IF(E10+E11,(F10+F11)/(E10+E11)-1,)</f>
        <v>2.5424987163819024E-2</v>
      </c>
      <c r="G82" s="40">
        <f t="shared" si="12"/>
        <v>3.0000000000001137E-2</v>
      </c>
      <c r="H82" s="40">
        <f t="shared" si="12"/>
        <v>3.0000000000001137E-2</v>
      </c>
      <c r="I82" s="40">
        <f t="shared" si="12"/>
        <v>3.0000000000000915E-2</v>
      </c>
      <c r="J82" s="40">
        <f t="shared" si="12"/>
        <v>3.0000000000000915E-2</v>
      </c>
      <c r="K82" s="40">
        <f t="shared" si="12"/>
        <v>3.0000000000001137E-2</v>
      </c>
      <c r="L82" s="40">
        <f t="shared" si="12"/>
        <v>3.0000000000000915E-2</v>
      </c>
      <c r="M82" s="40">
        <f t="shared" si="12"/>
        <v>3.0000000000001359E-2</v>
      </c>
      <c r="N82" s="40">
        <f t="shared" si="12"/>
        <v>3.0000000000001137E-2</v>
      </c>
    </row>
    <row r="83" spans="2:14">
      <c r="B83" s="32" t="s">
        <v>34</v>
      </c>
      <c r="C83" s="90"/>
      <c r="D83" s="77" t="s">
        <v>33</v>
      </c>
      <c r="E83" s="40">
        <f t="shared" ref="E83:N83" si="13">IF(D27=0,0,E27/D27-1)</f>
        <v>2.9208996739823023E-2</v>
      </c>
      <c r="F83" s="40">
        <f t="shared" si="13"/>
        <v>4.1906226368076505E-2</v>
      </c>
      <c r="G83" s="40">
        <f t="shared" si="13"/>
        <v>3.11563032843587E-2</v>
      </c>
      <c r="H83" s="40">
        <f t="shared" si="13"/>
        <v>3.1263559999604507E-2</v>
      </c>
      <c r="I83" s="40">
        <f t="shared" si="13"/>
        <v>2.6491250854135728E-2</v>
      </c>
      <c r="J83" s="40">
        <f t="shared" si="13"/>
        <v>2.6581803163987283E-2</v>
      </c>
      <c r="K83" s="40">
        <f t="shared" si="13"/>
        <v>2.6670312267880414E-2</v>
      </c>
      <c r="L83" s="40">
        <f t="shared" si="13"/>
        <v>2.6756809179799168E-2</v>
      </c>
      <c r="M83" s="40">
        <f t="shared" si="13"/>
        <v>2.6841325237676461E-2</v>
      </c>
      <c r="N83" s="40">
        <f t="shared" si="13"/>
        <v>2.6923892051585518E-2</v>
      </c>
    </row>
    <row r="84" spans="2:14">
      <c r="B84" s="32" t="s">
        <v>35</v>
      </c>
      <c r="C84" s="90"/>
      <c r="D84" s="77" t="s">
        <v>33</v>
      </c>
      <c r="E84" s="40">
        <f t="shared" ref="E84:N84" si="14">IF(D47=0,0,E47/D47-1)</f>
        <v>0</v>
      </c>
      <c r="F84" s="40">
        <f t="shared" si="14"/>
        <v>0</v>
      </c>
      <c r="G84" s="40">
        <f t="shared" si="14"/>
        <v>0</v>
      </c>
      <c r="H84" s="40">
        <f t="shared" si="14"/>
        <v>0</v>
      </c>
      <c r="I84" s="40">
        <f t="shared" si="14"/>
        <v>0</v>
      </c>
      <c r="J84" s="40">
        <f t="shared" si="14"/>
        <v>0</v>
      </c>
      <c r="K84" s="40">
        <f t="shared" si="14"/>
        <v>0</v>
      </c>
      <c r="L84" s="40">
        <f t="shared" si="14"/>
        <v>0</v>
      </c>
      <c r="M84" s="40">
        <f t="shared" si="14"/>
        <v>0</v>
      </c>
      <c r="N84" s="40">
        <f t="shared" si="14"/>
        <v>0</v>
      </c>
    </row>
    <row r="85" spans="2:14">
      <c r="B85" s="32" t="s">
        <v>36</v>
      </c>
      <c r="C85" s="90"/>
      <c r="D85" s="77" t="s">
        <v>33</v>
      </c>
      <c r="E85" s="40">
        <f t="shared" ref="E85:N85" si="15">IF(D55=0,0,E55/D55-1)</f>
        <v>4.1868577070114821E-2</v>
      </c>
      <c r="F85" s="40">
        <f t="shared" si="15"/>
        <v>5.9339071958166789E-2</v>
      </c>
      <c r="G85" s="40">
        <f t="shared" si="15"/>
        <v>4.3391209952338139E-2</v>
      </c>
      <c r="H85" s="40">
        <f t="shared" si="15"/>
        <v>4.303002464413952E-2</v>
      </c>
      <c r="I85" s="40">
        <f t="shared" si="15"/>
        <v>3.6050267530628899E-2</v>
      </c>
      <c r="J85" s="40">
        <f t="shared" si="15"/>
        <v>3.5839743225055232E-2</v>
      </c>
      <c r="K85" s="40">
        <f t="shared" si="15"/>
        <v>3.5637689867811018E-2</v>
      </c>
      <c r="L85" s="40">
        <f t="shared" si="15"/>
        <v>3.5443689354845764E-2</v>
      </c>
      <c r="M85" s="40">
        <f t="shared" si="15"/>
        <v>3.5257349492601175E-2</v>
      </c>
      <c r="N85" s="40">
        <f t="shared" si="15"/>
        <v>3.5078302023334729E-2</v>
      </c>
    </row>
    <row r="86" spans="2:14">
      <c r="B86" s="32"/>
      <c r="C86" s="90"/>
      <c r="D86" s="205"/>
      <c r="E86" s="206"/>
      <c r="F86" s="78"/>
      <c r="G86" s="78"/>
      <c r="H86" s="78"/>
      <c r="I86" s="78"/>
      <c r="J86" s="78"/>
      <c r="K86" s="78"/>
      <c r="L86" s="78"/>
      <c r="M86" s="78"/>
      <c r="N86" s="78"/>
    </row>
    <row r="89" spans="2:14">
      <c r="B89" s="1043" t="s">
        <v>157</v>
      </c>
      <c r="C89" s="196"/>
      <c r="D89" s="196"/>
      <c r="E89" s="197"/>
      <c r="F89" s="197"/>
      <c r="G89" s="197"/>
      <c r="H89" s="197"/>
      <c r="I89" s="197"/>
      <c r="J89" s="197"/>
      <c r="K89" s="197"/>
      <c r="L89" s="197"/>
      <c r="M89" s="197"/>
      <c r="N89" s="197"/>
    </row>
    <row r="90" spans="2:14">
      <c r="B90" s="32" t="s">
        <v>158</v>
      </c>
      <c r="C90" s="207">
        <f>IF(C10,1+SUM(C15:C16,C18)/C10,)</f>
        <v>0.88140266845369208</v>
      </c>
      <c r="D90" s="81">
        <f t="shared" ref="D90" si="16">IF(D10,1+SUM(D15:D16,D18)/(D10+D11),)</f>
        <v>0.93765850505085058</v>
      </c>
      <c r="E90" s="81">
        <f>IF(E10,1+SUM(E15:E16,E18)/(E10+E11),)</f>
        <v>0.93765850505085058</v>
      </c>
      <c r="F90" s="81">
        <f t="shared" ref="F90:N90" si="17">IF(F10,1+SUM(F15:F16,F18)/(F10+F11),)</f>
        <v>0.93765850505085058</v>
      </c>
      <c r="G90" s="81">
        <f t="shared" si="17"/>
        <v>0.93765850505085058</v>
      </c>
      <c r="H90" s="81">
        <f t="shared" si="17"/>
        <v>0.93765850505085058</v>
      </c>
      <c r="I90" s="81">
        <f t="shared" si="17"/>
        <v>0.93765850505085058</v>
      </c>
      <c r="J90" s="81">
        <f t="shared" si="17"/>
        <v>0.93765850505085058</v>
      </c>
      <c r="K90" s="81">
        <f t="shared" si="17"/>
        <v>0.93765850505085058</v>
      </c>
      <c r="L90" s="81">
        <f t="shared" si="17"/>
        <v>0.93765850505085058</v>
      </c>
      <c r="M90" s="81">
        <f t="shared" si="17"/>
        <v>0.93765850505085058</v>
      </c>
      <c r="N90" s="81">
        <f t="shared" si="17"/>
        <v>0.93765850505085058</v>
      </c>
    </row>
    <row r="91" spans="2:14">
      <c r="B91" s="32" t="s">
        <v>159</v>
      </c>
      <c r="C91" s="207">
        <f t="shared" ref="C91:N91" si="18">IF(C13,C20/C13,)</f>
        <v>0.76046232331838104</v>
      </c>
      <c r="D91" s="81">
        <f t="shared" si="18"/>
        <v>0.8310729220121118</v>
      </c>
      <c r="E91" s="81">
        <f t="shared" si="18"/>
        <v>0.8322894617983041</v>
      </c>
      <c r="F91" s="81">
        <f t="shared" si="18"/>
        <v>0.83345659895358515</v>
      </c>
      <c r="G91" s="81">
        <f t="shared" si="18"/>
        <v>0.8337410149522837</v>
      </c>
      <c r="H91" s="81">
        <f t="shared" si="18"/>
        <v>0.83402257249873379</v>
      </c>
      <c r="I91" s="81">
        <f t="shared" si="18"/>
        <v>0.83402257249873379</v>
      </c>
      <c r="J91" s="81">
        <f t="shared" si="18"/>
        <v>0.83402257249873379</v>
      </c>
      <c r="K91" s="81">
        <f t="shared" si="18"/>
        <v>0.83402257249873391</v>
      </c>
      <c r="L91" s="81">
        <f t="shared" si="18"/>
        <v>0.83402257249873379</v>
      </c>
      <c r="M91" s="81">
        <f t="shared" si="18"/>
        <v>0.83402257249873391</v>
      </c>
      <c r="N91" s="81">
        <f t="shared" si="18"/>
        <v>0.83402257249873391</v>
      </c>
    </row>
    <row r="92" spans="2:14">
      <c r="B92" s="32" t="s">
        <v>160</v>
      </c>
      <c r="C92" s="207">
        <f t="shared" ref="C92:N92" si="19">IF(C27,-C47/C27,)</f>
        <v>0.53290859598209261</v>
      </c>
      <c r="D92" s="81">
        <f t="shared" si="19"/>
        <v>0.30236471397372072</v>
      </c>
      <c r="E92" s="81">
        <f t="shared" si="19"/>
        <v>0.29378359004974425</v>
      </c>
      <c r="F92" s="81">
        <f t="shared" si="19"/>
        <v>0.28196740034257045</v>
      </c>
      <c r="G92" s="81">
        <f t="shared" si="19"/>
        <v>0.27344777842551116</v>
      </c>
      <c r="H92" s="81">
        <f t="shared" si="19"/>
        <v>0.26515799552309982</v>
      </c>
      <c r="I92" s="81">
        <f t="shared" si="19"/>
        <v>0.25831491043149546</v>
      </c>
      <c r="J92" s="81">
        <f t="shared" si="19"/>
        <v>0.25162623147551733</v>
      </c>
      <c r="K92" s="81">
        <f t="shared" si="19"/>
        <v>0.24508961491219455</v>
      </c>
      <c r="L92" s="81">
        <f t="shared" si="19"/>
        <v>0.23870269251779175</v>
      </c>
      <c r="M92" s="81">
        <f t="shared" si="19"/>
        <v>0.23246307550247916</v>
      </c>
      <c r="N92" s="81">
        <f t="shared" si="19"/>
        <v>0.22636835826077151</v>
      </c>
    </row>
    <row r="93" spans="2:14" outlineLevel="1">
      <c r="B93" s="32" t="s">
        <v>161</v>
      </c>
      <c r="C93" s="145">
        <f>PurchasePrice</f>
        <v>13009400</v>
      </c>
      <c r="D93" s="78">
        <f>-'CF Calculations'!D13-(MIN(D$52,0)+D53+D64+D65)</f>
        <v>13009400</v>
      </c>
      <c r="E93" s="78">
        <f>D93-(MIN(E$52,0)+E53+E64+E65)</f>
        <v>13009400</v>
      </c>
      <c r="F93" s="78">
        <f t="shared" ref="F93:N93" si="20">E93-(MIN(F$52,0)+F53+F64+F65)</f>
        <v>13009400</v>
      </c>
      <c r="G93" s="78">
        <f t="shared" si="20"/>
        <v>13009400</v>
      </c>
      <c r="H93" s="78">
        <f t="shared" si="20"/>
        <v>13009400</v>
      </c>
      <c r="I93" s="78">
        <f t="shared" si="20"/>
        <v>13009400</v>
      </c>
      <c r="J93" s="78">
        <f t="shared" si="20"/>
        <v>13009400</v>
      </c>
      <c r="K93" s="78">
        <f t="shared" si="20"/>
        <v>13009400</v>
      </c>
      <c r="L93" s="78">
        <f t="shared" si="20"/>
        <v>13009400</v>
      </c>
      <c r="M93" s="78">
        <f t="shared" si="20"/>
        <v>13009400</v>
      </c>
      <c r="N93" s="78">
        <f t="shared" si="20"/>
        <v>13009400</v>
      </c>
    </row>
    <row r="94" spans="2:14">
      <c r="B94" s="32" t="s">
        <v>162</v>
      </c>
      <c r="C94" s="158">
        <f t="shared" ref="C94:N94" si="21">IF(C$93,C55/C$93,)</f>
        <v>3.9899380447983766E-2</v>
      </c>
      <c r="D94" s="40">
        <f t="shared" si="21"/>
        <v>7.7923329182826365E-2</v>
      </c>
      <c r="E94" s="40">
        <f t="shared" si="21"/>
        <v>8.1185868096277466E-2</v>
      </c>
      <c r="F94" s="40">
        <f t="shared" si="21"/>
        <v>8.6003362165228719E-2</v>
      </c>
      <c r="G94" s="40">
        <f t="shared" si="21"/>
        <v>8.9735152109547134E-2</v>
      </c>
      <c r="H94" s="40">
        <f t="shared" si="21"/>
        <v>9.3596457916266557E-2</v>
      </c>
      <c r="I94" s="40">
        <f t="shared" si="21"/>
        <v>9.6970635264067212E-2</v>
      </c>
      <c r="J94" s="40">
        <f t="shared" si="21"/>
        <v>0.10044603793230185</v>
      </c>
      <c r="K94" s="40">
        <f t="shared" si="21"/>
        <v>0.1040257026805836</v>
      </c>
      <c r="L94" s="40">
        <f t="shared" si="21"/>
        <v>0.10771275737131375</v>
      </c>
      <c r="M94" s="40">
        <f t="shared" si="21"/>
        <v>0.1115104237027659</v>
      </c>
      <c r="N94" s="40">
        <f t="shared" si="21"/>
        <v>0.11542202002416155</v>
      </c>
    </row>
    <row r="95" spans="2:14">
      <c r="B95" s="32" t="s">
        <v>163</v>
      </c>
      <c r="C95" s="158">
        <f t="shared" ref="C95:N95" si="22">IF(C$93,C69/C$93,)</f>
        <v>0</v>
      </c>
      <c r="D95" s="40">
        <f t="shared" si="22"/>
        <v>7.7923329182826365E-2</v>
      </c>
      <c r="E95" s="40">
        <f t="shared" si="22"/>
        <v>8.1185868096277466E-2</v>
      </c>
      <c r="F95" s="40">
        <f t="shared" si="22"/>
        <v>8.6003362165228719E-2</v>
      </c>
      <c r="G95" s="40">
        <f t="shared" si="22"/>
        <v>8.9735152109547134E-2</v>
      </c>
      <c r="H95" s="40">
        <f t="shared" si="22"/>
        <v>9.3596457916266557E-2</v>
      </c>
      <c r="I95" s="40">
        <f t="shared" si="22"/>
        <v>9.6970635264067212E-2</v>
      </c>
      <c r="J95" s="40">
        <f t="shared" si="22"/>
        <v>0.10044603793230185</v>
      </c>
      <c r="K95" s="40">
        <f t="shared" si="22"/>
        <v>0.1040257026805836</v>
      </c>
      <c r="L95" s="40">
        <f t="shared" si="22"/>
        <v>0.10771275737131375</v>
      </c>
      <c r="M95" s="40">
        <f t="shared" si="22"/>
        <v>0.1115104237027659</v>
      </c>
      <c r="N95" s="40">
        <f t="shared" si="22"/>
        <v>0.11542202002416155</v>
      </c>
    </row>
    <row r="96" spans="2:14">
      <c r="B96" s="32" t="s">
        <v>1064</v>
      </c>
      <c r="C96" s="158">
        <f>IF(C$93,$D$55/INDEX($D$93:$M$93,MATCH(PostRenovationYr,$D$5:M$5,0)),)</f>
        <v>7.7923329182826365E-2</v>
      </c>
      <c r="D96" s="40"/>
      <c r="E96" s="206"/>
      <c r="F96" s="78"/>
      <c r="G96" s="78"/>
      <c r="H96" s="78"/>
      <c r="I96" s="78"/>
      <c r="J96" s="78"/>
      <c r="K96" s="78"/>
      <c r="L96" s="78"/>
      <c r="M96" s="78"/>
      <c r="N96" s="78"/>
    </row>
    <row r="97" spans="2:14">
      <c r="B97" s="32" t="s">
        <v>1065</v>
      </c>
      <c r="C97" s="158">
        <f>IF(C$93,INDEX($D$55:M55,MATCH(PostRenovationYr,$D$5:$M$5,0))/INDEX($D$93:$M$93,MATCH(PostRenovationYr,$D$5:$M$5,0)),)</f>
        <v>7.7923329182826365E-2</v>
      </c>
      <c r="D97" s="40"/>
      <c r="E97" s="206"/>
      <c r="F97" s="206"/>
      <c r="G97" s="206"/>
      <c r="H97" s="206"/>
      <c r="I97" s="206"/>
      <c r="J97" s="206"/>
      <c r="K97" s="206"/>
      <c r="L97" s="206"/>
      <c r="M97" s="206"/>
      <c r="N97" s="206"/>
    </row>
    <row r="98" spans="2:14">
      <c r="B98" s="32"/>
      <c r="C98" s="90"/>
      <c r="D98" s="78"/>
      <c r="E98" s="206"/>
      <c r="F98" s="78"/>
      <c r="G98" s="78"/>
      <c r="H98" s="78"/>
      <c r="I98" s="78"/>
      <c r="J98" s="78"/>
      <c r="K98" s="78"/>
      <c r="L98" s="78"/>
      <c r="M98" s="78"/>
      <c r="N98" s="78"/>
    </row>
  </sheetData>
  <pageMargins left="0.3" right="0.3" top="0.6" bottom="0.35" header="0.24" footer="0.19"/>
  <pageSetup scale="74" orientation="portrait" r:id="rId1"/>
  <headerFooter scaleWithDoc="0">
    <oddHeader>&amp;C&amp;"+,Regular"&amp;9&amp;KFF0000STRICTLY CONFIDENTIAL&amp;R&amp;G</oddHeader>
    <oddFooter>&amp;L&amp;8&amp;F&amp;C&amp;8Page &amp;P of &amp;N&amp;R&amp;8&amp;D  &amp;T</oddFooter>
  </headerFooter>
  <rowBreaks count="1" manualBreakCount="1">
    <brk id="71" min="1" max="9" man="1"/>
  </rowBreaks>
  <legacyDrawingHF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FDC2A6-03CD-4B0C-9BDD-4CDFDDA5D5B8}">
  <sheetPr codeName="OutCashFlow"/>
  <dimension ref="B1:O64"/>
  <sheetViews>
    <sheetView showGridLines="0" zoomScale="90" zoomScaleNormal="90" zoomScaleSheetLayoutView="100" workbookViewId="0">
      <pane xSplit="2" ySplit="6" topLeftCell="C7" activePane="bottomRight" state="frozen"/>
      <selection activeCell="L26" sqref="L26"/>
      <selection pane="topRight" activeCell="L26" sqref="L26"/>
      <selection pane="bottomLeft" activeCell="L26" sqref="L26"/>
      <selection pane="bottomRight" activeCell="I86" sqref="I86"/>
    </sheetView>
  </sheetViews>
  <sheetFormatPr defaultColWidth="9.140625" defaultRowHeight="12.75" outlineLevelRow="1" outlineLevelCol="1"/>
  <cols>
    <col min="1" max="1" width="1.7109375" customWidth="1"/>
    <col min="2" max="2" width="36.5703125" customWidth="1"/>
    <col min="3" max="3" width="8.7109375" customWidth="1"/>
    <col min="4" max="9" width="14.42578125" customWidth="1"/>
    <col min="10" max="14" width="14.42578125" customWidth="1" outlineLevel="1"/>
    <col min="15" max="15" width="14.42578125" customWidth="1"/>
  </cols>
  <sheetData>
    <row r="1" spans="2:15">
      <c r="B1" s="130" t="s">
        <v>0</v>
      </c>
    </row>
    <row r="2" spans="2:15" s="192" customFormat="1" ht="18.75">
      <c r="B2" s="1041" t="str">
        <f>Input!$E$10</f>
        <v>Chaney Place Townhomes</v>
      </c>
      <c r="C2" s="189"/>
      <c r="D2" s="190"/>
      <c r="E2" s="1010" t="s">
        <v>164</v>
      </c>
      <c r="F2" s="208"/>
      <c r="G2" s="190"/>
      <c r="H2" s="190"/>
      <c r="I2" s="190"/>
      <c r="J2" s="190"/>
      <c r="K2" s="190"/>
      <c r="L2" s="190"/>
      <c r="M2" s="190"/>
      <c r="N2" s="190"/>
      <c r="O2" s="1042" t="str">
        <f>Input!$M$4</f>
        <v>Huntsville, AL</v>
      </c>
    </row>
    <row r="4" spans="2:15" ht="13.5">
      <c r="D4" s="194"/>
      <c r="E4" s="194">
        <f>EOMONTH(ClosingDate,12)</f>
        <v>46477</v>
      </c>
      <c r="F4" s="194">
        <f t="shared" ref="F4:N4" si="0">EOMONTH(E4,12)</f>
        <v>46843</v>
      </c>
      <c r="G4" s="194">
        <f t="shared" si="0"/>
        <v>47208</v>
      </c>
      <c r="H4" s="194">
        <f t="shared" si="0"/>
        <v>47573</v>
      </c>
      <c r="I4" s="194">
        <f t="shared" si="0"/>
        <v>47938</v>
      </c>
      <c r="J4" s="194">
        <f t="shared" si="0"/>
        <v>48304</v>
      </c>
      <c r="K4" s="194">
        <f t="shared" si="0"/>
        <v>48669</v>
      </c>
      <c r="L4" s="194">
        <f t="shared" si="0"/>
        <v>49034</v>
      </c>
      <c r="M4" s="194">
        <f t="shared" si="0"/>
        <v>49399</v>
      </c>
      <c r="N4" s="194">
        <f t="shared" si="0"/>
        <v>49765</v>
      </c>
      <c r="O4" s="194"/>
    </row>
    <row r="5" spans="2:15">
      <c r="C5" s="1048" t="s">
        <v>165</v>
      </c>
      <c r="D5" s="1049">
        <v>0</v>
      </c>
      <c r="E5" s="1049">
        <f t="shared" ref="E5:N5" si="1">D5+1</f>
        <v>1</v>
      </c>
      <c r="F5" s="1049">
        <f t="shared" si="1"/>
        <v>2</v>
      </c>
      <c r="G5" s="1049">
        <f t="shared" si="1"/>
        <v>3</v>
      </c>
      <c r="H5" s="1049">
        <f t="shared" si="1"/>
        <v>4</v>
      </c>
      <c r="I5" s="1049">
        <f t="shared" si="1"/>
        <v>5</v>
      </c>
      <c r="J5" s="1049">
        <f t="shared" si="1"/>
        <v>6</v>
      </c>
      <c r="K5" s="1049">
        <f t="shared" si="1"/>
        <v>7</v>
      </c>
      <c r="L5" s="1049">
        <f t="shared" si="1"/>
        <v>8</v>
      </c>
      <c r="M5" s="1049">
        <f t="shared" si="1"/>
        <v>9</v>
      </c>
      <c r="N5" s="1049">
        <f t="shared" si="1"/>
        <v>10</v>
      </c>
      <c r="O5" s="1048" t="s">
        <v>166</v>
      </c>
    </row>
    <row r="6" spans="2:15" ht="12.75" customHeight="1" outlineLevel="1"/>
    <row r="7" spans="2:15" s="192" customFormat="1" ht="15.75" customHeight="1">
      <c r="B7" s="1038" t="s">
        <v>167</v>
      </c>
      <c r="C7" s="1018"/>
      <c r="D7" s="1019"/>
      <c r="E7" s="1019"/>
      <c r="F7" s="1019"/>
      <c r="G7" s="1019"/>
      <c r="H7" s="1019"/>
      <c r="I7" s="1019"/>
      <c r="J7" s="1019"/>
      <c r="K7" s="1019"/>
      <c r="L7" s="1019"/>
      <c r="M7" s="1019"/>
      <c r="N7" s="1019"/>
      <c r="O7" s="1019"/>
    </row>
    <row r="9" spans="2:15" s="192" customFormat="1" ht="14.25" customHeight="1">
      <c r="B9" s="1043" t="s">
        <v>168</v>
      </c>
      <c r="C9" s="196"/>
      <c r="D9" s="196"/>
      <c r="E9" s="196"/>
      <c r="F9" s="197"/>
      <c r="G9" s="197"/>
      <c r="H9" s="197"/>
      <c r="I9" s="197"/>
      <c r="J9" s="197"/>
      <c r="K9" s="197"/>
      <c r="L9" s="197"/>
      <c r="M9" s="197"/>
      <c r="N9" s="197"/>
      <c r="O9" s="197"/>
    </row>
    <row r="10" spans="2:15" ht="12.75" customHeight="1">
      <c r="B10" s="32" t="s">
        <v>16</v>
      </c>
      <c r="C10" s="27"/>
      <c r="D10" s="78">
        <f>'CF Calculations'!D10</f>
        <v>-13009400</v>
      </c>
      <c r="E10" s="78"/>
      <c r="F10" s="78"/>
      <c r="G10" s="78"/>
      <c r="H10" s="78"/>
      <c r="I10" s="78"/>
      <c r="J10" s="78"/>
      <c r="K10" s="78"/>
      <c r="L10" s="78"/>
      <c r="M10" s="78"/>
      <c r="N10" s="78"/>
      <c r="O10" s="145">
        <f>SUM(D10:N10)</f>
        <v>-13009400</v>
      </c>
    </row>
    <row r="11" spans="2:15" ht="12.75" customHeight="1">
      <c r="B11" s="32" t="s">
        <v>169</v>
      </c>
      <c r="C11" s="27"/>
      <c r="D11" s="78">
        <f>'CF Calculations'!D11</f>
        <v>0</v>
      </c>
      <c r="E11" s="78"/>
      <c r="F11" s="78"/>
      <c r="G11" s="78"/>
      <c r="H11" s="78"/>
      <c r="I11" s="78"/>
      <c r="J11" s="78"/>
      <c r="K11" s="78"/>
      <c r="L11" s="78"/>
      <c r="M11" s="78"/>
      <c r="N11" s="78"/>
      <c r="O11" s="145">
        <f>SUM(D11:N11)</f>
        <v>0</v>
      </c>
    </row>
    <row r="12" spans="2:15" ht="12.75" customHeight="1">
      <c r="B12" s="32" t="s">
        <v>170</v>
      </c>
      <c r="C12" s="27"/>
      <c r="D12" s="78">
        <f>'CF Calculations'!D12</f>
        <v>0</v>
      </c>
      <c r="E12" s="78"/>
      <c r="F12" s="78"/>
      <c r="G12" s="78"/>
      <c r="H12" s="78"/>
      <c r="I12" s="78"/>
      <c r="J12" s="78"/>
      <c r="K12" s="78"/>
      <c r="L12" s="78"/>
      <c r="M12" s="78"/>
      <c r="N12" s="78"/>
      <c r="O12" s="145">
        <f>SUM(D12:N12)</f>
        <v>0</v>
      </c>
    </row>
    <row r="13" spans="2:15" collapsed="1">
      <c r="B13" s="198" t="s">
        <v>168</v>
      </c>
      <c r="C13" s="209"/>
      <c r="D13" s="154">
        <f t="shared" ref="D13:N13" si="2">SUBTOTAL(9,D10:D12)</f>
        <v>-13009400</v>
      </c>
      <c r="E13" s="154">
        <f t="shared" si="2"/>
        <v>0</v>
      </c>
      <c r="F13" s="154">
        <f t="shared" si="2"/>
        <v>0</v>
      </c>
      <c r="G13" s="154">
        <f t="shared" si="2"/>
        <v>0</v>
      </c>
      <c r="H13" s="154">
        <f t="shared" si="2"/>
        <v>0</v>
      </c>
      <c r="I13" s="154">
        <f t="shared" si="2"/>
        <v>0</v>
      </c>
      <c r="J13" s="154">
        <f t="shared" si="2"/>
        <v>0</v>
      </c>
      <c r="K13" s="154">
        <f t="shared" si="2"/>
        <v>0</v>
      </c>
      <c r="L13" s="154">
        <f t="shared" si="2"/>
        <v>0</v>
      </c>
      <c r="M13" s="154">
        <f t="shared" si="2"/>
        <v>0</v>
      </c>
      <c r="N13" s="154">
        <f t="shared" si="2"/>
        <v>0</v>
      </c>
      <c r="O13" s="155">
        <f>SUM(D13:N13)</f>
        <v>-13009400</v>
      </c>
    </row>
    <row r="14" spans="2:15">
      <c r="B14" s="27"/>
      <c r="C14" s="27"/>
      <c r="D14" s="78"/>
      <c r="E14" s="78"/>
      <c r="F14" s="78"/>
      <c r="G14" s="78"/>
      <c r="H14" s="78"/>
      <c r="I14" s="78"/>
      <c r="J14" s="78"/>
      <c r="K14" s="78"/>
      <c r="L14" s="78"/>
      <c r="M14" s="78"/>
      <c r="N14" s="78"/>
      <c r="O14" s="145"/>
    </row>
    <row r="15" spans="2:15" ht="10.5" customHeight="1"/>
    <row r="16" spans="2:15" ht="10.5" customHeight="1"/>
    <row r="17" spans="2:15" s="192" customFormat="1" ht="14.25" customHeight="1">
      <c r="B17" s="1043" t="s">
        <v>151</v>
      </c>
      <c r="C17" s="196"/>
      <c r="D17" s="196"/>
      <c r="E17" s="196"/>
      <c r="F17" s="197"/>
      <c r="G17" s="197"/>
      <c r="H17" s="197"/>
      <c r="I17" s="197"/>
      <c r="J17" s="197"/>
      <c r="K17" s="197"/>
      <c r="L17" s="197"/>
      <c r="M17" s="197"/>
      <c r="N17" s="197"/>
      <c r="O17" s="197"/>
    </row>
    <row r="18" spans="2:15">
      <c r="B18" s="32" t="s">
        <v>34</v>
      </c>
      <c r="C18" s="32"/>
      <c r="D18" s="78"/>
      <c r="E18" s="78">
        <f>'CF Calculations'!E34</f>
        <v>1453102.7586710614</v>
      </c>
      <c r="F18" s="78">
        <f>'CF Calculations'!F34</f>
        <v>1495546.4324117121</v>
      </c>
      <c r="G18" s="78">
        <f>'CF Calculations'!G34</f>
        <v>1558219.1397523265</v>
      </c>
      <c r="H18" s="78">
        <f>'CF Calculations'!H34</f>
        <v>1606767.4878539424</v>
      </c>
      <c r="I18" s="78">
        <f>'CF Calculations'!I34</f>
        <v>1657000.7596158781</v>
      </c>
      <c r="J18" s="78">
        <f>'CF Calculations'!J34</f>
        <v>1700896.7824043559</v>
      </c>
      <c r="K18" s="78">
        <f>'CF Calculations'!K34</f>
        <v>1746109.6858764878</v>
      </c>
      <c r="L18" s="78">
        <f>'CF Calculations'!L34</f>
        <v>0</v>
      </c>
      <c r="M18" s="78">
        <f>'CF Calculations'!M34</f>
        <v>0</v>
      </c>
      <c r="N18" s="78">
        <f>'CF Calculations'!N34</f>
        <v>0</v>
      </c>
      <c r="O18" s="145">
        <f>SUM(E18:N18)</f>
        <v>11217643.046585765</v>
      </c>
    </row>
    <row r="19" spans="2:15">
      <c r="B19" s="32" t="s">
        <v>171</v>
      </c>
      <c r="C19" s="32"/>
      <c r="D19" s="78"/>
      <c r="E19" s="78">
        <f>'CF Calculations'!E54</f>
        <v>-439367</v>
      </c>
      <c r="F19" s="78">
        <f>'CF Calculations'!F54</f>
        <v>-439367</v>
      </c>
      <c r="G19" s="78">
        <f>'CF Calculations'!G54</f>
        <v>-439367</v>
      </c>
      <c r="H19" s="78">
        <f>'CF Calculations'!H54</f>
        <v>-439367</v>
      </c>
      <c r="I19" s="78">
        <f>'CF Calculations'!I54</f>
        <v>-439367</v>
      </c>
      <c r="J19" s="78">
        <f>'CF Calculations'!J54</f>
        <v>-439367</v>
      </c>
      <c r="K19" s="78">
        <f>'CF Calculations'!K54</f>
        <v>-439367</v>
      </c>
      <c r="L19" s="78">
        <f>'CF Calculations'!L54</f>
        <v>0</v>
      </c>
      <c r="M19" s="78">
        <f>'CF Calculations'!M54</f>
        <v>0</v>
      </c>
      <c r="N19" s="78">
        <f>'CF Calculations'!N54</f>
        <v>0</v>
      </c>
      <c r="O19" s="145">
        <f>SUM(E19:N19)</f>
        <v>-3075569</v>
      </c>
    </row>
    <row r="20" spans="2:15">
      <c r="B20" s="32" t="s">
        <v>172</v>
      </c>
      <c r="C20" s="32"/>
      <c r="D20" s="78"/>
      <c r="E20" s="78">
        <f>'CF Calculations'!E60</f>
        <v>0</v>
      </c>
      <c r="F20" s="78">
        <f>'CF Calculations'!F60</f>
        <v>0</v>
      </c>
      <c r="G20" s="78">
        <f>'CF Calculations'!G60</f>
        <v>0</v>
      </c>
      <c r="H20" s="78">
        <f>'CF Calculations'!H60</f>
        <v>0</v>
      </c>
      <c r="I20" s="78">
        <f>'CF Calculations'!I60</f>
        <v>0</v>
      </c>
      <c r="J20" s="78">
        <f>'CF Calculations'!J60</f>
        <v>0</v>
      </c>
      <c r="K20" s="78">
        <f>'CF Calculations'!K60</f>
        <v>0</v>
      </c>
      <c r="L20" s="78">
        <f>'CF Calculations'!L60</f>
        <v>0</v>
      </c>
      <c r="M20" s="78">
        <f>'CF Calculations'!M60</f>
        <v>0</v>
      </c>
      <c r="N20" s="78">
        <f>'CF Calculations'!N60</f>
        <v>0</v>
      </c>
      <c r="O20" s="145">
        <f>SUM(E20:N20)</f>
        <v>0</v>
      </c>
    </row>
    <row r="21" spans="2:15">
      <c r="B21" s="198" t="s">
        <v>128</v>
      </c>
      <c r="C21" s="46"/>
      <c r="D21" s="154"/>
      <c r="E21" s="154">
        <f t="shared" ref="E21:N21" si="3">SUBTOTAL(9,E18:E20)</f>
        <v>1013735.7586710614</v>
      </c>
      <c r="F21" s="154">
        <f t="shared" si="3"/>
        <v>1056179.4324117121</v>
      </c>
      <c r="G21" s="154">
        <f t="shared" si="3"/>
        <v>1118852.1397523265</v>
      </c>
      <c r="H21" s="154">
        <f t="shared" si="3"/>
        <v>1167400.4878539424</v>
      </c>
      <c r="I21" s="154">
        <f t="shared" si="3"/>
        <v>1217633.7596158781</v>
      </c>
      <c r="J21" s="154">
        <f t="shared" si="3"/>
        <v>1261529.7824043559</v>
      </c>
      <c r="K21" s="154">
        <f t="shared" si="3"/>
        <v>1306742.6858764878</v>
      </c>
      <c r="L21" s="154">
        <f t="shared" si="3"/>
        <v>0</v>
      </c>
      <c r="M21" s="154">
        <f t="shared" si="3"/>
        <v>0</v>
      </c>
      <c r="N21" s="154">
        <f t="shared" si="3"/>
        <v>0</v>
      </c>
      <c r="O21" s="155">
        <f>SUM(E21:N21)</f>
        <v>8142074.0465857638</v>
      </c>
    </row>
    <row r="22" spans="2:15">
      <c r="B22" s="32"/>
      <c r="C22" s="32"/>
      <c r="D22" s="78"/>
      <c r="E22" s="78"/>
      <c r="F22" s="78"/>
      <c r="G22" s="78"/>
      <c r="H22" s="78"/>
      <c r="I22" s="78"/>
      <c r="J22" s="78"/>
      <c r="K22" s="78"/>
      <c r="L22" s="78"/>
      <c r="M22" s="78"/>
      <c r="N22" s="78"/>
      <c r="O22" s="145"/>
    </row>
    <row r="23" spans="2:15">
      <c r="B23" s="41" t="s">
        <v>173</v>
      </c>
      <c r="C23" s="41"/>
      <c r="D23" s="78"/>
      <c r="E23" s="78">
        <f>'CF Calculations'!E71</f>
        <v>0</v>
      </c>
      <c r="F23" s="78">
        <f>'CF Calculations'!F71</f>
        <v>0</v>
      </c>
      <c r="G23" s="78">
        <f>'CF Calculations'!G71</f>
        <v>0</v>
      </c>
      <c r="H23" s="78">
        <f>'CF Calculations'!H71</f>
        <v>0</v>
      </c>
      <c r="I23" s="78">
        <f>'CF Calculations'!I71</f>
        <v>0</v>
      </c>
      <c r="J23" s="78">
        <f>'CF Calculations'!J71</f>
        <v>0</v>
      </c>
      <c r="K23" s="78">
        <f>'CF Calculations'!K71</f>
        <v>0</v>
      </c>
      <c r="L23" s="78">
        <f>'CF Calculations'!L71</f>
        <v>0</v>
      </c>
      <c r="M23" s="78">
        <f>'CF Calculations'!M71</f>
        <v>0</v>
      </c>
      <c r="N23" s="78">
        <f>'CF Calculations'!N71</f>
        <v>0</v>
      </c>
      <c r="O23" s="145">
        <f>SUM(E23:N23)</f>
        <v>0</v>
      </c>
    </row>
    <row r="24" spans="2:15">
      <c r="B24" s="41" t="s">
        <v>150</v>
      </c>
      <c r="C24" s="41"/>
      <c r="D24" s="78"/>
      <c r="E24" s="78">
        <f>'CF Calculations'!E72</f>
        <v>0</v>
      </c>
      <c r="F24" s="78">
        <f>'CF Calculations'!F72</f>
        <v>0</v>
      </c>
      <c r="G24" s="78">
        <f>'CF Calculations'!G72</f>
        <v>0</v>
      </c>
      <c r="H24" s="78">
        <f>'CF Calculations'!H72</f>
        <v>0</v>
      </c>
      <c r="I24" s="78">
        <f>'CF Calculations'!I72</f>
        <v>0</v>
      </c>
      <c r="J24" s="78">
        <f>'CF Calculations'!J72</f>
        <v>0</v>
      </c>
      <c r="K24" s="78">
        <f>'CF Calculations'!K72</f>
        <v>0</v>
      </c>
      <c r="L24" s="78">
        <f>'CF Calculations'!L72</f>
        <v>0</v>
      </c>
      <c r="M24" s="78">
        <f>'CF Calculations'!M72</f>
        <v>0</v>
      </c>
      <c r="N24" s="78">
        <f>'CF Calculations'!N72</f>
        <v>0</v>
      </c>
      <c r="O24" s="145">
        <f>SUM(E24:N24)</f>
        <v>0</v>
      </c>
    </row>
    <row r="25" spans="2:15">
      <c r="B25" s="153" t="s">
        <v>151</v>
      </c>
      <c r="C25" s="32"/>
      <c r="D25" s="210"/>
      <c r="E25" s="154">
        <f t="shared" ref="E25:N25" si="4">SUBTOTAL(9,E18:E24)</f>
        <v>1013735.7586710614</v>
      </c>
      <c r="F25" s="154">
        <f t="shared" si="4"/>
        <v>1056179.4324117121</v>
      </c>
      <c r="G25" s="154">
        <f t="shared" si="4"/>
        <v>1118852.1397523265</v>
      </c>
      <c r="H25" s="154">
        <f t="shared" si="4"/>
        <v>1167400.4878539424</v>
      </c>
      <c r="I25" s="154">
        <f t="shared" si="4"/>
        <v>1217633.7596158781</v>
      </c>
      <c r="J25" s="154">
        <f t="shared" si="4"/>
        <v>1261529.7824043559</v>
      </c>
      <c r="K25" s="154">
        <f t="shared" si="4"/>
        <v>1306742.6858764878</v>
      </c>
      <c r="L25" s="154">
        <f t="shared" si="4"/>
        <v>0</v>
      </c>
      <c r="M25" s="154">
        <f t="shared" si="4"/>
        <v>0</v>
      </c>
      <c r="N25" s="154">
        <f t="shared" si="4"/>
        <v>0</v>
      </c>
      <c r="O25" s="155">
        <f>SUM(E25:N25)</f>
        <v>8142074.0465857638</v>
      </c>
    </row>
    <row r="26" spans="2:15">
      <c r="B26" s="32"/>
      <c r="C26" s="32"/>
      <c r="D26" s="78"/>
      <c r="E26" s="78"/>
      <c r="F26" s="78"/>
      <c r="G26" s="78"/>
      <c r="H26" s="78"/>
      <c r="I26" s="78"/>
      <c r="J26" s="78"/>
      <c r="K26" s="78"/>
      <c r="L26" s="78"/>
      <c r="M26" s="78"/>
      <c r="N26" s="78"/>
      <c r="O26" s="145"/>
    </row>
    <row r="27" spans="2:15" ht="10.5" customHeight="1"/>
    <row r="28" spans="2:15" ht="10.5" customHeight="1"/>
    <row r="29" spans="2:15" s="192" customFormat="1" ht="14.25" customHeight="1">
      <c r="B29" s="1043" t="s">
        <v>174</v>
      </c>
      <c r="C29" s="196"/>
      <c r="D29" s="196"/>
      <c r="E29" s="196"/>
      <c r="F29" s="197"/>
      <c r="G29" s="197"/>
      <c r="H29" s="197"/>
      <c r="I29" s="197"/>
      <c r="J29" s="197"/>
      <c r="K29" s="197"/>
      <c r="L29" s="197"/>
      <c r="M29" s="197"/>
      <c r="N29" s="197"/>
      <c r="O29" s="197"/>
    </row>
    <row r="30" spans="2:15" ht="12.75" customHeight="1">
      <c r="B30" s="41" t="s">
        <v>175</v>
      </c>
      <c r="C30" s="211"/>
      <c r="D30" s="78"/>
      <c r="E30" s="78">
        <f>'CF Calculations'!E80</f>
        <v>0</v>
      </c>
      <c r="F30" s="78">
        <f>'CF Calculations'!F80</f>
        <v>0</v>
      </c>
      <c r="G30" s="78">
        <f>'CF Calculations'!G80</f>
        <v>0</v>
      </c>
      <c r="H30" s="78">
        <f>'CF Calculations'!H80</f>
        <v>0</v>
      </c>
      <c r="I30" s="78">
        <f>'CF Calculations'!I80</f>
        <v>0</v>
      </c>
      <c r="J30" s="78">
        <f>'CF Calculations'!J80</f>
        <v>0</v>
      </c>
      <c r="K30" s="78">
        <f>'CF Calculations'!K80</f>
        <v>24605672.299141534</v>
      </c>
      <c r="L30" s="78">
        <f>'CF Calculations'!L80</f>
        <v>0</v>
      </c>
      <c r="M30" s="78">
        <f>'CF Calculations'!M80</f>
        <v>0</v>
      </c>
      <c r="N30" s="78">
        <f>'CF Calculations'!N80</f>
        <v>0</v>
      </c>
      <c r="O30" s="145">
        <f>SUM(E30:N30)</f>
        <v>24605672.299141534</v>
      </c>
    </row>
    <row r="31" spans="2:15" ht="12.75" customHeight="1">
      <c r="B31" s="41" t="s">
        <v>176</v>
      </c>
      <c r="C31" s="211"/>
      <c r="D31" s="78"/>
      <c r="E31" s="78">
        <f>'CF Calculations'!E81</f>
        <v>0</v>
      </c>
      <c r="F31" s="78">
        <f>'CF Calculations'!F81</f>
        <v>0</v>
      </c>
      <c r="G31" s="78">
        <f>'CF Calculations'!G81</f>
        <v>0</v>
      </c>
      <c r="H31" s="78">
        <f>'CF Calculations'!H81</f>
        <v>0</v>
      </c>
      <c r="I31" s="78">
        <f>'CF Calculations'!I81</f>
        <v>0</v>
      </c>
      <c r="J31" s="78">
        <f>'CF Calculations'!J81</f>
        <v>0</v>
      </c>
      <c r="K31" s="78">
        <f>'CF Calculations'!K81</f>
        <v>0</v>
      </c>
      <c r="L31" s="78">
        <f>'CF Calculations'!L81</f>
        <v>0</v>
      </c>
      <c r="M31" s="78">
        <f>'CF Calculations'!M81</f>
        <v>0</v>
      </c>
      <c r="N31" s="78">
        <f>'CF Calculations'!N81</f>
        <v>0</v>
      </c>
      <c r="O31" s="145">
        <f>SUM(E31:N31)</f>
        <v>0</v>
      </c>
    </row>
    <row r="32" spans="2:15" collapsed="1">
      <c r="B32" s="153" t="s">
        <v>177</v>
      </c>
      <c r="C32" s="209"/>
      <c r="D32" s="154"/>
      <c r="E32" s="154">
        <f t="shared" ref="E32:N32" si="5">SUBTOTAL(9,E30:E31)</f>
        <v>0</v>
      </c>
      <c r="F32" s="154">
        <f t="shared" si="5"/>
        <v>0</v>
      </c>
      <c r="G32" s="154">
        <f t="shared" si="5"/>
        <v>0</v>
      </c>
      <c r="H32" s="154">
        <f t="shared" si="5"/>
        <v>0</v>
      </c>
      <c r="I32" s="154">
        <f t="shared" si="5"/>
        <v>0</v>
      </c>
      <c r="J32" s="154">
        <f t="shared" si="5"/>
        <v>0</v>
      </c>
      <c r="K32" s="154">
        <f t="shared" si="5"/>
        <v>24605672.299141534</v>
      </c>
      <c r="L32" s="154">
        <f t="shared" si="5"/>
        <v>0</v>
      </c>
      <c r="M32" s="154">
        <f t="shared" si="5"/>
        <v>0</v>
      </c>
      <c r="N32" s="154">
        <f t="shared" si="5"/>
        <v>0</v>
      </c>
      <c r="O32" s="155">
        <f>SUM(E32:N32)</f>
        <v>24605672.299141534</v>
      </c>
    </row>
    <row r="33" spans="2:15">
      <c r="B33" s="46"/>
      <c r="C33" s="209"/>
      <c r="D33" s="169"/>
      <c r="E33" s="169"/>
      <c r="F33" s="169"/>
      <c r="G33" s="169"/>
      <c r="H33" s="169"/>
      <c r="I33" s="169"/>
      <c r="J33" s="169"/>
      <c r="K33" s="169"/>
      <c r="L33" s="169"/>
      <c r="M33" s="169"/>
      <c r="N33" s="169"/>
      <c r="O33" s="91"/>
    </row>
    <row r="34" spans="2:15" ht="10.5" customHeight="1"/>
    <row r="35" spans="2:15" ht="10.5" customHeight="1"/>
    <row r="36" spans="2:15" s="192" customFormat="1" ht="14.25" customHeight="1">
      <c r="B36" s="1044" t="s">
        <v>178</v>
      </c>
      <c r="C36" s="212">
        <f>'CF Calculations'!C86</f>
        <v>0.16421136998081587</v>
      </c>
      <c r="D36" s="204">
        <f t="shared" ref="D36:N36" si="6">SUBTOTAL(9,D10:D33)</f>
        <v>-13009400</v>
      </c>
      <c r="E36" s="204">
        <f t="shared" si="6"/>
        <v>1013735.7586710614</v>
      </c>
      <c r="F36" s="204">
        <f t="shared" si="6"/>
        <v>1056179.4324117121</v>
      </c>
      <c r="G36" s="204">
        <f t="shared" si="6"/>
        <v>1118852.1397523265</v>
      </c>
      <c r="H36" s="204">
        <f t="shared" si="6"/>
        <v>1167400.4878539424</v>
      </c>
      <c r="I36" s="204">
        <f t="shared" si="6"/>
        <v>1217633.7596158781</v>
      </c>
      <c r="J36" s="204">
        <f t="shared" si="6"/>
        <v>1261529.7824043559</v>
      </c>
      <c r="K36" s="204">
        <f t="shared" si="6"/>
        <v>25912414.985018022</v>
      </c>
      <c r="L36" s="204">
        <f t="shared" si="6"/>
        <v>0</v>
      </c>
      <c r="M36" s="204">
        <f t="shared" si="6"/>
        <v>0</v>
      </c>
      <c r="N36" s="204">
        <f t="shared" si="6"/>
        <v>0</v>
      </c>
      <c r="O36" s="204">
        <f>SUM(D36:N36)</f>
        <v>19738346.345727298</v>
      </c>
    </row>
    <row r="37" spans="2:15" ht="10.5" customHeight="1"/>
    <row r="38" spans="2:15" ht="10.5" customHeight="1"/>
    <row r="39" spans="2:15" s="192" customFormat="1" ht="14.25" customHeight="1">
      <c r="B39" s="1043" t="s">
        <v>179</v>
      </c>
      <c r="C39" s="196"/>
      <c r="D39" s="196"/>
      <c r="E39" s="196"/>
      <c r="F39" s="197"/>
      <c r="G39" s="197"/>
      <c r="H39" s="197"/>
      <c r="I39" s="197"/>
      <c r="J39" s="197"/>
      <c r="K39" s="197"/>
      <c r="L39" s="197"/>
      <c r="M39" s="197"/>
      <c r="N39" s="197"/>
      <c r="O39" s="197"/>
    </row>
    <row r="40" spans="2:15" ht="12.75" customHeight="1">
      <c r="B40" s="41" t="s">
        <v>180</v>
      </c>
      <c r="C40" s="211"/>
      <c r="D40" s="78">
        <f>'CF Calculations'!D90</f>
        <v>0</v>
      </c>
      <c r="E40" s="78">
        <f>'CF Calculations'!E90</f>
        <v>0</v>
      </c>
      <c r="F40" s="78">
        <f>'CF Calculations'!F90</f>
        <v>0</v>
      </c>
      <c r="G40" s="78">
        <f>'CF Calculations'!G90</f>
        <v>0</v>
      </c>
      <c r="H40" s="78">
        <f>'CF Calculations'!H90</f>
        <v>0</v>
      </c>
      <c r="I40" s="78">
        <f>'CF Calculations'!I90</f>
        <v>0</v>
      </c>
      <c r="J40" s="78">
        <f>'CF Calculations'!J90</f>
        <v>0</v>
      </c>
      <c r="K40" s="78">
        <f>'CF Calculations'!K90</f>
        <v>0</v>
      </c>
      <c r="L40" s="78">
        <f>'CF Calculations'!L90</f>
        <v>0</v>
      </c>
      <c r="M40" s="78">
        <f>'CF Calculations'!M90</f>
        <v>0</v>
      </c>
      <c r="N40" s="78">
        <f>'CF Calculations'!N90</f>
        <v>0</v>
      </c>
      <c r="O40" s="145">
        <f t="shared" ref="O40:O45" si="7">SUM(D40:N40)</f>
        <v>0</v>
      </c>
    </row>
    <row r="41" spans="2:15" ht="12.75" customHeight="1">
      <c r="B41" s="41" t="s">
        <v>181</v>
      </c>
      <c r="C41" s="211"/>
      <c r="D41" s="78">
        <f>'CF Calculations'!D91</f>
        <v>0</v>
      </c>
      <c r="E41" s="78">
        <f>'CF Calculations'!E91</f>
        <v>0</v>
      </c>
      <c r="F41" s="78">
        <f>'CF Calculations'!F91</f>
        <v>0</v>
      </c>
      <c r="G41" s="78">
        <f>'CF Calculations'!G91</f>
        <v>0</v>
      </c>
      <c r="H41" s="78">
        <f>'CF Calculations'!H91</f>
        <v>0</v>
      </c>
      <c r="I41" s="78">
        <f>'CF Calculations'!I91</f>
        <v>0</v>
      </c>
      <c r="J41" s="78">
        <f>'CF Calculations'!J91</f>
        <v>0</v>
      </c>
      <c r="K41" s="78">
        <f>'CF Calculations'!K91</f>
        <v>0</v>
      </c>
      <c r="L41" s="78">
        <f>'CF Calculations'!L91</f>
        <v>0</v>
      </c>
      <c r="M41" s="78">
        <f>'CF Calculations'!M91</f>
        <v>0</v>
      </c>
      <c r="N41" s="78">
        <f>'CF Calculations'!N91</f>
        <v>0</v>
      </c>
      <c r="O41" s="145">
        <f t="shared" si="7"/>
        <v>0</v>
      </c>
    </row>
    <row r="42" spans="2:15" ht="12.75" customHeight="1">
      <c r="B42" s="41" t="s">
        <v>182</v>
      </c>
      <c r="C42" s="211"/>
      <c r="D42" s="78">
        <f>'CF Calculations'!D92</f>
        <v>0</v>
      </c>
      <c r="E42" s="78">
        <f>'CF Calculations'!E92</f>
        <v>0</v>
      </c>
      <c r="F42" s="78">
        <f>'CF Calculations'!F92</f>
        <v>0</v>
      </c>
      <c r="G42" s="78">
        <f>'CF Calculations'!G92</f>
        <v>0</v>
      </c>
      <c r="H42" s="78">
        <f>'CF Calculations'!H92</f>
        <v>0</v>
      </c>
      <c r="I42" s="78">
        <f>'CF Calculations'!I92</f>
        <v>0</v>
      </c>
      <c r="J42" s="78">
        <f>'CF Calculations'!J92</f>
        <v>0</v>
      </c>
      <c r="K42" s="78">
        <f>'CF Calculations'!K92</f>
        <v>0</v>
      </c>
      <c r="L42" s="78">
        <f>'CF Calculations'!L92</f>
        <v>0</v>
      </c>
      <c r="M42" s="78">
        <f>'CF Calculations'!M92</f>
        <v>0</v>
      </c>
      <c r="N42" s="78">
        <f>'CF Calculations'!N92</f>
        <v>0</v>
      </c>
      <c r="O42" s="145">
        <f t="shared" si="7"/>
        <v>0</v>
      </c>
    </row>
    <row r="43" spans="2:15" ht="12.75" customHeight="1">
      <c r="B43" s="41" t="s">
        <v>183</v>
      </c>
      <c r="C43" s="211"/>
      <c r="D43" s="78">
        <f>'CF Calculations'!D93</f>
        <v>0</v>
      </c>
      <c r="E43" s="78">
        <f>'CF Calculations'!E93</f>
        <v>0</v>
      </c>
      <c r="F43" s="78">
        <f>'CF Calculations'!F93</f>
        <v>0</v>
      </c>
      <c r="G43" s="78">
        <f>'CF Calculations'!G93</f>
        <v>0</v>
      </c>
      <c r="H43" s="78">
        <f>'CF Calculations'!H93</f>
        <v>0</v>
      </c>
      <c r="I43" s="78">
        <f>'CF Calculations'!I93</f>
        <v>0</v>
      </c>
      <c r="J43" s="78">
        <f>'CF Calculations'!J93</f>
        <v>0</v>
      </c>
      <c r="K43" s="78">
        <f>'CF Calculations'!K93</f>
        <v>0</v>
      </c>
      <c r="L43" s="78">
        <f>'CF Calculations'!L93</f>
        <v>0</v>
      </c>
      <c r="M43" s="78">
        <f>'CF Calculations'!M93</f>
        <v>0</v>
      </c>
      <c r="N43" s="78">
        <f>'CF Calculations'!N93</f>
        <v>0</v>
      </c>
      <c r="O43" s="145">
        <f t="shared" si="7"/>
        <v>0</v>
      </c>
    </row>
    <row r="44" spans="2:15" ht="12.75" customHeight="1">
      <c r="B44" s="41" t="s">
        <v>184</v>
      </c>
      <c r="C44" s="211"/>
      <c r="D44" s="78">
        <f>'CF Calculations'!D94</f>
        <v>0</v>
      </c>
      <c r="E44" s="78">
        <f>'CF Calculations'!E94</f>
        <v>0</v>
      </c>
      <c r="F44" s="78">
        <f>'CF Calculations'!F94</f>
        <v>0</v>
      </c>
      <c r="G44" s="78">
        <f>'CF Calculations'!G94</f>
        <v>0</v>
      </c>
      <c r="H44" s="78">
        <f>'CF Calculations'!H94</f>
        <v>0</v>
      </c>
      <c r="I44" s="78">
        <f>'CF Calculations'!I94</f>
        <v>0</v>
      </c>
      <c r="J44" s="78">
        <f>'CF Calculations'!J94</f>
        <v>0</v>
      </c>
      <c r="K44" s="78">
        <f>'CF Calculations'!K94</f>
        <v>0</v>
      </c>
      <c r="L44" s="78">
        <f>'CF Calculations'!L94</f>
        <v>0</v>
      </c>
      <c r="M44" s="78">
        <f>'CF Calculations'!M94</f>
        <v>0</v>
      </c>
      <c r="N44" s="78">
        <f>'CF Calculations'!N94</f>
        <v>0</v>
      </c>
      <c r="O44" s="145">
        <f t="shared" si="7"/>
        <v>0</v>
      </c>
    </row>
    <row r="45" spans="2:15">
      <c r="B45" s="153" t="s">
        <v>185</v>
      </c>
      <c r="C45" s="209"/>
      <c r="D45" s="154">
        <f t="shared" ref="D45:N45" si="8">SUBTOTAL(9,D40:D44)</f>
        <v>0</v>
      </c>
      <c r="E45" s="154">
        <f t="shared" si="8"/>
        <v>0</v>
      </c>
      <c r="F45" s="154">
        <f t="shared" si="8"/>
        <v>0</v>
      </c>
      <c r="G45" s="154">
        <f t="shared" si="8"/>
        <v>0</v>
      </c>
      <c r="H45" s="154">
        <f t="shared" si="8"/>
        <v>0</v>
      </c>
      <c r="I45" s="154">
        <f t="shared" si="8"/>
        <v>0</v>
      </c>
      <c r="J45" s="154">
        <f t="shared" si="8"/>
        <v>0</v>
      </c>
      <c r="K45" s="154">
        <f t="shared" si="8"/>
        <v>0</v>
      </c>
      <c r="L45" s="154">
        <f t="shared" si="8"/>
        <v>0</v>
      </c>
      <c r="M45" s="154">
        <f t="shared" si="8"/>
        <v>0</v>
      </c>
      <c r="N45" s="154">
        <f t="shared" si="8"/>
        <v>0</v>
      </c>
      <c r="O45" s="155">
        <f t="shared" si="7"/>
        <v>0</v>
      </c>
    </row>
    <row r="46" spans="2:15">
      <c r="B46" s="46"/>
      <c r="C46" s="209"/>
      <c r="D46" s="169"/>
      <c r="E46" s="169"/>
      <c r="F46" s="169"/>
      <c r="G46" s="169"/>
      <c r="H46" s="169"/>
      <c r="I46" s="169"/>
      <c r="J46" s="169"/>
      <c r="K46" s="169"/>
      <c r="L46" s="169"/>
      <c r="M46" s="169"/>
      <c r="N46" s="169"/>
      <c r="O46" s="91"/>
    </row>
    <row r="47" spans="2:15" ht="10.5" customHeight="1"/>
    <row r="48" spans="2:15" ht="10.5" customHeight="1"/>
    <row r="49" spans="2:15" s="192" customFormat="1" ht="14.25" customHeight="1">
      <c r="B49" s="1043" t="s">
        <v>186</v>
      </c>
      <c r="C49" s="196"/>
      <c r="D49" s="196"/>
      <c r="E49" s="196"/>
      <c r="F49" s="197"/>
      <c r="G49" s="197"/>
      <c r="H49" s="197"/>
      <c r="I49" s="197"/>
      <c r="J49" s="197"/>
      <c r="K49" s="197"/>
      <c r="L49" s="197"/>
      <c r="M49" s="197"/>
      <c r="N49" s="197"/>
      <c r="O49" s="197"/>
    </row>
    <row r="50" spans="2:15" ht="12.75" customHeight="1">
      <c r="B50" s="41" t="s">
        <v>187</v>
      </c>
      <c r="C50" s="211"/>
      <c r="D50" s="78">
        <f>SUM('CF Calculations'!D100:D101)</f>
        <v>0</v>
      </c>
      <c r="E50" s="78">
        <f>SUM('CF Calculations'!E100:E101)</f>
        <v>0</v>
      </c>
      <c r="F50" s="78">
        <f>SUM('CF Calculations'!F100:F101)</f>
        <v>0</v>
      </c>
      <c r="G50" s="78">
        <f>SUM('CF Calculations'!G100:G101)</f>
        <v>0</v>
      </c>
      <c r="H50" s="78">
        <f>SUM('CF Calculations'!H100:H101)</f>
        <v>0</v>
      </c>
      <c r="I50" s="78">
        <f>SUM('CF Calculations'!I100:I101)</f>
        <v>0</v>
      </c>
      <c r="J50" s="78">
        <f>SUM('CF Calculations'!J100:J101)</f>
        <v>0</v>
      </c>
      <c r="K50" s="78">
        <f>SUM('CF Calculations'!K100:K101)</f>
        <v>0</v>
      </c>
      <c r="L50" s="78">
        <f>SUM('CF Calculations'!L100:L101)</f>
        <v>0</v>
      </c>
      <c r="M50" s="78">
        <f>SUM('CF Calculations'!M100:M101)</f>
        <v>0</v>
      </c>
      <c r="N50" s="78">
        <f>SUM('CF Calculations'!N100:N101)</f>
        <v>0</v>
      </c>
      <c r="O50" s="145">
        <f>SUM(D50:N50)</f>
        <v>0</v>
      </c>
    </row>
    <row r="51" spans="2:15" ht="12.75" customHeight="1">
      <c r="B51" s="41" t="s">
        <v>188</v>
      </c>
      <c r="C51" s="211"/>
      <c r="D51" s="78">
        <f>'CF Calculations'!D102</f>
        <v>0</v>
      </c>
      <c r="E51" s="78">
        <f>'CF Calculations'!E102</f>
        <v>0</v>
      </c>
      <c r="F51" s="78">
        <f>'CF Calculations'!F102</f>
        <v>0</v>
      </c>
      <c r="G51" s="78">
        <f>'CF Calculations'!G102</f>
        <v>0</v>
      </c>
      <c r="H51" s="78">
        <f>'CF Calculations'!H102</f>
        <v>0</v>
      </c>
      <c r="I51" s="78">
        <f>'CF Calculations'!I102</f>
        <v>0</v>
      </c>
      <c r="J51" s="78">
        <f>'CF Calculations'!J102</f>
        <v>0</v>
      </c>
      <c r="K51" s="78">
        <f>'CF Calculations'!K102</f>
        <v>0</v>
      </c>
      <c r="L51" s="78">
        <f>'CF Calculations'!L102</f>
        <v>0</v>
      </c>
      <c r="M51" s="78">
        <f>'CF Calculations'!M102</f>
        <v>0</v>
      </c>
      <c r="N51" s="78">
        <f>'CF Calculations'!N102</f>
        <v>0</v>
      </c>
      <c r="O51" s="145">
        <f>SUM(D51:N51)</f>
        <v>0</v>
      </c>
    </row>
    <row r="52" spans="2:15" ht="12.75" customHeight="1">
      <c r="B52" s="41" t="s">
        <v>189</v>
      </c>
      <c r="C52" s="211"/>
      <c r="D52" s="78">
        <f>'CF Calculations'!D103</f>
        <v>0</v>
      </c>
      <c r="E52" s="78">
        <f>'CF Calculations'!E103</f>
        <v>0</v>
      </c>
      <c r="F52" s="78">
        <f>'CF Calculations'!F103</f>
        <v>0</v>
      </c>
      <c r="G52" s="78">
        <f>'CF Calculations'!G103</f>
        <v>0</v>
      </c>
      <c r="H52" s="78">
        <f>'CF Calculations'!H103</f>
        <v>0</v>
      </c>
      <c r="I52" s="78">
        <f>'CF Calculations'!I103</f>
        <v>0</v>
      </c>
      <c r="J52" s="78">
        <f>'CF Calculations'!J103</f>
        <v>0</v>
      </c>
      <c r="K52" s="78">
        <f>'CF Calculations'!K103</f>
        <v>0</v>
      </c>
      <c r="L52" s="78">
        <f>'CF Calculations'!L103</f>
        <v>0</v>
      </c>
      <c r="M52" s="78">
        <f>'CF Calculations'!M103</f>
        <v>0</v>
      </c>
      <c r="N52" s="78">
        <f>'CF Calculations'!N103</f>
        <v>0</v>
      </c>
      <c r="O52" s="145">
        <f>SUM(D52:N52)</f>
        <v>0</v>
      </c>
    </row>
    <row r="53" spans="2:15">
      <c r="B53" s="153" t="s">
        <v>190</v>
      </c>
      <c r="C53" s="209"/>
      <c r="D53" s="154">
        <f t="shared" ref="D53:N53" si="9">SUBTOTAL(9,D50:D52)</f>
        <v>0</v>
      </c>
      <c r="E53" s="154">
        <f t="shared" si="9"/>
        <v>0</v>
      </c>
      <c r="F53" s="154">
        <f t="shared" si="9"/>
        <v>0</v>
      </c>
      <c r="G53" s="154">
        <f t="shared" si="9"/>
        <v>0</v>
      </c>
      <c r="H53" s="154">
        <f t="shared" si="9"/>
        <v>0</v>
      </c>
      <c r="I53" s="154">
        <f t="shared" si="9"/>
        <v>0</v>
      </c>
      <c r="J53" s="154">
        <f t="shared" si="9"/>
        <v>0</v>
      </c>
      <c r="K53" s="154">
        <f t="shared" si="9"/>
        <v>0</v>
      </c>
      <c r="L53" s="154">
        <f t="shared" si="9"/>
        <v>0</v>
      </c>
      <c r="M53" s="154">
        <f t="shared" si="9"/>
        <v>0</v>
      </c>
      <c r="N53" s="154">
        <f t="shared" si="9"/>
        <v>0</v>
      </c>
      <c r="O53" s="155">
        <f>SUM(D53:N53)</f>
        <v>0</v>
      </c>
    </row>
    <row r="54" spans="2:15">
      <c r="B54" s="46"/>
      <c r="C54" s="209"/>
      <c r="D54" s="169"/>
      <c r="E54" s="169"/>
      <c r="F54" s="169"/>
      <c r="G54" s="169"/>
      <c r="H54" s="169"/>
      <c r="I54" s="169"/>
      <c r="J54" s="169"/>
      <c r="K54" s="169"/>
      <c r="L54" s="169"/>
      <c r="M54" s="169"/>
      <c r="N54" s="169"/>
      <c r="O54" s="91"/>
    </row>
    <row r="55" spans="2:15" ht="10.5" customHeight="1"/>
    <row r="56" spans="2:15" ht="10.5" customHeight="1"/>
    <row r="57" spans="2:15" s="192" customFormat="1" ht="14.25" customHeight="1">
      <c r="B57" s="1044" t="s">
        <v>191</v>
      </c>
      <c r="C57" s="212">
        <f>LeveredIRR</f>
        <v>0.16421136998081587</v>
      </c>
      <c r="D57" s="204">
        <f t="shared" ref="D57:N57" si="10">SUBTOTAL(9,D10:D54)</f>
        <v>-13009400</v>
      </c>
      <c r="E57" s="204">
        <f t="shared" si="10"/>
        <v>1013735.7586710614</v>
      </c>
      <c r="F57" s="204">
        <f t="shared" si="10"/>
        <v>1056179.4324117121</v>
      </c>
      <c r="G57" s="204">
        <f t="shared" si="10"/>
        <v>1118852.1397523265</v>
      </c>
      <c r="H57" s="204">
        <f t="shared" si="10"/>
        <v>1167400.4878539424</v>
      </c>
      <c r="I57" s="204">
        <f t="shared" si="10"/>
        <v>1217633.7596158781</v>
      </c>
      <c r="J57" s="204">
        <f t="shared" si="10"/>
        <v>1261529.7824043559</v>
      </c>
      <c r="K57" s="204">
        <f t="shared" si="10"/>
        <v>25912414.985018022</v>
      </c>
      <c r="L57" s="204">
        <f t="shared" si="10"/>
        <v>0</v>
      </c>
      <c r="M57" s="204">
        <f t="shared" si="10"/>
        <v>0</v>
      </c>
      <c r="N57" s="204">
        <f t="shared" si="10"/>
        <v>0</v>
      </c>
      <c r="O57" s="204">
        <f>SUM(D57:N57)</f>
        <v>19738346.345727298</v>
      </c>
    </row>
    <row r="58" spans="2:15" ht="10.5" customHeight="1"/>
    <row r="59" spans="2:15" ht="10.5" customHeight="1"/>
    <row r="60" spans="2:15" s="192" customFormat="1" ht="14.25" customHeight="1">
      <c r="B60" s="1043" t="s">
        <v>192</v>
      </c>
      <c r="C60" s="196"/>
      <c r="D60" s="196"/>
      <c r="E60" s="196"/>
      <c r="F60" s="197"/>
      <c r="G60" s="197"/>
      <c r="H60" s="197"/>
      <c r="I60" s="197"/>
      <c r="J60" s="197"/>
      <c r="K60" s="197"/>
      <c r="L60" s="197"/>
      <c r="M60" s="197"/>
      <c r="N60" s="197"/>
      <c r="O60" s="197"/>
    </row>
    <row r="61" spans="2:15" ht="12.75" customHeight="1">
      <c r="B61" s="41" t="s">
        <v>193</v>
      </c>
      <c r="C61" s="211"/>
      <c r="D61" s="78">
        <f>'CF Calculations'!D122</f>
        <v>13009400</v>
      </c>
      <c r="E61" s="78">
        <f>'CF Calculations'!E122</f>
        <v>13009400</v>
      </c>
      <c r="F61" s="78">
        <f>'CF Calculations'!F122</f>
        <v>13009400</v>
      </c>
      <c r="G61" s="78">
        <f>'CF Calculations'!G122</f>
        <v>13009400</v>
      </c>
      <c r="H61" s="78">
        <f>'CF Calculations'!H122</f>
        <v>13009400</v>
      </c>
      <c r="I61" s="78">
        <f>'CF Calculations'!I122</f>
        <v>13009400</v>
      </c>
      <c r="J61" s="78">
        <f>'CF Calculations'!J122</f>
        <v>13009400</v>
      </c>
      <c r="K61" s="78">
        <f>'CF Calculations'!K122</f>
        <v>13009400</v>
      </c>
      <c r="L61" s="78">
        <f>'CF Calculations'!L122</f>
        <v>0</v>
      </c>
      <c r="M61" s="78">
        <f>'CF Calculations'!M122</f>
        <v>0</v>
      </c>
      <c r="N61" s="78">
        <f>'CF Calculations'!N122</f>
        <v>0</v>
      </c>
      <c r="O61" s="145">
        <f>'CF Calculations'!O122</f>
        <v>13009400</v>
      </c>
    </row>
    <row r="62" spans="2:15" ht="12.75" customHeight="1">
      <c r="B62" s="41" t="s">
        <v>194</v>
      </c>
      <c r="C62" s="211"/>
      <c r="D62" s="78"/>
      <c r="E62" s="40">
        <f>'CF Calculations'!E123</f>
        <v>7.7923000000000006E-2</v>
      </c>
      <c r="F62" s="40">
        <f>'CF Calculations'!F123</f>
        <v>8.1185999999999994E-2</v>
      </c>
      <c r="G62" s="40">
        <f>'CF Calculations'!G123</f>
        <v>8.6002999999999996E-2</v>
      </c>
      <c r="H62" s="40">
        <f>'CF Calculations'!H123</f>
        <v>8.9734999999999995E-2</v>
      </c>
      <c r="I62" s="40">
        <f>'CF Calculations'!I123</f>
        <v>9.3595999999999999E-2</v>
      </c>
      <c r="J62" s="40">
        <f>'CF Calculations'!J123</f>
        <v>9.6971000000000002E-2</v>
      </c>
      <c r="K62" s="40">
        <f>'CF Calculations'!K123</f>
        <v>0.10044599999999999</v>
      </c>
      <c r="L62" s="40">
        <f>'CF Calculations'!L123</f>
        <v>0</v>
      </c>
      <c r="M62" s="40">
        <f>'CF Calculations'!M123</f>
        <v>0</v>
      </c>
      <c r="N62" s="40">
        <f>'CF Calculations'!N123</f>
        <v>0</v>
      </c>
      <c r="O62" s="158">
        <f>'CF Calculations'!O123</f>
        <v>8.9408571428571434E-2</v>
      </c>
    </row>
    <row r="63" spans="2:15" ht="12.75" customHeight="1">
      <c r="B63" s="41" t="s">
        <v>195</v>
      </c>
      <c r="C63" s="211"/>
      <c r="D63" s="98"/>
      <c r="E63" s="98">
        <f>'CF Calculations'!E125</f>
        <v>0</v>
      </c>
      <c r="F63" s="98">
        <f>'CF Calculations'!F125</f>
        <v>0</v>
      </c>
      <c r="G63" s="98">
        <f>'CF Calculations'!G125</f>
        <v>0</v>
      </c>
      <c r="H63" s="98">
        <f>'CF Calculations'!H125</f>
        <v>0</v>
      </c>
      <c r="I63" s="98">
        <f>'CF Calculations'!I125</f>
        <v>0</v>
      </c>
      <c r="J63" s="98">
        <f>'CF Calculations'!J125</f>
        <v>0</v>
      </c>
      <c r="K63" s="98">
        <f>'CF Calculations'!K125</f>
        <v>0</v>
      </c>
      <c r="L63" s="98">
        <f>'CF Calculations'!L125</f>
        <v>0</v>
      </c>
      <c r="M63" s="98">
        <f>'CF Calculations'!M125</f>
        <v>0</v>
      </c>
      <c r="N63" s="98">
        <f>'CF Calculations'!N125</f>
        <v>0</v>
      </c>
      <c r="O63" s="213">
        <f>'CF Calculations'!O125</f>
        <v>0</v>
      </c>
    </row>
    <row r="64" spans="2:15" ht="12.75" customHeight="1">
      <c r="B64" s="41"/>
      <c r="C64" s="211"/>
      <c r="D64" s="78"/>
      <c r="E64" s="78"/>
      <c r="F64" s="78"/>
      <c r="G64" s="78"/>
      <c r="H64" s="78"/>
      <c r="I64" s="78"/>
      <c r="J64" s="78"/>
      <c r="K64" s="78"/>
      <c r="L64" s="78"/>
      <c r="M64" s="78"/>
      <c r="N64" s="78"/>
      <c r="O64" s="145"/>
    </row>
  </sheetData>
  <pageMargins left="0.4" right="0.4" top="0.68" bottom="0.46" header="0.31" footer="0.31"/>
  <pageSetup scale="74" orientation="portrait" r:id="rId1"/>
  <headerFooter scaleWithDoc="0">
    <oddHeader>&amp;C&amp;"+,Regular"&amp;9&amp;KFF0000STRICTLY CONFIDENTIAL&amp;R&amp;G</oddHeader>
    <oddFooter>&amp;L&amp;8&amp;F&amp;C&amp;8Page &amp;P of &amp;N&amp;R&amp;8&amp;D  &amp;T</oddFooter>
  </headerFooter>
  <legacyDrawingHF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120CA5-7D7E-4DB5-B7AF-470A8FD3E0F1}">
  <sheetPr codeName="OutSensitivity"/>
  <dimension ref="B1:P51"/>
  <sheetViews>
    <sheetView showGridLines="0" zoomScale="90" zoomScaleNormal="90" zoomScaleSheetLayoutView="100" workbookViewId="0">
      <selection activeCell="O62" sqref="O62"/>
    </sheetView>
  </sheetViews>
  <sheetFormatPr defaultColWidth="9.140625" defaultRowHeight="12.75"/>
  <cols>
    <col min="1" max="1" width="1.7109375" customWidth="1"/>
    <col min="2" max="2" width="3.7109375" customWidth="1"/>
    <col min="3" max="3" width="18.7109375" customWidth="1"/>
    <col min="4" max="8" width="13.5703125" customWidth="1"/>
    <col min="9" max="9" width="8.7109375" customWidth="1"/>
    <col min="10" max="10" width="3.7109375" customWidth="1"/>
    <col min="11" max="11" width="18.7109375" customWidth="1"/>
    <col min="12" max="16" width="13.5703125" customWidth="1"/>
  </cols>
  <sheetData>
    <row r="1" spans="2:16">
      <c r="B1" s="130" t="s">
        <v>0</v>
      </c>
    </row>
    <row r="2" spans="2:16" ht="19.5" customHeight="1">
      <c r="B2" s="1166" t="str">
        <f>Input!E10</f>
        <v>Chaney Place Townhomes</v>
      </c>
      <c r="C2" s="132"/>
      <c r="D2" s="132"/>
      <c r="E2" s="132"/>
      <c r="F2" s="132"/>
      <c r="G2" s="214"/>
      <c r="H2" s="1014" t="s">
        <v>196</v>
      </c>
      <c r="I2" s="132"/>
      <c r="J2" s="132"/>
      <c r="K2" s="132"/>
      <c r="L2" s="132"/>
      <c r="M2" s="132"/>
      <c r="N2" s="132"/>
      <c r="O2" s="132"/>
      <c r="P2" s="1167" t="str">
        <f>Input!$M$4</f>
        <v>Huntsville, AL</v>
      </c>
    </row>
    <row r="3" spans="2:16" ht="15" customHeight="1"/>
    <row r="4" spans="2:16" ht="14.85" customHeight="1">
      <c r="B4" s="1039" t="s">
        <v>197</v>
      </c>
      <c r="C4" s="1026"/>
      <c r="D4" s="1026"/>
      <c r="E4" s="1026"/>
      <c r="F4" s="1026"/>
      <c r="G4" s="1026"/>
      <c r="H4" s="1026"/>
      <c r="J4" s="1039" t="s">
        <v>198</v>
      </c>
      <c r="K4" s="1026"/>
      <c r="L4" s="1026"/>
      <c r="M4" s="1026"/>
      <c r="N4" s="1026"/>
      <c r="O4" s="1026"/>
      <c r="P4" s="1026"/>
    </row>
    <row r="5" spans="2:16" ht="10.5" customHeight="1"/>
    <row r="6" spans="2:16" s="31" customFormat="1" ht="16.5" customHeight="1">
      <c r="B6" s="1197"/>
      <c r="C6" s="1192"/>
      <c r="D6" s="1192" t="s">
        <v>16</v>
      </c>
      <c r="E6" s="1192"/>
      <c r="F6" s="1199"/>
      <c r="G6" s="1192"/>
      <c r="H6" s="1192"/>
      <c r="J6" s="1197"/>
      <c r="K6" s="1192"/>
      <c r="L6" s="1192" t="str">
        <f>"Going-In Cap Rate"&amp;IF(IsHistoricalComponent,"¹","")</f>
        <v>Going-In Cap Rate¹</v>
      </c>
      <c r="M6" s="1192"/>
      <c r="N6" s="1199"/>
      <c r="O6" s="1192"/>
      <c r="P6" s="1192"/>
    </row>
    <row r="7" spans="2:16" s="31" customFormat="1">
      <c r="B7" s="1200"/>
      <c r="C7" s="215"/>
      <c r="D7" s="216">
        <f>Input!R248</f>
        <v>14800000</v>
      </c>
      <c r="E7" s="216">
        <f>Input!S248</f>
        <v>14900000</v>
      </c>
      <c r="F7" s="1214">
        <f>Input!T248</f>
        <v>15093236.363636363</v>
      </c>
      <c r="G7" s="216">
        <f>Input!U248</f>
        <v>15200000</v>
      </c>
      <c r="H7" s="216">
        <f>Input!V248</f>
        <v>15400000</v>
      </c>
      <c r="J7" s="1274" t="s">
        <v>199</v>
      </c>
      <c r="K7" s="215"/>
      <c r="L7" s="217">
        <f>Input!AA248</f>
        <v>4.9999999999999996E-2</v>
      </c>
      <c r="M7" s="217">
        <f>Input!AB248</f>
        <v>5.2499999999999998E-2</v>
      </c>
      <c r="N7" s="1236">
        <f>Input!AC248</f>
        <v>5.5E-2</v>
      </c>
      <c r="O7" s="217">
        <f>Input!AD248</f>
        <v>5.7500000000000002E-2</v>
      </c>
      <c r="P7" s="217">
        <f>Input!AE248</f>
        <v>6.0000000000000005E-2</v>
      </c>
    </row>
    <row r="8" spans="2:16" ht="12.75" customHeight="1">
      <c r="B8" s="1193"/>
      <c r="C8" s="218" t="s">
        <v>111</v>
      </c>
      <c r="D8" s="219">
        <f>D7/TotalDealUnits</f>
        <v>185000</v>
      </c>
      <c r="E8" s="219">
        <f>E7/TotalDealUnits</f>
        <v>186250</v>
      </c>
      <c r="F8" s="1215">
        <f>F7/TotalDealUnits</f>
        <v>188665.45454545453</v>
      </c>
      <c r="G8" s="219">
        <f>G7/TotalDealUnits</f>
        <v>190000</v>
      </c>
      <c r="H8" s="219">
        <f>H7/TotalDealUnits</f>
        <v>192500</v>
      </c>
      <c r="J8" s="1275"/>
      <c r="K8" s="218" t="s">
        <v>111</v>
      </c>
      <c r="L8" s="219">
        <f>L10/TotalDealUnits</f>
        <v>207532.00000000003</v>
      </c>
      <c r="M8" s="219">
        <f>M10/TotalDealUnits</f>
        <v>197649.52380952382</v>
      </c>
      <c r="N8" s="1215">
        <f>N10/TotalDealUnits</f>
        <v>188665.45454545453</v>
      </c>
      <c r="O8" s="219">
        <f>O10/TotalDealUnits</f>
        <v>180462.60869565216</v>
      </c>
      <c r="P8" s="219">
        <f>P10/TotalDealUnits</f>
        <v>172943.33333333331</v>
      </c>
    </row>
    <row r="9" spans="2:16" ht="10.5" customHeight="1">
      <c r="B9" s="1274" t="s">
        <v>200</v>
      </c>
      <c r="C9" s="218" t="str">
        <f>IF(Input!$F$56,"Per sf","")</f>
        <v>Per sf</v>
      </c>
      <c r="D9" s="219">
        <f>IF(Input!$F$56,D7/(TotalDealUnits*Input!$F$56),"")</f>
        <v>137.04465062873862</v>
      </c>
      <c r="E9" s="220">
        <f>IF(Input!$F$56,E7/(TotalDealUnits*Input!$F$56),"")</f>
        <v>137.97062799785172</v>
      </c>
      <c r="F9" s="1216">
        <f>IF(Input!$F$56,F7/(TotalDealUnits*Input!$F$56),"")</f>
        <v>139.75995299402155</v>
      </c>
      <c r="G9" s="219">
        <f>IF(Input!$F$56,G7/(TotalDealUnits*Input!$F$56),"")</f>
        <v>140.74856010519102</v>
      </c>
      <c r="H9" s="219">
        <f>IF(Input!$F$56,H7/(TotalDealUnits*Input!$F$56),"")</f>
        <v>142.60051484341722</v>
      </c>
      <c r="J9" s="1275"/>
      <c r="K9" s="218" t="str">
        <f>IF(Input!$F$56,"Per sf","")</f>
        <v>Per sf</v>
      </c>
      <c r="L9" s="219">
        <f>IF(Input!$F$56,L10/(TotalDealUnits*Input!$F$56),"")</f>
        <v>153.73594829342372</v>
      </c>
      <c r="M9" s="220">
        <f>IF(Input!$F$56,M10/(TotalDealUnits*Input!$F$56),"")</f>
        <v>146.41518885087973</v>
      </c>
      <c r="N9" s="1216">
        <f>IF(Input!$F$56,N10/(TotalDealUnits*Input!$F$56),"")</f>
        <v>139.75995299402155</v>
      </c>
      <c r="O9" s="219">
        <f>IF(Input!$F$56,O10/(TotalDealUnits*Input!$F$56),"")</f>
        <v>133.68343329862932</v>
      </c>
      <c r="P9" s="219">
        <f>IF(Input!$F$56,P10/(TotalDealUnits*Input!$F$56),"")</f>
        <v>128.11329024451976</v>
      </c>
    </row>
    <row r="10" spans="2:16" ht="14.25" customHeight="1">
      <c r="B10" s="1276"/>
      <c r="C10" s="221" t="str">
        <f>Input!P249&amp;IF(IsHistoricalComponent,"¹","")</f>
        <v>Going-In Cap Rate¹</v>
      </c>
      <c r="D10" s="222">
        <f>Input!R249</f>
        <v>5.6089729729729733E-2</v>
      </c>
      <c r="E10" s="223">
        <f>Input!S249</f>
        <v>5.5713288590604024E-2</v>
      </c>
      <c r="F10" s="1217">
        <f>Input!T249</f>
        <v>5.5E-2</v>
      </c>
      <c r="G10" s="224">
        <f>Input!U249</f>
        <v>5.4613684210526314E-2</v>
      </c>
      <c r="H10" s="225">
        <f>Input!V249</f>
        <v>5.3904415584415583E-2</v>
      </c>
      <c r="J10" s="1275"/>
      <c r="K10" s="221" t="str">
        <f>Input!Y249</f>
        <v>Purchase Price</v>
      </c>
      <c r="L10" s="226">
        <f>Input!AA249</f>
        <v>16602560.000000002</v>
      </c>
      <c r="M10" s="227">
        <f>Input!AB249</f>
        <v>15811961.904761905</v>
      </c>
      <c r="N10" s="1237">
        <f>Input!AC249</f>
        <v>15093236.363636363</v>
      </c>
      <c r="O10" s="228">
        <f>Input!AD249</f>
        <v>14437008.695652174</v>
      </c>
      <c r="P10" s="229">
        <f>Input!AE249</f>
        <v>13835466.666666666</v>
      </c>
    </row>
    <row r="11" spans="2:16" ht="14.25" customHeight="1">
      <c r="B11" s="1276"/>
      <c r="C11" s="221" t="str">
        <f>Input!P250</f>
        <v>Year 1 Cash on Cash</v>
      </c>
      <c r="D11" s="230">
        <f>Input!R250</f>
        <v>6.2978999999999993E-2</v>
      </c>
      <c r="E11" s="231">
        <f>Input!S250</f>
        <v>6.2556E-2</v>
      </c>
      <c r="F11" s="1218">
        <f>Input!T250</f>
        <v>6.1754999999999997E-2</v>
      </c>
      <c r="G11" s="232">
        <f>Input!U250</f>
        <v>6.1322000000000002E-2</v>
      </c>
      <c r="H11" s="233">
        <f>Input!V250</f>
        <v>6.0525000000000002E-2</v>
      </c>
      <c r="J11" s="1275"/>
      <c r="K11" s="221" t="str">
        <f>C11</f>
        <v>Year 1 Cash on Cash</v>
      </c>
      <c r="L11" s="230">
        <f>Input!AA250</f>
        <v>5.6141000000000003E-2</v>
      </c>
      <c r="M11" s="231">
        <f>Input!AB250</f>
        <v>5.8948E-2</v>
      </c>
      <c r="N11" s="1218">
        <f>Input!AC250</f>
        <v>6.1754999999999997E-2</v>
      </c>
      <c r="O11" s="232">
        <f>Input!AD250</f>
        <v>6.4561999999999994E-2</v>
      </c>
      <c r="P11" s="233">
        <f>Input!AE250</f>
        <v>6.7368999999999998E-2</v>
      </c>
    </row>
    <row r="12" spans="2:16" ht="14.25" customHeight="1">
      <c r="B12" s="1276"/>
      <c r="C12" s="221" t="str">
        <f>Input!P251&amp;IF(NOT(IsHistoricalComponent),"¹","²")</f>
        <v>Avg. Cash on Cash²</v>
      </c>
      <c r="D12" s="234">
        <f>Input!R251</f>
        <v>7.4325285714285719E-2</v>
      </c>
      <c r="E12" s="44">
        <f>Input!S251</f>
        <v>7.3826571428571436E-2</v>
      </c>
      <c r="F12" s="1218">
        <f>Input!T251</f>
        <v>7.2881428571428569E-2</v>
      </c>
      <c r="G12" s="97">
        <f>Input!U251</f>
        <v>7.2369428571428571E-2</v>
      </c>
      <c r="H12" s="235">
        <f>Input!V251</f>
        <v>7.1429714285714277E-2</v>
      </c>
      <c r="J12" s="1275"/>
      <c r="K12" s="221" t="str">
        <f>C12</f>
        <v>Avg. Cash on Cash²</v>
      </c>
      <c r="L12" s="234">
        <f>Input!AA251</f>
        <v>6.6255714285714293E-2</v>
      </c>
      <c r="M12" s="44">
        <f>Input!AB251</f>
        <v>6.9568571428571438E-2</v>
      </c>
      <c r="N12" s="1218">
        <f>Input!AC251</f>
        <v>7.2881428571428569E-2</v>
      </c>
      <c r="O12" s="97">
        <f>Input!AD251</f>
        <v>7.619385714285716E-2</v>
      </c>
      <c r="P12" s="235">
        <f>Input!AE251</f>
        <v>7.9506714285714306E-2</v>
      </c>
    </row>
    <row r="13" spans="2:16" ht="14.25" customHeight="1">
      <c r="B13" s="1276"/>
      <c r="C13" s="221" t="str">
        <f>Input!P252</f>
        <v>Unleveraged IRR</v>
      </c>
      <c r="D13" s="230">
        <f>Input!R252</f>
        <v>0.13126042297177443</v>
      </c>
      <c r="E13" s="231">
        <f>Input!S252</f>
        <v>0.12998142810953284</v>
      </c>
      <c r="F13" s="1218">
        <f>Input!T252</f>
        <v>0.12754053007614163</v>
      </c>
      <c r="G13" s="232">
        <f>Input!U252</f>
        <v>0.12620885958836103</v>
      </c>
      <c r="H13" s="233">
        <f>Input!V252</f>
        <v>0.12374585696990592</v>
      </c>
      <c r="J13" s="1275"/>
      <c r="K13" s="221" t="str">
        <f>Input!Y252</f>
        <v>Unleveraged IRR</v>
      </c>
      <c r="L13" s="230">
        <f>Input!AA252</f>
        <v>0.10974305416009522</v>
      </c>
      <c r="M13" s="231">
        <f>Input!AB252</f>
        <v>0.11879781373893672</v>
      </c>
      <c r="N13" s="1218">
        <f>Input!AC252</f>
        <v>0.12754053007614163</v>
      </c>
      <c r="O13" s="232">
        <f>Input!AD252</f>
        <v>0.13599697442799386</v>
      </c>
      <c r="P13" s="233">
        <f>Input!AE252</f>
        <v>0.14418978927652826</v>
      </c>
    </row>
    <row r="14" spans="2:16" ht="14.85" customHeight="1">
      <c r="B14" s="1276"/>
      <c r="C14" s="221" t="str">
        <f>Input!P253</f>
        <v>Leveraged IRR</v>
      </c>
      <c r="D14" s="234">
        <f>Input!R253</f>
        <v>0.13126042297177443</v>
      </c>
      <c r="E14" s="44">
        <f>Input!S253</f>
        <v>0.12998142810953284</v>
      </c>
      <c r="F14" s="1218">
        <f>Input!T253</f>
        <v>0.12754053007614163</v>
      </c>
      <c r="G14" s="97">
        <f>Input!U253</f>
        <v>0.12620885958836103</v>
      </c>
      <c r="H14" s="235">
        <f>Input!V253</f>
        <v>0.12374585696990592</v>
      </c>
      <c r="J14" s="1275"/>
      <c r="K14" s="221" t="str">
        <f>Input!Y253</f>
        <v>Leveraged IRR</v>
      </c>
      <c r="L14" s="234">
        <f>Input!AA253</f>
        <v>0.10974305416009522</v>
      </c>
      <c r="M14" s="44">
        <f>Input!AB253</f>
        <v>0.11879781373893672</v>
      </c>
      <c r="N14" s="1218">
        <f>Input!AC253</f>
        <v>0.12754053007614163</v>
      </c>
      <c r="O14" s="97">
        <f>Input!AD253</f>
        <v>0.13599697442799386</v>
      </c>
      <c r="P14" s="235">
        <f>Input!AE253</f>
        <v>0.14418978927652826</v>
      </c>
    </row>
    <row r="15" spans="2:16" ht="14.85" customHeight="1">
      <c r="B15" s="1276"/>
      <c r="C15" s="221" t="str">
        <f>Input!P254</f>
        <v>Equity Multiple</v>
      </c>
      <c r="D15" s="236">
        <f>Input!R254</f>
        <v>2.1341985060708879</v>
      </c>
      <c r="E15" s="237">
        <f>Input!S254</f>
        <v>2.1198750261643724</v>
      </c>
      <c r="F15" s="1227">
        <f>Input!T254</f>
        <v>2.0927345950765464</v>
      </c>
      <c r="G15" s="238">
        <f>Input!U254</f>
        <v>2.0780353874900754</v>
      </c>
      <c r="H15" s="239">
        <f>Input!V254</f>
        <v>2.0510479149252694</v>
      </c>
      <c r="J15" s="1275"/>
      <c r="K15" s="221" t="str">
        <f>Input!Y254</f>
        <v>Equity Multiple</v>
      </c>
      <c r="L15" s="236">
        <f>Input!AA254</f>
        <v>1.9024859955241327</v>
      </c>
      <c r="M15" s="237">
        <f>Input!AB254</f>
        <v>1.9976102953003396</v>
      </c>
      <c r="N15" s="1227">
        <f>Input!AC254</f>
        <v>2.0927345950765464</v>
      </c>
      <c r="O15" s="238">
        <f>Input!AD254</f>
        <v>2.1878588948527522</v>
      </c>
      <c r="P15" s="239">
        <f>Input!AE254</f>
        <v>2.2829831946289589</v>
      </c>
    </row>
    <row r="16" spans="2:16" ht="8.4499999999999993" customHeight="1">
      <c r="B16" s="1193"/>
      <c r="C16" s="27"/>
      <c r="D16" s="27"/>
      <c r="E16" s="27"/>
      <c r="F16" s="27"/>
      <c r="G16" s="27"/>
      <c r="H16" s="27"/>
      <c r="J16" s="1275"/>
      <c r="K16" s="27"/>
      <c r="L16" s="27"/>
      <c r="M16" s="27"/>
      <c r="N16" s="27"/>
      <c r="O16" s="27"/>
      <c r="P16" s="27"/>
    </row>
    <row r="17" spans="2:16">
      <c r="B17" s="1193"/>
      <c r="C17" s="59" t="str">
        <f>IF(IsHistoricalComponent,"¹ Based on "&amp;IF(GoingInCapRateSensitivityType=90,"Pro Forma NOI  ²",IF(OR(IsAdjustedHistoricalNOIWithReassessedTaxes,AdjustedHistoricalNOI),"Historical Adjusted NOI  ²","Historical NOI  ²")),"¹")&amp;" "&amp;IF(PostRenovationYr=1,YrOfExit&amp;"-year Average","In Year "&amp;PostRenovationYr&amp;" (the first full year following completion of all renovations)")</f>
        <v>¹ Based on Historical Adjusted NOI  ² 7-year Average</v>
      </c>
      <c r="D17" s="27"/>
      <c r="E17" s="27"/>
      <c r="F17" s="27"/>
      <c r="G17" s="27"/>
      <c r="H17" s="27"/>
      <c r="J17" s="1275"/>
      <c r="K17" s="59" t="str">
        <f>C17</f>
        <v>¹ Based on Historical Adjusted NOI  ² 7-year Average</v>
      </c>
      <c r="L17" s="27"/>
      <c r="M17" s="27"/>
      <c r="N17" s="27"/>
      <c r="O17" s="27"/>
      <c r="P17" s="27"/>
    </row>
    <row r="18" spans="2:16" ht="10.5" customHeight="1">
      <c r="C18" s="240"/>
      <c r="K18" s="240"/>
    </row>
    <row r="19" spans="2:16" ht="14.85" customHeight="1">
      <c r="B19" s="1039" t="s">
        <v>201</v>
      </c>
      <c r="C19" s="1030"/>
      <c r="D19" s="1030"/>
      <c r="E19" s="1030"/>
      <c r="F19" s="1030"/>
      <c r="G19" s="1030"/>
      <c r="H19" s="1030"/>
      <c r="J19" s="1039" t="s">
        <v>202</v>
      </c>
      <c r="K19" s="1030"/>
      <c r="L19" s="1030"/>
      <c r="M19" s="1030"/>
      <c r="N19" s="1030"/>
      <c r="O19" s="1030"/>
      <c r="P19" s="1030"/>
    </row>
    <row r="20" spans="2:16" ht="10.5" customHeight="1">
      <c r="J20" s="241"/>
      <c r="M20" s="242"/>
    </row>
    <row r="21" spans="2:16" s="31" customFormat="1" ht="16.5" customHeight="1">
      <c r="B21" s="1197"/>
      <c r="C21" s="1191"/>
      <c r="D21" s="1192" t="s">
        <v>203</v>
      </c>
      <c r="E21" s="1192"/>
      <c r="F21" s="1192"/>
      <c r="G21" s="1192"/>
      <c r="H21" s="1198"/>
      <c r="J21" s="1191"/>
      <c r="K21" s="1191"/>
      <c r="L21" s="1192" t="s">
        <v>204</v>
      </c>
      <c r="M21" s="1192"/>
      <c r="N21" s="1192"/>
      <c r="O21" s="1192"/>
      <c r="P21" s="1192"/>
    </row>
    <row r="22" spans="2:16" ht="12.75" customHeight="1">
      <c r="B22" s="1201"/>
      <c r="C22" s="27"/>
      <c r="D22" s="243">
        <f>Input!$G$226</f>
        <v>1.113578532140675</v>
      </c>
      <c r="E22" s="243">
        <f>Input!$G$227</f>
        <v>1.1754440061484903</v>
      </c>
      <c r="F22" s="1232">
        <f>Input!$G$228</f>
        <v>1.2373094801563056</v>
      </c>
      <c r="G22" s="243">
        <f>Input!$G$229</f>
        <v>1.2991749541641209</v>
      </c>
      <c r="H22" s="244">
        <f>Input!$G$230</f>
        <v>1.3610404281719362</v>
      </c>
      <c r="J22" s="1193"/>
      <c r="K22" s="27"/>
      <c r="L22" s="245">
        <f>Input!R226</f>
        <v>4.9999999999999996E-2</v>
      </c>
      <c r="M22" s="245">
        <f>Input!S226</f>
        <v>5.2499999999999998E-2</v>
      </c>
      <c r="N22" s="1219">
        <f>Input!T226</f>
        <v>5.5E-2</v>
      </c>
      <c r="O22" s="245">
        <f>Input!U226</f>
        <v>5.7500000000000002E-2</v>
      </c>
      <c r="P22" s="245">
        <f>Input!V226</f>
        <v>6.0000000000000005E-2</v>
      </c>
    </row>
    <row r="23" spans="2:16" ht="14.85" customHeight="1">
      <c r="B23" s="1269" t="s">
        <v>205</v>
      </c>
      <c r="C23" s="246" t="s">
        <v>206</v>
      </c>
      <c r="D23" s="247">
        <f>E23*2</f>
        <v>-0.1</v>
      </c>
      <c r="E23" s="248">
        <f>-MarketRentSensitivityPcntIncrement</f>
        <v>-0.05</v>
      </c>
      <c r="F23" s="1238">
        <v>0</v>
      </c>
      <c r="G23" s="248">
        <f>MarketRentSensitivityPcntIncrement</f>
        <v>0.05</v>
      </c>
      <c r="H23" s="249">
        <f>G23*2</f>
        <v>0.1</v>
      </c>
      <c r="J23" s="1269" t="s">
        <v>14</v>
      </c>
      <c r="K23" s="1270">
        <f>YrOfExit</f>
        <v>7</v>
      </c>
      <c r="L23" s="1220"/>
      <c r="M23" s="1221"/>
      <c r="N23" s="1222">
        <f>Input!Q226</f>
        <v>0.16421136998081587</v>
      </c>
      <c r="O23" s="1223"/>
      <c r="P23" s="1224"/>
    </row>
    <row r="24" spans="2:16" ht="14.85" customHeight="1">
      <c r="B24" s="1269"/>
      <c r="C24" s="27"/>
      <c r="D24" s="250"/>
      <c r="E24" s="27"/>
      <c r="F24" s="1239"/>
      <c r="G24" s="27"/>
      <c r="H24" s="251"/>
      <c r="J24" s="1269"/>
      <c r="K24" s="1270"/>
      <c r="L24" s="1225"/>
      <c r="M24" s="1226"/>
      <c r="N24" s="1227">
        <f>Input!Q237</f>
        <v>2.5172372550407625</v>
      </c>
      <c r="O24" s="1228"/>
      <c r="P24" s="1229"/>
    </row>
    <row r="25" spans="2:16" ht="14.85" customHeight="1">
      <c r="B25" s="1269"/>
      <c r="C25" s="252" t="str">
        <f>GenValidation!AO5</f>
        <v>Studio</v>
      </c>
      <c r="D25" s="253">
        <f>IFERROR(SUMPRODUCT((FPBeds=GenValidation!$AP5)*FPNumOfUnits,Input!$L$53:$L$54)/SUMIF(FPBeds,GenValidation!$AP5,FPNumOfUnits)*(SUMPRODUCT((FPBeds&lt;&gt;"")*(FloorPlanNames&lt;&gt;""))&gt;0)/Input!$X$56*D$22,)</f>
        <v>0</v>
      </c>
      <c r="E25" s="254">
        <f>IFERROR(SUMPRODUCT((FPBeds=GenValidation!$AP5)*FPNumOfUnits,Input!$L$53:$L$54)/SUMIF(FPBeds,GenValidation!$AP5,FPNumOfUnits)*(SUMPRODUCT((FPBeds&lt;&gt;"")*(FloorPlanNames&lt;&gt;""))&gt;0)/Input!$X$56*E$22,)</f>
        <v>0</v>
      </c>
      <c r="F25" s="1241">
        <f>IFERROR(SUMPRODUCT((FPBeds=GenValidation!$AP5)*FPNumOfUnits,Input!$L$53:$L$54)/SUMIF(FPBeds,GenValidation!$AP5,FPNumOfUnits)*(SUMPRODUCT((FPBeds&lt;&gt;"")*(FloorPlanNames&lt;&gt;""))&gt;0)/Input!$X$56*F$22,)</f>
        <v>0</v>
      </c>
      <c r="G25" s="254">
        <f>IFERROR(SUMPRODUCT((FPBeds=GenValidation!$AP5)*FPNumOfUnits,Input!$L$53:$L$54)/SUMIF(FPBeds,GenValidation!$AP5,FPNumOfUnits)*(SUMPRODUCT((FPBeds&lt;&gt;"")*(FloorPlanNames&lt;&gt;""))&gt;0)/Input!$X$56*G$22,)</f>
        <v>0</v>
      </c>
      <c r="H25" s="255">
        <f>IFERROR(SUMPRODUCT((FPBeds=GenValidation!$AP5)*FPNumOfUnits,Input!$L$53:$L$54)/SUMIF(FPBeds,GenValidation!$AP5,FPNumOfUnits)*(SUMPRODUCT((FPBeds&lt;&gt;"")*(FloorPlanNames&lt;&gt;""))&gt;0)/Input!$X$56*H$22,)</f>
        <v>0</v>
      </c>
      <c r="J25" s="1269"/>
      <c r="K25" s="1271">
        <f>Input!Q227</f>
        <v>3</v>
      </c>
      <c r="L25" s="256">
        <f>Input!R227</f>
        <v>0.19323064195329853</v>
      </c>
      <c r="M25" s="257">
        <f>Input!S227</f>
        <v>0.17579422853789395</v>
      </c>
      <c r="N25" s="1222">
        <f>Input!T227</f>
        <v>0.15946484553374396</v>
      </c>
      <c r="O25" s="257">
        <f>Input!U227</f>
        <v>0.14412772370865246</v>
      </c>
      <c r="P25" s="258">
        <f>Input!V227</f>
        <v>0.12968431088350707</v>
      </c>
    </row>
    <row r="26" spans="2:16" ht="14.85" customHeight="1">
      <c r="B26" s="1269"/>
      <c r="C26" s="252" t="str">
        <f>GenValidation!AO6</f>
        <v>1 Bedroom</v>
      </c>
      <c r="D26" s="259">
        <f>IFERROR(SUMPRODUCT((FPBeds=GenValidation!$AP6)*FPNumOfUnits,Input!$L$53:$L$54)/SUMIF(FPBeds,GenValidation!$AP6,FPNumOfUnits)*(SUMPRODUCT((FPBeds&lt;&gt;"")*(FloorPlanNames&lt;&gt;""))&gt;0)/Input!$X$56*D$22,)</f>
        <v>0</v>
      </c>
      <c r="E26" s="78">
        <f>IFERROR(SUMPRODUCT((FPBeds=GenValidation!$AP6)*FPNumOfUnits,Input!$L$53:$L$54)/SUMIF(FPBeds,GenValidation!$AP6,FPNumOfUnits)*(SUMPRODUCT((FPBeds&lt;&gt;"")*(FloorPlanNames&lt;&gt;""))&gt;0)/Input!$X$56*E$22,)</f>
        <v>0</v>
      </c>
      <c r="F26" s="1240">
        <f>IFERROR(SUMPRODUCT((FPBeds=GenValidation!$AP6)*FPNumOfUnits,Input!$L$53:$L$54)/SUMIF(FPBeds,GenValidation!$AP6,FPNumOfUnits)*(SUMPRODUCT((FPBeds&lt;&gt;"")*(FloorPlanNames&lt;&gt;""))&gt;0)/Input!$X$56*F$22,)</f>
        <v>0</v>
      </c>
      <c r="G26" s="78">
        <f>IFERROR(SUMPRODUCT((FPBeds=GenValidation!$AP6)*FPNumOfUnits,Input!$L$53:$L$54)/SUMIF(FPBeds,GenValidation!$AP6,FPNumOfUnits)*(SUMPRODUCT((FPBeds&lt;&gt;"")*(FloorPlanNames&lt;&gt;""))&gt;0)/Input!$X$56*G$22,)</f>
        <v>0</v>
      </c>
      <c r="H26" s="260">
        <f>IFERROR(SUMPRODUCT((FPBeds=GenValidation!$AP6)*FPNumOfUnits,Input!$L$53:$L$54)/SUMIF(FPBeds,GenValidation!$AP6,FPNumOfUnits)*(SUMPRODUCT((FPBeds&lt;&gt;"")*(FloorPlanNames&lt;&gt;""))&gt;0)/Input!$X$56*H$22,)</f>
        <v>0</v>
      </c>
      <c r="J26" s="1269"/>
      <c r="K26" s="1271"/>
      <c r="L26" s="261">
        <f>Input!R238</f>
        <v>1.6602054646636291</v>
      </c>
      <c r="M26" s="262">
        <f>Input!S238</f>
        <v>1.5904934708916092</v>
      </c>
      <c r="N26" s="1230">
        <f>Input!T238</f>
        <v>1.5271189310988635</v>
      </c>
      <c r="O26" s="262">
        <f>Input!U238</f>
        <v>1.4692552208533136</v>
      </c>
      <c r="P26" s="263">
        <f>Input!V238</f>
        <v>1.4162134864615594</v>
      </c>
    </row>
    <row r="27" spans="2:16" ht="14.85" customHeight="1">
      <c r="B27" s="1269"/>
      <c r="C27" s="252" t="str">
        <f>GenValidation!AO7</f>
        <v>2 Bedroom</v>
      </c>
      <c r="D27" s="264">
        <f>IFERROR(SUMPRODUCT((FPBeds=GenValidation!$AP7)*FPNumOfUnits,Input!$L$53:$L$54)/SUMIF(FPBeds,GenValidation!$AP7,FPNumOfUnits)*(SUMPRODUCT((FPBeds&lt;&gt;"")*(FloorPlanNames&lt;&gt;""))&gt;0)/Input!$X$56*D$22,)</f>
        <v>1484.1857142857159</v>
      </c>
      <c r="E27" s="145">
        <f>IFERROR(SUMPRODUCT((FPBeds=GenValidation!$AP7)*FPNumOfUnits,Input!$L$53:$L$54)/SUMIF(FPBeds,GenValidation!$AP7,FPNumOfUnits)*(SUMPRODUCT((FPBeds&lt;&gt;"")*(FloorPlanNames&lt;&gt;""))&gt;0)/Input!$X$56*E$22,)</f>
        <v>1566.6404761904778</v>
      </c>
      <c r="F27" s="1240">
        <f>IFERROR(SUMPRODUCT((FPBeds=GenValidation!$AP7)*FPNumOfUnits,Input!$L$53:$L$54)/SUMIF(FPBeds,GenValidation!$AP7,FPNumOfUnits)*(SUMPRODUCT((FPBeds&lt;&gt;"")*(FloorPlanNames&lt;&gt;""))&gt;0)/Input!$X$56*F$22,)</f>
        <v>1649.0952380952399</v>
      </c>
      <c r="G27" s="145">
        <f>IFERROR(SUMPRODUCT((FPBeds=GenValidation!$AP7)*FPNumOfUnits,Input!$L$53:$L$54)/SUMIF(FPBeds,GenValidation!$AP7,FPNumOfUnits)*(SUMPRODUCT((FPBeds&lt;&gt;"")*(FloorPlanNames&lt;&gt;""))&gt;0)/Input!$X$56*G$22,)</f>
        <v>1731.5500000000018</v>
      </c>
      <c r="H27" s="265">
        <f>IFERROR(SUMPRODUCT((FPBeds=GenValidation!$AP7)*FPNumOfUnits,Input!$L$53:$L$54)/SUMIF(FPBeds,GenValidation!$AP7,FPNumOfUnits)*(SUMPRODUCT((FPBeds&lt;&gt;"")*(FloorPlanNames&lt;&gt;""))&gt;0)/Input!$X$56*H$22,)</f>
        <v>1814.0047619047639</v>
      </c>
      <c r="J27" s="1269"/>
      <c r="K27" s="1271">
        <f>Input!Q228</f>
        <v>5</v>
      </c>
      <c r="L27" s="266">
        <f>Input!R228</f>
        <v>0.1566029969164966</v>
      </c>
      <c r="M27" s="267">
        <f>Input!S228</f>
        <v>0.14697093476087408</v>
      </c>
      <c r="N27" s="1231">
        <f>Input!T228</f>
        <v>0.1379086894711179</v>
      </c>
      <c r="O27" s="267">
        <f>Input!U228</f>
        <v>0.12936000163946826</v>
      </c>
      <c r="P27" s="268">
        <f>Input!V228</f>
        <v>0.12127628702588189</v>
      </c>
    </row>
    <row r="28" spans="2:16" ht="14.85" customHeight="1">
      <c r="B28" s="1269"/>
      <c r="C28" s="252" t="str">
        <f>GenValidation!AO8</f>
        <v>3 Bedroom</v>
      </c>
      <c r="D28" s="259">
        <f>IFERROR(SUMPRODUCT((FPBeds=GenValidation!$AP8)*FPNumOfUnits,Input!$L$53:$L$54)/SUMIF(FPBeds,GenValidation!$AP8,FPNumOfUnits)*(SUMPRODUCT((FPBeds&lt;&gt;"")*(FloorPlanNames&lt;&gt;""))&gt;0)/Input!$X$56*D$22,)</f>
        <v>1573.888235294115</v>
      </c>
      <c r="E28" s="78">
        <f>IFERROR(SUMPRODUCT((FPBeds=GenValidation!$AP8)*FPNumOfUnits,Input!$L$53:$L$54)/SUMIF(FPBeds,GenValidation!$AP8,FPNumOfUnits)*(SUMPRODUCT((FPBeds&lt;&gt;"")*(FloorPlanNames&lt;&gt;""))&gt;0)/Input!$X$56*E$22,)</f>
        <v>1661.3264705882325</v>
      </c>
      <c r="F28" s="1240">
        <f>IFERROR(SUMPRODUCT((FPBeds=GenValidation!$AP8)*FPNumOfUnits,Input!$L$53:$L$54)/SUMIF(FPBeds,GenValidation!$AP8,FPNumOfUnits)*(SUMPRODUCT((FPBeds&lt;&gt;"")*(FloorPlanNames&lt;&gt;""))&gt;0)/Input!$X$56*F$22,)</f>
        <v>1748.76470588235</v>
      </c>
      <c r="G28" s="78">
        <f>IFERROR(SUMPRODUCT((FPBeds=GenValidation!$AP8)*FPNumOfUnits,Input!$L$53:$L$54)/SUMIF(FPBeds,GenValidation!$AP8,FPNumOfUnits)*(SUMPRODUCT((FPBeds&lt;&gt;"")*(FloorPlanNames&lt;&gt;""))&gt;0)/Input!$X$56*G$22,)</f>
        <v>1836.2029411764674</v>
      </c>
      <c r="H28" s="260">
        <f>IFERROR(SUMPRODUCT((FPBeds=GenValidation!$AP8)*FPNumOfUnits,Input!$L$53:$L$54)/SUMIF(FPBeds,GenValidation!$AP8,FPNumOfUnits)*(SUMPRODUCT((FPBeds&lt;&gt;"")*(FloorPlanNames&lt;&gt;""))&gt;0)/Input!$X$56*H$22,)</f>
        <v>1923.6411764705849</v>
      </c>
      <c r="J28" s="1269"/>
      <c r="K28" s="1271"/>
      <c r="L28" s="269">
        <f>Input!R239</f>
        <v>1.9505237893904428</v>
      </c>
      <c r="M28" s="270">
        <f>Input!S239</f>
        <v>1.8741364324065284</v>
      </c>
      <c r="N28" s="1230">
        <f>Input!T239</f>
        <v>1.8046933806029701</v>
      </c>
      <c r="O28" s="270">
        <f>Input!U239</f>
        <v>1.7412888550431997</v>
      </c>
      <c r="P28" s="271">
        <f>Input!V239</f>
        <v>1.6831680399467435</v>
      </c>
    </row>
    <row r="29" spans="2:16" ht="14.85" customHeight="1">
      <c r="B29" s="1269"/>
      <c r="C29" s="252" t="str">
        <f>GenValidation!AO9</f>
        <v>4+ Bedroom</v>
      </c>
      <c r="D29" s="264">
        <f>IFERROR(SUMPRODUCT((FPBeds&gt;GenValidation!$AP8)*FPNumOfUnits,Input!$L$53:$L$54)/SUMIF(FPBeds,GenValidation!$AP9,FPNumOfUnits)*(SUMPRODUCT((FPBeds&lt;&gt;"")*(FloorPlanNames&lt;&gt;""))&gt;0)/Input!$X$56*D$22,)</f>
        <v>0</v>
      </c>
      <c r="E29" s="145">
        <f>IFERROR(SUMPRODUCT((FPBeds&gt;GenValidation!$AP8)*FPNumOfUnits,Input!$L$53:$L$54)/SUMIF(FPBeds,GenValidation!$AP9,FPNumOfUnits)*(SUMPRODUCT((FPBeds&lt;&gt;"")*(FloorPlanNames&lt;&gt;""))&gt;0)/Input!$X$56*E$22,)</f>
        <v>0</v>
      </c>
      <c r="F29" s="1239">
        <f>IFERROR(SUMPRODUCT((FPBeds&gt;GenValidation!$AP8)*FPNumOfUnits,Input!$L$53:$L$54)/SUMIF(FPBeds,GenValidation!$AP9,FPNumOfUnits)*(SUMPRODUCT((FPBeds&lt;&gt;"")*(FloorPlanNames&lt;&gt;""))&gt;0)/Input!$X$56*F$22,)</f>
        <v>0</v>
      </c>
      <c r="G29" s="145">
        <f>IFERROR(SUMPRODUCT((FPBeds&gt;GenValidation!$AP8)*FPNumOfUnits,Input!$L$53:$L$54)/SUMIF(FPBeds,GenValidation!$AP9,FPNumOfUnits)*(SUMPRODUCT((FPBeds&lt;&gt;"")*(FloorPlanNames&lt;&gt;""))&gt;0)/Input!$X$56*G$22,)</f>
        <v>0</v>
      </c>
      <c r="H29" s="265">
        <f>IFERROR(SUMPRODUCT((FPBeds&gt;GenValidation!$AP8)*FPNumOfUnits,Input!$L$53:$L$54)/SUMIF(FPBeds,GenValidation!$AP9,FPNumOfUnits)*(SUMPRODUCT((FPBeds&lt;&gt;"")*(FloorPlanNames&lt;&gt;""))&gt;0)/Input!$X$56*H$22,)</f>
        <v>0</v>
      </c>
      <c r="J29" s="1269"/>
      <c r="K29" s="1271">
        <f>Input!Q229</f>
        <v>7</v>
      </c>
      <c r="L29" s="272">
        <f>Input!R229</f>
        <v>0.14000450590667013</v>
      </c>
      <c r="M29" s="273">
        <f>Input!S229</f>
        <v>0.13358575465780054</v>
      </c>
      <c r="N29" s="1231">
        <f>Input!T229</f>
        <v>0.12754053007614163</v>
      </c>
      <c r="O29" s="273">
        <f>Input!U229</f>
        <v>0.12183257775770584</v>
      </c>
      <c r="P29" s="274">
        <f>Input!V229</f>
        <v>0.11643052230000284</v>
      </c>
    </row>
    <row r="30" spans="2:16" ht="14.85" customHeight="1">
      <c r="B30" s="1269"/>
      <c r="C30" s="27"/>
      <c r="D30" s="275"/>
      <c r="E30" s="276"/>
      <c r="F30" s="1241"/>
      <c r="G30" s="276"/>
      <c r="H30" s="277"/>
      <c r="J30" s="1269"/>
      <c r="K30" s="1271"/>
      <c r="L30" s="261">
        <f>Input!R240</f>
        <v>2.2509911123800341</v>
      </c>
      <c r="M30" s="262">
        <f>Input!S240</f>
        <v>2.1680948414115404</v>
      </c>
      <c r="N30" s="1230">
        <f>Input!T240</f>
        <v>2.0927345950765464</v>
      </c>
      <c r="O30" s="262">
        <f>Input!U240</f>
        <v>2.023927413640247</v>
      </c>
      <c r="P30" s="263">
        <f>Input!V240</f>
        <v>1.9608541639903057</v>
      </c>
    </row>
    <row r="31" spans="2:16" ht="14.85" customHeight="1">
      <c r="B31" s="1269"/>
      <c r="C31" s="27"/>
      <c r="D31" s="250"/>
      <c r="E31" s="27"/>
      <c r="F31" s="1240"/>
      <c r="G31" s="27"/>
      <c r="H31" s="251"/>
      <c r="J31" s="1269"/>
      <c r="K31" s="1271">
        <f>Input!Q230</f>
        <v>10</v>
      </c>
      <c r="L31" s="278">
        <f>Input!R230</f>
        <v>0.12754643109893871</v>
      </c>
      <c r="M31" s="279">
        <f>Input!S230</f>
        <v>0.1234677024034152</v>
      </c>
      <c r="N31" s="1231">
        <f>Input!T230</f>
        <v>0.11962812267142442</v>
      </c>
      <c r="O31" s="279">
        <f>Input!U230</f>
        <v>0.11600461073686397</v>
      </c>
      <c r="P31" s="280">
        <f>Input!V230</f>
        <v>0.11257716907333548</v>
      </c>
    </row>
    <row r="32" spans="2:16" ht="14.85" customHeight="1">
      <c r="B32" s="1269"/>
      <c r="C32" s="27"/>
      <c r="D32" s="281"/>
      <c r="E32" s="282"/>
      <c r="F32" s="1242"/>
      <c r="G32" s="282"/>
      <c r="H32" s="283"/>
      <c r="J32" s="1269"/>
      <c r="K32" s="1271"/>
      <c r="L32" s="236">
        <f>Input!R241</f>
        <v>2.7437326443954553</v>
      </c>
      <c r="M32" s="284">
        <f>Input!S241</f>
        <v>2.650322278387037</v>
      </c>
      <c r="N32" s="1227">
        <f>Input!T241</f>
        <v>2.5654037638339302</v>
      </c>
      <c r="O32" s="284">
        <f>Input!U241</f>
        <v>2.4878694679376152</v>
      </c>
      <c r="P32" s="239">
        <f>Input!V241</f>
        <v>2.416796363365993</v>
      </c>
    </row>
    <row r="33" spans="2:16" ht="8.4499999999999993" customHeight="1">
      <c r="B33" s="1201"/>
      <c r="C33" s="27"/>
      <c r="D33" s="27"/>
      <c r="E33" s="27"/>
      <c r="F33" s="27"/>
      <c r="G33" s="27"/>
      <c r="H33" s="285"/>
      <c r="J33" s="1193"/>
      <c r="K33" s="27"/>
      <c r="L33" s="27"/>
      <c r="M33" s="27"/>
      <c r="N33" s="27"/>
      <c r="O33" s="27"/>
      <c r="P33" s="27"/>
    </row>
    <row r="34" spans="2:16">
      <c r="B34" s="1201"/>
      <c r="C34" s="27"/>
      <c r="D34" s="27"/>
      <c r="E34" s="27"/>
      <c r="F34" s="27"/>
      <c r="G34" s="27"/>
      <c r="H34" s="27"/>
      <c r="J34" s="1193"/>
      <c r="K34" s="27"/>
      <c r="L34" s="27"/>
      <c r="M34" s="27"/>
      <c r="N34" s="27"/>
      <c r="O34" s="27"/>
      <c r="P34" s="27"/>
    </row>
    <row r="35" spans="2:16" ht="10.5" customHeight="1"/>
    <row r="36" spans="2:16" ht="14.85" customHeight="1">
      <c r="B36" s="1039" t="s">
        <v>207</v>
      </c>
      <c r="C36" s="1026"/>
      <c r="D36" s="1030"/>
      <c r="E36" s="1030"/>
      <c r="F36" s="1030"/>
      <c r="G36" s="1030"/>
      <c r="H36" s="1030"/>
      <c r="J36" s="1039" t="str">
        <f>IF(LeveragedIRRSensitivityType=200,"LEVERAGED INTERNAL RATE OF RETURN AND EQUITY MULTIPLE","PARTNERSHIP INTERNAL RATE OF RETURN AND EQUITY MULTIPLE")</f>
        <v>LEVERAGED INTERNAL RATE OF RETURN AND EQUITY MULTIPLE</v>
      </c>
      <c r="K36" s="1030"/>
      <c r="L36" s="1030"/>
      <c r="M36" s="1030"/>
      <c r="N36" s="1030"/>
      <c r="O36" s="1030"/>
      <c r="P36" s="1030"/>
    </row>
    <row r="37" spans="2:16" ht="10.5" customHeight="1">
      <c r="B37" s="241"/>
      <c r="J37" s="241"/>
    </row>
    <row r="38" spans="2:16" s="31" customFormat="1" ht="16.5" customHeight="1">
      <c r="B38" s="1197"/>
      <c r="C38" s="1191"/>
      <c r="D38" s="1192" t="s">
        <v>203</v>
      </c>
      <c r="E38" s="1192"/>
      <c r="F38" s="1192"/>
      <c r="G38" s="1192"/>
      <c r="H38" s="1198"/>
      <c r="J38" s="1191"/>
      <c r="K38" s="1191"/>
      <c r="L38" s="1192" t="s">
        <v>204</v>
      </c>
      <c r="M38" s="1192"/>
      <c r="N38" s="1192"/>
      <c r="O38" s="1192"/>
      <c r="P38" s="1192"/>
    </row>
    <row r="39" spans="2:16" ht="12.75" customHeight="1">
      <c r="B39" s="1267" t="s">
        <v>200</v>
      </c>
      <c r="C39" s="27"/>
      <c r="D39" s="243">
        <f>Input!$G$226</f>
        <v>1.113578532140675</v>
      </c>
      <c r="E39" s="243">
        <f>Input!$G$227</f>
        <v>1.1754440061484903</v>
      </c>
      <c r="F39" s="1232">
        <f>Input!$G$228</f>
        <v>1.2373094801563056</v>
      </c>
      <c r="G39" s="243">
        <f>Input!$G$229</f>
        <v>1.2991749541641209</v>
      </c>
      <c r="H39" s="244">
        <f>Input!$G$230</f>
        <v>1.3610404281719362</v>
      </c>
      <c r="J39" s="1193"/>
      <c r="K39" s="27"/>
      <c r="L39" s="245">
        <f>Input!AA226</f>
        <v>4.9999999999999996E-2</v>
      </c>
      <c r="M39" s="245">
        <f>Input!AB226</f>
        <v>5.2499999999999998E-2</v>
      </c>
      <c r="N39" s="1219">
        <f>Input!AC226</f>
        <v>5.5E-2</v>
      </c>
      <c r="O39" s="245">
        <f>Input!AD226</f>
        <v>5.7500000000000002E-2</v>
      </c>
      <c r="P39" s="245">
        <f>Input!AE226</f>
        <v>6.0000000000000005E-2</v>
      </c>
    </row>
    <row r="40" spans="2:16" ht="14.85" customHeight="1">
      <c r="B40" s="1268"/>
      <c r="C40" s="221" t="s">
        <v>208</v>
      </c>
      <c r="D40" s="222">
        <f>Input!H226</f>
        <v>9.9752002787852234E-2</v>
      </c>
      <c r="E40" s="223">
        <f>Input!H227</f>
        <v>0.11401971681600331</v>
      </c>
      <c r="F40" s="1217">
        <f>Input!H228</f>
        <v>0.12754053007614163</v>
      </c>
      <c r="G40" s="223">
        <f>Input!H229</f>
        <v>0.14040681611504557</v>
      </c>
      <c r="H40" s="225">
        <f>Input!H230</f>
        <v>0.15269452314433063</v>
      </c>
      <c r="J40" s="1269" t="s">
        <v>14</v>
      </c>
      <c r="K40" s="1270">
        <f>YrOfExit</f>
        <v>7</v>
      </c>
      <c r="L40" s="1220"/>
      <c r="M40" s="1221"/>
      <c r="N40" s="1222">
        <f>Input!Z226</f>
        <v>0.16421136998081587</v>
      </c>
      <c r="O40" s="1223"/>
      <c r="P40" s="1224"/>
    </row>
    <row r="41" spans="2:16" ht="14.85" customHeight="1">
      <c r="B41" s="1268"/>
      <c r="C41" s="221" t="str">
        <f>Input!P253</f>
        <v>Leveraged IRR</v>
      </c>
      <c r="D41" s="230">
        <f>Input!I226</f>
        <v>9.9752002787852234E-2</v>
      </c>
      <c r="E41" s="231">
        <f>Input!I227</f>
        <v>0.11401971681600331</v>
      </c>
      <c r="F41" s="1218">
        <f>Input!I228</f>
        <v>0.12754053007614163</v>
      </c>
      <c r="G41" s="231">
        <f>Input!I229</f>
        <v>0.14040681611504557</v>
      </c>
      <c r="H41" s="233">
        <f>Input!I230</f>
        <v>0.15269452314433063</v>
      </c>
      <c r="J41" s="1269"/>
      <c r="K41" s="1270"/>
      <c r="L41" s="1225"/>
      <c r="M41" s="1226"/>
      <c r="N41" s="1227">
        <f>Input!Z237</f>
        <v>2.5172372550407625</v>
      </c>
      <c r="O41" s="1228"/>
      <c r="P41" s="1229"/>
    </row>
    <row r="42" spans="2:16" ht="14.85" customHeight="1">
      <c r="B42" s="1268"/>
      <c r="C42" s="221" t="str">
        <f>Input!P254</f>
        <v>Equity Multiple</v>
      </c>
      <c r="D42" s="286">
        <f>Input!J226</f>
        <v>1.8028392025657878</v>
      </c>
      <c r="E42" s="287">
        <f>Input!J227</f>
        <v>1.9477868988211671</v>
      </c>
      <c r="F42" s="1227">
        <f>Input!J228</f>
        <v>2.0927345950765464</v>
      </c>
      <c r="G42" s="287">
        <f>Input!J229</f>
        <v>2.2376822913319234</v>
      </c>
      <c r="H42" s="288">
        <f>Input!J230</f>
        <v>2.3826299875873032</v>
      </c>
      <c r="J42" s="1269"/>
      <c r="K42" s="1271" t="str">
        <f>Input!Z227&amp;" years"&amp;IF(MaxLoanTerm&lt;36,"¹","")</f>
        <v>3 years¹</v>
      </c>
      <c r="L42" s="256">
        <f>IF(MaxLoanTerm&lt;36,,Input!AA227)</f>
        <v>0</v>
      </c>
      <c r="M42" s="257">
        <f>IF(MaxLoanTerm&lt;36,,Input!AB227)</f>
        <v>0</v>
      </c>
      <c r="N42" s="1222">
        <f>IF(MaxLoanTerm&lt;36,,Input!AC227)</f>
        <v>0</v>
      </c>
      <c r="O42" s="257">
        <f>IF(MaxLoanTerm&lt;36,,Input!AD227)</f>
        <v>0</v>
      </c>
      <c r="P42" s="258">
        <f>IF(MaxLoanTerm&lt;36,,Input!AE227)</f>
        <v>0</v>
      </c>
    </row>
    <row r="43" spans="2:16" ht="14.85" customHeight="1">
      <c r="B43" s="1267" t="s">
        <v>209</v>
      </c>
      <c r="C43" s="221"/>
      <c r="D43" s="289"/>
      <c r="E43" s="83"/>
      <c r="F43" s="1233"/>
      <c r="G43" s="83"/>
      <c r="H43" s="290"/>
      <c r="J43" s="1269"/>
      <c r="K43" s="1271"/>
      <c r="L43" s="261">
        <f>IF(MaxLoanTerm&lt;36,,Input!AA238)</f>
        <v>0</v>
      </c>
      <c r="M43" s="262">
        <f>IF(MaxLoanTerm&lt;36,,Input!AB238)</f>
        <v>0</v>
      </c>
      <c r="N43" s="1230">
        <f>IF(MaxLoanTerm&lt;36,,Input!AC238)</f>
        <v>0</v>
      </c>
      <c r="O43" s="262">
        <f>IF(MaxLoanTerm&lt;36,,Input!AD238)</f>
        <v>0</v>
      </c>
      <c r="P43" s="263">
        <f>IF(MaxLoanTerm&lt;36,,Input!AE238)</f>
        <v>0</v>
      </c>
    </row>
    <row r="44" spans="2:16" ht="14.85" customHeight="1">
      <c r="B44" s="1272"/>
      <c r="C44" s="221" t="s">
        <v>210</v>
      </c>
      <c r="D44" s="230">
        <f>Input!K226</f>
        <v>5.2378164919833367E-2</v>
      </c>
      <c r="E44" s="231">
        <f>Input!K227</f>
        <v>5.7066725752792723E-2</v>
      </c>
      <c r="F44" s="1218">
        <f>Input!K228</f>
        <v>6.1755286585752016E-2</v>
      </c>
      <c r="G44" s="231">
        <f>Input!K229</f>
        <v>6.6443847418711358E-2</v>
      </c>
      <c r="H44" s="233">
        <f>Input!K230</f>
        <v>7.113240825167072E-2</v>
      </c>
      <c r="J44" s="1269"/>
      <c r="K44" s="1271" t="str">
        <f>Input!Z228&amp;" years"&amp;IF(MaxLoanTerm&lt;60,"¹","")</f>
        <v>5 years¹</v>
      </c>
      <c r="L44" s="266">
        <f>IF(MaxLoanTerm&lt;60,,Input!AA228)</f>
        <v>0</v>
      </c>
      <c r="M44" s="267">
        <f>IF(MaxLoanTerm&lt;60,,Input!AB228)</f>
        <v>0</v>
      </c>
      <c r="N44" s="1231">
        <f>IF(MaxLoanTerm&lt;60,,Input!AC228)</f>
        <v>0</v>
      </c>
      <c r="O44" s="267">
        <f>IF(MaxLoanTerm&lt;60,,Input!AD228)</f>
        <v>0</v>
      </c>
      <c r="P44" s="268">
        <f>IF(MaxLoanTerm&lt;60,,Input!AE228)</f>
        <v>0</v>
      </c>
    </row>
    <row r="45" spans="2:16" ht="14.85" customHeight="1">
      <c r="B45" s="1272"/>
      <c r="C45" s="221" t="s">
        <v>211</v>
      </c>
      <c r="D45" s="291">
        <f>Input!L226</f>
        <v>5.2378000000000001E-2</v>
      </c>
      <c r="E45" s="292">
        <f>Input!L227</f>
        <v>5.7067E-2</v>
      </c>
      <c r="F45" s="1234">
        <f>Input!L228</f>
        <v>6.1754999999999997E-2</v>
      </c>
      <c r="G45" s="292">
        <f>Input!L229</f>
        <v>6.6444000000000003E-2</v>
      </c>
      <c r="H45" s="293">
        <f>Input!L230</f>
        <v>7.1132000000000001E-2</v>
      </c>
      <c r="J45" s="1269"/>
      <c r="K45" s="1271"/>
      <c r="L45" s="269">
        <f>IF(MaxLoanTerm&lt;60,,Input!AA239)</f>
        <v>0</v>
      </c>
      <c r="M45" s="270">
        <f>IF(MaxLoanTerm&lt;60,,Input!AB239)</f>
        <v>0</v>
      </c>
      <c r="N45" s="1230">
        <f>IF(MaxLoanTerm&lt;60,,Input!AC239)</f>
        <v>0</v>
      </c>
      <c r="O45" s="270">
        <f>IF(MaxLoanTerm&lt;60,,Input!AD239)</f>
        <v>0</v>
      </c>
      <c r="P45" s="271">
        <f>IF(MaxLoanTerm&lt;60,,Input!AE239)</f>
        <v>0</v>
      </c>
    </row>
    <row r="46" spans="2:16" ht="14.85" customHeight="1">
      <c r="B46" s="1196"/>
      <c r="C46" s="221"/>
      <c r="D46" s="289"/>
      <c r="E46" s="83"/>
      <c r="F46" s="1233"/>
      <c r="G46" s="83"/>
      <c r="H46" s="290"/>
      <c r="J46" s="1269"/>
      <c r="K46" s="1271" t="str">
        <f>Input!Z229&amp;" years"&amp;IF(MaxLoanTerm&lt;84,"¹","")</f>
        <v>7 years¹</v>
      </c>
      <c r="L46" s="272">
        <f>IF(MaxLoanTerm&lt;84,,Input!AA229)</f>
        <v>0</v>
      </c>
      <c r="M46" s="273">
        <f>IF(MaxLoanTerm&lt;84,,Input!AB229)</f>
        <v>0</v>
      </c>
      <c r="N46" s="1231">
        <f>IF(MaxLoanTerm&lt;84,,Input!AC229)</f>
        <v>0</v>
      </c>
      <c r="O46" s="273">
        <f>IF(MaxLoanTerm&lt;84,,Input!AD229)</f>
        <v>0</v>
      </c>
      <c r="P46" s="274">
        <f>IF(MaxLoanTerm&lt;84,,Input!AE229)</f>
        <v>0</v>
      </c>
    </row>
    <row r="47" spans="2:16" ht="14.85" customHeight="1">
      <c r="B47" s="1267" t="s">
        <v>212</v>
      </c>
      <c r="C47" s="221" t="s">
        <v>213</v>
      </c>
      <c r="D47" s="294">
        <f>Input!M226</f>
        <v>20618838.104818016</v>
      </c>
      <c r="E47" s="295">
        <f>Input!M227</f>
        <v>22252434.161146291</v>
      </c>
      <c r="F47" s="1243">
        <f>Input!M228</f>
        <v>23886030.217474569</v>
      </c>
      <c r="G47" s="295">
        <f>Input!M229</f>
        <v>25519626.273802832</v>
      </c>
      <c r="H47" s="296">
        <f>Input!M230</f>
        <v>27153222.330131106</v>
      </c>
      <c r="J47" s="1269"/>
      <c r="K47" s="1271"/>
      <c r="L47" s="261">
        <f>IF(MaxLoanTerm&lt;84,,Input!AA240)</f>
        <v>0</v>
      </c>
      <c r="M47" s="262">
        <f>IF(MaxLoanTerm&lt;84,,Input!AB240)</f>
        <v>0</v>
      </c>
      <c r="N47" s="1230">
        <f>IF(MaxLoanTerm&lt;84,,Input!AC240)</f>
        <v>0</v>
      </c>
      <c r="O47" s="262">
        <f>IF(MaxLoanTerm&lt;84,,Input!AD240)</f>
        <v>0</v>
      </c>
      <c r="P47" s="263">
        <f>IF(MaxLoanTerm&lt;84,,Input!AE240)</f>
        <v>0</v>
      </c>
    </row>
    <row r="48" spans="2:16" ht="14.85" customHeight="1">
      <c r="B48" s="1267"/>
      <c r="C48" s="297" t="s">
        <v>29</v>
      </c>
      <c r="D48" s="298">
        <f>D47/TotalDealUnits</f>
        <v>257735.4763102252</v>
      </c>
      <c r="E48" s="299">
        <f>E47/TotalDealUnits</f>
        <v>278155.42701432866</v>
      </c>
      <c r="F48" s="1235">
        <f>F47/TotalDealUnits</f>
        <v>298575.37771843211</v>
      </c>
      <c r="G48" s="299">
        <f>G47/TotalDealUnits</f>
        <v>318995.32842253539</v>
      </c>
      <c r="H48" s="300">
        <f>H47/TotalDealUnits</f>
        <v>339415.27912663884</v>
      </c>
      <c r="J48" s="1269"/>
      <c r="K48" s="1273" t="str">
        <f>Input!Z230&amp;" years"&amp;IF(MaxLoanTerm&lt;120,"¹","")</f>
        <v>10 years¹</v>
      </c>
      <c r="L48" s="278">
        <f>IF(MaxLoanTerm&lt;120,,Input!AA230)</f>
        <v>0</v>
      </c>
      <c r="M48" s="279">
        <f>IF(MaxLoanTerm&lt;120,,Input!AB230)</f>
        <v>0</v>
      </c>
      <c r="N48" s="1231">
        <f>IF(MaxLoanTerm&lt;120,,Input!AC230)</f>
        <v>0</v>
      </c>
      <c r="O48" s="279">
        <f>IF(MaxLoanTerm&lt;120,,Input!AD230)</f>
        <v>0</v>
      </c>
      <c r="P48" s="280">
        <f>IF(MaxLoanTerm&lt;120,,Input!AE230)</f>
        <v>0</v>
      </c>
    </row>
    <row r="49" spans="2:16" ht="14.85" customHeight="1">
      <c r="B49" s="1267"/>
      <c r="C49" s="297" t="s">
        <v>30</v>
      </c>
      <c r="D49" s="302">
        <f>IF(OR(TotalDealUnits=0,Input!$F$56=0),0,'Sensitivity Analysis'!D$47/(TotalDealUnits*Input!$F$56))</f>
        <v>190.92577462468302</v>
      </c>
      <c r="E49" s="303">
        <f>IF(OR(TotalDealUnits=0,Input!$F$56=0),0,'Sensitivity Analysis'!E$47/(TotalDealUnits*Input!$F$56))</f>
        <v>206.0525044090069</v>
      </c>
      <c r="F49" s="1244">
        <f>IF(OR(TotalDealUnits=0,Input!$F$56=0),0,'Sensitivity Analysis'!F$47/(TotalDealUnits*Input!$F$56))</f>
        <v>221.17923419333081</v>
      </c>
      <c r="G49" s="303">
        <f>IF(OR(TotalDealUnits=0,Input!$F$56=0),0,'Sensitivity Analysis'!G$47/(TotalDealUnits*Input!$F$56))</f>
        <v>236.30596397765461</v>
      </c>
      <c r="H49" s="304">
        <f>IF(OR(TotalDealUnits=0,Input!$F$56=0),0,'Sensitivity Analysis'!H$47/(TotalDealUnits*Input!$F$56))</f>
        <v>251.4326937619785</v>
      </c>
      <c r="J49" s="1269"/>
      <c r="K49" s="1273"/>
      <c r="L49" s="236">
        <f>IF(MaxLoanTerm&lt;120,,Input!AA241)</f>
        <v>0</v>
      </c>
      <c r="M49" s="284">
        <f>IF(MaxLoanTerm&lt;120,,Input!AB241)</f>
        <v>0</v>
      </c>
      <c r="N49" s="1227">
        <f>IF(MaxLoanTerm&lt;120,,Input!AC241)</f>
        <v>0</v>
      </c>
      <c r="O49" s="284">
        <f>IF(MaxLoanTerm&lt;120,,Input!AD241)</f>
        <v>0</v>
      </c>
      <c r="P49" s="239">
        <f>IF(MaxLoanTerm&lt;120,,Input!AE241)</f>
        <v>0</v>
      </c>
    </row>
    <row r="50" spans="2:16" ht="8.4499999999999993" customHeight="1">
      <c r="B50" s="1195"/>
      <c r="C50" s="297"/>
      <c r="D50" s="305"/>
      <c r="E50" s="305"/>
      <c r="F50" s="305"/>
      <c r="G50" s="305"/>
      <c r="H50" s="305"/>
      <c r="J50" s="1194"/>
      <c r="K50" s="301"/>
      <c r="L50" s="98"/>
      <c r="M50" s="98"/>
      <c r="N50" s="98"/>
      <c r="O50" s="98"/>
      <c r="P50" s="98"/>
    </row>
    <row r="51" spans="2:16">
      <c r="B51" s="1193"/>
      <c r="C51" s="306" t="str">
        <f>IF(PostRenovationYr=1,"¹ Year 1 Yield","¹ Post renovation (Year "&amp;PostRenovationYr&amp;")")</f>
        <v>¹ Year 1 Yield</v>
      </c>
      <c r="D51" s="27"/>
      <c r="E51" s="27"/>
      <c r="F51" s="27"/>
      <c r="G51" s="27"/>
      <c r="H51" s="285"/>
      <c r="J51" s="1194"/>
      <c r="K51" s="59" t="str">
        <f>IF(SUMPRODUCT(OR(Input!Z227:Z230*12&gt;MaxLoanTerm)*1),"¹ Since all loans are assumed to have matured by this point, leveraged returns are not shown","")</f>
        <v>¹ Since all loans are assumed to have matured by this point, leveraged returns are not shown</v>
      </c>
      <c r="L51" s="27"/>
      <c r="M51" s="27"/>
      <c r="N51" s="27"/>
      <c r="O51" s="27"/>
      <c r="P51" s="27"/>
    </row>
  </sheetData>
  <mergeCells count="18">
    <mergeCell ref="J7:J17"/>
    <mergeCell ref="B9:B15"/>
    <mergeCell ref="B23:B32"/>
    <mergeCell ref="J23:J32"/>
    <mergeCell ref="K23:K24"/>
    <mergeCell ref="K25:K26"/>
    <mergeCell ref="K27:K28"/>
    <mergeCell ref="K29:K30"/>
    <mergeCell ref="K31:K32"/>
    <mergeCell ref="B39:B42"/>
    <mergeCell ref="J40:J49"/>
    <mergeCell ref="K40:K41"/>
    <mergeCell ref="K42:K43"/>
    <mergeCell ref="B43:B45"/>
    <mergeCell ref="K44:K45"/>
    <mergeCell ref="K46:K47"/>
    <mergeCell ref="B47:B49"/>
    <mergeCell ref="K48:K49"/>
  </mergeCells>
  <conditionalFormatting sqref="C17">
    <cfRule type="notContainsBlanks" dxfId="224" priority="3">
      <formula>LEN(TRIM(C17))&gt;0</formula>
    </cfRule>
  </conditionalFormatting>
  <conditionalFormatting sqref="K17">
    <cfRule type="notContainsBlanks" dxfId="223" priority="2">
      <formula>LEN(TRIM(K17))&gt;0</formula>
    </cfRule>
  </conditionalFormatting>
  <conditionalFormatting sqref="K51">
    <cfRule type="notContainsBlanks" dxfId="222" priority="1">
      <formula>LEN(TRIM(K51))&gt;0</formula>
    </cfRule>
  </conditionalFormatting>
  <pageMargins left="0.35" right="0.35" top="0.46" bottom="0.4" header="0.15" footer="0.17"/>
  <pageSetup scale="77" orientation="landscape" r:id="rId1"/>
  <headerFooter scaleWithDoc="0">
    <oddHeader>&amp;C&amp;"+,Regular"&amp;9&amp;KFF0000STRICTLY CONFIDENTIAL&amp;R&amp;G</oddHeader>
    <oddFooter>&amp;L&amp;8&amp;F&amp;C&amp;8Page &amp;P of &amp;N&amp;R&amp;8&amp;D &amp;T</oddFooter>
  </headerFooter>
  <legacyDrawingHF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4300AB-23D4-4B4E-B9B4-8EF08F614C30}">
  <sheetPr codeName="OutSourcesAndUses"/>
  <dimension ref="B1:J53"/>
  <sheetViews>
    <sheetView showGridLines="0" zoomScale="90" zoomScaleNormal="90" zoomScaleSheetLayoutView="100" workbookViewId="0">
      <pane ySplit="4" topLeftCell="A5" activePane="bottomLeft" state="frozen"/>
      <selection activeCell="L26" sqref="L26"/>
      <selection pane="bottomLeft"/>
    </sheetView>
  </sheetViews>
  <sheetFormatPr defaultColWidth="9.140625" defaultRowHeight="12.75"/>
  <cols>
    <col min="1" max="1" width="1.7109375" customWidth="1"/>
    <col min="2" max="2" width="35.85546875" customWidth="1"/>
    <col min="3" max="3" width="14.7109375" customWidth="1"/>
    <col min="4" max="4" width="11.140625" customWidth="1"/>
    <col min="5" max="5" width="8.7109375" customWidth="1"/>
    <col min="6" max="6" width="4.7109375" customWidth="1"/>
    <col min="7" max="7" width="35.85546875" customWidth="1"/>
    <col min="8" max="8" width="14.7109375" customWidth="1"/>
    <col min="9" max="9" width="11.140625" customWidth="1"/>
    <col min="10" max="10" width="8.7109375" customWidth="1"/>
  </cols>
  <sheetData>
    <row r="1" spans="2:10">
      <c r="B1" s="130" t="s">
        <v>0</v>
      </c>
    </row>
    <row r="2" spans="2:10" ht="18.75" customHeight="1">
      <c r="B2" s="1057" t="str">
        <f>Input!$E$10</f>
        <v>Chaney Place Townhomes</v>
      </c>
      <c r="C2" s="29"/>
      <c r="D2" s="29"/>
      <c r="E2" s="29"/>
      <c r="F2" s="1015" t="s">
        <v>214</v>
      </c>
      <c r="G2" s="307"/>
      <c r="H2" s="29"/>
      <c r="I2" s="29"/>
      <c r="J2" s="1178" t="str">
        <f>Input!$M$4</f>
        <v>Huntsville, AL</v>
      </c>
    </row>
    <row r="3" spans="2:10" ht="12.75" customHeight="1"/>
    <row r="5" spans="2:10" s="31" customFormat="1" ht="14.25">
      <c r="B5" s="1040" t="s">
        <v>215</v>
      </c>
      <c r="C5" s="1028"/>
      <c r="D5" s="1028"/>
      <c r="E5" s="1028"/>
      <c r="F5" s="1028"/>
      <c r="G5" s="1028"/>
      <c r="H5" s="1028"/>
      <c r="I5" s="1028"/>
      <c r="J5" s="1028"/>
    </row>
    <row r="6" spans="2:10" s="31" customFormat="1" ht="14.25">
      <c r="B6" s="308"/>
      <c r="C6" s="308"/>
      <c r="D6" s="308"/>
      <c r="E6" s="308"/>
      <c r="F6" s="308"/>
      <c r="G6" s="308"/>
      <c r="H6" s="308"/>
      <c r="I6" s="308"/>
      <c r="J6" s="308"/>
    </row>
    <row r="7" spans="2:10" s="312" customFormat="1" ht="0.75" customHeight="1">
      <c r="B7" s="309"/>
      <c r="C7" s="310"/>
      <c r="D7" s="310"/>
      <c r="E7" s="310"/>
      <c r="F7" s="311"/>
      <c r="G7" s="309"/>
      <c r="H7" s="310"/>
      <c r="I7" s="310"/>
      <c r="J7" s="310"/>
    </row>
    <row r="8" spans="2:10" s="313" customFormat="1" ht="13.5" customHeight="1">
      <c r="B8" s="1176" t="s">
        <v>216</v>
      </c>
      <c r="C8" s="1205" t="s">
        <v>217</v>
      </c>
      <c r="D8" s="1205"/>
      <c r="E8" s="1205" t="s">
        <v>218</v>
      </c>
      <c r="G8" s="1176" t="s">
        <v>219</v>
      </c>
      <c r="H8" s="1205" t="s">
        <v>217</v>
      </c>
      <c r="I8" s="1205" t="s">
        <v>220</v>
      </c>
      <c r="J8" s="1205" t="s">
        <v>218</v>
      </c>
    </row>
    <row r="9" spans="2:10" s="313" customFormat="1">
      <c r="B9" s="1202" t="s">
        <v>221</v>
      </c>
      <c r="C9" s="320">
        <f>'CF Calculations'!D402</f>
        <v>13009400</v>
      </c>
      <c r="D9" s="321"/>
      <c r="E9" s="321">
        <f>IF($C$20=0,0,C9/$C$20)</f>
        <v>1</v>
      </c>
      <c r="G9" s="1202" t="s">
        <v>222</v>
      </c>
      <c r="H9" s="315"/>
      <c r="I9" s="316"/>
      <c r="J9" s="317"/>
    </row>
    <row r="10" spans="2:10" s="313" customFormat="1">
      <c r="B10" s="318"/>
      <c r="C10" s="315"/>
      <c r="D10" s="314"/>
      <c r="E10" s="316"/>
      <c r="G10" s="318" t="s">
        <v>16</v>
      </c>
      <c r="H10" s="315">
        <f>'CF Calculations'!D325</f>
        <v>13009400</v>
      </c>
      <c r="I10" s="315">
        <f>IF(TotalDealUnits,H10/TotalDealUnits)</f>
        <v>162617.5</v>
      </c>
      <c r="J10" s="316">
        <f>IF($H$20=0,0,H10/$H$20)</f>
        <v>1</v>
      </c>
    </row>
    <row r="11" spans="2:10" s="313" customFormat="1">
      <c r="B11" s="63" t="s">
        <v>225</v>
      </c>
      <c r="C11" s="315"/>
      <c r="D11" s="314"/>
      <c r="E11" s="316"/>
      <c r="G11" s="318" t="s">
        <v>169</v>
      </c>
      <c r="H11" s="315">
        <f>'CF Calculations'!D326</f>
        <v>0</v>
      </c>
      <c r="I11" s="315">
        <f>IF(TotalDealUnits,H11/TotalDealUnits)</f>
        <v>0</v>
      </c>
      <c r="J11" s="316">
        <f>IF($H$20=0,0,H11/$H$20)</f>
        <v>0</v>
      </c>
    </row>
    <row r="12" spans="2:10" s="313" customFormat="1">
      <c r="B12" s="318" t="s">
        <v>226</v>
      </c>
      <c r="C12" s="315">
        <f>'CF Calculations'!D384</f>
        <v>0</v>
      </c>
      <c r="D12" s="314"/>
      <c r="E12" s="316">
        <f>IF($C$20=0,0,C12/$C$20)</f>
        <v>0</v>
      </c>
      <c r="G12" s="318" t="s">
        <v>223</v>
      </c>
      <c r="H12" s="315">
        <f>'CF Calculations'!D327</f>
        <v>0</v>
      </c>
      <c r="I12" s="315">
        <f>IF(TotalDealUnits,H12/TotalDealUnits)</f>
        <v>0</v>
      </c>
      <c r="J12" s="316">
        <f>IF($H$20=0,0,H12/$H$20)</f>
        <v>0</v>
      </c>
    </row>
    <row r="13" spans="2:10" s="313" customFormat="1">
      <c r="B13" s="318" t="str">
        <f>Input!I193</f>
        <v>Loan 1</v>
      </c>
      <c r="C13" s="315">
        <f>'CF Calculations'!D386</f>
        <v>0</v>
      </c>
      <c r="D13" s="314"/>
      <c r="E13" s="316">
        <f>IF($C$20=0,0,C13/$C$20)</f>
        <v>0</v>
      </c>
      <c r="G13" s="319" t="s">
        <v>224</v>
      </c>
      <c r="H13" s="322">
        <f>SUBTOTAL(9,H10:H12)</f>
        <v>13009400</v>
      </c>
      <c r="I13" s="322">
        <f>IF(TotalDealUnits,H13/TotalDealUnits)</f>
        <v>162617.5</v>
      </c>
      <c r="J13" s="323">
        <f>IF($H$20=0,0,H13/$H$20)</f>
        <v>1</v>
      </c>
    </row>
    <row r="14" spans="2:10" s="313" customFormat="1">
      <c r="B14" s="1203" t="str">
        <f>Input!K193</f>
        <v>Loan 2</v>
      </c>
      <c r="C14" s="315">
        <f>'CF Calculations'!D391</f>
        <v>0</v>
      </c>
      <c r="D14" s="314"/>
      <c r="E14" s="316">
        <f>IF($C$20=0,0,C14/$C$20)</f>
        <v>0</v>
      </c>
      <c r="G14" s="318"/>
      <c r="H14" s="314"/>
      <c r="I14" s="314"/>
      <c r="J14" s="314"/>
    </row>
    <row r="15" spans="2:10" s="313" customFormat="1">
      <c r="B15" s="318" t="str">
        <f>Input!M193</f>
        <v>Loan 3</v>
      </c>
      <c r="C15" s="315">
        <f>'CF Calculations'!D396</f>
        <v>0</v>
      </c>
      <c r="D15" s="314"/>
      <c r="E15" s="316">
        <f>IF($C$20=0,0,C15/$C$20)</f>
        <v>0</v>
      </c>
      <c r="G15" s="1202" t="s">
        <v>227</v>
      </c>
      <c r="H15" s="314"/>
      <c r="I15" s="314"/>
      <c r="J15" s="314"/>
    </row>
    <row r="16" spans="2:10" s="313" customFormat="1">
      <c r="B16" s="324" t="s">
        <v>232</v>
      </c>
      <c r="C16" s="315">
        <f>SUM('CF Calculations'!D387:D389,'CF Calculations'!D392:D394,'CF Calculations'!D397:D399)</f>
        <v>0</v>
      </c>
      <c r="D16" s="314"/>
      <c r="E16" s="316"/>
      <c r="G16" s="318" t="s">
        <v>229</v>
      </c>
      <c r="H16" s="315">
        <f>'CF Calculations'!D333</f>
        <v>0</v>
      </c>
      <c r="I16" s="315">
        <f>IF(TotalDealUnits,H16/TotalDealUnits)</f>
        <v>0</v>
      </c>
      <c r="J16" s="316">
        <f>IF($H$20=0,0,H16/$H$20)</f>
        <v>0</v>
      </c>
    </row>
    <row r="17" spans="2:10" s="313" customFormat="1">
      <c r="B17" s="324" t="s">
        <v>233</v>
      </c>
      <c r="C17" s="315">
        <f>-'CF Calculations'!D308</f>
        <v>0</v>
      </c>
      <c r="D17" s="314"/>
      <c r="E17" s="316"/>
      <c r="G17" s="318" t="s">
        <v>230</v>
      </c>
      <c r="H17" s="315">
        <f>'CF Calculations'!D334</f>
        <v>0</v>
      </c>
      <c r="I17" s="315">
        <f>IF(TotalDealUnits,H17/TotalDealUnits)</f>
        <v>0</v>
      </c>
      <c r="J17" s="316">
        <f>IF($H$20=0,0,H17/$H$20)</f>
        <v>0</v>
      </c>
    </row>
    <row r="18" spans="2:10" s="313" customFormat="1">
      <c r="B18" s="319" t="s">
        <v>234</v>
      </c>
      <c r="C18" s="322">
        <f>C12+C13+C14+C15+C16+C17</f>
        <v>0</v>
      </c>
      <c r="D18" s="325"/>
      <c r="E18" s="323">
        <f>IF($C$20=0,0,C18/$C$20)</f>
        <v>0</v>
      </c>
      <c r="G18" s="319" t="s">
        <v>231</v>
      </c>
      <c r="H18" s="322">
        <f>SUBTOTAL(9,H16:H17)</f>
        <v>0</v>
      </c>
      <c r="I18" s="322">
        <f>IF(TotalDealUnits,H18/TotalDealUnits)</f>
        <v>0</v>
      </c>
      <c r="J18" s="323">
        <f>IF($H$20=0,0,H18/$H$20)</f>
        <v>0</v>
      </c>
    </row>
    <row r="19" spans="2:10" s="313" customFormat="1">
      <c r="B19" s="318"/>
      <c r="C19" s="315"/>
      <c r="D19" s="316"/>
      <c r="E19" s="316"/>
      <c r="G19" s="318"/>
      <c r="H19" s="327"/>
      <c r="I19" s="327"/>
      <c r="J19" s="327"/>
    </row>
    <row r="20" spans="2:10" s="313" customFormat="1">
      <c r="B20" s="328" t="s">
        <v>235</v>
      </c>
      <c r="C20" s="326">
        <f>C9+C18</f>
        <v>13009400</v>
      </c>
      <c r="D20" s="329"/>
      <c r="E20" s="329">
        <f>IF($C$20=0,0,C20/$C$20)</f>
        <v>1</v>
      </c>
      <c r="G20" s="328" t="s">
        <v>236</v>
      </c>
      <c r="H20" s="326">
        <f>SUBTOTAL(9,H10:H19)</f>
        <v>13009400</v>
      </c>
      <c r="I20" s="326">
        <f>IF(TotalDealUnits,H20/TotalDealUnits)</f>
        <v>162617.5</v>
      </c>
      <c r="J20" s="329">
        <f>IF($H$20=0,0,H20/$H$20)</f>
        <v>1</v>
      </c>
    </row>
    <row r="21" spans="2:10" s="313" customFormat="1">
      <c r="B21" s="328"/>
      <c r="C21" s="320"/>
      <c r="D21" s="321"/>
      <c r="E21" s="321"/>
      <c r="G21" s="328"/>
      <c r="H21" s="320"/>
      <c r="I21" s="320"/>
      <c r="J21" s="321"/>
    </row>
    <row r="22" spans="2:10" s="313" customFormat="1"/>
    <row r="23" spans="2:10" s="313" customFormat="1"/>
    <row r="24" spans="2:10" s="313" customFormat="1" ht="14.25">
      <c r="B24" s="1040" t="s">
        <v>237</v>
      </c>
      <c r="C24" s="1028"/>
      <c r="D24" s="1028"/>
      <c r="E24" s="1028"/>
      <c r="F24" s="1028"/>
      <c r="G24" s="1028"/>
      <c r="H24" s="1028"/>
      <c r="I24" s="1028"/>
      <c r="J24" s="1028"/>
    </row>
    <row r="25" spans="2:10" s="313" customFormat="1"/>
    <row r="26" spans="2:10" s="313" customFormat="1" ht="14.25" hidden="1">
      <c r="B26" s="309"/>
      <c r="C26" s="310"/>
      <c r="D26" s="310"/>
      <c r="E26" s="310"/>
      <c r="G26" s="309"/>
      <c r="H26" s="310"/>
      <c r="I26" s="310"/>
      <c r="J26" s="310"/>
    </row>
    <row r="27" spans="2:10" s="313" customFormat="1" ht="13.5" customHeight="1">
      <c r="B27" s="1176" t="s">
        <v>216</v>
      </c>
      <c r="C27" s="1205" t="s">
        <v>217</v>
      </c>
      <c r="D27" s="1205"/>
      <c r="E27" s="1205" t="s">
        <v>218</v>
      </c>
      <c r="G27" s="1176" t="s">
        <v>219</v>
      </c>
      <c r="H27" s="1205" t="s">
        <v>217</v>
      </c>
      <c r="I27" s="1205" t="s">
        <v>220</v>
      </c>
      <c r="J27" s="1205" t="s">
        <v>218</v>
      </c>
    </row>
    <row r="28" spans="2:10" s="313" customFormat="1">
      <c r="B28" s="1202" t="s">
        <v>221</v>
      </c>
      <c r="C28" s="320">
        <f>'CF Calculations'!O402</f>
        <v>13009400</v>
      </c>
      <c r="D28" s="321"/>
      <c r="E28" s="321">
        <f>IF($C$51=0,0,C28/$C$51)</f>
        <v>1</v>
      </c>
      <c r="G28" s="1202" t="s">
        <v>222</v>
      </c>
      <c r="H28" s="327"/>
      <c r="I28" s="327"/>
      <c r="J28" s="327"/>
    </row>
    <row r="29" spans="2:10" s="313" customFormat="1">
      <c r="B29" s="318"/>
      <c r="C29" s="327"/>
      <c r="D29" s="327"/>
      <c r="E29" s="327"/>
      <c r="G29" s="318" t="s">
        <v>16</v>
      </c>
      <c r="H29" s="315">
        <f>'CF Calculations'!O325</f>
        <v>13009400</v>
      </c>
      <c r="I29" s="315">
        <f>IF(TotalDealUnits,H29/TotalDealUnits)</f>
        <v>162617.5</v>
      </c>
      <c r="J29" s="316">
        <f>IF($H$51=0,0,H29/$H$51)</f>
        <v>1</v>
      </c>
    </row>
    <row r="30" spans="2:10" s="313" customFormat="1">
      <c r="B30" s="63" t="s">
        <v>225</v>
      </c>
      <c r="C30" s="327"/>
      <c r="D30" s="327"/>
      <c r="E30" s="327"/>
      <c r="G30" s="318" t="s">
        <v>169</v>
      </c>
      <c r="H30" s="315">
        <f>'CF Calculations'!O326</f>
        <v>0</v>
      </c>
      <c r="I30" s="315">
        <f>IF(TotalDealUnits,H30/TotalDealUnits)</f>
        <v>0</v>
      </c>
      <c r="J30" s="316">
        <f>IF($H$51=0,0,H30/$H$51)</f>
        <v>0</v>
      </c>
    </row>
    <row r="31" spans="2:10" s="313" customFormat="1">
      <c r="B31" s="318" t="s">
        <v>226</v>
      </c>
      <c r="C31" s="315">
        <f>'CF Calculations'!O384</f>
        <v>0</v>
      </c>
      <c r="D31" s="316"/>
      <c r="E31" s="316">
        <f t="shared" ref="E31:E37" si="0">IF($C$51=0,0,C31/$C$51)</f>
        <v>0</v>
      </c>
      <c r="G31" s="319" t="s">
        <v>224</v>
      </c>
      <c r="H31" s="322">
        <f>SUBTOTAL(9,H29:H30)</f>
        <v>13009400</v>
      </c>
      <c r="I31" s="322">
        <f>IF(TotalDealUnits,H31/TotalDealUnits)</f>
        <v>162617.5</v>
      </c>
      <c r="J31" s="323">
        <f>IF($H$51=0,0,H31/$H$51)</f>
        <v>1</v>
      </c>
    </row>
    <row r="32" spans="2:10" s="313" customFormat="1">
      <c r="B32" s="318" t="str">
        <f>B13</f>
        <v>Loan 1</v>
      </c>
      <c r="C32" s="315">
        <f>'CF Calculations'!O386</f>
        <v>0</v>
      </c>
      <c r="D32" s="316"/>
      <c r="E32" s="316">
        <f t="shared" si="0"/>
        <v>0</v>
      </c>
      <c r="G32" s="318"/>
      <c r="H32" s="327"/>
      <c r="I32" s="327"/>
      <c r="J32" s="327"/>
    </row>
    <row r="33" spans="2:10" s="313" customFormat="1">
      <c r="B33" s="1203" t="str">
        <f>B14</f>
        <v>Loan 2</v>
      </c>
      <c r="C33" s="315">
        <f>'CF Calculations'!O391</f>
        <v>0</v>
      </c>
      <c r="D33" s="316"/>
      <c r="E33" s="316">
        <f t="shared" si="0"/>
        <v>0</v>
      </c>
      <c r="G33" s="1202" t="s">
        <v>227</v>
      </c>
      <c r="H33" s="327"/>
      <c r="I33" s="327"/>
      <c r="J33" s="327"/>
    </row>
    <row r="34" spans="2:10" s="313" customFormat="1">
      <c r="B34" s="318" t="str">
        <f>B15</f>
        <v>Loan 3</v>
      </c>
      <c r="C34" s="315">
        <f>'CF Calculations'!O396</f>
        <v>0</v>
      </c>
      <c r="D34" s="316"/>
      <c r="E34" s="316">
        <f t="shared" si="0"/>
        <v>0</v>
      </c>
      <c r="G34" s="318" t="s">
        <v>229</v>
      </c>
      <c r="H34" s="315">
        <f>'CF Calculations'!O333</f>
        <v>0</v>
      </c>
      <c r="I34" s="315">
        <f>IF(TotalDealUnits,H34/TotalDealUnits)</f>
        <v>0</v>
      </c>
      <c r="J34" s="316">
        <f>IF($H$51=0,0,H34/$H$51)</f>
        <v>0</v>
      </c>
    </row>
    <row r="35" spans="2:10" s="313" customFormat="1">
      <c r="B35" s="324" t="s">
        <v>239</v>
      </c>
      <c r="C35" s="315">
        <f>SUM('CF Calculations'!O387:O389,'CF Calculations'!O392:O394,'CF Calculations'!O397:O399)</f>
        <v>0</v>
      </c>
      <c r="D35" s="327"/>
      <c r="E35" s="316">
        <f t="shared" si="0"/>
        <v>0</v>
      </c>
      <c r="G35" s="318" t="s">
        <v>238</v>
      </c>
      <c r="H35" s="315">
        <f>SUM('CF Calculations'!O339:O340)</f>
        <v>0</v>
      </c>
      <c r="I35" s="315">
        <f>IF(TotalDealUnits,H35/TotalDealUnits)</f>
        <v>0</v>
      </c>
      <c r="J35" s="316">
        <f>IF($H$51=0,0,H35/$H$51)</f>
        <v>0</v>
      </c>
    </row>
    <row r="36" spans="2:10" s="313" customFormat="1">
      <c r="B36" s="324" t="s">
        <v>233</v>
      </c>
      <c r="C36" s="315">
        <f>-'CF Calculations'!O308-'CF Calculations'!O309</f>
        <v>0</v>
      </c>
      <c r="D36" s="316"/>
      <c r="E36" s="316">
        <f t="shared" si="0"/>
        <v>0</v>
      </c>
      <c r="G36" s="319" t="s">
        <v>231</v>
      </c>
      <c r="H36" s="322">
        <f>SUBTOTAL(9,H34:H35)</f>
        <v>0</v>
      </c>
      <c r="I36" s="322">
        <f>IF(TotalDealUnits,H36/TotalDealUnits)</f>
        <v>0</v>
      </c>
      <c r="J36" s="323">
        <f>IF($H$51=0,0,H36/$H$51)</f>
        <v>0</v>
      </c>
    </row>
    <row r="37" spans="2:10" s="313" customFormat="1">
      <c r="B37" s="319" t="s">
        <v>234</v>
      </c>
      <c r="C37" s="322">
        <f>C31+C32+C33+C34+C35+C36</f>
        <v>0</v>
      </c>
      <c r="D37" s="323"/>
      <c r="E37" s="323">
        <f t="shared" si="0"/>
        <v>0</v>
      </c>
      <c r="G37" s="318"/>
      <c r="H37" s="327"/>
      <c r="I37" s="327"/>
      <c r="J37" s="327"/>
    </row>
    <row r="38" spans="2:10" s="313" customFormat="1">
      <c r="B38" s="318"/>
      <c r="C38" s="315"/>
      <c r="D38" s="327"/>
      <c r="E38" s="327"/>
      <c r="G38" s="1202" t="s">
        <v>173</v>
      </c>
      <c r="H38" s="327"/>
      <c r="I38" s="327"/>
      <c r="J38" s="327"/>
    </row>
    <row r="39" spans="2:10" s="313" customFormat="1">
      <c r="B39" s="63" t="s">
        <v>242</v>
      </c>
      <c r="C39" s="327"/>
      <c r="D39" s="327"/>
      <c r="E39" s="327"/>
      <c r="G39" s="318" t="s">
        <v>240</v>
      </c>
      <c r="H39" s="315">
        <f>-'CF Calculations'!O68</f>
        <v>0</v>
      </c>
      <c r="I39" s="315">
        <f>IF(TotalDealUnits,H39/TotalDealUnits)</f>
        <v>0</v>
      </c>
      <c r="J39" s="316">
        <f>IF($H$51=0,0,H39/$H$51)</f>
        <v>0</v>
      </c>
    </row>
    <row r="40" spans="2:10" s="313" customFormat="1">
      <c r="B40" s="318" t="s">
        <v>244</v>
      </c>
      <c r="C40" s="315">
        <f>SUM('CF Calculations'!O373:O382)+'CF Calculations'!O404</f>
        <v>0</v>
      </c>
      <c r="D40" s="327"/>
      <c r="E40" s="316">
        <f>IF($C$51=0,0,C40/$C$51)</f>
        <v>0</v>
      </c>
      <c r="G40" s="318" t="s">
        <v>241</v>
      </c>
      <c r="H40" s="315">
        <f>-'CF Calculations'!O67</f>
        <v>0</v>
      </c>
      <c r="I40" s="315">
        <f>IF(TotalDealUnits,H40/TotalDealUnits)</f>
        <v>0</v>
      </c>
      <c r="J40" s="316">
        <f>IF($H$51=0,0,H40/$H$51)</f>
        <v>0</v>
      </c>
    </row>
    <row r="41" spans="2:10" s="313" customFormat="1">
      <c r="B41" s="27"/>
      <c r="C41" s="27"/>
      <c r="D41" s="27"/>
      <c r="E41" s="27"/>
      <c r="G41" s="318" t="str">
        <f>"Replacement Reserves ("&amp;TEXT(Input!G171,"$#,##0")&amp;" per Unit)"</f>
        <v>Replacement Reserves ($0 per Unit)</v>
      </c>
      <c r="H41" s="315">
        <f>-'CF Calculations'!O60</f>
        <v>0</v>
      </c>
      <c r="I41" s="315">
        <f>IF(TotalDealUnits,H41/TotalDealUnits)</f>
        <v>0</v>
      </c>
      <c r="J41" s="316">
        <f>IF($H$51=0,0,H41/$H$51)</f>
        <v>0</v>
      </c>
    </row>
    <row r="42" spans="2:10" s="313" customFormat="1">
      <c r="B42" s="1204"/>
      <c r="C42" s="27"/>
      <c r="D42" s="27"/>
      <c r="E42" s="27"/>
      <c r="G42" s="318" t="s">
        <v>243</v>
      </c>
      <c r="H42" s="315">
        <f>-'CF Calculations'!O69</f>
        <v>0</v>
      </c>
      <c r="I42" s="315">
        <f>IF(TotalDealUnits,H42/TotalDealUnits)</f>
        <v>0</v>
      </c>
      <c r="J42" s="316">
        <f>IF($H$51=0,0,H42/$H$51)</f>
        <v>0</v>
      </c>
    </row>
    <row r="43" spans="2:10" s="313" customFormat="1">
      <c r="B43" s="27"/>
      <c r="C43" s="27"/>
      <c r="D43" s="27"/>
      <c r="E43" s="27"/>
      <c r="F43"/>
      <c r="G43" s="319" t="s">
        <v>245</v>
      </c>
      <c r="H43" s="73">
        <f>SUBTOTAL(9,H39:H42)</f>
        <v>0</v>
      </c>
      <c r="I43" s="73">
        <f>IF(TotalDealUnits,H43/TotalDealUnits)</f>
        <v>0</v>
      </c>
      <c r="J43" s="330">
        <f>IF($H$51=0,0,H43/$H$51)</f>
        <v>0</v>
      </c>
    </row>
    <row r="44" spans="2:10">
      <c r="B44" s="27"/>
      <c r="C44" s="27"/>
      <c r="D44" s="27"/>
      <c r="E44" s="27"/>
      <c r="G44" s="32"/>
      <c r="H44" s="83"/>
      <c r="I44" s="83"/>
      <c r="J44" s="83"/>
    </row>
    <row r="45" spans="2:10">
      <c r="B45" s="27"/>
      <c r="C45" s="27"/>
      <c r="D45" s="27"/>
      <c r="E45" s="27"/>
      <c r="G45" s="1202" t="s">
        <v>246</v>
      </c>
      <c r="H45" s="83"/>
      <c r="I45" s="83"/>
      <c r="J45" s="83"/>
    </row>
    <row r="46" spans="2:10">
      <c r="B46" s="27"/>
      <c r="C46" s="27"/>
      <c r="D46" s="27"/>
      <c r="E46" s="27"/>
      <c r="G46" s="32" t="s">
        <v>247</v>
      </c>
      <c r="H46" s="67">
        <f>SUM('CF Calculations'!O329:O330)</f>
        <v>0</v>
      </c>
      <c r="I46" s="67">
        <f>IF(TotalDealUnits,H46/TotalDealUnits)</f>
        <v>0</v>
      </c>
      <c r="J46" s="44">
        <f>IF($H$51=0,0,H46/$H$51)</f>
        <v>0</v>
      </c>
    </row>
    <row r="47" spans="2:10">
      <c r="B47" s="153"/>
      <c r="C47" s="320"/>
      <c r="D47" s="83"/>
      <c r="E47" s="331"/>
      <c r="G47" s="32" t="s">
        <v>248</v>
      </c>
      <c r="H47" s="67">
        <f>SUM('CF Calculations'!O342:O358)</f>
        <v>0</v>
      </c>
      <c r="I47" s="67">
        <f>IF(TotalDealUnits,H47/TotalDealUnits)</f>
        <v>0</v>
      </c>
      <c r="J47" s="44">
        <f>IF($H$51=0,0,H47/$H$51)</f>
        <v>0</v>
      </c>
    </row>
    <row r="48" spans="2:10">
      <c r="B48" s="153"/>
      <c r="C48" s="320"/>
      <c r="D48" s="83"/>
      <c r="E48" s="331"/>
      <c r="G48" s="32" t="s">
        <v>249</v>
      </c>
      <c r="H48" s="67">
        <f>ROUND(SUM('CF Calculations'!O360:O366),)</f>
        <v>0</v>
      </c>
      <c r="I48" s="67">
        <f>IF(TotalDealUnits,H48/TotalDealUnits)</f>
        <v>0</v>
      </c>
      <c r="J48" s="44">
        <f>IF($H$51=0,0,H48/$H$51)</f>
        <v>0</v>
      </c>
    </row>
    <row r="49" spans="2:10">
      <c r="B49" s="153"/>
      <c r="C49" s="320"/>
      <c r="D49" s="83"/>
      <c r="E49" s="331"/>
      <c r="G49" s="319" t="s">
        <v>250</v>
      </c>
      <c r="H49" s="73">
        <f>SUBTOTAL(9,H46:H48)</f>
        <v>0</v>
      </c>
      <c r="I49" s="73">
        <f>IF(TotalDealUnits,H49/TotalDealUnits)</f>
        <v>0</v>
      </c>
      <c r="J49" s="330">
        <f>IF($H$51=0,0,H49/$H$51)</f>
        <v>0</v>
      </c>
    </row>
    <row r="50" spans="2:10">
      <c r="B50" s="318"/>
      <c r="C50" s="315"/>
      <c r="D50" s="316"/>
      <c r="E50" s="316"/>
      <c r="G50" s="318"/>
      <c r="H50" s="315"/>
      <c r="I50" s="315"/>
      <c r="J50" s="316"/>
    </row>
    <row r="51" spans="2:10">
      <c r="B51" s="328" t="s">
        <v>251</v>
      </c>
      <c r="C51" s="326">
        <f>C28+C37+C40</f>
        <v>13009400</v>
      </c>
      <c r="D51" s="329"/>
      <c r="E51" s="329">
        <f>IF($C$51=0,0,C51/$C$51)</f>
        <v>1</v>
      </c>
      <c r="G51" s="328" t="s">
        <v>252</v>
      </c>
      <c r="H51" s="326">
        <f>SUBTOTAL(9,H29:H50)</f>
        <v>13009400</v>
      </c>
      <c r="I51" s="326">
        <f>IF(TotalDealUnits,H51/TotalDealUnits)</f>
        <v>162617.5</v>
      </c>
      <c r="J51" s="329">
        <f>IF($H$51=0,0,H51/$H$51)</f>
        <v>1</v>
      </c>
    </row>
    <row r="52" spans="2:10">
      <c r="B52" s="328"/>
      <c r="C52" s="320"/>
      <c r="D52" s="321"/>
      <c r="E52" s="321"/>
      <c r="G52" s="328"/>
      <c r="H52" s="320"/>
      <c r="I52" s="320"/>
      <c r="J52" s="321"/>
    </row>
    <row r="53" spans="2:10">
      <c r="B53" s="332" t="s">
        <v>253</v>
      </c>
    </row>
  </sheetData>
  <pageMargins left="0.35" right="0.35" top="0.65" bottom="0.4" header="0.3" footer="0.17"/>
  <pageSetup scale="75" orientation="portrait" r:id="rId1"/>
  <headerFooter scaleWithDoc="0">
    <oddHeader>&amp;C&amp;"+,Regular"&amp;9&amp;KFF0000STRICTLY CONFIDENTIAL&amp;R&amp;G</oddHeader>
    <oddFooter>&amp;L&amp;8&amp;F&amp;C&amp;8Page &amp;P of &amp;N&amp;R&amp;8&amp;D &amp;T</oddFooter>
  </headerFooter>
  <legacyDrawingHF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4ED843-3E37-45F5-BC94-9FA18B831434}">
  <sheetPr codeName="Divider2">
    <tabColor theme="1"/>
  </sheetPr>
  <dimension ref="B1:K26"/>
  <sheetViews>
    <sheetView showGridLines="0" zoomScale="80" zoomScaleNormal="80" zoomScaleSheetLayoutView="100" workbookViewId="0">
      <selection activeCell="I50" sqref="I50"/>
    </sheetView>
  </sheetViews>
  <sheetFormatPr defaultColWidth="9.140625" defaultRowHeight="13.5"/>
  <cols>
    <col min="1" max="1" width="1.28515625" style="17" customWidth="1"/>
    <col min="2" max="11" width="13.28515625" style="17" customWidth="1"/>
    <col min="12" max="12" width="9.140625" style="17" customWidth="1"/>
    <col min="13" max="16384" width="9.140625" style="17"/>
  </cols>
  <sheetData>
    <row r="1" spans="2:11" ht="15" customHeight="1">
      <c r="B1" s="16" t="s">
        <v>0</v>
      </c>
    </row>
    <row r="2" spans="2:11" ht="15" customHeight="1"/>
    <row r="3" spans="2:11" ht="15" customHeight="1"/>
    <row r="4" spans="2:11" ht="38.25" customHeight="1">
      <c r="B4" s="1035" t="s">
        <v>1</v>
      </c>
      <c r="C4" s="1022"/>
      <c r="D4" s="1022"/>
      <c r="E4" s="1022"/>
      <c r="F4" s="1022"/>
      <c r="G4" s="1022"/>
      <c r="H4" s="1022"/>
      <c r="I4" s="1022"/>
      <c r="J4" s="1022"/>
      <c r="K4" s="1022"/>
    </row>
    <row r="5" spans="2:11" ht="15" customHeight="1"/>
    <row r="6" spans="2:11" ht="15" customHeight="1"/>
    <row r="7" spans="2:11" ht="50.25" customHeight="1">
      <c r="B7" s="18" t="str">
        <f>Input!E10</f>
        <v>Chaney Place Townhomes</v>
      </c>
      <c r="C7" s="19"/>
      <c r="D7" s="19"/>
      <c r="E7" s="19"/>
      <c r="F7" s="19"/>
      <c r="G7" s="19"/>
      <c r="H7" s="19"/>
      <c r="I7" s="19"/>
      <c r="J7" s="19"/>
      <c r="K7" s="19"/>
    </row>
    <row r="8" spans="2:11" ht="39" customHeight="1">
      <c r="B8" s="20" t="str">
        <f>Input!$M$4</f>
        <v>Huntsville, AL</v>
      </c>
      <c r="C8" s="19"/>
      <c r="D8" s="19"/>
      <c r="E8" s="19"/>
      <c r="F8" s="19"/>
      <c r="G8" s="19"/>
      <c r="H8" s="19"/>
      <c r="I8" s="19"/>
      <c r="J8" s="19"/>
      <c r="K8" s="19"/>
    </row>
    <row r="9" spans="2:11" ht="15" customHeight="1"/>
    <row r="10" spans="2:11" ht="15" customHeight="1"/>
    <row r="11" spans="2:11" ht="35.25" customHeight="1">
      <c r="B11" s="21" t="s">
        <v>254</v>
      </c>
      <c r="C11" s="22"/>
      <c r="D11" s="22"/>
      <c r="E11" s="22"/>
      <c r="F11" s="23"/>
      <c r="G11" s="23"/>
      <c r="H11" s="23"/>
      <c r="I11" s="23"/>
      <c r="J11" s="23"/>
      <c r="K11" s="23"/>
    </row>
    <row r="12" spans="2:11" ht="15" customHeight="1">
      <c r="B12" s="24"/>
      <c r="C12" s="24"/>
      <c r="D12" s="24"/>
      <c r="E12" s="24"/>
      <c r="F12" s="24"/>
      <c r="G12" s="24"/>
      <c r="H12" s="24"/>
      <c r="I12" s="24"/>
      <c r="J12" s="24"/>
      <c r="K12" s="24"/>
    </row>
    <row r="13" spans="2:11" ht="15" customHeight="1">
      <c r="B13" s="24"/>
      <c r="C13" s="24"/>
      <c r="D13" s="24"/>
      <c r="E13" s="24"/>
      <c r="F13" s="24"/>
      <c r="G13" s="24"/>
      <c r="H13" s="24"/>
      <c r="I13" s="24"/>
      <c r="J13" s="24"/>
      <c r="K13" s="24"/>
    </row>
    <row r="14" spans="2:11" ht="26.25" customHeight="1">
      <c r="B14" s="24"/>
      <c r="C14" s="24"/>
      <c r="D14" s="24"/>
      <c r="E14" s="25" t="str">
        <f>(ROW()-ROW($E$12))/2&amp;". "&amp;Input!$G$4</f>
        <v>1. Inputs</v>
      </c>
      <c r="F14" s="24"/>
      <c r="G14" s="24"/>
      <c r="H14" s="24"/>
      <c r="I14" s="24"/>
      <c r="J14" s="24"/>
      <c r="K14" s="24"/>
    </row>
    <row r="15" spans="2:11" ht="26.25" hidden="1" customHeight="1">
      <c r="B15" s="24"/>
      <c r="C15" s="24"/>
      <c r="D15" s="24"/>
      <c r="E15" s="25"/>
      <c r="F15" s="24"/>
      <c r="G15" s="24"/>
      <c r="H15" s="24"/>
      <c r="I15" s="24"/>
      <c r="J15" s="24"/>
      <c r="K15" s="24"/>
    </row>
    <row r="16" spans="2:11" ht="26.25" hidden="1" customHeight="1">
      <c r="B16" s="24"/>
      <c r="C16" s="24"/>
      <c r="D16" s="24"/>
      <c r="E16" s="25"/>
      <c r="F16" s="24"/>
      <c r="G16" s="24"/>
      <c r="H16" s="24"/>
      <c r="I16" s="24"/>
      <c r="J16" s="24"/>
      <c r="K16" s="24"/>
    </row>
    <row r="17" spans="2:11" ht="26.25" customHeight="1">
      <c r="B17" s="24"/>
      <c r="C17" s="24"/>
      <c r="D17" s="24"/>
      <c r="E17" s="26"/>
      <c r="F17" s="24"/>
      <c r="G17" s="24"/>
      <c r="H17" s="24"/>
      <c r="I17" s="24"/>
      <c r="J17" s="24"/>
      <c r="K17" s="24"/>
    </row>
    <row r="18" spans="2:11" ht="26.25" customHeight="1">
      <c r="B18" s="24"/>
      <c r="C18" s="24"/>
      <c r="D18" s="24"/>
      <c r="E18" s="25" t="str">
        <f>(ROW()-ROW($E$12))/2-1&amp;". "&amp;'Select Historicals'!$F$4</f>
        <v>2. Selected Historical Columns</v>
      </c>
      <c r="F18" s="24"/>
      <c r="G18" s="24"/>
      <c r="H18" s="24"/>
      <c r="I18" s="24"/>
      <c r="J18" s="24"/>
      <c r="K18" s="24"/>
    </row>
    <row r="19" spans="2:11" ht="26.25" customHeight="1">
      <c r="B19" s="24"/>
      <c r="C19" s="24"/>
      <c r="D19" s="24"/>
      <c r="E19" s="26"/>
      <c r="F19" s="24"/>
      <c r="G19" s="24"/>
      <c r="H19" s="24"/>
      <c r="I19" s="24"/>
      <c r="J19" s="24"/>
      <c r="K19" s="24"/>
    </row>
    <row r="20" spans="2:11" ht="26.25" customHeight="1">
      <c r="B20" s="24"/>
      <c r="C20" s="24"/>
      <c r="D20" s="24"/>
      <c r="E20" s="25" t="str">
        <f>(ROW()-ROW($E$12))/2-1-NOT(IsHistoricalComponent)&amp;". "&amp;IF(IsHistoricalComponent,'Adjustments &amp; Notes'!E4,'Adjustments &amp; Notes'!N4)</f>
        <v>3. Historical Adjustments / Pro Forma Notes</v>
      </c>
      <c r="F20" s="24"/>
      <c r="G20" s="24"/>
      <c r="H20" s="24"/>
      <c r="I20" s="24"/>
      <c r="J20" s="24"/>
      <c r="K20" s="24"/>
    </row>
    <row r="21" spans="2:11" ht="26.25" customHeight="1">
      <c r="B21" s="24"/>
      <c r="C21" s="24"/>
      <c r="D21" s="24"/>
      <c r="E21" s="26"/>
      <c r="F21" s="24"/>
      <c r="G21" s="24"/>
      <c r="H21" s="24"/>
      <c r="I21" s="24"/>
      <c r="J21" s="24"/>
      <c r="K21" s="24"/>
    </row>
    <row r="22" spans="2:11" ht="26.25" hidden="1" customHeight="1">
      <c r="B22" s="24"/>
      <c r="C22" s="24"/>
      <c r="D22" s="24"/>
      <c r="E22" s="25" t="e">
        <f>(ROW()-ROW($E$12))/2-1-NOT(IsHistoricalComponent)&amp;". "&amp;#REF!</f>
        <v>#REF!</v>
      </c>
      <c r="F22" s="24"/>
      <c r="G22" s="24"/>
      <c r="H22" s="24"/>
      <c r="I22" s="24"/>
      <c r="J22" s="24"/>
      <c r="K22" s="24"/>
    </row>
    <row r="23" spans="2:11" ht="26.25" hidden="1" customHeight="1">
      <c r="B23" s="24"/>
      <c r="C23" s="24"/>
      <c r="D23" s="24"/>
      <c r="E23" s="26"/>
      <c r="F23" s="24"/>
      <c r="G23" s="24"/>
      <c r="H23" s="24"/>
      <c r="I23" s="24"/>
      <c r="J23" s="24"/>
      <c r="K23" s="24"/>
    </row>
    <row r="24" spans="2:11" ht="26.25" hidden="1" customHeight="1">
      <c r="B24" s="24"/>
      <c r="C24" s="24"/>
      <c r="D24" s="24"/>
      <c r="E24" s="25" t="str">
        <f>(ROW()-ROW($E$12))/2-1-NOT(IsDetExpTab)-NOT(IsHistoricalComponent)&amp;". "&amp;'Commercial CF'!$H$4</f>
        <v>4. Commercial Cash Flow</v>
      </c>
      <c r="F24" s="24"/>
      <c r="G24" s="24"/>
      <c r="H24" s="24"/>
      <c r="I24" s="24"/>
      <c r="J24" s="24"/>
      <c r="K24" s="24"/>
    </row>
    <row r="25" spans="2:11" ht="26.25" hidden="1" customHeight="1">
      <c r="B25" s="24"/>
      <c r="C25" s="24"/>
      <c r="D25" s="24"/>
      <c r="E25" s="27"/>
      <c r="F25" s="24"/>
      <c r="G25" s="24"/>
      <c r="H25" s="24"/>
      <c r="I25" s="24"/>
      <c r="J25" s="24"/>
      <c r="K25" s="24"/>
    </row>
    <row r="26" spans="2:11">
      <c r="B26" s="24"/>
      <c r="C26" s="24"/>
      <c r="D26" s="24"/>
      <c r="E26" s="24"/>
      <c r="F26" s="24"/>
      <c r="G26" s="24"/>
      <c r="H26" s="24"/>
      <c r="I26" s="24"/>
      <c r="J26" s="24"/>
      <c r="K26" s="24"/>
    </row>
  </sheetData>
  <pageMargins left="0.45" right="0.45" top="0.7" bottom="0.5" header="0.25" footer="0.31"/>
  <pageSetup scale="80" orientation="portrait" r:id="rId1"/>
  <headerFooter scaleWithDoc="0">
    <oddHeader>&amp;C&amp;"Gill Sans for CW,Regular"&amp;8&amp;KFF0000STRICTLY CONFIDENTIAL</oddHeader>
    <oddFooter>&amp;L&amp;8&amp;F&amp;C&amp;8Page &amp;P of &amp;N&amp;R&amp;8&amp;D  &amp;T</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7E1263-B93B-45D9-AC44-7F4DCB61448B}">
  <sheetPr codeName="InpGeneral"/>
  <dimension ref="A1:BB255"/>
  <sheetViews>
    <sheetView showGridLines="0" tabSelected="1" zoomScale="90" zoomScaleNormal="90" zoomScaleSheetLayoutView="100" workbookViewId="0">
      <pane xSplit="3" ySplit="6" topLeftCell="D120" activePane="bottomRight" state="frozen"/>
      <selection pane="topRight" activeCell="D1" sqref="D1"/>
      <selection pane="bottomLeft" activeCell="A7" sqref="A7"/>
      <selection pane="bottomRight" activeCell="E134" sqref="E134"/>
    </sheetView>
  </sheetViews>
  <sheetFormatPr defaultColWidth="9.140625" defaultRowHeight="12.75" outlineLevelRow="1"/>
  <cols>
    <col min="1" max="1" width="1.7109375" style="192" customWidth="1"/>
    <col min="2" max="54" width="12.42578125" style="192" customWidth="1"/>
    <col min="55" max="55" width="9.140625" style="192" customWidth="1"/>
    <col min="56" max="16384" width="9.140625" style="192"/>
  </cols>
  <sheetData>
    <row r="1" spans="2:17" ht="3" customHeight="1"/>
    <row r="2" spans="2:17">
      <c r="B2" s="333" t="s">
        <v>0</v>
      </c>
      <c r="E2" s="334"/>
      <c r="F2" s="334"/>
      <c r="G2" s="334"/>
      <c r="H2" s="334"/>
      <c r="I2" s="334"/>
      <c r="J2" s="335" t="s">
        <v>255</v>
      </c>
      <c r="K2" s="336" t="s">
        <v>256</v>
      </c>
      <c r="L2" s="337" t="s">
        <v>257</v>
      </c>
      <c r="M2" s="338" t="s">
        <v>258</v>
      </c>
    </row>
    <row r="3" spans="2:17" ht="3" customHeight="1"/>
    <row r="4" spans="2:17" ht="19.5">
      <c r="B4" s="1057" t="str">
        <f>$E$10</f>
        <v>Chaney Place Townhomes</v>
      </c>
      <c r="C4" s="339"/>
      <c r="D4" s="340"/>
      <c r="E4" s="340"/>
      <c r="F4" s="340"/>
      <c r="G4" s="1007" t="s">
        <v>259</v>
      </c>
      <c r="H4" s="341"/>
      <c r="I4" s="340"/>
      <c r="J4" s="340"/>
      <c r="K4" s="340"/>
      <c r="L4" s="340"/>
      <c r="M4" s="1042" t="str">
        <f>IF(State="",IF(City="","[City, ST]",City),IF(City="",State,City&amp;", "&amp;State))</f>
        <v>Huntsville, AL</v>
      </c>
    </row>
    <row r="7" spans="2:17" ht="15.75" customHeight="1">
      <c r="B7" s="1034" t="s">
        <v>260</v>
      </c>
      <c r="C7" s="1019"/>
      <c r="D7" s="1019"/>
      <c r="E7" s="1019"/>
      <c r="F7" s="1019"/>
      <c r="G7" s="1019"/>
      <c r="H7" s="1019"/>
      <c r="I7" s="1019"/>
      <c r="J7" s="1019"/>
      <c r="K7" s="1019"/>
      <c r="L7" s="1019"/>
      <c r="M7" s="1019"/>
      <c r="N7" s="1019"/>
      <c r="O7" s="1019"/>
      <c r="P7" s="1019"/>
      <c r="Q7" s="1019"/>
    </row>
    <row r="8" spans="2:17" outlineLevel="1"/>
    <row r="9" spans="2:17" ht="14.25" customHeight="1" outlineLevel="1">
      <c r="B9" s="1043" t="s">
        <v>261</v>
      </c>
      <c r="C9" s="342"/>
      <c r="D9" s="342"/>
      <c r="E9" s="342"/>
      <c r="G9" s="1043" t="s">
        <v>4</v>
      </c>
      <c r="H9" s="196"/>
      <c r="I9" s="196"/>
      <c r="K9" s="1043" t="s">
        <v>262</v>
      </c>
      <c r="L9" s="196"/>
      <c r="M9" s="196"/>
    </row>
    <row r="10" spans="2:17" outlineLevel="1">
      <c r="B10" s="343" t="s">
        <v>263</v>
      </c>
      <c r="C10" s="344"/>
      <c r="D10" s="344"/>
      <c r="E10" s="86" t="s">
        <v>264</v>
      </c>
      <c r="G10" s="36" t="s">
        <v>6</v>
      </c>
      <c r="H10" s="37"/>
      <c r="I10" s="38">
        <f>TotalDealUnits-I11-I12</f>
        <v>72</v>
      </c>
      <c r="K10" s="36" t="s">
        <v>265</v>
      </c>
      <c r="L10" s="37"/>
      <c r="M10" s="345">
        <v>46113</v>
      </c>
    </row>
    <row r="11" spans="2:17" outlineLevel="1">
      <c r="B11" s="343" t="s">
        <v>266</v>
      </c>
      <c r="C11" s="344"/>
      <c r="D11" s="344"/>
      <c r="E11" s="346">
        <v>8631</v>
      </c>
      <c r="G11" s="36" t="s">
        <v>7</v>
      </c>
      <c r="H11" s="37"/>
      <c r="I11" s="39">
        <f>J56</f>
        <v>7</v>
      </c>
      <c r="J11" s="347"/>
      <c r="K11" s="36" t="s">
        <v>267</v>
      </c>
      <c r="L11" s="37"/>
      <c r="M11" s="348">
        <v>7</v>
      </c>
    </row>
    <row r="12" spans="2:17" outlineLevel="1">
      <c r="B12" s="349" t="s">
        <v>268</v>
      </c>
      <c r="C12" s="344"/>
      <c r="D12" s="344"/>
      <c r="E12" s="350">
        <f>TotalDealUnits</f>
        <v>80</v>
      </c>
      <c r="G12" s="36" t="s">
        <v>11</v>
      </c>
      <c r="H12" s="37"/>
      <c r="I12" s="43">
        <f>K56</f>
        <v>1</v>
      </c>
      <c r="J12" s="351"/>
      <c r="K12" s="36" t="s">
        <v>269</v>
      </c>
      <c r="L12" s="37"/>
      <c r="M12" s="352">
        <f>IFERROR(EOMONTH(ClosingDate,YrOfExit*12),"n/a")</f>
        <v>48669</v>
      </c>
    </row>
    <row r="13" spans="2:17" outlineLevel="1">
      <c r="B13" s="343"/>
      <c r="C13" s="344"/>
      <c r="D13" s="344"/>
      <c r="E13" s="349"/>
      <c r="G13" s="37"/>
      <c r="H13" s="37"/>
      <c r="I13" s="37"/>
      <c r="J13" s="351"/>
      <c r="K13" s="37"/>
      <c r="L13" s="37"/>
      <c r="M13" s="37"/>
    </row>
    <row r="14" spans="2:17" outlineLevel="1"/>
    <row r="15" spans="2:17" outlineLevel="1"/>
    <row r="16" spans="2:17" ht="14.25" customHeight="1" outlineLevel="1">
      <c r="B16" s="1043" t="s">
        <v>3</v>
      </c>
      <c r="C16" s="196"/>
      <c r="D16" s="196"/>
      <c r="E16" s="196"/>
      <c r="F16" s="196"/>
      <c r="G16" s="196"/>
      <c r="H16" s="196"/>
      <c r="I16" s="196"/>
      <c r="J16" s="196"/>
      <c r="K16" s="196"/>
      <c r="L16" s="196"/>
      <c r="M16" s="196"/>
    </row>
    <row r="17" spans="1:31" ht="14.25" customHeight="1" outlineLevel="1">
      <c r="B17" s="1363"/>
      <c r="C17" s="1363"/>
      <c r="D17" s="1363"/>
      <c r="E17" s="1363"/>
      <c r="F17" s="1363"/>
      <c r="G17" s="1363"/>
      <c r="H17" s="1363"/>
      <c r="I17" s="1363"/>
      <c r="J17" s="1363"/>
      <c r="K17" s="1363"/>
      <c r="L17" s="1363"/>
      <c r="M17" s="1363"/>
    </row>
    <row r="18" spans="1:31" outlineLevel="1">
      <c r="B18" s="1363"/>
      <c r="C18" s="1363"/>
      <c r="D18" s="1363"/>
      <c r="E18" s="1363"/>
      <c r="F18" s="1363"/>
      <c r="G18" s="1363"/>
      <c r="H18" s="1363"/>
      <c r="I18" s="1363"/>
      <c r="J18" s="1363"/>
      <c r="K18" s="1363"/>
      <c r="L18" s="1363"/>
      <c r="M18" s="1363"/>
    </row>
    <row r="19" spans="1:31" outlineLevel="1">
      <c r="B19" s="1363"/>
      <c r="C19" s="1363"/>
      <c r="D19" s="1363"/>
      <c r="E19" s="1363"/>
      <c r="F19" s="1363"/>
      <c r="G19" s="1363"/>
      <c r="H19" s="1363"/>
      <c r="I19" s="1363"/>
      <c r="J19" s="1363"/>
      <c r="K19" s="1363"/>
      <c r="L19" s="1363"/>
      <c r="M19" s="1363"/>
    </row>
    <row r="20" spans="1:31" outlineLevel="1">
      <c r="B20" s="1363"/>
      <c r="C20" s="1363"/>
      <c r="D20" s="1363"/>
      <c r="E20" s="1363"/>
      <c r="F20" s="1363"/>
      <c r="G20" s="1363"/>
      <c r="H20" s="1363"/>
      <c r="I20" s="1363"/>
      <c r="J20" s="1363"/>
      <c r="K20" s="1363"/>
      <c r="L20" s="1363"/>
      <c r="M20" s="1363"/>
    </row>
    <row r="21" spans="1:31" outlineLevel="1">
      <c r="B21" s="1363"/>
      <c r="C21" s="1363"/>
      <c r="D21" s="1363"/>
      <c r="E21" s="1363"/>
      <c r="F21" s="1363"/>
      <c r="G21" s="1363"/>
      <c r="H21" s="1363"/>
      <c r="I21" s="1363"/>
      <c r="J21" s="1363"/>
      <c r="K21" s="1363"/>
      <c r="L21" s="1363"/>
      <c r="M21" s="1363"/>
    </row>
    <row r="22" spans="1:31" outlineLevel="1">
      <c r="B22" s="1363"/>
      <c r="C22" s="1363"/>
      <c r="D22" s="1363"/>
      <c r="E22" s="1363"/>
      <c r="F22" s="1363"/>
      <c r="G22" s="1363"/>
      <c r="H22" s="1363"/>
      <c r="I22" s="1363"/>
      <c r="J22" s="1363"/>
      <c r="K22" s="1363"/>
      <c r="L22" s="1363"/>
      <c r="M22" s="1363"/>
    </row>
    <row r="23" spans="1:31" outlineLevel="1">
      <c r="B23" s="1363"/>
      <c r="C23" s="1363"/>
      <c r="D23" s="1363"/>
      <c r="E23" s="1363"/>
      <c r="F23" s="1363"/>
      <c r="G23" s="1363"/>
      <c r="H23" s="1363"/>
      <c r="I23" s="1363"/>
      <c r="J23" s="1363"/>
      <c r="K23" s="1363"/>
      <c r="L23" s="1363"/>
      <c r="M23" s="1363"/>
    </row>
    <row r="24" spans="1:31" outlineLevel="1">
      <c r="B24" s="1363"/>
      <c r="C24" s="1363"/>
      <c r="D24" s="1363"/>
      <c r="E24" s="1363"/>
      <c r="F24" s="1363"/>
      <c r="G24" s="1363"/>
      <c r="H24" s="1363"/>
      <c r="I24" s="1363"/>
      <c r="J24" s="1363"/>
      <c r="K24" s="1363"/>
      <c r="L24" s="1363"/>
      <c r="M24" s="1363"/>
      <c r="S24"/>
      <c r="T24"/>
      <c r="U24"/>
      <c r="V24"/>
    </row>
    <row r="25" spans="1:31" outlineLevel="1">
      <c r="S25"/>
      <c r="T25"/>
      <c r="U25"/>
      <c r="V25"/>
    </row>
    <row r="27" spans="1:31" ht="15.75" customHeight="1">
      <c r="B27" s="1034" t="s">
        <v>270</v>
      </c>
      <c r="C27" s="1019"/>
      <c r="D27" s="1019"/>
      <c r="E27" s="1019"/>
      <c r="F27" s="1019"/>
      <c r="G27" s="1019"/>
      <c r="H27" s="1019"/>
      <c r="I27" s="1019"/>
      <c r="J27" s="1019"/>
      <c r="K27" s="1019"/>
      <c r="L27" s="1019"/>
      <c r="M27" s="1019"/>
      <c r="N27" s="1019"/>
      <c r="O27" s="1019"/>
      <c r="P27" s="1019"/>
      <c r="Q27" s="1019"/>
      <c r="S27" s="1034" t="s">
        <v>271</v>
      </c>
      <c r="T27" s="1023"/>
      <c r="U27" s="1023"/>
      <c r="V27" s="1023"/>
      <c r="W27" s="1023"/>
      <c r="X27" s="1023"/>
      <c r="Y27" s="1023"/>
      <c r="Z27" s="1023"/>
      <c r="AA27" s="1023"/>
      <c r="AB27" s="1023"/>
      <c r="AC27" s="1023"/>
      <c r="AD27" s="1023"/>
      <c r="AE27" s="1023"/>
    </row>
    <row r="28" spans="1:31" outlineLevel="1"/>
    <row r="29" spans="1:31" ht="14.25" customHeight="1" outlineLevel="1">
      <c r="A29" s="353">
        <v>1</v>
      </c>
      <c r="B29" s="1043" t="s">
        <v>272</v>
      </c>
      <c r="C29" s="196"/>
      <c r="D29" s="196"/>
      <c r="E29" s="196"/>
      <c r="F29" s="196"/>
      <c r="G29" s="196"/>
      <c r="I29" s="1043" t="s">
        <v>273</v>
      </c>
      <c r="J29" s="196"/>
      <c r="K29" s="196"/>
      <c r="L29" s="196"/>
      <c r="M29" s="196"/>
      <c r="S29" s="1043" t="s">
        <v>274</v>
      </c>
      <c r="T29" s="196"/>
      <c r="U29" s="196"/>
      <c r="V29" s="196"/>
      <c r="W29" s="196"/>
      <c r="X29" s="196"/>
      <c r="Y29" s="196"/>
      <c r="Z29" s="196"/>
      <c r="AA29" s="196"/>
      <c r="AB29" s="196"/>
      <c r="AC29" s="196"/>
      <c r="AD29" s="196"/>
      <c r="AE29" s="196"/>
    </row>
    <row r="30" spans="1:31" outlineLevel="1">
      <c r="B30" s="1081" t="s">
        <v>275</v>
      </c>
      <c r="C30" s="37"/>
      <c r="D30" s="37"/>
      <c r="E30" s="37"/>
      <c r="F30" s="37"/>
      <c r="G30" s="37"/>
      <c r="I30" s="1081" t="s">
        <v>275</v>
      </c>
      <c r="J30" s="37"/>
      <c r="K30" s="37"/>
      <c r="L30" s="37"/>
      <c r="M30" s="37"/>
      <c r="S30" s="37"/>
      <c r="T30" s="37"/>
      <c r="U30" s="37"/>
      <c r="V30" s="1082" t="s">
        <v>112</v>
      </c>
      <c r="W30" s="1083"/>
      <c r="X30" s="1061" t="s">
        <v>217</v>
      </c>
      <c r="Y30" s="355"/>
      <c r="Z30" s="37"/>
      <c r="AA30" s="37"/>
      <c r="AB30" s="37"/>
      <c r="AC30" s="1082" t="s">
        <v>112</v>
      </c>
      <c r="AD30" s="1083"/>
      <c r="AE30" s="1061" t="s">
        <v>217</v>
      </c>
    </row>
    <row r="31" spans="1:31" outlineLevel="1">
      <c r="B31" s="36" t="s">
        <v>276</v>
      </c>
      <c r="C31" s="37"/>
      <c r="D31" s="37"/>
      <c r="E31" s="37"/>
      <c r="F31" s="1364" t="s">
        <v>1072</v>
      </c>
      <c r="G31" s="1364"/>
      <c r="I31" s="36" t="s">
        <v>278</v>
      </c>
      <c r="J31" s="37"/>
      <c r="K31" s="37"/>
      <c r="L31" s="1288" t="s">
        <v>279</v>
      </c>
      <c r="M31" s="1288"/>
      <c r="N31" s="357"/>
      <c r="S31" s="36" t="s">
        <v>280</v>
      </c>
      <c r="T31" s="37"/>
      <c r="U31" s="37"/>
      <c r="V31" s="358">
        <f>IF($F$32,W31/$F$32*10000,)</f>
        <v>0</v>
      </c>
      <c r="W31" s="1365"/>
      <c r="X31" s="1366"/>
      <c r="Y31" s="359"/>
      <c r="Z31" s="36" t="s">
        <v>281</v>
      </c>
      <c r="AA31" s="37"/>
      <c r="AB31" s="37"/>
      <c r="AC31" s="360"/>
      <c r="AD31" s="1367">
        <f>AC31%%*$F$32</f>
        <v>0</v>
      </c>
      <c r="AE31" s="1368"/>
    </row>
    <row r="32" spans="1:31" outlineLevel="1">
      <c r="B32" s="36" t="s">
        <v>16</v>
      </c>
      <c r="C32" s="37"/>
      <c r="D32" s="37"/>
      <c r="E32" s="361"/>
      <c r="F32" s="1369">
        <f>IF(IsReassAtClosing,IF(GoingInCapRate,MAX(InPlaceNOILessTaxes,)/(GoingInCapRate+AssessRatioAtClosing*MillRateAtClosing/1000*(1-RETReimb)*(1-EarlyTaxPmntDiscnt)),),IF(AND(GoingInCapRate*1,InPlaceNOI&gt;0),InPlaceNOI/GoingInCapRate,))</f>
        <v>13009400</v>
      </c>
      <c r="G32" s="1370"/>
      <c r="I32" s="36" t="s">
        <v>282</v>
      </c>
      <c r="J32" s="37"/>
      <c r="K32" s="37"/>
      <c r="L32" s="1380">
        <f>IF(ExitCapRate,MAX(ReversionNOI/ExitCapRate,),)</f>
        <v>24605672.299141534</v>
      </c>
      <c r="M32" s="1371"/>
      <c r="S32" s="36" t="s">
        <v>283</v>
      </c>
      <c r="T32" s="37"/>
      <c r="U32" s="37"/>
      <c r="V32" s="364">
        <f>IF($F$32,W32/$F$32*10000,)</f>
        <v>0</v>
      </c>
      <c r="W32" s="1351"/>
      <c r="X32" s="1352"/>
      <c r="Y32" s="359"/>
      <c r="Z32" s="36" t="s">
        <v>284</v>
      </c>
      <c r="AA32" s="37"/>
      <c r="AB32" s="37"/>
      <c r="AC32" s="365">
        <f>IF($F$32,AD32/$F$32,)</f>
        <v>0</v>
      </c>
      <c r="AD32" s="1346"/>
      <c r="AE32" s="1347"/>
    </row>
    <row r="33" spans="2:54" outlineLevel="1">
      <c r="B33" s="36" t="s">
        <v>1076</v>
      </c>
      <c r="C33" s="37"/>
      <c r="D33" s="1355" t="str">
        <f>IF(AND(IsHistoricalComponent,PricingInputLabel="Cap Rate on"),IFERROR(IF(AdjstedHistSelection*1=12,"Trailing ","T")&amp;AdjstedHistSelection*1&amp;IF(OR(IsAdjustedHistoricalNOIWithReassessedTaxes,AdjustedHistoricalNOI)," Adjusted NOI",IF(AdjstedHistSelection*1=12," NOI"," Annualized NOI")),IF(OR(IsAdjustedHistoricalNOIWithReassessedTaxes,AdjustedHistoricalNOI),"YE "&amp;BaseHistoricalDate&amp;" Adjusted NOI",AdjstedHistSelection&amp;" NOI"))&amp;"¹ ","")</f>
        <v xml:space="preserve">Trailing 12 Adjusted NOI¹ </v>
      </c>
      <c r="E33" s="1356"/>
      <c r="F33" s="1357">
        <v>5.5E-2</v>
      </c>
      <c r="G33" s="1358"/>
      <c r="H33" s="366"/>
      <c r="I33" s="36" t="s">
        <v>204</v>
      </c>
      <c r="J33" s="37"/>
      <c r="K33" s="37"/>
      <c r="L33" s="37"/>
      <c r="M33" s="1000">
        <v>5.5E-2</v>
      </c>
      <c r="S33" s="36" t="s">
        <v>285</v>
      </c>
      <c r="T33" s="37"/>
      <c r="U33" s="37"/>
      <c r="V33" s="364">
        <f>IF($F$32,W33/$F$32*10000,)</f>
        <v>0</v>
      </c>
      <c r="W33" s="1341"/>
      <c r="X33" s="1297"/>
      <c r="Y33" s="359"/>
      <c r="Z33" s="36" t="s">
        <v>286</v>
      </c>
      <c r="AA33" s="37"/>
      <c r="AB33" s="37"/>
      <c r="AC33" s="365">
        <f>IF($F$32,AD33/$F$32,)</f>
        <v>0</v>
      </c>
      <c r="AD33" s="1351"/>
      <c r="AE33" s="1352"/>
    </row>
    <row r="34" spans="2:54" outlineLevel="1">
      <c r="B34" s="37"/>
      <c r="C34" s="37"/>
      <c r="D34" s="37"/>
      <c r="E34" s="37"/>
      <c r="F34" s="37"/>
      <c r="G34" s="37"/>
      <c r="I34" s="37"/>
      <c r="J34" s="37"/>
      <c r="K34" s="37"/>
      <c r="L34" s="37"/>
      <c r="M34" s="37"/>
      <c r="S34" s="36"/>
      <c r="T34" s="37"/>
      <c r="U34" s="37"/>
      <c r="V34" s="368"/>
      <c r="W34" s="1359"/>
      <c r="X34" s="1360"/>
      <c r="Y34" s="359"/>
      <c r="Z34" s="369" t="s">
        <v>287</v>
      </c>
      <c r="AA34" s="370"/>
      <c r="AB34" s="370"/>
      <c r="AC34" s="371">
        <f>IF($F$32,AD34/$F$32,)</f>
        <v>0</v>
      </c>
      <c r="AD34" s="1361"/>
      <c r="AE34" s="1362"/>
    </row>
    <row r="35" spans="2:54" outlineLevel="1">
      <c r="B35" s="1081" t="s">
        <v>288</v>
      </c>
      <c r="C35" s="37"/>
      <c r="D35" s="37"/>
      <c r="E35" s="1061" t="s">
        <v>112</v>
      </c>
      <c r="F35" s="1061"/>
      <c r="G35" s="1061" t="s">
        <v>217</v>
      </c>
      <c r="I35" s="1081" t="s">
        <v>176</v>
      </c>
      <c r="J35" s="37"/>
      <c r="K35" s="1061" t="s">
        <v>112</v>
      </c>
      <c r="L35" s="1061"/>
      <c r="M35" s="1061" t="s">
        <v>217</v>
      </c>
      <c r="S35" s="36" t="s">
        <v>289</v>
      </c>
      <c r="T35" s="37"/>
      <c r="U35" s="37"/>
      <c r="V35" s="364">
        <f>IF($F$32,W35/$F$32*10000,)</f>
        <v>0</v>
      </c>
      <c r="W35" s="1346"/>
      <c r="X35" s="1347"/>
      <c r="Y35" s="359"/>
      <c r="Z35" s="36" t="s">
        <v>290</v>
      </c>
      <c r="AA35" s="37"/>
      <c r="AB35" s="37"/>
      <c r="AC35" s="372"/>
      <c r="AD35" s="1348">
        <f>AC35%%*$F$32</f>
        <v>0</v>
      </c>
      <c r="AE35" s="1349"/>
    </row>
    <row r="36" spans="2:54" ht="12.75" customHeight="1" outlineLevel="1">
      <c r="B36" s="36" t="s">
        <v>291</v>
      </c>
      <c r="C36" s="37"/>
      <c r="D36" s="37"/>
      <c r="E36" s="374"/>
      <c r="F36" s="1350">
        <f>E36*F32</f>
        <v>0</v>
      </c>
      <c r="G36" s="1350"/>
      <c r="I36" s="36" t="s">
        <v>291</v>
      </c>
      <c r="J36" s="37"/>
      <c r="K36" s="374"/>
      <c r="L36" s="1350">
        <f>K36*SalesPrice</f>
        <v>0</v>
      </c>
      <c r="M36" s="1350"/>
      <c r="S36" s="36" t="s">
        <v>292</v>
      </c>
      <c r="T36" s="37"/>
      <c r="U36" s="37"/>
      <c r="V36" s="364">
        <f>IF($F$32,W36/$F$32*10000,)</f>
        <v>0</v>
      </c>
      <c r="W36" s="1351"/>
      <c r="X36" s="1352"/>
      <c r="Y36" s="359"/>
      <c r="Z36" s="36" t="s">
        <v>293</v>
      </c>
      <c r="AA36" s="37"/>
      <c r="AB36" s="37"/>
      <c r="AC36" s="365">
        <f>IF($F$32,AD36/$F$32,)</f>
        <v>0</v>
      </c>
      <c r="AD36" s="1353">
        <f>D218*(E197=0)</f>
        <v>0</v>
      </c>
      <c r="AE36" s="1354"/>
    </row>
    <row r="37" spans="2:54" ht="12.75" customHeight="1" outlineLevel="1">
      <c r="B37" s="36" t="s">
        <v>294</v>
      </c>
      <c r="C37" s="37"/>
      <c r="D37" s="37"/>
      <c r="E37" s="375"/>
      <c r="F37" s="1253">
        <f>E37*F32</f>
        <v>0</v>
      </c>
      <c r="G37" s="1253"/>
      <c r="I37" s="36" t="s">
        <v>294</v>
      </c>
      <c r="J37" s="37"/>
      <c r="K37" s="375"/>
      <c r="L37" s="1253">
        <f>K37*SalesPrice</f>
        <v>0</v>
      </c>
      <c r="M37" s="1253"/>
      <c r="S37" s="36" t="s">
        <v>295</v>
      </c>
      <c r="T37" s="37"/>
      <c r="U37" s="37"/>
      <c r="V37" s="364">
        <f>IF($F$32,W37/$F$32*10000,)</f>
        <v>0</v>
      </c>
      <c r="W37" s="1341"/>
      <c r="X37" s="1297"/>
      <c r="Y37" s="359"/>
      <c r="Z37" s="36" t="s">
        <v>296</v>
      </c>
      <c r="AA37" s="37"/>
      <c r="AB37" s="37"/>
      <c r="AC37" s="365">
        <f>IF($F$32,AD37/$F$32,)</f>
        <v>0</v>
      </c>
      <c r="AD37" s="1342"/>
      <c r="AE37" s="1343"/>
    </row>
    <row r="38" spans="2:54" outlineLevel="1">
      <c r="B38" s="36" t="s">
        <v>297</v>
      </c>
      <c r="C38" s="37"/>
      <c r="D38" s="376"/>
      <c r="E38" s="377"/>
      <c r="F38" s="1344"/>
      <c r="G38" s="1345"/>
      <c r="I38" s="36" t="s">
        <v>297</v>
      </c>
      <c r="J38" s="37"/>
      <c r="K38" s="377"/>
      <c r="L38" s="1344"/>
      <c r="M38" s="1345"/>
      <c r="S38" s="36"/>
      <c r="T38" s="37"/>
      <c r="U38" s="37"/>
      <c r="V38" s="37"/>
      <c r="W38" s="1339"/>
      <c r="X38" s="1339"/>
      <c r="Y38" s="359"/>
      <c r="Z38" s="37"/>
      <c r="AA38" s="37"/>
      <c r="AB38" s="37"/>
      <c r="AC38" s="37"/>
      <c r="AD38" s="37"/>
      <c r="AE38" s="37"/>
    </row>
    <row r="39" spans="2:54" outlineLevel="1">
      <c r="B39" s="378" t="s">
        <v>298</v>
      </c>
      <c r="C39" s="37"/>
      <c r="D39" s="37"/>
      <c r="E39" s="379">
        <f>SUM(E36:E38)</f>
        <v>0</v>
      </c>
      <c r="F39" s="1292">
        <f>SUM(F36:G38)</f>
        <v>0</v>
      </c>
      <c r="G39" s="1292"/>
      <c r="I39" s="378" t="s">
        <v>299</v>
      </c>
      <c r="J39" s="37"/>
      <c r="K39" s="381">
        <f>SUM(K36:K38)</f>
        <v>0</v>
      </c>
      <c r="L39" s="1292">
        <f>SUM(L36:M38)</f>
        <v>0</v>
      </c>
      <c r="M39" s="1292"/>
      <c r="S39" s="382" t="s">
        <v>300</v>
      </c>
      <c r="T39" s="383"/>
      <c r="U39" s="383"/>
      <c r="V39" s="384">
        <f>IF($F$32,W39/$F$32,)</f>
        <v>0</v>
      </c>
      <c r="W39" s="1337">
        <f>SUM(W31:X38,AD31:AE38)</f>
        <v>0</v>
      </c>
      <c r="X39" s="1338"/>
      <c r="Y39" s="385"/>
      <c r="Z39" s="386" t="s">
        <v>301</v>
      </c>
      <c r="AA39" s="385"/>
      <c r="AB39" s="385"/>
      <c r="AC39" s="385"/>
      <c r="AD39" s="385"/>
      <c r="AE39" s="385"/>
    </row>
    <row r="40" spans="2:54" outlineLevel="1">
      <c r="B40" s="37"/>
      <c r="C40" s="37"/>
      <c r="D40" s="37"/>
      <c r="E40" s="37"/>
      <c r="F40" s="37"/>
      <c r="G40" s="37"/>
      <c r="I40" s="37"/>
      <c r="J40" s="37"/>
      <c r="K40" s="37"/>
      <c r="L40" s="37"/>
      <c r="M40" s="37"/>
      <c r="S40" s="36"/>
      <c r="T40" s="37"/>
      <c r="U40" s="37"/>
      <c r="V40" s="37"/>
      <c r="W40" s="37"/>
      <c r="X40" s="37"/>
      <c r="Y40" s="37"/>
      <c r="Z40" s="37"/>
      <c r="AA40" s="37"/>
      <c r="AB40" s="37"/>
      <c r="AC40" s="37"/>
      <c r="AD40" s="37"/>
      <c r="AE40" s="37"/>
    </row>
    <row r="41" spans="2:54" outlineLevel="1">
      <c r="B41" s="1081" t="s">
        <v>302</v>
      </c>
      <c r="C41" s="37"/>
      <c r="D41" s="37"/>
      <c r="E41" s="37"/>
      <c r="F41" s="37"/>
      <c r="G41" s="356" t="s">
        <v>303</v>
      </c>
      <c r="I41" s="37"/>
      <c r="J41" s="37"/>
      <c r="K41" s="37"/>
      <c r="L41" s="37"/>
      <c r="M41" s="37"/>
      <c r="S41" s="36"/>
      <c r="T41" s="37"/>
      <c r="U41" s="37"/>
      <c r="V41" s="37"/>
      <c r="W41" s="37"/>
      <c r="X41" s="37"/>
      <c r="Y41" s="37"/>
      <c r="Z41" s="37"/>
      <c r="AA41" s="37"/>
      <c r="AB41" s="37"/>
      <c r="AC41" s="37"/>
      <c r="AD41" s="37"/>
      <c r="AE41" s="37"/>
    </row>
    <row r="42" spans="2:54" outlineLevel="1">
      <c r="B42" s="387" t="s">
        <v>304</v>
      </c>
      <c r="C42" s="37"/>
      <c r="D42" s="37"/>
      <c r="E42" s="37"/>
      <c r="F42" s="1256">
        <f>-'CF Calculations'!O71</f>
        <v>0</v>
      </c>
      <c r="G42" s="1256"/>
      <c r="I42" s="37"/>
      <c r="J42" s="37"/>
      <c r="K42" s="37"/>
      <c r="L42" s="37"/>
      <c r="M42" s="37"/>
      <c r="S42" s="36"/>
      <c r="T42" s="37"/>
      <c r="U42" s="37"/>
      <c r="V42" s="37"/>
      <c r="W42" s="1339"/>
      <c r="X42" s="1339"/>
      <c r="Y42" s="359"/>
      <c r="Z42" s="359"/>
      <c r="AA42" s="37"/>
      <c r="AB42" s="37"/>
      <c r="AC42" s="37"/>
      <c r="AD42" s="37"/>
      <c r="AE42" s="37"/>
    </row>
    <row r="43" spans="2:54" outlineLevel="1">
      <c r="B43" s="37"/>
      <c r="C43" s="37"/>
      <c r="D43" s="37"/>
      <c r="E43" s="37"/>
      <c r="F43" s="359"/>
      <c r="G43" s="359"/>
      <c r="I43" s="37"/>
      <c r="J43" s="37"/>
      <c r="K43" s="37"/>
      <c r="L43" s="37"/>
      <c r="M43" s="37"/>
      <c r="S43" s="37"/>
      <c r="T43" s="37"/>
      <c r="U43" s="37"/>
      <c r="V43" s="37"/>
      <c r="W43" s="37"/>
      <c r="X43" s="37"/>
      <c r="Y43" s="37"/>
      <c r="Z43" s="37"/>
      <c r="AA43" s="37"/>
      <c r="AB43" s="37"/>
      <c r="AC43" s="37"/>
      <c r="AD43" s="37"/>
      <c r="AE43" s="37"/>
    </row>
    <row r="44" spans="2:54" outlineLevel="1">
      <c r="B44" s="59" t="str">
        <f>IF(OR(PricingInputLabel="Cap Rate on",PricingInputLabel=CappedPrFrmaNOI),"¹ NOI after Replacement Reserves","")</f>
        <v>¹ NOI after Replacement Reserves</v>
      </c>
      <c r="C44" s="37"/>
      <c r="D44" s="37"/>
      <c r="E44" s="37"/>
      <c r="F44" s="37"/>
      <c r="G44" s="37"/>
      <c r="I44" s="386" t="s">
        <v>305</v>
      </c>
      <c r="J44" s="37"/>
      <c r="K44" s="37"/>
      <c r="L44" s="37"/>
      <c r="M44" s="37"/>
      <c r="N44" s="388"/>
      <c r="O44" s="388"/>
      <c r="S44" s="37"/>
      <c r="T44" s="37"/>
      <c r="U44" s="37"/>
      <c r="V44" s="37"/>
      <c r="W44" s="37"/>
      <c r="X44" s="37"/>
      <c r="Y44" s="37"/>
      <c r="Z44" s="37"/>
      <c r="AA44" s="37"/>
      <c r="AB44" s="37"/>
      <c r="AC44" s="37"/>
      <c r="AD44" s="37"/>
      <c r="AE44" s="37"/>
    </row>
    <row r="45" spans="2:54" outlineLevel="1">
      <c r="N45" s="388"/>
      <c r="O45" s="388"/>
    </row>
    <row r="47" spans="2:54" ht="15.75" customHeight="1">
      <c r="B47" s="1034" t="s">
        <v>306</v>
      </c>
      <c r="C47" s="1019"/>
      <c r="D47" s="1019"/>
      <c r="E47" s="1019"/>
      <c r="F47" s="1019"/>
      <c r="G47" s="1019"/>
      <c r="H47" s="1019"/>
      <c r="I47" s="1019"/>
      <c r="J47" s="1019"/>
      <c r="K47" s="1019"/>
      <c r="L47" s="1019"/>
      <c r="M47" s="1019"/>
      <c r="N47" s="1019"/>
      <c r="O47" s="1019"/>
      <c r="P47" s="1019"/>
      <c r="Q47" s="1019"/>
      <c r="S47" s="1034" t="s">
        <v>307</v>
      </c>
      <c r="T47" s="1023"/>
      <c r="U47" s="1023"/>
      <c r="V47" s="1023"/>
      <c r="W47" s="1023"/>
      <c r="X47" s="1023"/>
      <c r="Y47" s="1023"/>
      <c r="Z47" s="1023"/>
      <c r="AA47" s="1023"/>
      <c r="AB47" s="1023"/>
      <c r="AC47" s="1023"/>
      <c r="AD47" s="1023"/>
      <c r="AE47" s="1023"/>
      <c r="AF47" s="1023"/>
      <c r="AG47" s="1023"/>
      <c r="AH47" s="1023"/>
      <c r="AI47" s="1023"/>
      <c r="AJ47" s="1023"/>
      <c r="AK47" s="1023"/>
      <c r="AL47" s="1023"/>
      <c r="AM47" s="1023"/>
      <c r="AN47" s="1023"/>
      <c r="AO47" s="1023"/>
      <c r="AP47" s="1023"/>
      <c r="AQ47" s="1023"/>
      <c r="AR47" s="1023"/>
      <c r="AS47" s="1023"/>
      <c r="AT47" s="1023"/>
      <c r="AU47" s="1023"/>
      <c r="AV47" s="1023"/>
      <c r="AW47" s="1023"/>
      <c r="AX47" s="1023"/>
      <c r="AY47" s="1023"/>
      <c r="AZ47" s="1023"/>
      <c r="BA47" s="1023"/>
      <c r="BB47" s="1023"/>
    </row>
    <row r="48" spans="2:54" outlineLevel="1">
      <c r="W48" s="351"/>
    </row>
    <row r="49" spans="1:54" ht="14.25" customHeight="1" outlineLevel="1">
      <c r="A49" s="353">
        <v>1</v>
      </c>
      <c r="B49" s="1043" t="s">
        <v>308</v>
      </c>
      <c r="C49" s="196"/>
      <c r="D49" s="197"/>
      <c r="E49" s="197"/>
      <c r="F49" s="197"/>
      <c r="G49" s="197"/>
      <c r="H49" s="197"/>
      <c r="I49" s="197"/>
      <c r="J49" s="196"/>
      <c r="K49" s="196"/>
      <c r="L49" s="196"/>
      <c r="M49" s="196"/>
      <c r="N49" s="196"/>
      <c r="O49" s="196"/>
      <c r="P49" s="196"/>
      <c r="Q49" s="389"/>
      <c r="S49" s="1099" t="s">
        <v>309</v>
      </c>
      <c r="T49" s="390"/>
      <c r="U49" s="391"/>
      <c r="V49" s="391"/>
      <c r="W49" s="391"/>
      <c r="X49" s="391"/>
      <c r="Y49" s="391"/>
      <c r="Z49" s="391"/>
      <c r="AA49" s="391"/>
      <c r="AB49" s="391"/>
    </row>
    <row r="50" spans="1:54" outlineLevel="1">
      <c r="B50" s="1340" t="str">
        <f>CHOOSE(33-RevenueInpMethodType,"Populated from "&amp;TEXT(LatestRRDateStamp,"mmm dd, yyyy")&amp;" Rent Roll","Populated from "&amp;TEXT(RentRollDateStamp,"mmm dd, yyyy")&amp;" Rent Roll",CHOOSE(33-RevenueInpMethodTypeOverride,TEXT(LatestRRDateStamp,"mmm dd, yyyy")&amp;" Rent Roll - manually adjusted",TEXT(RentRollDateStamp,"mmm dd, yyyy")&amp;" Rent Roll - manually adjusted","Entered manually"))</f>
        <v>Nov 30, 2025 Rent Roll - manually adjusted</v>
      </c>
      <c r="C50" s="1340"/>
      <c r="D50" s="1340"/>
      <c r="E50" s="1275"/>
      <c r="F50" s="392"/>
      <c r="G50" s="355"/>
      <c r="H50" s="393"/>
      <c r="I50" s="394"/>
      <c r="J50" s="395"/>
      <c r="K50" s="396"/>
      <c r="L50" s="1090" t="s">
        <v>19</v>
      </c>
      <c r="M50" s="1091"/>
      <c r="N50" s="397"/>
      <c r="O50" s="395"/>
      <c r="P50" s="398" t="s">
        <v>310</v>
      </c>
      <c r="Q50" s="399"/>
      <c r="S50" s="400"/>
      <c r="T50" s="400"/>
      <c r="U50" s="400"/>
      <c r="V50" s="400"/>
      <c r="W50" s="1067" t="s">
        <v>19</v>
      </c>
      <c r="X50" s="1102"/>
      <c r="Y50" s="1065" t="s">
        <v>311</v>
      </c>
      <c r="Z50" s="1066"/>
      <c r="AA50" s="1067" t="s">
        <v>311</v>
      </c>
      <c r="AB50" s="1066"/>
    </row>
    <row r="51" spans="1:54" outlineLevel="1">
      <c r="B51" s="37"/>
      <c r="C51" s="37"/>
      <c r="D51" s="37"/>
      <c r="E51" s="37"/>
      <c r="F51" s="392"/>
      <c r="G51" s="401"/>
      <c r="H51" s="393"/>
      <c r="I51" s="1087" t="s">
        <v>312</v>
      </c>
      <c r="J51" s="1088"/>
      <c r="K51" s="1089"/>
      <c r="L51" s="1092" t="s">
        <v>313</v>
      </c>
      <c r="M51" s="1093"/>
      <c r="N51" s="1096" t="s">
        <v>314</v>
      </c>
      <c r="O51" s="1081" t="s">
        <v>315</v>
      </c>
      <c r="P51" s="402" t="s">
        <v>316</v>
      </c>
      <c r="Q51" s="403"/>
      <c r="S51" s="1070" t="s">
        <v>21</v>
      </c>
      <c r="T51" s="1069"/>
      <c r="U51" s="1070" t="s">
        <v>317</v>
      </c>
      <c r="V51" s="1069"/>
      <c r="W51" s="1070" t="s">
        <v>23</v>
      </c>
      <c r="X51" s="1103"/>
      <c r="Y51" s="1068" t="s">
        <v>318</v>
      </c>
      <c r="Z51" s="1069"/>
      <c r="AA51" s="1070" t="s">
        <v>23</v>
      </c>
      <c r="AB51" s="1069"/>
    </row>
    <row r="52" spans="1:54" outlineLevel="1">
      <c r="B52" s="1059" t="s">
        <v>205</v>
      </c>
      <c r="C52" s="405"/>
      <c r="D52" s="406"/>
      <c r="E52" s="406"/>
      <c r="F52" s="1084" t="s">
        <v>319</v>
      </c>
      <c r="G52" s="1085" t="s">
        <v>320</v>
      </c>
      <c r="H52" s="1086" t="s">
        <v>321</v>
      </c>
      <c r="I52" s="1084" t="s">
        <v>322</v>
      </c>
      <c r="J52" s="1085" t="s">
        <v>26</v>
      </c>
      <c r="K52" s="1086" t="s">
        <v>323</v>
      </c>
      <c r="L52" s="1094" t="s">
        <v>51</v>
      </c>
      <c r="M52" s="1095" t="s">
        <v>52</v>
      </c>
      <c r="N52" s="1097">
        <v>1</v>
      </c>
      <c r="O52" s="1098" t="s">
        <v>324</v>
      </c>
      <c r="P52" s="398" t="s">
        <v>325</v>
      </c>
      <c r="Q52" s="403"/>
      <c r="S52" s="1100" t="s">
        <v>29</v>
      </c>
      <c r="T52" s="1101" t="s">
        <v>30</v>
      </c>
      <c r="U52" s="1071" t="s">
        <v>29</v>
      </c>
      <c r="V52" s="1101" t="s">
        <v>30</v>
      </c>
      <c r="W52" s="1071" t="s">
        <v>29</v>
      </c>
      <c r="X52" s="1072" t="s">
        <v>30</v>
      </c>
      <c r="Y52" s="1071" t="s">
        <v>29</v>
      </c>
      <c r="Z52" s="1072" t="s">
        <v>30</v>
      </c>
      <c r="AA52" s="1071" t="s">
        <v>29</v>
      </c>
      <c r="AB52" s="1073" t="s">
        <v>30</v>
      </c>
    </row>
    <row r="53" spans="1:54" outlineLevel="1">
      <c r="B53" s="407" t="s">
        <v>1073</v>
      </c>
      <c r="C53" s="408"/>
      <c r="D53" s="409" t="str">
        <f>N53&amp;IF(AND(O53&lt;&gt;"",N53&lt;&gt;"")," - ","")&amp;O53</f>
        <v/>
      </c>
      <c r="E53" s="27"/>
      <c r="F53" s="410">
        <v>1273</v>
      </c>
      <c r="G53" s="411">
        <v>2</v>
      </c>
      <c r="H53" s="412">
        <v>63</v>
      </c>
      <c r="I53" s="413">
        <f>MAX(H53-SUM(J53:K53),)</f>
        <v>55</v>
      </c>
      <c r="J53" s="414">
        <v>7</v>
      </c>
      <c r="K53" s="415">
        <v>1</v>
      </c>
      <c r="L53" s="416">
        <v>1649.0952380952399</v>
      </c>
      <c r="M53" s="417">
        <v>1455.9642857142901</v>
      </c>
      <c r="N53" s="418" t="s">
        <v>1074</v>
      </c>
      <c r="O53" s="419" t="s">
        <v>1074</v>
      </c>
      <c r="P53" s="420">
        <f>IF(COUNTIF($F$53:$F$54,"&gt;0"),IF(AND(X$56,F53),X53/X$56*E$227*F53,),L53)</f>
        <v>1649.0952380952399</v>
      </c>
      <c r="Q53" s="403"/>
      <c r="S53" s="421">
        <f>M53</f>
        <v>1455.9642857142901</v>
      </c>
      <c r="T53" s="422">
        <f>IFERROR(IF(INDEX(DataFromRentRollOld,ROW()-ROW(FPInPlaceRent)+1)=TRUE,INDEX(DollarsPerSFFromRentRollOld,ROW()-ROW(FPInPlaceRent)+1),IF(F53,M53/F53,)),IF(F53,M53/F53,))</f>
        <v>1.1437268544495602</v>
      </c>
      <c r="U53" s="423">
        <f>IF(S53,W53-S53,)</f>
        <v>193.13095238094979</v>
      </c>
      <c r="V53" s="422">
        <f>IF(U53,X53-T53,)</f>
        <v>0.15171323831967776</v>
      </c>
      <c r="W53" s="423">
        <f>L53</f>
        <v>1649.0952380952399</v>
      </c>
      <c r="X53" s="424">
        <f>IF(F53,L53/F53,)</f>
        <v>1.295440092769238</v>
      </c>
      <c r="Y53" s="423">
        <f>INDEX(RenovationBumps,ROW()-ROW($Y$52))</f>
        <v>0</v>
      </c>
      <c r="Z53" s="424">
        <f>IF(F53,Y53/F53,)</f>
        <v>0</v>
      </c>
      <c r="AA53" s="423">
        <f>INDEX(PostRenovationMarketRent,ROW()-ROW($AA$52))</f>
        <v>1649.0952380952399</v>
      </c>
      <c r="AB53" s="425">
        <f>IF(F53,AA53/F53,)</f>
        <v>1.295440092769238</v>
      </c>
    </row>
    <row r="54" spans="1:54" outlineLevel="1">
      <c r="B54" s="407" t="s">
        <v>1075</v>
      </c>
      <c r="C54" s="408"/>
      <c r="D54" s="409" t="str">
        <f>N54&amp;IF(AND(O54&lt;&gt;"",N54&lt;&gt;"")," - ","")&amp;O54</f>
        <v/>
      </c>
      <c r="E54" s="27"/>
      <c r="F54" s="410">
        <v>1635</v>
      </c>
      <c r="G54" s="411">
        <v>3</v>
      </c>
      <c r="H54" s="412">
        <v>17</v>
      </c>
      <c r="I54" s="413">
        <f>MAX(H54-SUM(J54:K54),)</f>
        <v>17</v>
      </c>
      <c r="J54" s="414">
        <v>0</v>
      </c>
      <c r="K54" s="415">
        <v>0</v>
      </c>
      <c r="L54" s="416">
        <v>1748.76470588235</v>
      </c>
      <c r="M54" s="417">
        <v>1634.11764705882</v>
      </c>
      <c r="N54" s="418" t="s">
        <v>1074</v>
      </c>
      <c r="O54" s="419" t="s">
        <v>1074</v>
      </c>
      <c r="P54" s="420">
        <f>IF(COUNTIF($F$53:$F$54,"&gt;0"),IF(AND(X$56,F54),X54/X$56*E$227*F54,),L54)</f>
        <v>1748.76470588235</v>
      </c>
      <c r="Q54" s="403"/>
      <c r="S54" s="421">
        <f>M54</f>
        <v>1634.11764705882</v>
      </c>
      <c r="T54" s="422">
        <f>IFERROR(IF(INDEX(DataFromRentRollOld,ROW()-ROW(FPInPlaceRent)+1)=TRUE,INDEX(DollarsPerSFFromRentRollOld,ROW()-ROW(FPInPlaceRent)+1),IF(F54,M54/F54,)),IF(F54,M54/F54,))</f>
        <v>0.99946033459255301</v>
      </c>
      <c r="U54" s="423">
        <f>IF(S54,W54-S54,)</f>
        <v>114.64705882352996</v>
      </c>
      <c r="V54" s="422">
        <f>IF(U54,X54-T54,)</f>
        <v>7.0120525274327772E-2</v>
      </c>
      <c r="W54" s="423">
        <f>L54</f>
        <v>1748.76470588235</v>
      </c>
      <c r="X54" s="424">
        <f>IF(F54,L54/F54,)</f>
        <v>1.0695808598668808</v>
      </c>
      <c r="Y54" s="423">
        <f>INDEX(RenovationBumps,ROW()-ROW($Y$52))</f>
        <v>0</v>
      </c>
      <c r="Z54" s="424">
        <f>IF(F54,Y54/F54,)</f>
        <v>0</v>
      </c>
      <c r="AA54" s="423">
        <f>INDEX(PostRenovationMarketRent,ROW()-ROW($AA$52))</f>
        <v>1748.76470588235</v>
      </c>
      <c r="AB54" s="425">
        <f>IF(F54,AA54/F54,)</f>
        <v>1.0695808598668808</v>
      </c>
    </row>
    <row r="55" spans="1:54" ht="4.5" customHeight="1" outlineLevel="1">
      <c r="B55" s="36"/>
      <c r="C55" s="37"/>
      <c r="D55" s="37"/>
      <c r="E55" s="37"/>
      <c r="F55" s="426"/>
      <c r="G55" s="427"/>
      <c r="H55" s="428"/>
      <c r="I55" s="429"/>
      <c r="J55" s="430"/>
      <c r="K55" s="431"/>
      <c r="L55" s="432"/>
      <c r="M55" s="433"/>
      <c r="N55" s="434"/>
      <c r="O55" s="37"/>
      <c r="P55" s="435"/>
      <c r="Q55" s="436"/>
      <c r="S55" s="425"/>
      <c r="T55" s="425"/>
      <c r="U55" s="437"/>
      <c r="V55" s="425"/>
      <c r="W55" s="437"/>
      <c r="X55" s="424"/>
      <c r="Y55" s="437"/>
      <c r="Z55" s="424"/>
      <c r="AA55" s="437"/>
      <c r="AB55" s="425"/>
      <c r="AC55"/>
      <c r="AD55"/>
      <c r="AE55"/>
      <c r="AF55"/>
      <c r="AG55"/>
      <c r="AH55"/>
      <c r="AI55"/>
      <c r="AJ55"/>
      <c r="AK55"/>
      <c r="AL55"/>
      <c r="AM55"/>
      <c r="AN55"/>
      <c r="AO55"/>
      <c r="AP55"/>
      <c r="AQ55"/>
      <c r="AR55"/>
      <c r="AS55"/>
      <c r="AT55"/>
      <c r="AU55"/>
      <c r="AV55"/>
      <c r="AW55"/>
      <c r="AX55"/>
      <c r="AY55"/>
      <c r="AZ55"/>
      <c r="BA55"/>
      <c r="BB55"/>
    </row>
    <row r="56" spans="1:54" outlineLevel="1">
      <c r="B56" s="438" t="s">
        <v>331</v>
      </c>
      <c r="C56" s="383"/>
      <c r="D56" s="383"/>
      <c r="E56" s="383"/>
      <c r="F56" s="439">
        <f>IFERROR(SUMPRODUCT(F53:F55,H53:H55)/SUMPRODUCT(H53:H54*(F53:F54&gt;0)),)</f>
        <v>1349.925</v>
      </c>
      <c r="G56" s="440"/>
      <c r="H56" s="441">
        <f>SUM(H53:H54)</f>
        <v>80</v>
      </c>
      <c r="I56" s="442">
        <f>SUM(I53:I55)</f>
        <v>72</v>
      </c>
      <c r="J56" s="441">
        <f>SUM(J53:J55)</f>
        <v>7</v>
      </c>
      <c r="K56" s="443">
        <f>SUM(K53:K55)</f>
        <v>1</v>
      </c>
      <c r="L56" s="444">
        <f>IFERROR(SUMPRODUCT(L53:L55,H53:H55)/SUMPRODUCT(H53:H54*(L53:L54&gt;0)),)</f>
        <v>1670.2750000000008</v>
      </c>
      <c r="M56" s="380">
        <f>IFERROR(SUMPRODUCT(M53:M55,I53:I55)/SUMPRODUCT(FPOccupiedUnits*(M53:M54&gt;0)),)</f>
        <v>1498.0282738095264</v>
      </c>
      <c r="N56" s="445"/>
      <c r="O56" s="446"/>
      <c r="P56" s="447">
        <f>IF(H56,SUMPRODUCT(P53:P55,H53:H55)/H56,)</f>
        <v>1670.2750000000008</v>
      </c>
      <c r="Q56" s="448"/>
      <c r="S56" s="380">
        <f>M56</f>
        <v>1498.0282738095264</v>
      </c>
      <c r="T56" s="449">
        <f>IFERROR(SUMPRODUCT(M53:M54*FPOccupiedUnits*(F53:F54&gt;0))/SUMPRODUCT(M53:M54*FPOccupiedUnits*(F53:F54&gt;0)/(FPInPlacePerSF*(M53:M54&lt;&gt;0)+1*(M53:M54=0)+1*(F53:F54=0)*(M53:M54&lt;&gt;0)+1*(F53:F54&gt;0)*(M53:M54&lt;&gt;0)*(FPOccupiedUnits=0))),)</f>
        <v>1.1027301473702686</v>
      </c>
      <c r="U56" s="450">
        <f>IFERROR(W56*F92,)</f>
        <v>157.14002976190309</v>
      </c>
      <c r="V56" s="449">
        <f>IFERROR(X56*F92,)</f>
        <v>0.11640648907302487</v>
      </c>
      <c r="W56" s="450">
        <f>L56</f>
        <v>1670.2750000000008</v>
      </c>
      <c r="X56" s="451">
        <f>IF($F$56,L56/$F$56,)</f>
        <v>1.2373094801563056</v>
      </c>
      <c r="Y56" s="450">
        <f>E81</f>
        <v>0</v>
      </c>
      <c r="Z56" s="451">
        <f>IFERROR(SUMPRODUCT(Y53:Y54,$Q$78:$Q$79)/SUMPRODUCT(F53:F54,Q78:Q79),)</f>
        <v>0</v>
      </c>
      <c r="AA56" s="450">
        <f>IFERROR(SUMPRODUCT(PostRenovationMarketRent,FPNumOfUnits)/SUMPRODUCT(FPNumOfUnits*(PostRenovationMarketRent&gt;0)),)</f>
        <v>1670.2750000000008</v>
      </c>
      <c r="AB56" s="449">
        <f>IFERROR(SUMPRODUCT(AA53:AA54,$Q$78:$Q$79)/SUMPRODUCT(F53:F54,Q78:Q79),)</f>
        <v>0</v>
      </c>
      <c r="AC56"/>
      <c r="AD56"/>
      <c r="AE56"/>
      <c r="AF56"/>
      <c r="AG56"/>
      <c r="AH56"/>
      <c r="AI56"/>
      <c r="AJ56"/>
      <c r="AK56"/>
      <c r="AL56"/>
      <c r="AM56"/>
      <c r="AN56"/>
      <c r="AO56"/>
      <c r="AP56"/>
      <c r="AQ56"/>
      <c r="AR56"/>
      <c r="AS56"/>
      <c r="AT56"/>
      <c r="AU56"/>
      <c r="AV56"/>
      <c r="AW56"/>
      <c r="AX56"/>
      <c r="AY56"/>
      <c r="AZ56"/>
      <c r="BA56"/>
      <c r="BB56"/>
    </row>
    <row r="57" spans="1:54" outlineLevel="1">
      <c r="B57" s="452"/>
      <c r="C57" s="37"/>
      <c r="D57" s="37"/>
      <c r="E57" s="37"/>
      <c r="F57" s="453"/>
      <c r="G57" s="454"/>
      <c r="H57" s="455"/>
      <c r="I57" s="455"/>
      <c r="J57" s="455"/>
      <c r="K57" s="455"/>
      <c r="L57" s="169"/>
      <c r="M57" s="243"/>
      <c r="N57" s="169"/>
      <c r="O57" s="243"/>
      <c r="P57" s="447"/>
      <c r="Q57" s="448"/>
      <c r="S57" s="456"/>
      <c r="T57" s="456"/>
      <c r="U57" s="456"/>
      <c r="V57" s="456"/>
      <c r="W57" s="456"/>
      <c r="X57" s="456"/>
      <c r="Y57" s="456"/>
      <c r="Z57" s="456"/>
      <c r="AA57" s="456"/>
      <c r="AB57" s="456"/>
      <c r="AC57"/>
      <c r="AD57"/>
      <c r="AE57"/>
      <c r="AF57"/>
      <c r="AG57"/>
      <c r="AH57"/>
      <c r="AI57"/>
      <c r="AJ57"/>
      <c r="AK57"/>
      <c r="AL57"/>
      <c r="AM57"/>
      <c r="AN57"/>
      <c r="AO57"/>
      <c r="AP57"/>
      <c r="AQ57"/>
      <c r="AR57"/>
      <c r="AS57"/>
      <c r="AT57"/>
      <c r="AU57"/>
      <c r="AV57"/>
      <c r="AW57"/>
      <c r="AX57"/>
      <c r="AY57"/>
      <c r="AZ57"/>
      <c r="BA57"/>
      <c r="BB57"/>
    </row>
    <row r="58" spans="1:54" outlineLevel="1">
      <c r="A58"/>
      <c r="B58"/>
      <c r="C58"/>
      <c r="D58"/>
      <c r="E58"/>
      <c r="F58"/>
      <c r="G58"/>
      <c r="H58"/>
      <c r="I58"/>
      <c r="J58"/>
      <c r="K58"/>
      <c r="L58"/>
      <c r="M58"/>
      <c r="N58"/>
      <c r="O58"/>
      <c r="P58"/>
      <c r="Q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row>
    <row r="59" spans="1:54" outlineLevel="1">
      <c r="A59"/>
      <c r="B59"/>
      <c r="C59"/>
      <c r="D59"/>
      <c r="E59"/>
      <c r="F59"/>
      <c r="G59"/>
      <c r="H59"/>
      <c r="I59"/>
      <c r="J59"/>
      <c r="K59"/>
      <c r="L59"/>
      <c r="M59"/>
      <c r="N59"/>
      <c r="O59"/>
      <c r="P59"/>
      <c r="Q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row>
    <row r="60" spans="1:54" ht="14.25" customHeight="1" outlineLevel="1">
      <c r="A60" s="353">
        <v>1</v>
      </c>
      <c r="B60" s="1043" t="s">
        <v>332</v>
      </c>
      <c r="C60" s="196"/>
      <c r="D60" s="197"/>
      <c r="E60" s="197"/>
      <c r="F60" s="197"/>
      <c r="G60" s="197"/>
      <c r="H60" s="197"/>
      <c r="I60" s="197"/>
      <c r="J60" s="196"/>
      <c r="K60" s="196"/>
      <c r="L60" s="196"/>
      <c r="M60" s="196"/>
      <c r="N60" s="196"/>
      <c r="O60" s="196"/>
      <c r="P60" s="196"/>
      <c r="Q60" s="389"/>
    </row>
    <row r="61" spans="1:54" outlineLevel="1">
      <c r="B61" s="1104">
        <f>MAX(RRDateForExpirationTable,MIN(INDEX(CurrentLeaseExpirationTable,,1)))</f>
        <v>45991</v>
      </c>
      <c r="C61" s="1105">
        <f t="shared" ref="C61:M61" si="0">EOMONTH(B61,1)</f>
        <v>46022</v>
      </c>
      <c r="D61" s="1105">
        <f t="shared" si="0"/>
        <v>46053</v>
      </c>
      <c r="E61" s="1105">
        <f t="shared" si="0"/>
        <v>46081</v>
      </c>
      <c r="F61" s="1105">
        <f t="shared" si="0"/>
        <v>46112</v>
      </c>
      <c r="G61" s="1105">
        <f t="shared" si="0"/>
        <v>46142</v>
      </c>
      <c r="H61" s="1105">
        <f t="shared" si="0"/>
        <v>46173</v>
      </c>
      <c r="I61" s="1105">
        <f t="shared" si="0"/>
        <v>46203</v>
      </c>
      <c r="J61" s="1105">
        <f t="shared" si="0"/>
        <v>46234</v>
      </c>
      <c r="K61" s="1105">
        <f t="shared" si="0"/>
        <v>46265</v>
      </c>
      <c r="L61" s="1106">
        <f t="shared" si="0"/>
        <v>46295</v>
      </c>
      <c r="M61" s="1104">
        <f t="shared" si="0"/>
        <v>46326</v>
      </c>
      <c r="N61" s="27"/>
      <c r="O61" s="27"/>
      <c r="P61" s="27"/>
      <c r="Q61" s="27"/>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row>
    <row r="62" spans="1:54" outlineLevel="1">
      <c r="B62" s="40">
        <f>IF(GenValidation!$BX$135,SUMIFS(INDEX(CurrentLeaseExpirationTable,,2),INDEX(CurrentLeaseExpirationTable,,1),"&lt;="&amp;EOMONTH(B61,0))/GenValidation!$BX$135,)</f>
        <v>2.7397260273972601E-2</v>
      </c>
      <c r="C62" s="40">
        <f>IF(GenValidation!$BX$135,SUMIFS(INDEX(CurrentLeaseExpirationTable,,2),INDEX(CurrentLeaseExpirationTable,,1),"&gt;"&amp;EOMONTH(C61,-1),INDEX(CurrentLeaseExpirationTable,,1),"&lt;="&amp;EOMONTH(C61,0))/GenValidation!$BX$135,)</f>
        <v>8.2191780821917804E-2</v>
      </c>
      <c r="D62" s="40">
        <f>IF(GenValidation!$BX$135,SUMIFS(INDEX(CurrentLeaseExpirationTable,,2),INDEX(CurrentLeaseExpirationTable,,1),"&gt;"&amp;EOMONTH(D61,-1),INDEX(CurrentLeaseExpirationTable,,1),"&lt;="&amp;EOMONTH(D61,0))/GenValidation!$BX$135,)</f>
        <v>5.4794520547945202E-2</v>
      </c>
      <c r="E62" s="40">
        <f>IF(GenValidation!$BX$135,SUMIFS(INDEX(CurrentLeaseExpirationTable,,2),INDEX(CurrentLeaseExpirationTable,,1),"&gt;"&amp;EOMONTH(E61,-1),INDEX(CurrentLeaseExpirationTable,,1),"&lt;="&amp;EOMONTH(E61,0))/GenValidation!$BX$135,)</f>
        <v>6.8493150684931503E-2</v>
      </c>
      <c r="F62" s="40">
        <f>IF(GenValidation!$BX$135,SUMIFS(INDEX(CurrentLeaseExpirationTable,,2),INDEX(CurrentLeaseExpirationTable,,1),"&gt;"&amp;EOMONTH(F61,-1),INDEX(CurrentLeaseExpirationTable,,1),"&lt;="&amp;EOMONTH(F61,0))/GenValidation!$BX$135,)</f>
        <v>0.12328767123287671</v>
      </c>
      <c r="G62" s="40">
        <f>IF(GenValidation!$BX$135,SUMIFS(INDEX(CurrentLeaseExpirationTable,,2),INDEX(CurrentLeaseExpirationTable,,1),"&gt;"&amp;EOMONTH(G61,-1),INDEX(CurrentLeaseExpirationTable,,1),"&lt;="&amp;EOMONTH(G61,0))/GenValidation!$BX$135,)</f>
        <v>6.8493150684931503E-2</v>
      </c>
      <c r="H62" s="40">
        <f>IF(GenValidation!$BX$135,SUMIFS(INDEX(CurrentLeaseExpirationTable,,2),INDEX(CurrentLeaseExpirationTable,,1),"&gt;"&amp;EOMONTH(H61,-1),INDEX(CurrentLeaseExpirationTable,,1),"&lt;="&amp;EOMONTH(H61,0))/GenValidation!$BX$135,)</f>
        <v>6.8493150684931503E-2</v>
      </c>
      <c r="I62" s="40">
        <f>IF(GenValidation!$BX$135,SUMIFS(INDEX(CurrentLeaseExpirationTable,,2),INDEX(CurrentLeaseExpirationTable,,1),"&gt;"&amp;EOMONTH(I61,-1),INDEX(CurrentLeaseExpirationTable,,1),"&lt;="&amp;EOMONTH(I61,0))/GenValidation!$BX$135,)</f>
        <v>5.4794520547945202E-2</v>
      </c>
      <c r="J62" s="40">
        <f>IF(GenValidation!$BX$135,SUMIFS(INDEX(CurrentLeaseExpirationTable,,2),INDEX(CurrentLeaseExpirationTable,,1),"&gt;"&amp;EOMONTH(J61,-1),INDEX(CurrentLeaseExpirationTable,,1),"&lt;="&amp;EOMONTH(J61,0))/GenValidation!$BX$135,)</f>
        <v>6.8493150684931503E-2</v>
      </c>
      <c r="K62" s="40">
        <f>IF(GenValidation!$BX$135,SUMIFS(INDEX(CurrentLeaseExpirationTable,,2),INDEX(CurrentLeaseExpirationTable,,1),"&gt;"&amp;EOMONTH(K61,-1),INDEX(CurrentLeaseExpirationTable,,1),"&lt;="&amp;EOMONTH(K61,0))/GenValidation!$BX$135,)</f>
        <v>9.5890410958904104E-2</v>
      </c>
      <c r="L62" s="40">
        <f>IF(GenValidation!$BX$135,SUMIFS(INDEX(CurrentLeaseExpirationTable,,2),INDEX(CurrentLeaseExpirationTable,,1),"&gt;"&amp;EOMONTH(L61,-1),INDEX(CurrentLeaseExpirationTable,,1),"&lt;="&amp;EOMONTH(L61,0))/GenValidation!$BX$135,)</f>
        <v>0.1095890410958904</v>
      </c>
      <c r="M62" s="40">
        <f>IF(GenValidation!$BX$135,SUMIFS(INDEX(CurrentLeaseExpirationTable,,2),INDEX(CurrentLeaseExpirationTable,,1),"&gt;"&amp;EOMONTH(M61,-1))/GenValidation!$BX$135,)</f>
        <v>0.17808219178082191</v>
      </c>
      <c r="N62" s="27"/>
      <c r="O62" s="27"/>
      <c r="P62" s="27"/>
      <c r="Q62" s="27"/>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row>
    <row r="63" spans="1:54" outlineLevel="1">
      <c r="B63" s="386" t="str">
        <f>"¹ Populated from "&amp;TEXT(RRDateForExpirationTable,"mmm dd, yyyy")&amp;" Rent Roll (for information only)"</f>
        <v>¹ Populated from Nov 30, 2025 Rent Roll (for information only)</v>
      </c>
      <c r="C63" s="37"/>
      <c r="D63" s="37"/>
      <c r="E63" s="37"/>
      <c r="F63" s="37"/>
      <c r="G63" s="457"/>
      <c r="H63" s="458"/>
      <c r="I63" s="458"/>
      <c r="J63" s="459"/>
      <c r="K63" s="459"/>
      <c r="L63" s="459"/>
      <c r="M63" s="459"/>
      <c r="N63" s="27"/>
      <c r="O63" s="27"/>
      <c r="P63" s="27"/>
      <c r="Q63" s="27"/>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row>
    <row r="64" spans="1:54" outlineLevel="1">
      <c r="A6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row>
    <row r="65" spans="1:54" outlineLevel="1">
      <c r="A65"/>
      <c r="B65"/>
      <c r="C65"/>
      <c r="D65"/>
      <c r="E65"/>
      <c r="F65"/>
      <c r="G65"/>
      <c r="H65"/>
      <c r="I65" s="460"/>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row>
    <row r="66" spans="1:54" ht="14.25" customHeight="1" outlineLevel="1">
      <c r="B66" s="1043" t="s">
        <v>333</v>
      </c>
      <c r="C66" s="196"/>
      <c r="D66" s="197"/>
      <c r="E66" s="197"/>
      <c r="F66" s="197"/>
      <c r="G66" s="197"/>
      <c r="H66" s="197"/>
      <c r="I66" s="197"/>
      <c r="J66" s="196"/>
      <c r="K66" s="196"/>
      <c r="L66" s="196"/>
      <c r="M66" s="196"/>
      <c r="N66" s="196"/>
      <c r="O66" s="196"/>
      <c r="P66" s="196"/>
      <c r="Q66" s="389"/>
      <c r="S66" s="1043" t="s">
        <v>334</v>
      </c>
      <c r="T66" s="196"/>
      <c r="U66" s="196"/>
      <c r="V66" s="196"/>
      <c r="W66" s="196"/>
      <c r="X66" s="196"/>
      <c r="Y66" s="196"/>
      <c r="Z66" s="196"/>
      <c r="AA66" s="196"/>
      <c r="AB66" s="196"/>
      <c r="AC66" s="196"/>
      <c r="AD66" s="196"/>
      <c r="AE66" s="196"/>
      <c r="AF66" s="196"/>
      <c r="AG66" s="196"/>
      <c r="AH66" s="196"/>
      <c r="AI66" s="196"/>
      <c r="AJ66" s="196"/>
      <c r="AK66" s="196"/>
      <c r="AL66" s="196"/>
      <c r="AM66" s="196"/>
      <c r="AN66" s="196"/>
      <c r="AO66" s="196"/>
      <c r="AP66" s="196"/>
      <c r="AQ66" s="196"/>
      <c r="AR66" s="196"/>
      <c r="AS66" s="196"/>
      <c r="AT66" s="196"/>
      <c r="AU66" s="196"/>
      <c r="AV66" s="196"/>
      <c r="AW66" s="196"/>
      <c r="AX66" s="196"/>
      <c r="AY66" s="196"/>
      <c r="AZ66" s="196"/>
      <c r="BA66" s="196"/>
      <c r="BB66" s="196"/>
    </row>
    <row r="67" spans="1:54" ht="13.5" outlineLevel="1">
      <c r="B67" s="461"/>
      <c r="C67" s="461"/>
      <c r="D67" s="461"/>
      <c r="E67" s="461"/>
      <c r="F67" s="461"/>
      <c r="G67" s="462"/>
      <c r="H67" s="462"/>
      <c r="I67" s="462"/>
      <c r="J67" s="462"/>
      <c r="K67" s="462"/>
      <c r="L67" s="462"/>
      <c r="M67" s="462"/>
      <c r="N67" s="462"/>
      <c r="O67" s="462"/>
      <c r="P67" s="462"/>
      <c r="Q67" s="462"/>
      <c r="S67" s="463">
        <f>EOMONTH(ClosingDate,1)</f>
        <v>46142</v>
      </c>
      <c r="T67" s="463">
        <f t="shared" ref="T67:BB67" si="1">EOMONTH(S67,1)</f>
        <v>46173</v>
      </c>
      <c r="U67" s="463">
        <f t="shared" si="1"/>
        <v>46203</v>
      </c>
      <c r="V67" s="463">
        <f t="shared" si="1"/>
        <v>46234</v>
      </c>
      <c r="W67" s="463">
        <f t="shared" si="1"/>
        <v>46265</v>
      </c>
      <c r="X67" s="463">
        <f t="shared" si="1"/>
        <v>46295</v>
      </c>
      <c r="Y67" s="463">
        <f t="shared" si="1"/>
        <v>46326</v>
      </c>
      <c r="Z67" s="463">
        <f t="shared" si="1"/>
        <v>46356</v>
      </c>
      <c r="AA67" s="463">
        <f t="shared" si="1"/>
        <v>46387</v>
      </c>
      <c r="AB67" s="463">
        <f t="shared" si="1"/>
        <v>46418</v>
      </c>
      <c r="AC67" s="463">
        <f t="shared" si="1"/>
        <v>46446</v>
      </c>
      <c r="AD67" s="463">
        <f t="shared" si="1"/>
        <v>46477</v>
      </c>
      <c r="AE67" s="463">
        <f t="shared" si="1"/>
        <v>46507</v>
      </c>
      <c r="AF67" s="463">
        <f t="shared" si="1"/>
        <v>46538</v>
      </c>
      <c r="AG67" s="463">
        <f t="shared" si="1"/>
        <v>46568</v>
      </c>
      <c r="AH67" s="463">
        <f t="shared" si="1"/>
        <v>46599</v>
      </c>
      <c r="AI67" s="463">
        <f t="shared" si="1"/>
        <v>46630</v>
      </c>
      <c r="AJ67" s="463">
        <f t="shared" si="1"/>
        <v>46660</v>
      </c>
      <c r="AK67" s="463">
        <f t="shared" si="1"/>
        <v>46691</v>
      </c>
      <c r="AL67" s="463">
        <f t="shared" si="1"/>
        <v>46721</v>
      </c>
      <c r="AM67" s="463">
        <f t="shared" si="1"/>
        <v>46752</v>
      </c>
      <c r="AN67" s="463">
        <f t="shared" si="1"/>
        <v>46783</v>
      </c>
      <c r="AO67" s="463">
        <f t="shared" si="1"/>
        <v>46812</v>
      </c>
      <c r="AP67" s="463">
        <f t="shared" si="1"/>
        <v>46843</v>
      </c>
      <c r="AQ67" s="463">
        <f t="shared" si="1"/>
        <v>46873</v>
      </c>
      <c r="AR67" s="463">
        <f t="shared" si="1"/>
        <v>46904</v>
      </c>
      <c r="AS67" s="463">
        <f t="shared" si="1"/>
        <v>46934</v>
      </c>
      <c r="AT67" s="463">
        <f t="shared" si="1"/>
        <v>46965</v>
      </c>
      <c r="AU67" s="463">
        <f t="shared" si="1"/>
        <v>46996</v>
      </c>
      <c r="AV67" s="463">
        <f t="shared" si="1"/>
        <v>47026</v>
      </c>
      <c r="AW67" s="463">
        <f t="shared" si="1"/>
        <v>47057</v>
      </c>
      <c r="AX67" s="463">
        <f t="shared" si="1"/>
        <v>47087</v>
      </c>
      <c r="AY67" s="463">
        <f t="shared" si="1"/>
        <v>47118</v>
      </c>
      <c r="AZ67" s="463">
        <f t="shared" si="1"/>
        <v>47149</v>
      </c>
      <c r="BA67" s="463">
        <f t="shared" si="1"/>
        <v>47177</v>
      </c>
      <c r="BB67" s="463">
        <f t="shared" si="1"/>
        <v>47208</v>
      </c>
    </row>
    <row r="68" spans="1:54" outlineLevel="1">
      <c r="B68" s="1107" t="s">
        <v>335</v>
      </c>
      <c r="C68" s="1108"/>
      <c r="D68" s="1109" t="s">
        <v>336</v>
      </c>
      <c r="E68" s="1107"/>
      <c r="F68" s="1107"/>
      <c r="G68" s="1110">
        <v>1</v>
      </c>
      <c r="H68" s="1110">
        <f t="shared" ref="H68:Q68" si="2">G68+1</f>
        <v>2</v>
      </c>
      <c r="I68" s="1110">
        <f t="shared" si="2"/>
        <v>3</v>
      </c>
      <c r="J68" s="1110">
        <f t="shared" si="2"/>
        <v>4</v>
      </c>
      <c r="K68" s="1110">
        <f t="shared" si="2"/>
        <v>5</v>
      </c>
      <c r="L68" s="1110">
        <f t="shared" si="2"/>
        <v>6</v>
      </c>
      <c r="M68" s="1110">
        <f t="shared" si="2"/>
        <v>7</v>
      </c>
      <c r="N68" s="1110">
        <f t="shared" si="2"/>
        <v>8</v>
      </c>
      <c r="O68" s="1110">
        <f t="shared" si="2"/>
        <v>9</v>
      </c>
      <c r="P68" s="1110">
        <f t="shared" si="2"/>
        <v>10</v>
      </c>
      <c r="Q68" s="1110">
        <f t="shared" si="2"/>
        <v>11</v>
      </c>
      <c r="S68" s="1060">
        <v>1</v>
      </c>
      <c r="T68" s="1060">
        <f t="shared" ref="T68:BB68" si="3">S68+1</f>
        <v>2</v>
      </c>
      <c r="U68" s="1060">
        <f t="shared" si="3"/>
        <v>3</v>
      </c>
      <c r="V68" s="1060">
        <f t="shared" si="3"/>
        <v>4</v>
      </c>
      <c r="W68" s="1060">
        <f t="shared" si="3"/>
        <v>5</v>
      </c>
      <c r="X68" s="1060">
        <f t="shared" si="3"/>
        <v>6</v>
      </c>
      <c r="Y68" s="1060">
        <f t="shared" si="3"/>
        <v>7</v>
      </c>
      <c r="Z68" s="1060">
        <f t="shared" si="3"/>
        <v>8</v>
      </c>
      <c r="AA68" s="1060">
        <f t="shared" si="3"/>
        <v>9</v>
      </c>
      <c r="AB68" s="1060">
        <f t="shared" si="3"/>
        <v>10</v>
      </c>
      <c r="AC68" s="1060">
        <f t="shared" si="3"/>
        <v>11</v>
      </c>
      <c r="AD68" s="1060">
        <f t="shared" si="3"/>
        <v>12</v>
      </c>
      <c r="AE68" s="1060">
        <f t="shared" si="3"/>
        <v>13</v>
      </c>
      <c r="AF68" s="1060">
        <f t="shared" si="3"/>
        <v>14</v>
      </c>
      <c r="AG68" s="1060">
        <f t="shared" si="3"/>
        <v>15</v>
      </c>
      <c r="AH68" s="1060">
        <f t="shared" si="3"/>
        <v>16</v>
      </c>
      <c r="AI68" s="1060">
        <f t="shared" si="3"/>
        <v>17</v>
      </c>
      <c r="AJ68" s="1060">
        <f t="shared" si="3"/>
        <v>18</v>
      </c>
      <c r="AK68" s="1060">
        <f t="shared" si="3"/>
        <v>19</v>
      </c>
      <c r="AL68" s="1060">
        <f t="shared" si="3"/>
        <v>20</v>
      </c>
      <c r="AM68" s="1060">
        <f t="shared" si="3"/>
        <v>21</v>
      </c>
      <c r="AN68" s="1060">
        <f t="shared" si="3"/>
        <v>22</v>
      </c>
      <c r="AO68" s="1060">
        <f t="shared" si="3"/>
        <v>23</v>
      </c>
      <c r="AP68" s="1060">
        <f t="shared" si="3"/>
        <v>24</v>
      </c>
      <c r="AQ68" s="1060">
        <f t="shared" si="3"/>
        <v>25</v>
      </c>
      <c r="AR68" s="1060">
        <f t="shared" si="3"/>
        <v>26</v>
      </c>
      <c r="AS68" s="1060">
        <f t="shared" si="3"/>
        <v>27</v>
      </c>
      <c r="AT68" s="1060">
        <f t="shared" si="3"/>
        <v>28</v>
      </c>
      <c r="AU68" s="1060">
        <f t="shared" si="3"/>
        <v>29</v>
      </c>
      <c r="AV68" s="1060">
        <f t="shared" si="3"/>
        <v>30</v>
      </c>
      <c r="AW68" s="1060">
        <f t="shared" si="3"/>
        <v>31</v>
      </c>
      <c r="AX68" s="1060">
        <f t="shared" si="3"/>
        <v>32</v>
      </c>
      <c r="AY68" s="1060">
        <f t="shared" si="3"/>
        <v>33</v>
      </c>
      <c r="AZ68" s="1060">
        <f t="shared" si="3"/>
        <v>34</v>
      </c>
      <c r="BA68" s="1060">
        <f t="shared" si="3"/>
        <v>35</v>
      </c>
      <c r="BB68" s="1060">
        <f t="shared" si="3"/>
        <v>36</v>
      </c>
    </row>
    <row r="69" spans="1:54" outlineLevel="1">
      <c r="B69" s="36" t="s">
        <v>337</v>
      </c>
      <c r="C69" s="37"/>
      <c r="D69" s="1327" t="s">
        <v>754</v>
      </c>
      <c r="E69" s="1328"/>
      <c r="F69" s="1329"/>
      <c r="G69" s="465">
        <v>0</v>
      </c>
      <c r="H69" s="465">
        <v>0.02</v>
      </c>
      <c r="I69" s="465">
        <v>0.03</v>
      </c>
      <c r="J69" s="465">
        <f t="shared" ref="H69:Q69" si="4">I69</f>
        <v>0.03</v>
      </c>
      <c r="K69" s="465">
        <f t="shared" si="4"/>
        <v>0.03</v>
      </c>
      <c r="L69" s="465">
        <f t="shared" si="4"/>
        <v>0.03</v>
      </c>
      <c r="M69" s="465">
        <f t="shared" si="4"/>
        <v>0.03</v>
      </c>
      <c r="N69" s="465">
        <f t="shared" si="4"/>
        <v>0.03</v>
      </c>
      <c r="O69" s="465">
        <f t="shared" si="4"/>
        <v>0.03</v>
      </c>
      <c r="P69" s="465">
        <f t="shared" si="4"/>
        <v>0.03</v>
      </c>
      <c r="Q69" s="465">
        <f t="shared" si="4"/>
        <v>0.03</v>
      </c>
      <c r="S69" s="1381">
        <f>(1+SUMPRODUCT(Yr1to3AnnualMarketGrwth*(COLUMN(Yr1to3AnnualMarketGrwth)-COLUMN(Yr1MktGrwth)+1=ROUNDUP((COLUMN()-COLUMN(Mnth1MktRentGrwth)+1)/12,))))^(1/12)-1</f>
        <v>0</v>
      </c>
      <c r="T69" s="1381">
        <f>(1+SUMPRODUCT(Yr1to3AnnualMarketGrwth*(COLUMN(Yr1to3AnnualMarketGrwth)-COLUMN(Yr1MktGrwth)+1=ROUNDUP((COLUMN()-COLUMN(Mnth1MktRentGrwth)+1)/12,))))^(1/12)-1</f>
        <v>0</v>
      </c>
      <c r="U69" s="1381">
        <f>(1+SUMPRODUCT(Yr1to3AnnualMarketGrwth*(COLUMN(Yr1to3AnnualMarketGrwth)-COLUMN(Yr1MktGrwth)+1=ROUNDUP((COLUMN()-COLUMN(Mnth1MktRentGrwth)+1)/12,))))^(1/12)-1</f>
        <v>0</v>
      </c>
      <c r="V69" s="1381">
        <f>(1+SUMPRODUCT(Yr1to3AnnualMarketGrwth*(COLUMN(Yr1to3AnnualMarketGrwth)-COLUMN(Yr1MktGrwth)+1=ROUNDUP((COLUMN()-COLUMN(Mnth1MktRentGrwth)+1)/12,))))^(1/12)-1</f>
        <v>0</v>
      </c>
      <c r="W69" s="1381">
        <f>(1+SUMPRODUCT(Yr1to3AnnualMarketGrwth*(COLUMN(Yr1to3AnnualMarketGrwth)-COLUMN(Yr1MktGrwth)+1=ROUNDUP((COLUMN()-COLUMN(Mnth1MktRentGrwth)+1)/12,))))^(1/12)-1</f>
        <v>0</v>
      </c>
      <c r="X69" s="1381">
        <f>(1+SUMPRODUCT(Yr1to3AnnualMarketGrwth*(COLUMN(Yr1to3AnnualMarketGrwth)-COLUMN(Yr1MktGrwth)+1=ROUNDUP((COLUMN()-COLUMN(Mnth1MktRentGrwth)+1)/12,))))^(1/12)-1</f>
        <v>0</v>
      </c>
      <c r="Y69" s="1381">
        <f>(1+SUMPRODUCT(Yr1to3AnnualMarketGrwth*(COLUMN(Yr1to3AnnualMarketGrwth)-COLUMN(Yr1MktGrwth)+1=ROUNDUP((COLUMN()-COLUMN(Mnth1MktRentGrwth)+1)/12,))))^(1/12)-1</f>
        <v>0</v>
      </c>
      <c r="Z69" s="1381">
        <f>(1+SUMPRODUCT(Yr1to3AnnualMarketGrwth*(COLUMN(Yr1to3AnnualMarketGrwth)-COLUMN(Yr1MktGrwth)+1=ROUNDUP((COLUMN()-COLUMN(Mnth1MktRentGrwth)+1)/12,))))^(1/12)-1</f>
        <v>0</v>
      </c>
      <c r="AA69" s="1381">
        <f>(1+SUMPRODUCT(Yr1to3AnnualMarketGrwth*(COLUMN(Yr1to3AnnualMarketGrwth)-COLUMN(Yr1MktGrwth)+1=ROUNDUP((COLUMN()-COLUMN(Mnth1MktRentGrwth)+1)/12,))))^(1/12)-1</f>
        <v>0</v>
      </c>
      <c r="AB69" s="1381">
        <f>(1+SUMPRODUCT(Yr1to3AnnualMarketGrwth*(COLUMN(Yr1to3AnnualMarketGrwth)-COLUMN(Yr1MktGrwth)+1=ROUNDUP((COLUMN()-COLUMN(Mnth1MktRentGrwth)+1)/12,))))^(1/12)-1</f>
        <v>0</v>
      </c>
      <c r="AC69" s="1381">
        <f>(1+SUMPRODUCT(Yr1to3AnnualMarketGrwth*(COLUMN(Yr1to3AnnualMarketGrwth)-COLUMN(Yr1MktGrwth)+1=ROUNDUP((COLUMN()-COLUMN(Mnth1MktRentGrwth)+1)/12,))))^(1/12)-1</f>
        <v>0</v>
      </c>
      <c r="AD69" s="1381">
        <f>(1+SUMPRODUCT(Yr1to3AnnualMarketGrwth*(COLUMN(Yr1to3AnnualMarketGrwth)-COLUMN(Yr1MktGrwth)+1=ROUNDUP((COLUMN()-COLUMN(Mnth1MktRentGrwth)+1)/12,))))^(1/12)-1</f>
        <v>0</v>
      </c>
      <c r="AE69" s="1381">
        <f>(1+SUMPRODUCT(Yr1to3AnnualMarketGrwth*(COLUMN(Yr1to3AnnualMarketGrwth)-COLUMN(Yr1MktGrwth)+1=ROUNDUP((COLUMN()-COLUMN(Mnth1MktRentGrwth)+1)/12,))))^(1/12)-1</f>
        <v>1.6515813019202241E-3</v>
      </c>
      <c r="AF69" s="1381">
        <f>(1+SUMPRODUCT(Yr1to3AnnualMarketGrwth*(COLUMN(Yr1to3AnnualMarketGrwth)-COLUMN(Yr1MktGrwth)+1=ROUNDUP((COLUMN()-COLUMN(Mnth1MktRentGrwth)+1)/12,))))^(1/12)-1</f>
        <v>1.6515813019202241E-3</v>
      </c>
      <c r="AG69" s="1381">
        <f>(1+SUMPRODUCT(Yr1to3AnnualMarketGrwth*(COLUMN(Yr1to3AnnualMarketGrwth)-COLUMN(Yr1MktGrwth)+1=ROUNDUP((COLUMN()-COLUMN(Mnth1MktRentGrwth)+1)/12,))))^(1/12)-1</f>
        <v>1.6515813019202241E-3</v>
      </c>
      <c r="AH69" s="1381">
        <f>(1+SUMPRODUCT(Yr1to3AnnualMarketGrwth*(COLUMN(Yr1to3AnnualMarketGrwth)-COLUMN(Yr1MktGrwth)+1=ROUNDUP((COLUMN()-COLUMN(Mnth1MktRentGrwth)+1)/12,))))^(1/12)-1</f>
        <v>1.6515813019202241E-3</v>
      </c>
      <c r="AI69" s="1381">
        <f>(1+SUMPRODUCT(Yr1to3AnnualMarketGrwth*(COLUMN(Yr1to3AnnualMarketGrwth)-COLUMN(Yr1MktGrwth)+1=ROUNDUP((COLUMN()-COLUMN(Mnth1MktRentGrwth)+1)/12,))))^(1/12)-1</f>
        <v>1.6515813019202241E-3</v>
      </c>
      <c r="AJ69" s="1381">
        <f>(1+SUMPRODUCT(Yr1to3AnnualMarketGrwth*(COLUMN(Yr1to3AnnualMarketGrwth)-COLUMN(Yr1MktGrwth)+1=ROUNDUP((COLUMN()-COLUMN(Mnth1MktRentGrwth)+1)/12,))))^(1/12)-1</f>
        <v>1.6515813019202241E-3</v>
      </c>
      <c r="AK69" s="1381">
        <f>(1+SUMPRODUCT(Yr1to3AnnualMarketGrwth*(COLUMN(Yr1to3AnnualMarketGrwth)-COLUMN(Yr1MktGrwth)+1=ROUNDUP((COLUMN()-COLUMN(Mnth1MktRentGrwth)+1)/12,))))^(1/12)-1</f>
        <v>1.6515813019202241E-3</v>
      </c>
      <c r="AL69" s="1381">
        <f>(1+SUMPRODUCT(Yr1to3AnnualMarketGrwth*(COLUMN(Yr1to3AnnualMarketGrwth)-COLUMN(Yr1MktGrwth)+1=ROUNDUP((COLUMN()-COLUMN(Mnth1MktRentGrwth)+1)/12,))))^(1/12)-1</f>
        <v>1.6515813019202241E-3</v>
      </c>
      <c r="AM69" s="1381">
        <f>(1+SUMPRODUCT(Yr1to3AnnualMarketGrwth*(COLUMN(Yr1to3AnnualMarketGrwth)-COLUMN(Yr1MktGrwth)+1=ROUNDUP((COLUMN()-COLUMN(Mnth1MktRentGrwth)+1)/12,))))^(1/12)-1</f>
        <v>1.6515813019202241E-3</v>
      </c>
      <c r="AN69" s="1381">
        <f>(1+SUMPRODUCT(Yr1to3AnnualMarketGrwth*(COLUMN(Yr1to3AnnualMarketGrwth)-COLUMN(Yr1MktGrwth)+1=ROUNDUP((COLUMN()-COLUMN(Mnth1MktRentGrwth)+1)/12,))))^(1/12)-1</f>
        <v>1.6515813019202241E-3</v>
      </c>
      <c r="AO69" s="1381">
        <f>(1+SUMPRODUCT(Yr1to3AnnualMarketGrwth*(COLUMN(Yr1to3AnnualMarketGrwth)-COLUMN(Yr1MktGrwth)+1=ROUNDUP((COLUMN()-COLUMN(Mnth1MktRentGrwth)+1)/12,))))^(1/12)-1</f>
        <v>1.6515813019202241E-3</v>
      </c>
      <c r="AP69" s="1381">
        <f>(1+SUMPRODUCT(Yr1to3AnnualMarketGrwth*(COLUMN(Yr1to3AnnualMarketGrwth)-COLUMN(Yr1MktGrwth)+1=ROUNDUP((COLUMN()-COLUMN(Mnth1MktRentGrwth)+1)/12,))))^(1/12)-1</f>
        <v>1.6515813019202241E-3</v>
      </c>
      <c r="AQ69" s="1381">
        <f>(1+SUMPRODUCT(Yr1to3AnnualMarketGrwth*(COLUMN(Yr1to3AnnualMarketGrwth)-COLUMN(Yr1MktGrwth)+1=ROUNDUP((COLUMN()-COLUMN(Mnth1MktRentGrwth)+1)/12,))))^(1/12)-1</f>
        <v>2.4662697723036864E-3</v>
      </c>
      <c r="AR69" s="1381">
        <f>(1+SUMPRODUCT(Yr1to3AnnualMarketGrwth*(COLUMN(Yr1to3AnnualMarketGrwth)-COLUMN(Yr1MktGrwth)+1=ROUNDUP((COLUMN()-COLUMN(Mnth1MktRentGrwth)+1)/12,))))^(1/12)-1</f>
        <v>2.4662697723036864E-3</v>
      </c>
      <c r="AS69" s="1381">
        <f>(1+SUMPRODUCT(Yr1to3AnnualMarketGrwth*(COLUMN(Yr1to3AnnualMarketGrwth)-COLUMN(Yr1MktGrwth)+1=ROUNDUP((COLUMN()-COLUMN(Mnth1MktRentGrwth)+1)/12,))))^(1/12)-1</f>
        <v>2.4662697723036864E-3</v>
      </c>
      <c r="AT69" s="1381">
        <f>(1+SUMPRODUCT(Yr1to3AnnualMarketGrwth*(COLUMN(Yr1to3AnnualMarketGrwth)-COLUMN(Yr1MktGrwth)+1=ROUNDUP((COLUMN()-COLUMN(Mnth1MktRentGrwth)+1)/12,))))^(1/12)-1</f>
        <v>2.4662697723036864E-3</v>
      </c>
      <c r="AU69" s="1381">
        <f>(1+SUMPRODUCT(Yr1to3AnnualMarketGrwth*(COLUMN(Yr1to3AnnualMarketGrwth)-COLUMN(Yr1MktGrwth)+1=ROUNDUP((COLUMN()-COLUMN(Mnth1MktRentGrwth)+1)/12,))))^(1/12)-1</f>
        <v>2.4662697723036864E-3</v>
      </c>
      <c r="AV69" s="1381">
        <f>(1+SUMPRODUCT(Yr1to3AnnualMarketGrwth*(COLUMN(Yr1to3AnnualMarketGrwth)-COLUMN(Yr1MktGrwth)+1=ROUNDUP((COLUMN()-COLUMN(Mnth1MktRentGrwth)+1)/12,))))^(1/12)-1</f>
        <v>2.4662697723036864E-3</v>
      </c>
      <c r="AW69" s="1381">
        <f>(1+SUMPRODUCT(Yr1to3AnnualMarketGrwth*(COLUMN(Yr1to3AnnualMarketGrwth)-COLUMN(Yr1MktGrwth)+1=ROUNDUP((COLUMN()-COLUMN(Mnth1MktRentGrwth)+1)/12,))))^(1/12)-1</f>
        <v>2.4662697723036864E-3</v>
      </c>
      <c r="AX69" s="1381">
        <f>(1+SUMPRODUCT(Yr1to3AnnualMarketGrwth*(COLUMN(Yr1to3AnnualMarketGrwth)-COLUMN(Yr1MktGrwth)+1=ROUNDUP((COLUMN()-COLUMN(Mnth1MktRentGrwth)+1)/12,))))^(1/12)-1</f>
        <v>2.4662697723036864E-3</v>
      </c>
      <c r="AY69" s="1381">
        <f>(1+SUMPRODUCT(Yr1to3AnnualMarketGrwth*(COLUMN(Yr1to3AnnualMarketGrwth)-COLUMN(Yr1MktGrwth)+1=ROUNDUP((COLUMN()-COLUMN(Mnth1MktRentGrwth)+1)/12,))))^(1/12)-1</f>
        <v>2.4662697723036864E-3</v>
      </c>
      <c r="AZ69" s="1381">
        <f>(1+SUMPRODUCT(Yr1to3AnnualMarketGrwth*(COLUMN(Yr1to3AnnualMarketGrwth)-COLUMN(Yr1MktGrwth)+1=ROUNDUP((COLUMN()-COLUMN(Mnth1MktRentGrwth)+1)/12,))))^(1/12)-1</f>
        <v>2.4662697723036864E-3</v>
      </c>
      <c r="BA69" s="1381">
        <f>(1+SUMPRODUCT(Yr1to3AnnualMarketGrwth*(COLUMN(Yr1to3AnnualMarketGrwth)-COLUMN(Yr1MktGrwth)+1=ROUNDUP((COLUMN()-COLUMN(Mnth1MktRentGrwth)+1)/12,))))^(1/12)-1</f>
        <v>2.4662697723036864E-3</v>
      </c>
      <c r="BB69" s="1381">
        <f>(1+SUMPRODUCT(Yr1to3AnnualMarketGrwth*(COLUMN(Yr1to3AnnualMarketGrwth)-COLUMN(Yr1MktGrwth)+1=ROUNDUP((COLUMN()-COLUMN(Mnth1MktRentGrwth)+1)/12,))))^(1/12)-1</f>
        <v>2.4662697723036864E-3</v>
      </c>
    </row>
    <row r="70" spans="1:54" hidden="1" outlineLevel="1">
      <c r="B70" s="36" t="s">
        <v>339</v>
      </c>
      <c r="C70" s="37"/>
      <c r="D70" s="1330" t="s">
        <v>338</v>
      </c>
      <c r="E70" s="1331"/>
      <c r="F70" s="1332"/>
      <c r="G70" s="466">
        <f>Yr1MktGrwth</f>
        <v>0</v>
      </c>
      <c r="H70" s="466">
        <f>IF(SUMPRODUCT(($G70:G70&lt;&gt;$G$69:G$69)*1),G70,H$69)</f>
        <v>0.02</v>
      </c>
      <c r="I70" s="466">
        <f>IF(SUMPRODUCT(($G70:H70&lt;&gt;$G$69:H$69)*1),H70,I$69)</f>
        <v>0.03</v>
      </c>
      <c r="J70" s="466">
        <f>IF(SUMPRODUCT(($G70:I70&lt;&gt;$G$69:I$69)*1),I70,J$69)</f>
        <v>0.03</v>
      </c>
      <c r="K70" s="466">
        <f>IF(SUMPRODUCT(($G70:J70&lt;&gt;$G$69:J$69)*1),J70,K$69)</f>
        <v>0.03</v>
      </c>
      <c r="L70" s="466">
        <f>IF(SUMPRODUCT(($G70:K70&lt;&gt;$G$69:K$69)*1),K70,L$69)</f>
        <v>0.03</v>
      </c>
      <c r="M70" s="466">
        <f>IF(SUMPRODUCT(($G70:L70&lt;&gt;$G$69:L$69)*1),L70,M$69)</f>
        <v>0.03</v>
      </c>
      <c r="N70" s="466">
        <f>IF(SUMPRODUCT(($G70:M70&lt;&gt;$G$69:M$69)*1),M70,N$69)</f>
        <v>0.03</v>
      </c>
      <c r="O70" s="466">
        <f>IF(SUMPRODUCT(($G70:N70&lt;&gt;$G$69:N$69)*1),N70,O$69)</f>
        <v>0.03</v>
      </c>
      <c r="P70" s="466">
        <f>IF(SUMPRODUCT(($G70:O70&lt;&gt;$G$69:O$69)*1),O70,P$69)</f>
        <v>0.03</v>
      </c>
      <c r="Q70" s="466">
        <f>IF(SUMPRODUCT(($G70:P70&lt;&gt;$G$69:P$69)*1),P70,Q$69)</f>
        <v>0.03</v>
      </c>
      <c r="S70" s="158">
        <f t="shared" ref="S70:BB70" si="5">SUMPRODUCT(Yr1to3AnnualOtherGrwth*(COLUMN(Yr1to3AnnualOtherGrwth)-COLUMN(Yr1MktGrwth)+1=ROUNDUP((COLUMN()-COLUMN(Mnth1MktRentGrwth)+1)/12,)-1))*(MOD(COLUMN()-COLUMN(Mnth1MktRentGrwth)+1,12)=1)</f>
        <v>0</v>
      </c>
      <c r="T70" s="158">
        <f t="shared" si="5"/>
        <v>0</v>
      </c>
      <c r="U70" s="158">
        <f t="shared" si="5"/>
        <v>0</v>
      </c>
      <c r="V70" s="158">
        <f t="shared" si="5"/>
        <v>0</v>
      </c>
      <c r="W70" s="158">
        <f t="shared" si="5"/>
        <v>0</v>
      </c>
      <c r="X70" s="158">
        <f t="shared" si="5"/>
        <v>0</v>
      </c>
      <c r="Y70" s="158">
        <f t="shared" si="5"/>
        <v>0</v>
      </c>
      <c r="Z70" s="158">
        <f t="shared" si="5"/>
        <v>0</v>
      </c>
      <c r="AA70" s="158">
        <f t="shared" si="5"/>
        <v>0</v>
      </c>
      <c r="AB70" s="158">
        <f t="shared" si="5"/>
        <v>0</v>
      </c>
      <c r="AC70" s="158">
        <f t="shared" si="5"/>
        <v>0</v>
      </c>
      <c r="AD70" s="158">
        <f t="shared" si="5"/>
        <v>0</v>
      </c>
      <c r="AE70" s="158">
        <f t="shared" si="5"/>
        <v>0</v>
      </c>
      <c r="AF70" s="158">
        <f t="shared" si="5"/>
        <v>0</v>
      </c>
      <c r="AG70" s="158">
        <f t="shared" si="5"/>
        <v>0</v>
      </c>
      <c r="AH70" s="158">
        <f t="shared" si="5"/>
        <v>0</v>
      </c>
      <c r="AI70" s="158">
        <f t="shared" si="5"/>
        <v>0</v>
      </c>
      <c r="AJ70" s="158">
        <f t="shared" si="5"/>
        <v>0</v>
      </c>
      <c r="AK70" s="158">
        <f t="shared" si="5"/>
        <v>0</v>
      </c>
      <c r="AL70" s="158">
        <f t="shared" si="5"/>
        <v>0</v>
      </c>
      <c r="AM70" s="158">
        <f t="shared" si="5"/>
        <v>0</v>
      </c>
      <c r="AN70" s="158">
        <f t="shared" si="5"/>
        <v>0</v>
      </c>
      <c r="AO70" s="158">
        <f t="shared" si="5"/>
        <v>0</v>
      </c>
      <c r="AP70" s="158">
        <f t="shared" si="5"/>
        <v>0</v>
      </c>
      <c r="AQ70" s="158">
        <f t="shared" si="5"/>
        <v>0.02</v>
      </c>
      <c r="AR70" s="158">
        <f t="shared" si="5"/>
        <v>0</v>
      </c>
      <c r="AS70" s="158">
        <f t="shared" si="5"/>
        <v>0</v>
      </c>
      <c r="AT70" s="158">
        <f t="shared" si="5"/>
        <v>0</v>
      </c>
      <c r="AU70" s="158">
        <f t="shared" si="5"/>
        <v>0</v>
      </c>
      <c r="AV70" s="158">
        <f t="shared" si="5"/>
        <v>0</v>
      </c>
      <c r="AW70" s="158">
        <f t="shared" si="5"/>
        <v>0</v>
      </c>
      <c r="AX70" s="158">
        <f t="shared" si="5"/>
        <v>0</v>
      </c>
      <c r="AY70" s="158">
        <f t="shared" si="5"/>
        <v>0</v>
      </c>
      <c r="AZ70" s="158">
        <f t="shared" si="5"/>
        <v>0</v>
      </c>
      <c r="BA70" s="158">
        <f t="shared" si="5"/>
        <v>0</v>
      </c>
      <c r="BB70" s="158">
        <f t="shared" si="5"/>
        <v>0</v>
      </c>
    </row>
    <row r="71" spans="1:54" outlineLevel="1">
      <c r="B71" s="36"/>
      <c r="C71" s="37"/>
      <c r="D71" s="37"/>
      <c r="E71" s="37"/>
      <c r="F71" s="37"/>
      <c r="G71" s="457"/>
      <c r="H71" s="458"/>
      <c r="I71" s="458"/>
      <c r="J71" s="459"/>
      <c r="K71" s="459"/>
      <c r="L71" s="459"/>
      <c r="M71" s="459"/>
      <c r="N71" s="459"/>
      <c r="O71" s="459"/>
      <c r="P71" s="459"/>
      <c r="Q71" s="459"/>
      <c r="S71" s="467">
        <f t="shared" ref="S71:BB71" si="6">ROUNDUP(S68/12,)</f>
        <v>1</v>
      </c>
      <c r="T71" s="467">
        <f t="shared" si="6"/>
        <v>1</v>
      </c>
      <c r="U71" s="467">
        <f t="shared" si="6"/>
        <v>1</v>
      </c>
      <c r="V71" s="467">
        <f t="shared" si="6"/>
        <v>1</v>
      </c>
      <c r="W71" s="467">
        <f t="shared" si="6"/>
        <v>1</v>
      </c>
      <c r="X71" s="467">
        <f t="shared" si="6"/>
        <v>1</v>
      </c>
      <c r="Y71" s="467">
        <f t="shared" si="6"/>
        <v>1</v>
      </c>
      <c r="Z71" s="467">
        <f t="shared" si="6"/>
        <v>1</v>
      </c>
      <c r="AA71" s="467">
        <f t="shared" si="6"/>
        <v>1</v>
      </c>
      <c r="AB71" s="467">
        <f t="shared" si="6"/>
        <v>1</v>
      </c>
      <c r="AC71" s="467">
        <f t="shared" si="6"/>
        <v>1</v>
      </c>
      <c r="AD71" s="467">
        <f t="shared" si="6"/>
        <v>1</v>
      </c>
      <c r="AE71" s="467">
        <f t="shared" si="6"/>
        <v>2</v>
      </c>
      <c r="AF71" s="467">
        <f t="shared" si="6"/>
        <v>2</v>
      </c>
      <c r="AG71" s="467">
        <f t="shared" si="6"/>
        <v>2</v>
      </c>
      <c r="AH71" s="467">
        <f t="shared" si="6"/>
        <v>2</v>
      </c>
      <c r="AI71" s="467">
        <f t="shared" si="6"/>
        <v>2</v>
      </c>
      <c r="AJ71" s="467">
        <f t="shared" si="6"/>
        <v>2</v>
      </c>
      <c r="AK71" s="467">
        <f t="shared" si="6"/>
        <v>2</v>
      </c>
      <c r="AL71" s="467">
        <f t="shared" si="6"/>
        <v>2</v>
      </c>
      <c r="AM71" s="467">
        <f t="shared" si="6"/>
        <v>2</v>
      </c>
      <c r="AN71" s="467">
        <f t="shared" si="6"/>
        <v>2</v>
      </c>
      <c r="AO71" s="467">
        <f t="shared" si="6"/>
        <v>2</v>
      </c>
      <c r="AP71" s="467">
        <f t="shared" si="6"/>
        <v>2</v>
      </c>
      <c r="AQ71" s="467">
        <f t="shared" si="6"/>
        <v>3</v>
      </c>
      <c r="AR71" s="467">
        <f t="shared" si="6"/>
        <v>3</v>
      </c>
      <c r="AS71" s="467">
        <f t="shared" si="6"/>
        <v>3</v>
      </c>
      <c r="AT71" s="467">
        <f t="shared" si="6"/>
        <v>3</v>
      </c>
      <c r="AU71" s="467">
        <f t="shared" si="6"/>
        <v>3</v>
      </c>
      <c r="AV71" s="467">
        <f t="shared" si="6"/>
        <v>3</v>
      </c>
      <c r="AW71" s="467">
        <f t="shared" si="6"/>
        <v>3</v>
      </c>
      <c r="AX71" s="467">
        <f t="shared" si="6"/>
        <v>3</v>
      </c>
      <c r="AY71" s="467">
        <f t="shared" si="6"/>
        <v>3</v>
      </c>
      <c r="AZ71" s="467">
        <f t="shared" si="6"/>
        <v>3</v>
      </c>
      <c r="BA71" s="467">
        <f t="shared" si="6"/>
        <v>3</v>
      </c>
      <c r="BB71" s="467">
        <f t="shared" si="6"/>
        <v>3</v>
      </c>
    </row>
    <row r="72" spans="1:54" outlineLevel="1">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row>
    <row r="73" spans="1:54" outlineLevel="1"/>
    <row r="74" spans="1:54" hidden="1" outlineLevel="1">
      <c r="B74" s="1043" t="s">
        <v>340</v>
      </c>
      <c r="C74" s="196"/>
      <c r="D74" s="196"/>
      <c r="E74" s="196"/>
      <c r="F74" s="196"/>
      <c r="G74" s="196"/>
      <c r="H74" s="196"/>
      <c r="I74" s="196"/>
      <c r="J74" s="196"/>
      <c r="K74" s="196"/>
      <c r="L74" s="196"/>
      <c r="M74" s="196"/>
      <c r="N74" s="196"/>
      <c r="O74" s="196"/>
      <c r="P74" s="196"/>
      <c r="Q74" s="196"/>
      <c r="S74" s="1043" t="s">
        <v>341</v>
      </c>
      <c r="T74" s="196"/>
      <c r="U74" s="196"/>
      <c r="V74" s="196"/>
      <c r="W74" s="196"/>
      <c r="X74" s="196"/>
      <c r="Y74" s="196"/>
      <c r="Z74" s="196"/>
      <c r="AA74" s="196"/>
      <c r="AB74" s="196"/>
      <c r="AC74" s="196"/>
      <c r="AD74" s="196"/>
      <c r="AE74" s="196"/>
      <c r="AF74" s="196"/>
      <c r="AG74" s="196"/>
      <c r="AH74" s="196"/>
      <c r="AI74" s="196"/>
      <c r="AJ74" s="196"/>
      <c r="AK74" s="196"/>
      <c r="AL74" s="196"/>
      <c r="AM74" s="196"/>
      <c r="AN74" s="196"/>
      <c r="AO74" s="196"/>
      <c r="AP74" s="196"/>
      <c r="AQ74" s="196"/>
      <c r="AR74" s="196"/>
      <c r="AS74" s="196"/>
      <c r="AT74" s="196"/>
      <c r="AU74" s="196"/>
      <c r="AV74" s="196"/>
      <c r="AW74" s="196"/>
      <c r="AX74" s="196"/>
      <c r="AY74" s="196"/>
      <c r="AZ74" s="196"/>
      <c r="BA74" s="196"/>
      <c r="BB74" s="196"/>
    </row>
    <row r="75" spans="1:54" hidden="1" outlineLevel="1">
      <c r="B75" s="36" t="s">
        <v>342</v>
      </c>
      <c r="C75" s="37"/>
      <c r="D75" s="468" t="s">
        <v>343</v>
      </c>
      <c r="E75" s="469"/>
      <c r="F75" s="470"/>
      <c r="G75" s="471"/>
      <c r="H75" s="471"/>
      <c r="I75" s="471"/>
      <c r="J75" s="471"/>
      <c r="K75" s="471"/>
      <c r="L75" s="471"/>
      <c r="M75" s="471"/>
      <c r="N75" s="471"/>
      <c r="O75" s="471"/>
      <c r="P75" s="471"/>
      <c r="Q75" s="472"/>
      <c r="S75" s="473"/>
      <c r="T75" s="473"/>
      <c r="U75" s="473"/>
      <c r="V75" s="473"/>
      <c r="W75" s="473"/>
      <c r="X75" s="473"/>
      <c r="Y75" s="473"/>
      <c r="Z75" s="473"/>
      <c r="AA75" s="473"/>
      <c r="AB75" s="473"/>
      <c r="AC75" s="473"/>
      <c r="AD75" s="473"/>
      <c r="AE75" s="473"/>
      <c r="AF75" s="473"/>
      <c r="AG75" s="473"/>
      <c r="AH75" s="473"/>
      <c r="AI75" s="473"/>
      <c r="AJ75" s="473"/>
      <c r="AK75" s="473"/>
      <c r="AL75" s="473"/>
      <c r="AM75" s="473"/>
      <c r="AN75" s="473"/>
      <c r="AO75" s="473"/>
      <c r="AP75" s="473"/>
      <c r="AQ75" s="473"/>
      <c r="AR75" s="473"/>
      <c r="AS75" s="473"/>
      <c r="AT75" s="473"/>
      <c r="AU75" s="473"/>
      <c r="AV75" s="473"/>
      <c r="AW75" s="473"/>
      <c r="AX75" s="473"/>
      <c r="AY75" s="473"/>
      <c r="AZ75" s="473"/>
      <c r="BA75" s="473"/>
      <c r="BB75" s="473"/>
    </row>
    <row r="76" spans="1:54" ht="13.5" hidden="1" outlineLevel="1">
      <c r="B76" s="37"/>
      <c r="C76" s="37"/>
      <c r="D76" s="1115" t="s">
        <v>344</v>
      </c>
      <c r="E76" s="1116" t="s">
        <v>318</v>
      </c>
      <c r="F76" s="1117" t="s">
        <v>311</v>
      </c>
      <c r="G76" s="1114" t="s">
        <v>95</v>
      </c>
      <c r="H76" s="1114"/>
      <c r="I76" s="1114"/>
      <c r="J76" s="1114"/>
      <c r="K76" s="1114"/>
      <c r="L76" s="1114"/>
      <c r="M76" s="1114"/>
      <c r="N76" s="1114"/>
      <c r="O76" s="1114"/>
      <c r="P76" s="1114"/>
      <c r="Q76" s="1111" t="s">
        <v>15</v>
      </c>
      <c r="R76" s="474" t="s">
        <v>15</v>
      </c>
      <c r="S76" s="463">
        <f>EOMONTH(ClosingDate,1)</f>
        <v>46142</v>
      </c>
      <c r="T76" s="463">
        <f t="shared" ref="T76:BB76" si="7">EOMONTH(S76,1)</f>
        <v>46173</v>
      </c>
      <c r="U76" s="463">
        <f t="shared" si="7"/>
        <v>46203</v>
      </c>
      <c r="V76" s="463">
        <f t="shared" si="7"/>
        <v>46234</v>
      </c>
      <c r="W76" s="463">
        <f t="shared" si="7"/>
        <v>46265</v>
      </c>
      <c r="X76" s="463">
        <f t="shared" si="7"/>
        <v>46295</v>
      </c>
      <c r="Y76" s="463">
        <f t="shared" si="7"/>
        <v>46326</v>
      </c>
      <c r="Z76" s="463">
        <f t="shared" si="7"/>
        <v>46356</v>
      </c>
      <c r="AA76" s="463">
        <f t="shared" si="7"/>
        <v>46387</v>
      </c>
      <c r="AB76" s="463">
        <f t="shared" si="7"/>
        <v>46418</v>
      </c>
      <c r="AC76" s="463">
        <f t="shared" si="7"/>
        <v>46446</v>
      </c>
      <c r="AD76" s="463">
        <f t="shared" si="7"/>
        <v>46477</v>
      </c>
      <c r="AE76" s="463">
        <f t="shared" si="7"/>
        <v>46507</v>
      </c>
      <c r="AF76" s="463">
        <f t="shared" si="7"/>
        <v>46538</v>
      </c>
      <c r="AG76" s="463">
        <f t="shared" si="7"/>
        <v>46568</v>
      </c>
      <c r="AH76" s="463">
        <f t="shared" si="7"/>
        <v>46599</v>
      </c>
      <c r="AI76" s="463">
        <f t="shared" si="7"/>
        <v>46630</v>
      </c>
      <c r="AJ76" s="463">
        <f t="shared" si="7"/>
        <v>46660</v>
      </c>
      <c r="AK76" s="463">
        <f t="shared" si="7"/>
        <v>46691</v>
      </c>
      <c r="AL76" s="463">
        <f t="shared" si="7"/>
        <v>46721</v>
      </c>
      <c r="AM76" s="463">
        <f t="shared" si="7"/>
        <v>46752</v>
      </c>
      <c r="AN76" s="463">
        <f t="shared" si="7"/>
        <v>46783</v>
      </c>
      <c r="AO76" s="463">
        <f t="shared" si="7"/>
        <v>46812</v>
      </c>
      <c r="AP76" s="463">
        <f t="shared" si="7"/>
        <v>46843</v>
      </c>
      <c r="AQ76" s="463">
        <f t="shared" si="7"/>
        <v>46873</v>
      </c>
      <c r="AR76" s="463">
        <f t="shared" si="7"/>
        <v>46904</v>
      </c>
      <c r="AS76" s="463">
        <f t="shared" si="7"/>
        <v>46934</v>
      </c>
      <c r="AT76" s="463">
        <f t="shared" si="7"/>
        <v>46965</v>
      </c>
      <c r="AU76" s="463">
        <f t="shared" si="7"/>
        <v>46996</v>
      </c>
      <c r="AV76" s="463">
        <f t="shared" si="7"/>
        <v>47026</v>
      </c>
      <c r="AW76" s="463">
        <f t="shared" si="7"/>
        <v>47057</v>
      </c>
      <c r="AX76" s="463">
        <f t="shared" si="7"/>
        <v>47087</v>
      </c>
      <c r="AY76" s="463">
        <f t="shared" si="7"/>
        <v>47118</v>
      </c>
      <c r="AZ76" s="463">
        <f t="shared" si="7"/>
        <v>47149</v>
      </c>
      <c r="BA76" s="463">
        <f t="shared" si="7"/>
        <v>47177</v>
      </c>
      <c r="BB76" s="463">
        <f t="shared" si="7"/>
        <v>47208</v>
      </c>
    </row>
    <row r="77" spans="1:54" hidden="1" outlineLevel="1">
      <c r="B77" s="1059" t="s">
        <v>205</v>
      </c>
      <c r="C77" s="405"/>
      <c r="D77" s="1118" t="s">
        <v>345</v>
      </c>
      <c r="E77" s="1118" t="s">
        <v>346</v>
      </c>
      <c r="F77" s="1119" t="s">
        <v>347</v>
      </c>
      <c r="G77" s="1113">
        <v>1</v>
      </c>
      <c r="H77" s="1113">
        <f t="shared" ref="H77:P77" si="8">G77+1</f>
        <v>2</v>
      </c>
      <c r="I77" s="1113">
        <f t="shared" si="8"/>
        <v>3</v>
      </c>
      <c r="J77" s="1113">
        <f t="shared" si="8"/>
        <v>4</v>
      </c>
      <c r="K77" s="1113">
        <f t="shared" si="8"/>
        <v>5</v>
      </c>
      <c r="L77" s="1113">
        <f t="shared" si="8"/>
        <v>6</v>
      </c>
      <c r="M77" s="1113">
        <f t="shared" si="8"/>
        <v>7</v>
      </c>
      <c r="N77" s="1113">
        <f t="shared" si="8"/>
        <v>8</v>
      </c>
      <c r="O77" s="1113">
        <f t="shared" si="8"/>
        <v>9</v>
      </c>
      <c r="P77" s="1113">
        <f t="shared" si="8"/>
        <v>10</v>
      </c>
      <c r="Q77" s="1112" t="s">
        <v>89</v>
      </c>
      <c r="R77" s="476" t="s">
        <v>348</v>
      </c>
      <c r="S77" s="1060">
        <v>1</v>
      </c>
      <c r="T77" s="1060">
        <f t="shared" ref="T77:BB77" si="9">S77+1</f>
        <v>2</v>
      </c>
      <c r="U77" s="1060">
        <f t="shared" si="9"/>
        <v>3</v>
      </c>
      <c r="V77" s="1060">
        <f t="shared" si="9"/>
        <v>4</v>
      </c>
      <c r="W77" s="1060">
        <f t="shared" si="9"/>
        <v>5</v>
      </c>
      <c r="X77" s="1060">
        <f t="shared" si="9"/>
        <v>6</v>
      </c>
      <c r="Y77" s="1060">
        <f t="shared" si="9"/>
        <v>7</v>
      </c>
      <c r="Z77" s="1060">
        <f t="shared" si="9"/>
        <v>8</v>
      </c>
      <c r="AA77" s="1060">
        <f t="shared" si="9"/>
        <v>9</v>
      </c>
      <c r="AB77" s="1060">
        <f t="shared" si="9"/>
        <v>10</v>
      </c>
      <c r="AC77" s="1060">
        <f t="shared" si="9"/>
        <v>11</v>
      </c>
      <c r="AD77" s="1060">
        <f t="shared" si="9"/>
        <v>12</v>
      </c>
      <c r="AE77" s="1060">
        <f t="shared" si="9"/>
        <v>13</v>
      </c>
      <c r="AF77" s="1060">
        <f t="shared" si="9"/>
        <v>14</v>
      </c>
      <c r="AG77" s="1060">
        <f t="shared" si="9"/>
        <v>15</v>
      </c>
      <c r="AH77" s="1060">
        <f t="shared" si="9"/>
        <v>16</v>
      </c>
      <c r="AI77" s="1060">
        <f t="shared" si="9"/>
        <v>17</v>
      </c>
      <c r="AJ77" s="1060">
        <f t="shared" si="9"/>
        <v>18</v>
      </c>
      <c r="AK77" s="1060">
        <f t="shared" si="9"/>
        <v>19</v>
      </c>
      <c r="AL77" s="1060">
        <f t="shared" si="9"/>
        <v>20</v>
      </c>
      <c r="AM77" s="1060">
        <f t="shared" si="9"/>
        <v>21</v>
      </c>
      <c r="AN77" s="1060">
        <f t="shared" si="9"/>
        <v>22</v>
      </c>
      <c r="AO77" s="1060">
        <f t="shared" si="9"/>
        <v>23</v>
      </c>
      <c r="AP77" s="1060">
        <f t="shared" si="9"/>
        <v>24</v>
      </c>
      <c r="AQ77" s="1060">
        <f t="shared" si="9"/>
        <v>25</v>
      </c>
      <c r="AR77" s="1060">
        <f t="shared" si="9"/>
        <v>26</v>
      </c>
      <c r="AS77" s="1060">
        <f t="shared" si="9"/>
        <v>27</v>
      </c>
      <c r="AT77" s="1060">
        <f t="shared" si="9"/>
        <v>28</v>
      </c>
      <c r="AU77" s="1060">
        <f t="shared" si="9"/>
        <v>29</v>
      </c>
      <c r="AV77" s="1060">
        <f t="shared" si="9"/>
        <v>30</v>
      </c>
      <c r="AW77" s="1060">
        <f t="shared" si="9"/>
        <v>31</v>
      </c>
      <c r="AX77" s="1060">
        <f t="shared" si="9"/>
        <v>32</v>
      </c>
      <c r="AY77" s="1060">
        <f t="shared" si="9"/>
        <v>33</v>
      </c>
      <c r="AZ77" s="1060">
        <f t="shared" si="9"/>
        <v>34</v>
      </c>
      <c r="BA77" s="1060">
        <f t="shared" si="9"/>
        <v>35</v>
      </c>
      <c r="BB77" s="1060">
        <f t="shared" si="9"/>
        <v>36</v>
      </c>
    </row>
    <row r="78" spans="1:54" hidden="1" outlineLevel="1">
      <c r="A78" s="477" t="str">
        <f>IF($O53="","",1)</f>
        <v/>
      </c>
      <c r="B78" s="478" t="str">
        <f>IF(B53="","",B53)&amp;IF(N53&lt;&gt;"","-","")&amp;N53</f>
        <v>2x2.5</v>
      </c>
      <c r="C78" s="32"/>
      <c r="D78" s="479"/>
      <c r="E78" s="417"/>
      <c r="F78" s="480">
        <f>INDEX(StartingMarketRents,ROW()-ROW(RenovationBumps)+1)+RenovationBumps</f>
        <v>1649.0952380952399</v>
      </c>
      <c r="G78" s="428">
        <v>0</v>
      </c>
      <c r="H78" s="428">
        <v>0</v>
      </c>
      <c r="I78" s="428">
        <v>0</v>
      </c>
      <c r="J78" s="428">
        <v>0</v>
      </c>
      <c r="K78" s="428">
        <v>0</v>
      </c>
      <c r="L78" s="428">
        <v>0</v>
      </c>
      <c r="M78" s="428">
        <v>0</v>
      </c>
      <c r="N78" s="428">
        <v>0</v>
      </c>
      <c r="O78" s="428">
        <v>0</v>
      </c>
      <c r="P78" s="428">
        <v>0</v>
      </c>
      <c r="Q78" s="481">
        <f>ROUND(SUM(G78:P78),4)</f>
        <v>0</v>
      </c>
      <c r="R78" s="482">
        <f>H53</f>
        <v>63</v>
      </c>
      <c r="S78" s="38">
        <f>SUMPRODUCT(Yr1to3AnnualRehabInput*(COLUMN(Yr1to3AnnualRehabInput)-COLUMN(Yr1RehabUnits)+1=ROUNDUP((COLUMN()-COLUMN(Mnth1RehabUnit)+1)/12,))*(ROW()=ROW(MnthlyRehabUnits)))/12</f>
        <v>0</v>
      </c>
      <c r="T78" s="38">
        <f>SUMPRODUCT(Yr1to3AnnualRehabInput*(COLUMN(Yr1to3AnnualRehabInput)-COLUMN(Yr1RehabUnits)+1=ROUNDUP((COLUMN()-COLUMN(Mnth1RehabUnit)+1)/12,))*(ROW()=ROW(MnthlyRehabUnits)))/12</f>
        <v>0</v>
      </c>
      <c r="U78" s="38">
        <f>SUMPRODUCT(Yr1to3AnnualRehabInput*(COLUMN(Yr1to3AnnualRehabInput)-COLUMN(Yr1RehabUnits)+1=ROUNDUP((COLUMN()-COLUMN(Mnth1RehabUnit)+1)/12,))*(ROW()=ROW(MnthlyRehabUnits)))/12</f>
        <v>0</v>
      </c>
      <c r="V78" s="38">
        <f>SUMPRODUCT(Yr1to3AnnualRehabInput*(COLUMN(Yr1to3AnnualRehabInput)-COLUMN(Yr1RehabUnits)+1=ROUNDUP((COLUMN()-COLUMN(Mnth1RehabUnit)+1)/12,))*(ROW()=ROW(MnthlyRehabUnits)))/12</f>
        <v>0</v>
      </c>
      <c r="W78" s="38">
        <f>SUMPRODUCT(Yr1to3AnnualRehabInput*(COLUMN(Yr1to3AnnualRehabInput)-COLUMN(Yr1RehabUnits)+1=ROUNDUP((COLUMN()-COLUMN(Mnth1RehabUnit)+1)/12,))*(ROW()=ROW(MnthlyRehabUnits)))/12</f>
        <v>0</v>
      </c>
      <c r="X78" s="38">
        <f>SUMPRODUCT(Yr1to3AnnualRehabInput*(COLUMN(Yr1to3AnnualRehabInput)-COLUMN(Yr1RehabUnits)+1=ROUNDUP((COLUMN()-COLUMN(Mnth1RehabUnit)+1)/12,))*(ROW()=ROW(MnthlyRehabUnits)))/12</f>
        <v>0</v>
      </c>
      <c r="Y78" s="38">
        <f>SUMPRODUCT(Yr1to3AnnualRehabInput*(COLUMN(Yr1to3AnnualRehabInput)-COLUMN(Yr1RehabUnits)+1=ROUNDUP((COLUMN()-COLUMN(Mnth1RehabUnit)+1)/12,))*(ROW()=ROW(MnthlyRehabUnits)))/12</f>
        <v>0</v>
      </c>
      <c r="Z78" s="38">
        <f>SUMPRODUCT(Yr1to3AnnualRehabInput*(COLUMN(Yr1to3AnnualRehabInput)-COLUMN(Yr1RehabUnits)+1=ROUNDUP((COLUMN()-COLUMN(Mnth1RehabUnit)+1)/12,))*(ROW()=ROW(MnthlyRehabUnits)))/12</f>
        <v>0</v>
      </c>
      <c r="AA78" s="38">
        <f>SUMPRODUCT(Yr1to3AnnualRehabInput*(COLUMN(Yr1to3AnnualRehabInput)-COLUMN(Yr1RehabUnits)+1=ROUNDUP((COLUMN()-COLUMN(Mnth1RehabUnit)+1)/12,))*(ROW()=ROW(MnthlyRehabUnits)))/12</f>
        <v>0</v>
      </c>
      <c r="AB78" s="38">
        <f>SUMPRODUCT(Yr1to3AnnualRehabInput*(COLUMN(Yr1to3AnnualRehabInput)-COLUMN(Yr1RehabUnits)+1=ROUNDUP((COLUMN()-COLUMN(Mnth1RehabUnit)+1)/12,))*(ROW()=ROW(MnthlyRehabUnits)))/12</f>
        <v>0</v>
      </c>
      <c r="AC78" s="38">
        <f>SUMPRODUCT(Yr1to3AnnualRehabInput*(COLUMN(Yr1to3AnnualRehabInput)-COLUMN(Yr1RehabUnits)+1=ROUNDUP((COLUMN()-COLUMN(Mnth1RehabUnit)+1)/12,))*(ROW()=ROW(MnthlyRehabUnits)))/12</f>
        <v>0</v>
      </c>
      <c r="AD78" s="38">
        <f>SUMPRODUCT(Yr1to3AnnualRehabInput*(COLUMN(Yr1to3AnnualRehabInput)-COLUMN(Yr1RehabUnits)+1=ROUNDUP((COLUMN()-COLUMN(Mnth1RehabUnit)+1)/12,))*(ROW()=ROW(MnthlyRehabUnits)))/12</f>
        <v>0</v>
      </c>
      <c r="AE78" s="38">
        <f>SUMPRODUCT(Yr1to3AnnualRehabInput*(COLUMN(Yr1to3AnnualRehabInput)-COLUMN(Yr1RehabUnits)+1=ROUNDUP((COLUMN()-COLUMN(Mnth1RehabUnit)+1)/12,))*(ROW()=ROW(MnthlyRehabUnits)))/12</f>
        <v>0</v>
      </c>
      <c r="AF78" s="38">
        <f>SUMPRODUCT(Yr1to3AnnualRehabInput*(COLUMN(Yr1to3AnnualRehabInput)-COLUMN(Yr1RehabUnits)+1=ROUNDUP((COLUMN()-COLUMN(Mnth1RehabUnit)+1)/12,))*(ROW()=ROW(MnthlyRehabUnits)))/12</f>
        <v>0</v>
      </c>
      <c r="AG78" s="38">
        <f>SUMPRODUCT(Yr1to3AnnualRehabInput*(COLUMN(Yr1to3AnnualRehabInput)-COLUMN(Yr1RehabUnits)+1=ROUNDUP((COLUMN()-COLUMN(Mnth1RehabUnit)+1)/12,))*(ROW()=ROW(MnthlyRehabUnits)))/12</f>
        <v>0</v>
      </c>
      <c r="AH78" s="38">
        <f>SUMPRODUCT(Yr1to3AnnualRehabInput*(COLUMN(Yr1to3AnnualRehabInput)-COLUMN(Yr1RehabUnits)+1=ROUNDUP((COLUMN()-COLUMN(Mnth1RehabUnit)+1)/12,))*(ROW()=ROW(MnthlyRehabUnits)))/12</f>
        <v>0</v>
      </c>
      <c r="AI78" s="38">
        <f>SUMPRODUCT(Yr1to3AnnualRehabInput*(COLUMN(Yr1to3AnnualRehabInput)-COLUMN(Yr1RehabUnits)+1=ROUNDUP((COLUMN()-COLUMN(Mnth1RehabUnit)+1)/12,))*(ROW()=ROW(MnthlyRehabUnits)))/12</f>
        <v>0</v>
      </c>
      <c r="AJ78" s="38">
        <f>SUMPRODUCT(Yr1to3AnnualRehabInput*(COLUMN(Yr1to3AnnualRehabInput)-COLUMN(Yr1RehabUnits)+1=ROUNDUP((COLUMN()-COLUMN(Mnth1RehabUnit)+1)/12,))*(ROW()=ROW(MnthlyRehabUnits)))/12</f>
        <v>0</v>
      </c>
      <c r="AK78" s="38">
        <f>SUMPRODUCT(Yr1to3AnnualRehabInput*(COLUMN(Yr1to3AnnualRehabInput)-COLUMN(Yr1RehabUnits)+1=ROUNDUP((COLUMN()-COLUMN(Mnth1RehabUnit)+1)/12,))*(ROW()=ROW(MnthlyRehabUnits)))/12</f>
        <v>0</v>
      </c>
      <c r="AL78" s="38">
        <f>SUMPRODUCT(Yr1to3AnnualRehabInput*(COLUMN(Yr1to3AnnualRehabInput)-COLUMN(Yr1RehabUnits)+1=ROUNDUP((COLUMN()-COLUMN(Mnth1RehabUnit)+1)/12,))*(ROW()=ROW(MnthlyRehabUnits)))/12</f>
        <v>0</v>
      </c>
      <c r="AM78" s="38">
        <f>SUMPRODUCT(Yr1to3AnnualRehabInput*(COLUMN(Yr1to3AnnualRehabInput)-COLUMN(Yr1RehabUnits)+1=ROUNDUP((COLUMN()-COLUMN(Mnth1RehabUnit)+1)/12,))*(ROW()=ROW(MnthlyRehabUnits)))/12</f>
        <v>0</v>
      </c>
      <c r="AN78" s="38">
        <f>SUMPRODUCT(Yr1to3AnnualRehabInput*(COLUMN(Yr1to3AnnualRehabInput)-COLUMN(Yr1RehabUnits)+1=ROUNDUP((COLUMN()-COLUMN(Mnth1RehabUnit)+1)/12,))*(ROW()=ROW(MnthlyRehabUnits)))/12</f>
        <v>0</v>
      </c>
      <c r="AO78" s="38">
        <f>SUMPRODUCT(Yr1to3AnnualRehabInput*(COLUMN(Yr1to3AnnualRehabInput)-COLUMN(Yr1RehabUnits)+1=ROUNDUP((COLUMN()-COLUMN(Mnth1RehabUnit)+1)/12,))*(ROW()=ROW(MnthlyRehabUnits)))/12</f>
        <v>0</v>
      </c>
      <c r="AP78" s="38">
        <f>SUMPRODUCT(Yr1to3AnnualRehabInput*(COLUMN(Yr1to3AnnualRehabInput)-COLUMN(Yr1RehabUnits)+1=ROUNDUP((COLUMN()-COLUMN(Mnth1RehabUnit)+1)/12,))*(ROW()=ROW(MnthlyRehabUnits)))/12</f>
        <v>0</v>
      </c>
      <c r="AQ78" s="38">
        <f>SUMPRODUCT(Yr1to3AnnualRehabInput*(COLUMN(Yr1to3AnnualRehabInput)-COLUMN(Yr1RehabUnits)+1=ROUNDUP((COLUMN()-COLUMN(Mnth1RehabUnit)+1)/12,))*(ROW()=ROW(MnthlyRehabUnits)))/12</f>
        <v>0</v>
      </c>
      <c r="AR78" s="38">
        <f>SUMPRODUCT(Yr1to3AnnualRehabInput*(COLUMN(Yr1to3AnnualRehabInput)-COLUMN(Yr1RehabUnits)+1=ROUNDUP((COLUMN()-COLUMN(Mnth1RehabUnit)+1)/12,))*(ROW()=ROW(MnthlyRehabUnits)))/12</f>
        <v>0</v>
      </c>
      <c r="AS78" s="38">
        <f>SUMPRODUCT(Yr1to3AnnualRehabInput*(COLUMN(Yr1to3AnnualRehabInput)-COLUMN(Yr1RehabUnits)+1=ROUNDUP((COLUMN()-COLUMN(Mnth1RehabUnit)+1)/12,))*(ROW()=ROW(MnthlyRehabUnits)))/12</f>
        <v>0</v>
      </c>
      <c r="AT78" s="38">
        <f>SUMPRODUCT(Yr1to3AnnualRehabInput*(COLUMN(Yr1to3AnnualRehabInput)-COLUMN(Yr1RehabUnits)+1=ROUNDUP((COLUMN()-COLUMN(Mnth1RehabUnit)+1)/12,))*(ROW()=ROW(MnthlyRehabUnits)))/12</f>
        <v>0</v>
      </c>
      <c r="AU78" s="38">
        <f>SUMPRODUCT(Yr1to3AnnualRehabInput*(COLUMN(Yr1to3AnnualRehabInput)-COLUMN(Yr1RehabUnits)+1=ROUNDUP((COLUMN()-COLUMN(Mnth1RehabUnit)+1)/12,))*(ROW()=ROW(MnthlyRehabUnits)))/12</f>
        <v>0</v>
      </c>
      <c r="AV78" s="38">
        <f>SUMPRODUCT(Yr1to3AnnualRehabInput*(COLUMN(Yr1to3AnnualRehabInput)-COLUMN(Yr1RehabUnits)+1=ROUNDUP((COLUMN()-COLUMN(Mnth1RehabUnit)+1)/12,))*(ROW()=ROW(MnthlyRehabUnits)))/12</f>
        <v>0</v>
      </c>
      <c r="AW78" s="38">
        <f>SUMPRODUCT(Yr1to3AnnualRehabInput*(COLUMN(Yr1to3AnnualRehabInput)-COLUMN(Yr1RehabUnits)+1=ROUNDUP((COLUMN()-COLUMN(Mnth1RehabUnit)+1)/12,))*(ROW()=ROW(MnthlyRehabUnits)))/12</f>
        <v>0</v>
      </c>
      <c r="AX78" s="38">
        <f>SUMPRODUCT(Yr1to3AnnualRehabInput*(COLUMN(Yr1to3AnnualRehabInput)-COLUMN(Yr1RehabUnits)+1=ROUNDUP((COLUMN()-COLUMN(Mnth1RehabUnit)+1)/12,))*(ROW()=ROW(MnthlyRehabUnits)))/12</f>
        <v>0</v>
      </c>
      <c r="AY78" s="38">
        <f>SUMPRODUCT(Yr1to3AnnualRehabInput*(COLUMN(Yr1to3AnnualRehabInput)-COLUMN(Yr1RehabUnits)+1=ROUNDUP((COLUMN()-COLUMN(Mnth1RehabUnit)+1)/12,))*(ROW()=ROW(MnthlyRehabUnits)))/12</f>
        <v>0</v>
      </c>
      <c r="AZ78" s="38">
        <f>SUMPRODUCT(Yr1to3AnnualRehabInput*(COLUMN(Yr1to3AnnualRehabInput)-COLUMN(Yr1RehabUnits)+1=ROUNDUP((COLUMN()-COLUMN(Mnth1RehabUnit)+1)/12,))*(ROW()=ROW(MnthlyRehabUnits)))/12</f>
        <v>0</v>
      </c>
      <c r="BA78" s="38">
        <f>SUMPRODUCT(Yr1to3AnnualRehabInput*(COLUMN(Yr1to3AnnualRehabInput)-COLUMN(Yr1RehabUnits)+1=ROUNDUP((COLUMN()-COLUMN(Mnth1RehabUnit)+1)/12,))*(ROW()=ROW(MnthlyRehabUnits)))/12</f>
        <v>0</v>
      </c>
      <c r="BB78" s="38">
        <f>SUMPRODUCT(Yr1to3AnnualRehabInput*(COLUMN(Yr1to3AnnualRehabInput)-COLUMN(Yr1RehabUnits)+1=ROUNDUP((COLUMN()-COLUMN(Mnth1RehabUnit)+1)/12,))*(ROW()=ROW(MnthlyRehabUnits)))/12</f>
        <v>0</v>
      </c>
    </row>
    <row r="79" spans="1:54" hidden="1" outlineLevel="1">
      <c r="A79" s="477" t="str">
        <f>IF($O54="","",1)</f>
        <v/>
      </c>
      <c r="B79" s="478" t="str">
        <f>IF(B54="","",B54)&amp;IF(N54&lt;&gt;"","-","")&amp;N54</f>
        <v>3x3.5</v>
      </c>
      <c r="C79" s="32"/>
      <c r="D79" s="479"/>
      <c r="E79" s="417"/>
      <c r="F79" s="480">
        <f>INDEX(StartingMarketRents,ROW()-ROW(RenovationBumps)+1)+RenovationBumps</f>
        <v>1748.76470588235</v>
      </c>
      <c r="G79" s="428">
        <v>0</v>
      </c>
      <c r="H79" s="428">
        <v>0</v>
      </c>
      <c r="I79" s="428">
        <v>0</v>
      </c>
      <c r="J79" s="428">
        <v>0</v>
      </c>
      <c r="K79" s="428">
        <v>0</v>
      </c>
      <c r="L79" s="428">
        <v>0</v>
      </c>
      <c r="M79" s="428">
        <v>0</v>
      </c>
      <c r="N79" s="428">
        <v>0</v>
      </c>
      <c r="O79" s="428">
        <v>0</v>
      </c>
      <c r="P79" s="428">
        <v>0</v>
      </c>
      <c r="Q79" s="481">
        <f>ROUND(SUM(G79:P79),4)</f>
        <v>0</v>
      </c>
      <c r="R79" s="482">
        <f>H54</f>
        <v>17</v>
      </c>
      <c r="S79" s="38">
        <f>SUMPRODUCT(Yr1to3AnnualRehabInput*(COLUMN(Yr1to3AnnualRehabInput)-COLUMN(Yr1RehabUnits)+1=ROUNDUP((COLUMN()-COLUMN(Mnth1RehabUnit)+1)/12,))*(ROW()=ROW(MnthlyRehabUnits)))/12</f>
        <v>0</v>
      </c>
      <c r="T79" s="38">
        <f>SUMPRODUCT(Yr1to3AnnualRehabInput*(COLUMN(Yr1to3AnnualRehabInput)-COLUMN(Yr1RehabUnits)+1=ROUNDUP((COLUMN()-COLUMN(Mnth1RehabUnit)+1)/12,))*(ROW()=ROW(MnthlyRehabUnits)))/12</f>
        <v>0</v>
      </c>
      <c r="U79" s="38">
        <f>SUMPRODUCT(Yr1to3AnnualRehabInput*(COLUMN(Yr1to3AnnualRehabInput)-COLUMN(Yr1RehabUnits)+1=ROUNDUP((COLUMN()-COLUMN(Mnth1RehabUnit)+1)/12,))*(ROW()=ROW(MnthlyRehabUnits)))/12</f>
        <v>0</v>
      </c>
      <c r="V79" s="38">
        <f>SUMPRODUCT(Yr1to3AnnualRehabInput*(COLUMN(Yr1to3AnnualRehabInput)-COLUMN(Yr1RehabUnits)+1=ROUNDUP((COLUMN()-COLUMN(Mnth1RehabUnit)+1)/12,))*(ROW()=ROW(MnthlyRehabUnits)))/12</f>
        <v>0</v>
      </c>
      <c r="W79" s="38">
        <f>SUMPRODUCT(Yr1to3AnnualRehabInput*(COLUMN(Yr1to3AnnualRehabInput)-COLUMN(Yr1RehabUnits)+1=ROUNDUP((COLUMN()-COLUMN(Mnth1RehabUnit)+1)/12,))*(ROW()=ROW(MnthlyRehabUnits)))/12</f>
        <v>0</v>
      </c>
      <c r="X79" s="38">
        <f>SUMPRODUCT(Yr1to3AnnualRehabInput*(COLUMN(Yr1to3AnnualRehabInput)-COLUMN(Yr1RehabUnits)+1=ROUNDUP((COLUMN()-COLUMN(Mnth1RehabUnit)+1)/12,))*(ROW()=ROW(MnthlyRehabUnits)))/12</f>
        <v>0</v>
      </c>
      <c r="Y79" s="38">
        <f>SUMPRODUCT(Yr1to3AnnualRehabInput*(COLUMN(Yr1to3AnnualRehabInput)-COLUMN(Yr1RehabUnits)+1=ROUNDUP((COLUMN()-COLUMN(Mnth1RehabUnit)+1)/12,))*(ROW()=ROW(MnthlyRehabUnits)))/12</f>
        <v>0</v>
      </c>
      <c r="Z79" s="38">
        <f>SUMPRODUCT(Yr1to3AnnualRehabInput*(COLUMN(Yr1to3AnnualRehabInput)-COLUMN(Yr1RehabUnits)+1=ROUNDUP((COLUMN()-COLUMN(Mnth1RehabUnit)+1)/12,))*(ROW()=ROW(MnthlyRehabUnits)))/12</f>
        <v>0</v>
      </c>
      <c r="AA79" s="38">
        <f>SUMPRODUCT(Yr1to3AnnualRehabInput*(COLUMN(Yr1to3AnnualRehabInput)-COLUMN(Yr1RehabUnits)+1=ROUNDUP((COLUMN()-COLUMN(Mnth1RehabUnit)+1)/12,))*(ROW()=ROW(MnthlyRehabUnits)))/12</f>
        <v>0</v>
      </c>
      <c r="AB79" s="38">
        <f>SUMPRODUCT(Yr1to3AnnualRehabInput*(COLUMN(Yr1to3AnnualRehabInput)-COLUMN(Yr1RehabUnits)+1=ROUNDUP((COLUMN()-COLUMN(Mnth1RehabUnit)+1)/12,))*(ROW()=ROW(MnthlyRehabUnits)))/12</f>
        <v>0</v>
      </c>
      <c r="AC79" s="38">
        <f>SUMPRODUCT(Yr1to3AnnualRehabInput*(COLUMN(Yr1to3AnnualRehabInput)-COLUMN(Yr1RehabUnits)+1=ROUNDUP((COLUMN()-COLUMN(Mnth1RehabUnit)+1)/12,))*(ROW()=ROW(MnthlyRehabUnits)))/12</f>
        <v>0</v>
      </c>
      <c r="AD79" s="38">
        <f>SUMPRODUCT(Yr1to3AnnualRehabInput*(COLUMN(Yr1to3AnnualRehabInput)-COLUMN(Yr1RehabUnits)+1=ROUNDUP((COLUMN()-COLUMN(Mnth1RehabUnit)+1)/12,))*(ROW()=ROW(MnthlyRehabUnits)))/12</f>
        <v>0</v>
      </c>
      <c r="AE79" s="38">
        <f>SUMPRODUCT(Yr1to3AnnualRehabInput*(COLUMN(Yr1to3AnnualRehabInput)-COLUMN(Yr1RehabUnits)+1=ROUNDUP((COLUMN()-COLUMN(Mnth1RehabUnit)+1)/12,))*(ROW()=ROW(MnthlyRehabUnits)))/12</f>
        <v>0</v>
      </c>
      <c r="AF79" s="38">
        <f>SUMPRODUCT(Yr1to3AnnualRehabInput*(COLUMN(Yr1to3AnnualRehabInput)-COLUMN(Yr1RehabUnits)+1=ROUNDUP((COLUMN()-COLUMN(Mnth1RehabUnit)+1)/12,))*(ROW()=ROW(MnthlyRehabUnits)))/12</f>
        <v>0</v>
      </c>
      <c r="AG79" s="38">
        <f>SUMPRODUCT(Yr1to3AnnualRehabInput*(COLUMN(Yr1to3AnnualRehabInput)-COLUMN(Yr1RehabUnits)+1=ROUNDUP((COLUMN()-COLUMN(Mnth1RehabUnit)+1)/12,))*(ROW()=ROW(MnthlyRehabUnits)))/12</f>
        <v>0</v>
      </c>
      <c r="AH79" s="38">
        <f>SUMPRODUCT(Yr1to3AnnualRehabInput*(COLUMN(Yr1to3AnnualRehabInput)-COLUMN(Yr1RehabUnits)+1=ROUNDUP((COLUMN()-COLUMN(Mnth1RehabUnit)+1)/12,))*(ROW()=ROW(MnthlyRehabUnits)))/12</f>
        <v>0</v>
      </c>
      <c r="AI79" s="38">
        <f>SUMPRODUCT(Yr1to3AnnualRehabInput*(COLUMN(Yr1to3AnnualRehabInput)-COLUMN(Yr1RehabUnits)+1=ROUNDUP((COLUMN()-COLUMN(Mnth1RehabUnit)+1)/12,))*(ROW()=ROW(MnthlyRehabUnits)))/12</f>
        <v>0</v>
      </c>
      <c r="AJ79" s="38">
        <f>SUMPRODUCT(Yr1to3AnnualRehabInput*(COLUMN(Yr1to3AnnualRehabInput)-COLUMN(Yr1RehabUnits)+1=ROUNDUP((COLUMN()-COLUMN(Mnth1RehabUnit)+1)/12,))*(ROW()=ROW(MnthlyRehabUnits)))/12</f>
        <v>0</v>
      </c>
      <c r="AK79" s="38">
        <f>SUMPRODUCT(Yr1to3AnnualRehabInput*(COLUMN(Yr1to3AnnualRehabInput)-COLUMN(Yr1RehabUnits)+1=ROUNDUP((COLUMN()-COLUMN(Mnth1RehabUnit)+1)/12,))*(ROW()=ROW(MnthlyRehabUnits)))/12</f>
        <v>0</v>
      </c>
      <c r="AL79" s="38">
        <f>SUMPRODUCT(Yr1to3AnnualRehabInput*(COLUMN(Yr1to3AnnualRehabInput)-COLUMN(Yr1RehabUnits)+1=ROUNDUP((COLUMN()-COLUMN(Mnth1RehabUnit)+1)/12,))*(ROW()=ROW(MnthlyRehabUnits)))/12</f>
        <v>0</v>
      </c>
      <c r="AM79" s="38">
        <f>SUMPRODUCT(Yr1to3AnnualRehabInput*(COLUMN(Yr1to3AnnualRehabInput)-COLUMN(Yr1RehabUnits)+1=ROUNDUP((COLUMN()-COLUMN(Mnth1RehabUnit)+1)/12,))*(ROW()=ROW(MnthlyRehabUnits)))/12</f>
        <v>0</v>
      </c>
      <c r="AN79" s="38">
        <f>SUMPRODUCT(Yr1to3AnnualRehabInput*(COLUMN(Yr1to3AnnualRehabInput)-COLUMN(Yr1RehabUnits)+1=ROUNDUP((COLUMN()-COLUMN(Mnth1RehabUnit)+1)/12,))*(ROW()=ROW(MnthlyRehabUnits)))/12</f>
        <v>0</v>
      </c>
      <c r="AO79" s="38">
        <f>SUMPRODUCT(Yr1to3AnnualRehabInput*(COLUMN(Yr1to3AnnualRehabInput)-COLUMN(Yr1RehabUnits)+1=ROUNDUP((COLUMN()-COLUMN(Mnth1RehabUnit)+1)/12,))*(ROW()=ROW(MnthlyRehabUnits)))/12</f>
        <v>0</v>
      </c>
      <c r="AP79" s="38">
        <f>SUMPRODUCT(Yr1to3AnnualRehabInput*(COLUMN(Yr1to3AnnualRehabInput)-COLUMN(Yr1RehabUnits)+1=ROUNDUP((COLUMN()-COLUMN(Mnth1RehabUnit)+1)/12,))*(ROW()=ROW(MnthlyRehabUnits)))/12</f>
        <v>0</v>
      </c>
      <c r="AQ79" s="38">
        <f>SUMPRODUCT(Yr1to3AnnualRehabInput*(COLUMN(Yr1to3AnnualRehabInput)-COLUMN(Yr1RehabUnits)+1=ROUNDUP((COLUMN()-COLUMN(Mnth1RehabUnit)+1)/12,))*(ROW()=ROW(MnthlyRehabUnits)))/12</f>
        <v>0</v>
      </c>
      <c r="AR79" s="38">
        <f>SUMPRODUCT(Yr1to3AnnualRehabInput*(COLUMN(Yr1to3AnnualRehabInput)-COLUMN(Yr1RehabUnits)+1=ROUNDUP((COLUMN()-COLUMN(Mnth1RehabUnit)+1)/12,))*(ROW()=ROW(MnthlyRehabUnits)))/12</f>
        <v>0</v>
      </c>
      <c r="AS79" s="38">
        <f>SUMPRODUCT(Yr1to3AnnualRehabInput*(COLUMN(Yr1to3AnnualRehabInput)-COLUMN(Yr1RehabUnits)+1=ROUNDUP((COLUMN()-COLUMN(Mnth1RehabUnit)+1)/12,))*(ROW()=ROW(MnthlyRehabUnits)))/12</f>
        <v>0</v>
      </c>
      <c r="AT79" s="38">
        <f>SUMPRODUCT(Yr1to3AnnualRehabInput*(COLUMN(Yr1to3AnnualRehabInput)-COLUMN(Yr1RehabUnits)+1=ROUNDUP((COLUMN()-COLUMN(Mnth1RehabUnit)+1)/12,))*(ROW()=ROW(MnthlyRehabUnits)))/12</f>
        <v>0</v>
      </c>
      <c r="AU79" s="38">
        <f>SUMPRODUCT(Yr1to3AnnualRehabInput*(COLUMN(Yr1to3AnnualRehabInput)-COLUMN(Yr1RehabUnits)+1=ROUNDUP((COLUMN()-COLUMN(Mnth1RehabUnit)+1)/12,))*(ROW()=ROW(MnthlyRehabUnits)))/12</f>
        <v>0</v>
      </c>
      <c r="AV79" s="38">
        <f>SUMPRODUCT(Yr1to3AnnualRehabInput*(COLUMN(Yr1to3AnnualRehabInput)-COLUMN(Yr1RehabUnits)+1=ROUNDUP((COLUMN()-COLUMN(Mnth1RehabUnit)+1)/12,))*(ROW()=ROW(MnthlyRehabUnits)))/12</f>
        <v>0</v>
      </c>
      <c r="AW79" s="38">
        <f>SUMPRODUCT(Yr1to3AnnualRehabInput*(COLUMN(Yr1to3AnnualRehabInput)-COLUMN(Yr1RehabUnits)+1=ROUNDUP((COLUMN()-COLUMN(Mnth1RehabUnit)+1)/12,))*(ROW()=ROW(MnthlyRehabUnits)))/12</f>
        <v>0</v>
      </c>
      <c r="AX79" s="38">
        <f>SUMPRODUCT(Yr1to3AnnualRehabInput*(COLUMN(Yr1to3AnnualRehabInput)-COLUMN(Yr1RehabUnits)+1=ROUNDUP((COLUMN()-COLUMN(Mnth1RehabUnit)+1)/12,))*(ROW()=ROW(MnthlyRehabUnits)))/12</f>
        <v>0</v>
      </c>
      <c r="AY79" s="38">
        <f>SUMPRODUCT(Yr1to3AnnualRehabInput*(COLUMN(Yr1to3AnnualRehabInput)-COLUMN(Yr1RehabUnits)+1=ROUNDUP((COLUMN()-COLUMN(Mnth1RehabUnit)+1)/12,))*(ROW()=ROW(MnthlyRehabUnits)))/12</f>
        <v>0</v>
      </c>
      <c r="AZ79" s="38">
        <f>SUMPRODUCT(Yr1to3AnnualRehabInput*(COLUMN(Yr1to3AnnualRehabInput)-COLUMN(Yr1RehabUnits)+1=ROUNDUP((COLUMN()-COLUMN(Mnth1RehabUnit)+1)/12,))*(ROW()=ROW(MnthlyRehabUnits)))/12</f>
        <v>0</v>
      </c>
      <c r="BA79" s="38">
        <f>SUMPRODUCT(Yr1to3AnnualRehabInput*(COLUMN(Yr1to3AnnualRehabInput)-COLUMN(Yr1RehabUnits)+1=ROUNDUP((COLUMN()-COLUMN(Mnth1RehabUnit)+1)/12,))*(ROW()=ROW(MnthlyRehabUnits)))/12</f>
        <v>0</v>
      </c>
      <c r="BB79" s="38">
        <f>SUMPRODUCT(Yr1to3AnnualRehabInput*(COLUMN(Yr1to3AnnualRehabInput)-COLUMN(Yr1RehabUnits)+1=ROUNDUP((COLUMN()-COLUMN(Mnth1RehabUnit)+1)/12,))*(ROW()=ROW(MnthlyRehabUnits)))/12</f>
        <v>0</v>
      </c>
    </row>
    <row r="80" spans="1:54" ht="4.5" hidden="1" customHeight="1" outlineLevel="1">
      <c r="B80" s="36"/>
      <c r="C80" s="37"/>
      <c r="D80" s="37"/>
      <c r="E80" s="483"/>
      <c r="F80" s="481"/>
      <c r="G80" s="428"/>
      <c r="H80" s="428"/>
      <c r="I80" s="428"/>
      <c r="J80" s="428"/>
      <c r="K80" s="428"/>
      <c r="L80" s="428"/>
      <c r="M80" s="428"/>
      <c r="N80" s="428"/>
      <c r="O80" s="428"/>
      <c r="P80" s="428"/>
      <c r="Q80" s="484"/>
      <c r="R80" s="485"/>
      <c r="S80" s="428"/>
      <c r="T80" s="428"/>
      <c r="U80" s="428"/>
      <c r="V80" s="428"/>
      <c r="W80" s="428"/>
      <c r="X80" s="428"/>
      <c r="Y80" s="428"/>
      <c r="Z80" s="428"/>
      <c r="AA80" s="428"/>
      <c r="AB80" s="428"/>
      <c r="AC80" s="428"/>
      <c r="AD80" s="428"/>
      <c r="AE80" s="428"/>
      <c r="AF80" s="428"/>
      <c r="AG80" s="428"/>
      <c r="AH80" s="428"/>
      <c r="AI80" s="428"/>
      <c r="AJ80" s="428"/>
      <c r="AK80" s="428"/>
      <c r="AL80" s="428"/>
      <c r="AM80" s="428"/>
      <c r="AN80" s="428"/>
      <c r="AO80" s="428"/>
      <c r="AP80" s="428"/>
      <c r="AQ80" s="428"/>
      <c r="AR80" s="428"/>
      <c r="AS80" s="428"/>
      <c r="AT80" s="428"/>
      <c r="AU80" s="428"/>
      <c r="AV80" s="428"/>
      <c r="AW80" s="428"/>
      <c r="AX80" s="428"/>
      <c r="AY80" s="428"/>
      <c r="AZ80" s="428"/>
      <c r="BA80" s="428"/>
      <c r="BB80" s="428"/>
    </row>
    <row r="81" spans="2:54" hidden="1" outlineLevel="1">
      <c r="B81" s="438" t="s">
        <v>331</v>
      </c>
      <c r="C81" s="383"/>
      <c r="D81" s="380">
        <f>IFERROR(SUMPRODUCT(D78:D80,$Q$78:$Q$80)/SUMPRODUCT(Q78:Q80*(D78:D80&gt;0)),)</f>
        <v>0</v>
      </c>
      <c r="E81" s="380">
        <f>IFERROR(SUMPRODUCT(E78:E80,$Q$78:$Q$80)/SUMPRODUCT(Q78:Q80*(E78:E80&gt;0)),)</f>
        <v>0</v>
      </c>
      <c r="F81" s="486">
        <f>IFERROR(SUMPRODUCT(F78:F80,$Q$78:$Q$80)/SUMPRODUCT(Q78:Q80*(F78:F80&gt;0)),)</f>
        <v>0</v>
      </c>
      <c r="G81" s="441">
        <f t="shared" ref="G81:BB81" si="10">SUM(G78:G80)</f>
        <v>0</v>
      </c>
      <c r="H81" s="441">
        <f t="shared" si="10"/>
        <v>0</v>
      </c>
      <c r="I81" s="441">
        <f t="shared" si="10"/>
        <v>0</v>
      </c>
      <c r="J81" s="441">
        <f t="shared" si="10"/>
        <v>0</v>
      </c>
      <c r="K81" s="441">
        <f t="shared" si="10"/>
        <v>0</v>
      </c>
      <c r="L81" s="441">
        <f t="shared" si="10"/>
        <v>0</v>
      </c>
      <c r="M81" s="441">
        <f t="shared" si="10"/>
        <v>0</v>
      </c>
      <c r="N81" s="441">
        <f t="shared" si="10"/>
        <v>0</v>
      </c>
      <c r="O81" s="441">
        <f t="shared" si="10"/>
        <v>0</v>
      </c>
      <c r="P81" s="441">
        <f t="shared" si="10"/>
        <v>0</v>
      </c>
      <c r="Q81" s="487">
        <f t="shared" si="10"/>
        <v>0</v>
      </c>
      <c r="R81" s="488">
        <f t="shared" si="10"/>
        <v>80</v>
      </c>
      <c r="S81" s="441">
        <f t="shared" si="10"/>
        <v>0</v>
      </c>
      <c r="T81" s="441">
        <f t="shared" si="10"/>
        <v>0</v>
      </c>
      <c r="U81" s="441">
        <f t="shared" si="10"/>
        <v>0</v>
      </c>
      <c r="V81" s="441">
        <f t="shared" si="10"/>
        <v>0</v>
      </c>
      <c r="W81" s="441">
        <f t="shared" si="10"/>
        <v>0</v>
      </c>
      <c r="X81" s="441">
        <f t="shared" si="10"/>
        <v>0</v>
      </c>
      <c r="Y81" s="441">
        <f t="shared" si="10"/>
        <v>0</v>
      </c>
      <c r="Z81" s="441">
        <f t="shared" si="10"/>
        <v>0</v>
      </c>
      <c r="AA81" s="441">
        <f t="shared" si="10"/>
        <v>0</v>
      </c>
      <c r="AB81" s="441">
        <f t="shared" si="10"/>
        <v>0</v>
      </c>
      <c r="AC81" s="441">
        <f t="shared" si="10"/>
        <v>0</v>
      </c>
      <c r="AD81" s="441">
        <f t="shared" si="10"/>
        <v>0</v>
      </c>
      <c r="AE81" s="441">
        <f t="shared" si="10"/>
        <v>0</v>
      </c>
      <c r="AF81" s="441">
        <f t="shared" si="10"/>
        <v>0</v>
      </c>
      <c r="AG81" s="441">
        <f t="shared" si="10"/>
        <v>0</v>
      </c>
      <c r="AH81" s="441">
        <f t="shared" si="10"/>
        <v>0</v>
      </c>
      <c r="AI81" s="441">
        <f t="shared" si="10"/>
        <v>0</v>
      </c>
      <c r="AJ81" s="441">
        <f t="shared" si="10"/>
        <v>0</v>
      </c>
      <c r="AK81" s="441">
        <f t="shared" si="10"/>
        <v>0</v>
      </c>
      <c r="AL81" s="441">
        <f t="shared" si="10"/>
        <v>0</v>
      </c>
      <c r="AM81" s="441">
        <f t="shared" si="10"/>
        <v>0</v>
      </c>
      <c r="AN81" s="441">
        <f t="shared" si="10"/>
        <v>0</v>
      </c>
      <c r="AO81" s="441">
        <f t="shared" si="10"/>
        <v>0</v>
      </c>
      <c r="AP81" s="441">
        <f t="shared" si="10"/>
        <v>0</v>
      </c>
      <c r="AQ81" s="441">
        <f t="shared" si="10"/>
        <v>0</v>
      </c>
      <c r="AR81" s="441">
        <f t="shared" si="10"/>
        <v>0</v>
      </c>
      <c r="AS81" s="441">
        <f t="shared" si="10"/>
        <v>0</v>
      </c>
      <c r="AT81" s="441">
        <f t="shared" si="10"/>
        <v>0</v>
      </c>
      <c r="AU81" s="441">
        <f t="shared" si="10"/>
        <v>0</v>
      </c>
      <c r="AV81" s="441">
        <f t="shared" si="10"/>
        <v>0</v>
      </c>
      <c r="AW81" s="441">
        <f t="shared" si="10"/>
        <v>0</v>
      </c>
      <c r="AX81" s="441">
        <f t="shared" si="10"/>
        <v>0</v>
      </c>
      <c r="AY81" s="441">
        <f t="shared" si="10"/>
        <v>0</v>
      </c>
      <c r="AZ81" s="441">
        <f t="shared" si="10"/>
        <v>0</v>
      </c>
      <c r="BA81" s="441">
        <f t="shared" si="10"/>
        <v>0</v>
      </c>
      <c r="BB81" s="441">
        <f t="shared" si="10"/>
        <v>0</v>
      </c>
    </row>
    <row r="82" spans="2:54" hidden="1" outlineLevel="1">
      <c r="B82" s="37"/>
      <c r="C82" s="37"/>
      <c r="D82" s="37"/>
      <c r="E82" s="37"/>
      <c r="F82" s="37"/>
      <c r="G82" s="37"/>
      <c r="H82" s="37"/>
      <c r="I82" s="37"/>
      <c r="J82" s="37"/>
      <c r="K82" s="37"/>
      <c r="L82" s="37"/>
      <c r="M82" s="37"/>
      <c r="N82" s="37"/>
      <c r="O82" s="37"/>
      <c r="P82" s="37"/>
      <c r="Q82" s="37"/>
      <c r="R82"/>
      <c r="S82" s="37"/>
      <c r="T82" s="37"/>
      <c r="U82" s="37"/>
      <c r="V82" s="37"/>
      <c r="W82" s="37"/>
      <c r="X82" s="37"/>
      <c r="Y82" s="37"/>
      <c r="Z82" s="37"/>
      <c r="AA82" s="37"/>
      <c r="AB82" s="37"/>
      <c r="AC82" s="37"/>
      <c r="AD82" s="37"/>
      <c r="AE82" s="37"/>
      <c r="AF82" s="37"/>
      <c r="AG82" s="37"/>
      <c r="AH82" s="37"/>
      <c r="AI82" s="37"/>
      <c r="AJ82" s="37"/>
      <c r="AK82" s="37"/>
      <c r="AL82" s="37"/>
      <c r="AM82" s="37"/>
      <c r="AN82" s="37"/>
      <c r="AO82" s="37"/>
      <c r="AP82" s="37"/>
      <c r="AQ82" s="37"/>
      <c r="AR82" s="37"/>
      <c r="AS82" s="37"/>
      <c r="AT82" s="37"/>
      <c r="AU82" s="37"/>
      <c r="AV82" s="37"/>
      <c r="AW82" s="37"/>
      <c r="AX82" s="37"/>
      <c r="AY82" s="37"/>
      <c r="AZ82" s="37"/>
      <c r="BA82" s="37"/>
      <c r="BB82" s="37"/>
    </row>
    <row r="83" spans="2:54" hidden="1" outlineLevel="1">
      <c r="B83" s="36" t="s">
        <v>349</v>
      </c>
      <c r="C83" s="37"/>
      <c r="D83" s="1333" t="s">
        <v>350</v>
      </c>
      <c r="E83" s="1333"/>
      <c r="F83" s="37"/>
      <c r="G83" s="36" t="s">
        <v>351</v>
      </c>
      <c r="H83" s="37"/>
      <c r="I83" s="37"/>
      <c r="J83" s="489"/>
      <c r="K83" s="37"/>
      <c r="L83" s="37"/>
      <c r="M83" s="37"/>
      <c r="N83" s="37"/>
      <c r="O83" s="37"/>
      <c r="P83" s="37"/>
      <c r="Q83" s="37"/>
      <c r="R83"/>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row>
    <row r="84" spans="2:54" hidden="1" outlineLevel="1">
      <c r="B84" s="37"/>
      <c r="C84" s="37"/>
      <c r="D84" s="37"/>
      <c r="E84" s="37"/>
      <c r="F84" s="37"/>
      <c r="G84" s="37"/>
      <c r="H84" s="37"/>
      <c r="I84" s="37"/>
      <c r="J84" s="37"/>
      <c r="K84" s="37"/>
      <c r="L84" s="37"/>
      <c r="M84" s="37"/>
      <c r="N84" s="37"/>
      <c r="O84" s="37"/>
      <c r="P84" s="37"/>
      <c r="Q84" s="37"/>
      <c r="R84"/>
      <c r="S84" s="37"/>
      <c r="T84" s="37"/>
      <c r="U84" s="37"/>
      <c r="V84" s="37"/>
      <c r="W84" s="37"/>
      <c r="X84" s="37"/>
      <c r="Y84" s="37"/>
      <c r="Z84" s="37"/>
      <c r="AA84" s="37"/>
      <c r="AB84" s="37"/>
      <c r="AC84" s="37"/>
      <c r="AD84" s="37"/>
      <c r="AE84" s="37"/>
      <c r="AF84" s="37"/>
      <c r="AG84" s="37"/>
      <c r="AH84" s="37"/>
      <c r="AI84" s="37"/>
      <c r="AJ84" s="37"/>
      <c r="AK84" s="37"/>
      <c r="AL84" s="37"/>
      <c r="AM84" s="37"/>
      <c r="AN84" s="37"/>
      <c r="AO84" s="37"/>
      <c r="AP84" s="37"/>
      <c r="AQ84" s="37"/>
      <c r="AR84" s="37"/>
      <c r="AS84" s="37"/>
      <c r="AT84" s="37"/>
      <c r="AU84" s="37"/>
      <c r="AV84" s="37"/>
      <c r="AW84" s="37"/>
      <c r="AX84" s="37"/>
      <c r="AY84" s="37"/>
      <c r="AZ84" s="37"/>
      <c r="BA84" s="37"/>
      <c r="BB84" s="37"/>
    </row>
    <row r="85" spans="2:54" hidden="1" outlineLevel="1">
      <c r="B85" s="386" t="s">
        <v>352</v>
      </c>
      <c r="C85" s="37"/>
      <c r="D85" s="37"/>
      <c r="E85" s="37"/>
      <c r="F85" s="37"/>
      <c r="G85" s="37"/>
      <c r="H85" s="37"/>
      <c r="I85" s="37"/>
      <c r="J85" s="37"/>
      <c r="K85" s="37"/>
      <c r="L85" s="37"/>
      <c r="M85" s="37"/>
      <c r="N85" s="37"/>
      <c r="O85" s="37"/>
      <c r="P85" s="37"/>
      <c r="Q85" s="37"/>
      <c r="S85" s="37"/>
      <c r="T85" s="37"/>
      <c r="U85" s="37"/>
      <c r="V85" s="37"/>
      <c r="W85" s="37"/>
      <c r="X85" s="37"/>
      <c r="Y85" s="37"/>
      <c r="Z85" s="37"/>
      <c r="AA85" s="37"/>
      <c r="AB85" s="37"/>
      <c r="AC85" s="37"/>
      <c r="AD85" s="37"/>
      <c r="AE85" s="37"/>
      <c r="AF85" s="37"/>
      <c r="AG85" s="37"/>
      <c r="AH85" s="37"/>
      <c r="AI85" s="37"/>
      <c r="AJ85" s="37"/>
      <c r="AK85" s="37"/>
      <c r="AL85" s="37"/>
      <c r="AM85" s="37"/>
      <c r="AN85" s="37"/>
      <c r="AO85" s="37"/>
      <c r="AP85" s="37"/>
      <c r="AQ85" s="37"/>
      <c r="AR85" s="37"/>
      <c r="AS85" s="37"/>
      <c r="AT85" s="37"/>
      <c r="AU85" s="37"/>
      <c r="AV85" s="37"/>
      <c r="AW85" s="37"/>
      <c r="AX85" s="37"/>
      <c r="AY85" s="37"/>
      <c r="AZ85" s="37"/>
      <c r="BA85" s="37"/>
      <c r="BB85" s="37"/>
    </row>
    <row r="86" spans="2:54" hidden="1" outlineLevel="1"/>
    <row r="87" spans="2:54" hidden="1" outlineLevel="1">
      <c r="F87" s="388"/>
    </row>
    <row r="88" spans="2:54" outlineLevel="1">
      <c r="B88" s="1043" t="s">
        <v>38</v>
      </c>
      <c r="C88" s="196"/>
      <c r="D88" s="196"/>
      <c r="E88" s="196"/>
      <c r="F88" s="196"/>
      <c r="G88" s="196"/>
      <c r="H88" s="196"/>
      <c r="I88" s="196"/>
      <c r="J88" s="196"/>
      <c r="K88" s="196"/>
      <c r="L88" s="196"/>
      <c r="M88" s="196"/>
      <c r="N88" s="196"/>
      <c r="O88" s="196"/>
      <c r="P88" s="196"/>
      <c r="Q88" s="196"/>
    </row>
    <row r="89" spans="2:54" outlineLevel="1">
      <c r="B89" s="1059" t="s">
        <v>353</v>
      </c>
      <c r="C89" s="405"/>
      <c r="D89" s="475"/>
      <c r="E89" s="475"/>
      <c r="F89" s="1120">
        <v>0</v>
      </c>
      <c r="G89" s="1110">
        <f t="shared" ref="G89:Q89" si="11">F89+1</f>
        <v>1</v>
      </c>
      <c r="H89" s="1110">
        <f t="shared" si="11"/>
        <v>2</v>
      </c>
      <c r="I89" s="1110">
        <f t="shared" si="11"/>
        <v>3</v>
      </c>
      <c r="J89" s="1110">
        <f t="shared" si="11"/>
        <v>4</v>
      </c>
      <c r="K89" s="1110">
        <f t="shared" si="11"/>
        <v>5</v>
      </c>
      <c r="L89" s="1110">
        <f t="shared" si="11"/>
        <v>6</v>
      </c>
      <c r="M89" s="1110">
        <f t="shared" si="11"/>
        <v>7</v>
      </c>
      <c r="N89" s="1110">
        <f t="shared" si="11"/>
        <v>8</v>
      </c>
      <c r="O89" s="1110">
        <f t="shared" si="11"/>
        <v>9</v>
      </c>
      <c r="P89" s="1110">
        <f t="shared" si="11"/>
        <v>10</v>
      </c>
      <c r="Q89" s="1110">
        <f t="shared" si="11"/>
        <v>11</v>
      </c>
    </row>
    <row r="90" spans="2:54" outlineLevel="1">
      <c r="B90" s="32" t="str">
        <f>IF(IsRenov,"Minimum Vacancy (% of Market)","Vacancy (% of Market)")</f>
        <v>Vacancy (% of Market)</v>
      </c>
      <c r="C90" s="27"/>
      <c r="D90" s="490"/>
      <c r="E90" s="491" t="str">
        <f>CHOOSE(33-RevenueInpMethodType,"from Rent Roll","from Rent Roll",CHOOSE(33-RevenueInpMethodTypeOverride,IF(AND(AreSameNumberOfUnits,GenValidation!$Y$126,GenValidation!$AD$126),"from Rent Roll",IF(OR($J$56,$K$56,$L$56),"from Floor Plans",IF(IsHistoricalComponent,"from Historicals",""))),IF(AND(AreSameNumberOfUnitsOld,GenValidation!$Y$132,GenValidation!$AD$132),"from Rent Roll",IF(OR($J$56,$K$56,$L$56),"from Floor Plans",IF(IsHistoricalComponent,"from Historicals",""))),IF(OR($J$56,$K$56,$L$56),"from Floor Plans",IF(IsHistoricalComponent,"from Historicals",""))))</f>
        <v>from Floor Plans</v>
      </c>
      <c r="F90" s="492">
        <f>IFERROR(CHOOSE(33-RevenueInpMethodType,RentRollVacancyRate,VacancyRateOldRR,CHOOSE(33-RevenueInpMethodTypeOverride,IF(AND(AreSameNumberOfUnits,GenValidation!Y126,GenValidation!AD126),RentRollVacancyRate,IF(OR($J$56,$K$56,$L$56),SUMPRODUCT($L$53:$L$54,$J$53:$J$54)/SUMPRODUCT($H$53:$H$54,$L$53:$L$54),-'Adjustments &amp; Notes'!$D$16/'Adjustments &amp; Notes'!$D$12)),IF(AND(AreSameNumberOfUnitsOld,GenValidation!Y132,GenValidation!AD132),VacancyRateOldRR,IF(OR($J$56,$K$56,$L$56),SUMPRODUCT($L$53:$L$54,$J$53:$J$54)/SUMPRODUCT($H$53:$H$54,$L$53:$L$54),-'Adjustments &amp; Notes'!$D$16/'Adjustments &amp; Notes'!$D$12)),IF(OR($J$56,$K$56,$L$56),SUMPRODUCT($L$53:$L$54,$J$53:$J$54)/SUMPRODUCT($H$53:$H$54,$L$53:$L$54),-'Adjustments &amp; Notes'!$D$16/'Adjustments &amp; Notes'!$D$12))),)</f>
        <v>8.6390464644045692E-2</v>
      </c>
      <c r="G90" s="1382">
        <v>0.05</v>
      </c>
      <c r="H90" s="465">
        <f t="shared" ref="H90:Q90" si="12">G90</f>
        <v>0.05</v>
      </c>
      <c r="I90" s="493">
        <f t="shared" si="12"/>
        <v>0.05</v>
      </c>
      <c r="J90" s="493">
        <f t="shared" si="12"/>
        <v>0.05</v>
      </c>
      <c r="K90" s="493">
        <f t="shared" si="12"/>
        <v>0.05</v>
      </c>
      <c r="L90" s="493">
        <f t="shared" si="12"/>
        <v>0.05</v>
      </c>
      <c r="M90" s="493">
        <f t="shared" si="12"/>
        <v>0.05</v>
      </c>
      <c r="N90" s="493">
        <f t="shared" si="12"/>
        <v>0.05</v>
      </c>
      <c r="O90" s="493">
        <f t="shared" si="12"/>
        <v>0.05</v>
      </c>
      <c r="P90" s="493">
        <f t="shared" si="12"/>
        <v>0.05</v>
      </c>
      <c r="Q90" s="493">
        <f t="shared" si="12"/>
        <v>0.05</v>
      </c>
    </row>
    <row r="91" spans="2:54" outlineLevel="1">
      <c r="B91" s="494" t="s">
        <v>354</v>
      </c>
      <c r="C91" s="90"/>
      <c r="D91" s="90"/>
      <c r="E91" s="495" t="str">
        <f>CHOOSE(33-RevenueInpMethodType,"from Rent Roll","from Rent Roll",CHOOSE(33-RevenueInpMethodTypeOverride,IF(AND(AreSameNumberOfUnits,GenValidation!$Z$126,GenValidation!$AD$126),"from Rent Roll",IF(OR($J$56,$K$56,$L$56),"from Floor Plans",IF(IsHistoricalComponent,"from Historicals",""))),IF(AND(AreSameNumberOfUnitsOld,GenValidation!$Z$132,GenValidation!$AD$132),"from Rent Roll",IF(OR($J$56,$K$56,$L$56),"from Floor Plans",IF(IsHistoricalComponent,"from Historicals",""))),IF(OR($J$56,$K$56,$L$56),"from Floor Plans",IF(IsHistoricalComponent,"from Historicals",""))))</f>
        <v>from Floor Plans</v>
      </c>
      <c r="F91" s="496">
        <f>IFERROR(CHOOSE(33-RevenueInpMethodType,RentRollNonRevenueRate,NonRevenueRateOldRR,CHOOSE(33-RevenueInpMethodTypeOverride,IF(AND(AreSameNumberOfUnits,GenValidation!Z126,GenValidation!AD126),RentRollNonRevenueRate,IF(OR($J$56,$K$56,$L$56),SUMPRODUCT($L$53:$L$54,$K$53:$K$54)/SUMPRODUCT($H$53:$H$54,$L$53:$L$54),-'Adjustments &amp; Notes'!$D$18/'Adjustments &amp; Notes'!$D$12)),IF(AND(AreSameNumberOfUnitsOld,GenValidation!Z132,GenValidation!AD132),NonRevenueRateOldRR,IF(OR($J$56,$K$56,$L$56),SUMPRODUCT($L$53:$L$54,$K$53:$K$54)/SUMPRODUCT($H$53:$H$54,$L$53:$L$54),-'Adjustments &amp; Notes'!$D$18/'Adjustments &amp; Notes'!$D$12)),IF(OR($J$56,$K$56,$L$56),SUMPRODUCT($L$53:$L$54,$K$53:$K$54)/SUMPRODUCT($H$53:$H$54,$L$53:$L$54),-'Adjustments &amp; Notes'!$D$18/'Adjustments &amp; Notes'!$D$12))),)</f>
        <v>1.2341494949149386E-2</v>
      </c>
      <c r="G91" s="497">
        <f t="shared" ref="G91:Q91" si="13">F91</f>
        <v>1.2341494949149386E-2</v>
      </c>
      <c r="H91" s="497">
        <f t="shared" si="13"/>
        <v>1.2341494949149386E-2</v>
      </c>
      <c r="I91" s="497">
        <f t="shared" si="13"/>
        <v>1.2341494949149386E-2</v>
      </c>
      <c r="J91" s="497">
        <f t="shared" si="13"/>
        <v>1.2341494949149386E-2</v>
      </c>
      <c r="K91" s="497">
        <f t="shared" si="13"/>
        <v>1.2341494949149386E-2</v>
      </c>
      <c r="L91" s="497">
        <f t="shared" si="13"/>
        <v>1.2341494949149386E-2</v>
      </c>
      <c r="M91" s="497">
        <f t="shared" si="13"/>
        <v>1.2341494949149386E-2</v>
      </c>
      <c r="N91" s="497">
        <f t="shared" si="13"/>
        <v>1.2341494949149386E-2</v>
      </c>
      <c r="O91" s="497">
        <f t="shared" si="13"/>
        <v>1.2341494949149386E-2</v>
      </c>
      <c r="P91" s="497">
        <f t="shared" si="13"/>
        <v>1.2341494949149386E-2</v>
      </c>
      <c r="Q91" s="497">
        <f t="shared" si="13"/>
        <v>1.2341494949149386E-2</v>
      </c>
    </row>
    <row r="92" spans="2:54" outlineLevel="1">
      <c r="B92" s="32" t="s">
        <v>355</v>
      </c>
      <c r="C92" s="27"/>
      <c r="D92" s="490"/>
      <c r="E92" s="491" t="str">
        <f>CHOOSE(33-RevenueInpMethodType,"from Rent Roll","from Rent Roll",CHOOSE(33-RevenueInpMethodTypeOverride,IF(AND(AreSameNumberOfUnits,GenValidation!X126,GenValidation!AC126,GenValidation!AD126),"from Rent Roll",IF($M$56,"from Floor Plans",IF(IsHistoricalComponent,"from Historicals",""))),IF(AND(AreSameNumberOfUnitsOld,GenValidation!X132,GenValidation!AC132,GenValidation!AD132),"from Rent Roll",IF($M$56,"from Floor Plans",IF(IsHistoricalComponent,"from Historicals",""))),IF($M$56,"from Floor Plans",IF(IsHistoricalComponent,"from Historicals",""))))</f>
        <v>from Floor Plans</v>
      </c>
      <c r="F92" s="492">
        <f>IFERROR(CHOOSE(33-RevenueInpMethodType,RentRollLTLRate,LossToLeaseOldRR,CHOOSE(33-RevenueInpMethodTypeOverride,IF(AND(AreSameNumberOfUnits,GenValidation!X126,GenValidation!AC126,GenValidation!AD126),RentRollLTLRate,IF($M$56,SUMPRODUCT($I$53:$I$54,$L$53:$L$54-$M$53:$M$54)/SUMPRODUCT($H$53:$H$54,$L$53:$L$54),-'Adjustments &amp; Notes'!$D$13/'Adjustments &amp; Notes'!$D$12)),IF(AND(AreSameNumberOfUnitsOld,GenValidation!X132,GenValidation!AC132,GenValidation!AD132),LossToLeaseOldRR,IF($M$56,SUMPRODUCT($I$53:$I$54,$L$53:$L$54-$M$53:$M$54)/SUMPRODUCT($H$53:$H$54,$L$53:$L$54),-'Adjustments &amp; Notes'!$D$13/'Adjustments &amp; Notes'!$D$12)),IF($M$56,SUMPRODUCT($I$53:$I$54,$L$53:$L$54-$M$53:$M$54)/SUMPRODUCT($H$53:$H$54,$L$53:$L$54),-'Adjustments &amp; Notes'!$D$13/'Adjustments &amp; Notes'!$D$12))),)</f>
        <v>9.4080333934174323E-2</v>
      </c>
      <c r="G92" s="1382">
        <v>5.5E-2</v>
      </c>
      <c r="H92" s="1382">
        <v>3.5000000000000003E-2</v>
      </c>
      <c r="I92" s="1382">
        <v>1.4999999999999999E-2</v>
      </c>
      <c r="J92" s="1382">
        <v>0.01</v>
      </c>
      <c r="K92" s="1382">
        <v>5.0000000000000001E-3</v>
      </c>
      <c r="L92" s="493">
        <f t="shared" ref="L92:Q92" si="14">K92</f>
        <v>5.0000000000000001E-3</v>
      </c>
      <c r="M92" s="493">
        <f t="shared" si="14"/>
        <v>5.0000000000000001E-3</v>
      </c>
      <c r="N92" s="493">
        <f t="shared" si="14"/>
        <v>5.0000000000000001E-3</v>
      </c>
      <c r="O92" s="493">
        <f t="shared" si="14"/>
        <v>5.0000000000000001E-3</v>
      </c>
      <c r="P92" s="493">
        <f t="shared" si="14"/>
        <v>5.0000000000000001E-3</v>
      </c>
      <c r="Q92" s="493">
        <f t="shared" si="14"/>
        <v>5.0000000000000001E-3</v>
      </c>
    </row>
    <row r="93" spans="2:54" outlineLevel="1">
      <c r="B93" s="494" t="s">
        <v>356</v>
      </c>
      <c r="C93" s="90"/>
      <c r="D93" s="90"/>
      <c r="E93" s="495" t="str">
        <f>IF(IsHistoricalComponent,"from Historicals","")</f>
        <v>from Historicals</v>
      </c>
      <c r="F93" s="496">
        <f>IFERROR(-'Adjustments &amp; Notes'!$D$17/SUM('Adjustments &amp; Notes'!$D$14,'Adjustments &amp; Notes'!$D$16,'Adjustments &amp; Notes'!$D$18),)</f>
        <v>3.076392979286614E-2</v>
      </c>
      <c r="G93" s="1383">
        <v>0</v>
      </c>
      <c r="H93" s="497">
        <f t="shared" ref="H93:Q93" si="15">G93</f>
        <v>0</v>
      </c>
      <c r="I93" s="497">
        <f t="shared" si="15"/>
        <v>0</v>
      </c>
      <c r="J93" s="497">
        <f t="shared" si="15"/>
        <v>0</v>
      </c>
      <c r="K93" s="497">
        <f t="shared" si="15"/>
        <v>0</v>
      </c>
      <c r="L93" s="497">
        <f t="shared" si="15"/>
        <v>0</v>
      </c>
      <c r="M93" s="497">
        <f t="shared" si="15"/>
        <v>0</v>
      </c>
      <c r="N93" s="497">
        <f t="shared" si="15"/>
        <v>0</v>
      </c>
      <c r="O93" s="497">
        <f t="shared" si="15"/>
        <v>0</v>
      </c>
      <c r="P93" s="497">
        <f t="shared" si="15"/>
        <v>0</v>
      </c>
      <c r="Q93" s="497">
        <f t="shared" si="15"/>
        <v>0</v>
      </c>
    </row>
    <row r="94" spans="2:54" outlineLevel="1">
      <c r="B94" s="41" t="s">
        <v>357</v>
      </c>
      <c r="C94" s="27"/>
      <c r="D94" s="498"/>
      <c r="E94" s="491" t="str">
        <f>IF(IsHistoricalComponent,"from Historicals","")</f>
        <v>from Historicals</v>
      </c>
      <c r="F94" s="492">
        <f>IFERROR(-'Adjustments &amp; Notes'!$D$19/SUM('Adjustments &amp; Notes'!$D$14:$D$18),)</f>
        <v>0.11022903330410867</v>
      </c>
      <c r="G94" s="493">
        <f t="shared" ref="G94:Q94" si="16">F94</f>
        <v>0.11022903330410867</v>
      </c>
      <c r="H94" s="493">
        <f t="shared" si="16"/>
        <v>0.11022903330410867</v>
      </c>
      <c r="I94" s="493">
        <f t="shared" si="16"/>
        <v>0.11022903330410867</v>
      </c>
      <c r="J94" s="493">
        <f t="shared" si="16"/>
        <v>0.11022903330410867</v>
      </c>
      <c r="K94" s="493">
        <f t="shared" si="16"/>
        <v>0.11022903330410867</v>
      </c>
      <c r="L94" s="493">
        <f t="shared" si="16"/>
        <v>0.11022903330410867</v>
      </c>
      <c r="M94" s="493">
        <f t="shared" si="16"/>
        <v>0.11022903330410867</v>
      </c>
      <c r="N94" s="493">
        <f t="shared" si="16"/>
        <v>0.11022903330410867</v>
      </c>
      <c r="O94" s="493">
        <f t="shared" si="16"/>
        <v>0.11022903330410867</v>
      </c>
      <c r="P94" s="493">
        <f t="shared" si="16"/>
        <v>0.11022903330410867</v>
      </c>
      <c r="Q94" s="493">
        <f t="shared" si="16"/>
        <v>0.11022903330410867</v>
      </c>
    </row>
    <row r="95" spans="2:54" ht="4.5" customHeight="1" outlineLevel="1">
      <c r="B95" s="499"/>
      <c r="C95" s="499"/>
      <c r="D95" s="499"/>
      <c r="E95" s="499"/>
      <c r="F95" s="499"/>
      <c r="G95" s="500"/>
      <c r="H95" s="500"/>
      <c r="I95" s="500"/>
      <c r="J95" s="500"/>
      <c r="K95" s="500"/>
      <c r="L95" s="500"/>
      <c r="M95" s="500"/>
      <c r="N95" s="500"/>
      <c r="O95" s="500"/>
      <c r="P95" s="500"/>
      <c r="Q95" s="500"/>
    </row>
    <row r="96" spans="2:54" outlineLevel="1">
      <c r="B96" s="383"/>
      <c r="C96" s="383"/>
      <c r="D96" s="383"/>
      <c r="E96" s="383"/>
      <c r="F96" s="383"/>
      <c r="G96" s="501"/>
      <c r="H96" s="501"/>
      <c r="I96" s="501"/>
      <c r="J96" s="501"/>
      <c r="K96" s="501"/>
      <c r="L96" s="501"/>
      <c r="M96" s="501"/>
      <c r="N96" s="501"/>
      <c r="O96" s="501"/>
      <c r="P96" s="501"/>
      <c r="Q96" s="501"/>
    </row>
    <row r="97" spans="2:17" hidden="1" outlineLevel="1">
      <c r="B97" s="502" t="s">
        <v>358</v>
      </c>
      <c r="C97" s="503"/>
      <c r="D97" s="504"/>
      <c r="E97" s="504"/>
      <c r="F97" s="505"/>
      <c r="G97" s="505"/>
      <c r="H97" s="505"/>
      <c r="I97" s="505"/>
      <c r="J97" s="505"/>
      <c r="K97" s="505"/>
      <c r="L97" s="505"/>
      <c r="M97" s="505"/>
      <c r="N97" s="505"/>
      <c r="O97" s="505"/>
      <c r="P97" s="505"/>
      <c r="Q97" s="505"/>
    </row>
    <row r="98" spans="2:17" hidden="1" outlineLevel="1">
      <c r="B98" s="506" t="s">
        <v>84</v>
      </c>
      <c r="C98" s="506"/>
      <c r="D98" s="506"/>
      <c r="E98" s="506"/>
      <c r="F98" s="507"/>
      <c r="G98" s="508">
        <f>-IF('Operating Calculations'!C71,'Operating Calculations'!C72/'Operating Calculations'!C71,)</f>
        <v>0</v>
      </c>
      <c r="H98" s="508">
        <f>-IF('Operating Calculations'!D71,'Operating Calculations'!D72/'Operating Calculations'!D71,)</f>
        <v>0</v>
      </c>
      <c r="I98" s="508">
        <f>-IF('Operating Calculations'!E71,'Operating Calculations'!E72/'Operating Calculations'!E71,)</f>
        <v>0</v>
      </c>
      <c r="J98" s="508">
        <f>-IF('Operating Calculations'!F71,'Operating Calculations'!F72/'Operating Calculations'!F71,)</f>
        <v>0</v>
      </c>
      <c r="K98" s="508">
        <f>-IF('Operating Calculations'!G71,'Operating Calculations'!G72/'Operating Calculations'!G71,)</f>
        <v>0</v>
      </c>
      <c r="L98" s="508">
        <f>-IF('Operating Calculations'!H71,'Operating Calculations'!H72/'Operating Calculations'!H71,)</f>
        <v>0</v>
      </c>
      <c r="M98" s="508">
        <f>-IF('Operating Calculations'!I71,'Operating Calculations'!I72/'Operating Calculations'!I71,)</f>
        <v>0</v>
      </c>
      <c r="N98" s="508">
        <f>-IF('Operating Calculations'!J71,'Operating Calculations'!J72/'Operating Calculations'!J71,)</f>
        <v>0</v>
      </c>
      <c r="O98" s="508">
        <f>-IF('Operating Calculations'!K71,'Operating Calculations'!K72/'Operating Calculations'!K71,)</f>
        <v>0</v>
      </c>
      <c r="P98" s="508">
        <f>-IF('Operating Calculations'!L71,'Operating Calculations'!L72/'Operating Calculations'!L71,)</f>
        <v>0</v>
      </c>
      <c r="Q98" s="508">
        <f>-IF('Operating Calculations'!M71,'Operating Calculations'!M72/'Operating Calculations'!M71,)</f>
        <v>0</v>
      </c>
    </row>
    <row r="99" spans="2:17" hidden="1" outlineLevel="1">
      <c r="B99" s="506" t="s">
        <v>359</v>
      </c>
      <c r="C99" s="506"/>
      <c r="D99" s="506"/>
      <c r="E99" s="506"/>
      <c r="F99" s="507"/>
      <c r="G99" s="508">
        <f>-IF('Operating Calculations'!C71,'Operating Calculations'!C73/'Operating Calculations'!C71,)</f>
        <v>5.0000000000000031E-2</v>
      </c>
      <c r="H99" s="508">
        <f>-IF('Operating Calculations'!D71,'Operating Calculations'!D73/'Operating Calculations'!D71,)</f>
        <v>5.000000000000001E-2</v>
      </c>
      <c r="I99" s="508">
        <f>-IF('Operating Calculations'!E71,'Operating Calculations'!E73/'Operating Calculations'!E71,)</f>
        <v>0.05</v>
      </c>
      <c r="J99" s="508">
        <f>-IF('Operating Calculations'!F71,'Operating Calculations'!F73/'Operating Calculations'!F71,)</f>
        <v>0.05</v>
      </c>
      <c r="K99" s="508">
        <f>-IF('Operating Calculations'!G71,'Operating Calculations'!G73/'Operating Calculations'!G71,)</f>
        <v>0.05</v>
      </c>
      <c r="L99" s="508">
        <f>-IF('Operating Calculations'!H71,'Operating Calculations'!H73/'Operating Calculations'!H71,)</f>
        <v>4.9999999999999996E-2</v>
      </c>
      <c r="M99" s="508">
        <f>-IF('Operating Calculations'!I71,'Operating Calculations'!I73/'Operating Calculations'!I71,)</f>
        <v>0.05</v>
      </c>
      <c r="N99" s="508">
        <f>-IF('Operating Calculations'!J71,'Operating Calculations'!J73/'Operating Calculations'!J71,)</f>
        <v>0.05</v>
      </c>
      <c r="O99" s="508">
        <f>-IF('Operating Calculations'!K71,'Operating Calculations'!K73/'Operating Calculations'!K71,)</f>
        <v>5.000000000000001E-2</v>
      </c>
      <c r="P99" s="508">
        <f>-IF('Operating Calculations'!L71,'Operating Calculations'!L73/'Operating Calculations'!L71,)</f>
        <v>4.9999999999999989E-2</v>
      </c>
      <c r="Q99" s="508">
        <f>-IF('Operating Calculations'!M71,'Operating Calculations'!M73/'Operating Calculations'!M71,)</f>
        <v>0.05</v>
      </c>
    </row>
    <row r="100" spans="2:17" hidden="1" outlineLevel="1">
      <c r="B100" s="509" t="s">
        <v>360</v>
      </c>
      <c r="C100" s="510"/>
      <c r="D100" s="510"/>
      <c r="E100" s="510"/>
      <c r="F100" s="507"/>
      <c r="G100" s="511">
        <f t="shared" ref="G100:Q100" si="17">SUM(G98:G99)</f>
        <v>5.0000000000000031E-2</v>
      </c>
      <c r="H100" s="511">
        <f t="shared" si="17"/>
        <v>5.000000000000001E-2</v>
      </c>
      <c r="I100" s="511">
        <f t="shared" si="17"/>
        <v>0.05</v>
      </c>
      <c r="J100" s="511">
        <f t="shared" si="17"/>
        <v>0.05</v>
      </c>
      <c r="K100" s="511">
        <f t="shared" si="17"/>
        <v>0.05</v>
      </c>
      <c r="L100" s="511">
        <f t="shared" si="17"/>
        <v>4.9999999999999996E-2</v>
      </c>
      <c r="M100" s="511">
        <f t="shared" si="17"/>
        <v>0.05</v>
      </c>
      <c r="N100" s="511">
        <f t="shared" si="17"/>
        <v>0.05</v>
      </c>
      <c r="O100" s="511">
        <f t="shared" si="17"/>
        <v>5.000000000000001E-2</v>
      </c>
      <c r="P100" s="511">
        <f t="shared" si="17"/>
        <v>4.9999999999999989E-2</v>
      </c>
      <c r="Q100" s="511">
        <f t="shared" si="17"/>
        <v>0.05</v>
      </c>
    </row>
    <row r="101" spans="2:17" hidden="1" outlineLevel="1">
      <c r="B101" s="37"/>
      <c r="C101" s="37"/>
      <c r="D101" s="37"/>
      <c r="E101" s="37"/>
      <c r="F101" s="37"/>
      <c r="G101" s="459"/>
      <c r="H101" s="459"/>
      <c r="I101" s="459"/>
      <c r="J101" s="459"/>
      <c r="K101" s="459"/>
      <c r="L101" s="459"/>
      <c r="M101" s="459"/>
      <c r="N101" s="459"/>
      <c r="O101" s="459"/>
      <c r="P101" s="459"/>
      <c r="Q101" s="459"/>
    </row>
    <row r="102" spans="2:17" outlineLevel="1"/>
    <row r="103" spans="2:17" outlineLevel="1"/>
    <row r="104" spans="2:17" ht="12.75" customHeight="1" outlineLevel="1">
      <c r="B104" s="1043" t="s">
        <v>37</v>
      </c>
      <c r="C104" s="196"/>
      <c r="D104" s="196"/>
      <c r="E104" s="196"/>
      <c r="F104" s="196"/>
      <c r="G104" s="196"/>
      <c r="H104" s="196"/>
      <c r="I104" s="196"/>
      <c r="J104" s="196"/>
      <c r="K104" s="196"/>
      <c r="L104" s="512"/>
      <c r="M104" s="513"/>
      <c r="N104" s="514"/>
      <c r="O104" s="514"/>
      <c r="P104" s="514"/>
      <c r="Q104" s="515"/>
    </row>
    <row r="105" spans="2:17" ht="14.25" customHeight="1" outlineLevel="1">
      <c r="B105" s="1059" t="s">
        <v>361</v>
      </c>
      <c r="C105" s="404"/>
      <c r="D105" s="404"/>
      <c r="E105" s="1059" t="s">
        <v>362</v>
      </c>
      <c r="F105" s="1059" t="s">
        <v>363</v>
      </c>
      <c r="G105" s="1110">
        <v>1</v>
      </c>
      <c r="H105" s="1110">
        <f t="shared" ref="H105:Q105" si="18">G105+1</f>
        <v>2</v>
      </c>
      <c r="I105" s="1110">
        <f t="shared" si="18"/>
        <v>3</v>
      </c>
      <c r="J105" s="1110">
        <f t="shared" si="18"/>
        <v>4</v>
      </c>
      <c r="K105" s="1110">
        <f t="shared" si="18"/>
        <v>5</v>
      </c>
      <c r="L105" s="1110">
        <f t="shared" si="18"/>
        <v>6</v>
      </c>
      <c r="M105" s="1110">
        <f t="shared" si="18"/>
        <v>7</v>
      </c>
      <c r="N105" s="1110">
        <f t="shared" si="18"/>
        <v>8</v>
      </c>
      <c r="O105" s="1110">
        <f t="shared" si="18"/>
        <v>9</v>
      </c>
      <c r="P105" s="1110">
        <f t="shared" si="18"/>
        <v>10</v>
      </c>
      <c r="Q105" s="1110">
        <f t="shared" si="18"/>
        <v>11</v>
      </c>
    </row>
    <row r="106" spans="2:17" outlineLevel="1">
      <c r="B106" s="32" t="s">
        <v>364</v>
      </c>
      <c r="C106" s="37"/>
      <c r="D106" s="37"/>
      <c r="E106" s="516"/>
      <c r="F106" s="517"/>
      <c r="G106" s="518"/>
      <c r="H106" s="519">
        <f t="shared" ref="H106:Q106" si="19">G106*(1+G$118)</f>
        <v>0</v>
      </c>
      <c r="I106" s="519">
        <f t="shared" si="19"/>
        <v>0</v>
      </c>
      <c r="J106" s="519">
        <f t="shared" si="19"/>
        <v>0</v>
      </c>
      <c r="K106" s="519">
        <f t="shared" si="19"/>
        <v>0</v>
      </c>
      <c r="L106" s="519">
        <f t="shared" si="19"/>
        <v>0</v>
      </c>
      <c r="M106" s="519">
        <f t="shared" si="19"/>
        <v>0</v>
      </c>
      <c r="N106" s="519">
        <f t="shared" si="19"/>
        <v>0</v>
      </c>
      <c r="O106" s="519">
        <f t="shared" si="19"/>
        <v>0</v>
      </c>
      <c r="P106" s="519">
        <f t="shared" si="19"/>
        <v>0</v>
      </c>
      <c r="Q106" s="519">
        <f t="shared" si="19"/>
        <v>0</v>
      </c>
    </row>
    <row r="107" spans="2:17" outlineLevel="1">
      <c r="B107" s="520" t="s">
        <v>365</v>
      </c>
      <c r="C107" s="521"/>
      <c r="D107" s="521"/>
      <c r="E107" s="522"/>
      <c r="F107" s="523"/>
      <c r="G107" s="524"/>
      <c r="H107" s="525">
        <f t="shared" ref="H107:Q107" si="20">G107*(1+G$118)</f>
        <v>0</v>
      </c>
      <c r="I107" s="525">
        <f t="shared" si="20"/>
        <v>0</v>
      </c>
      <c r="J107" s="525">
        <f t="shared" si="20"/>
        <v>0</v>
      </c>
      <c r="K107" s="525">
        <f t="shared" si="20"/>
        <v>0</v>
      </c>
      <c r="L107" s="525">
        <f t="shared" si="20"/>
        <v>0</v>
      </c>
      <c r="M107" s="525">
        <f t="shared" si="20"/>
        <v>0</v>
      </c>
      <c r="N107" s="525">
        <f t="shared" si="20"/>
        <v>0</v>
      </c>
      <c r="O107" s="525">
        <f t="shared" si="20"/>
        <v>0</v>
      </c>
      <c r="P107" s="525">
        <f t="shared" si="20"/>
        <v>0</v>
      </c>
      <c r="Q107" s="525">
        <f t="shared" si="20"/>
        <v>0</v>
      </c>
    </row>
    <row r="108" spans="2:17" outlineLevel="1">
      <c r="B108" s="526" t="s">
        <v>1077</v>
      </c>
      <c r="C108" s="526"/>
      <c r="D108" s="526"/>
      <c r="E108" s="527" t="s">
        <v>771</v>
      </c>
      <c r="F108" s="528" t="s">
        <v>753</v>
      </c>
      <c r="G108" s="518">
        <v>70</v>
      </c>
      <c r="H108" s="519">
        <f t="shared" ref="H108:Q108" si="21">G108*(1+G$118)</f>
        <v>70</v>
      </c>
      <c r="I108" s="519">
        <f t="shared" si="21"/>
        <v>70</v>
      </c>
      <c r="J108" s="519">
        <f t="shared" si="21"/>
        <v>70</v>
      </c>
      <c r="K108" s="519">
        <f t="shared" si="21"/>
        <v>70</v>
      </c>
      <c r="L108" s="519">
        <f t="shared" si="21"/>
        <v>70</v>
      </c>
      <c r="M108" s="519">
        <f t="shared" si="21"/>
        <v>70</v>
      </c>
      <c r="N108" s="519">
        <f t="shared" si="21"/>
        <v>70</v>
      </c>
      <c r="O108" s="519">
        <f t="shared" si="21"/>
        <v>70</v>
      </c>
      <c r="P108" s="519">
        <f t="shared" si="21"/>
        <v>70</v>
      </c>
      <c r="Q108" s="519">
        <f t="shared" si="21"/>
        <v>70</v>
      </c>
    </row>
    <row r="109" spans="2:17" outlineLevel="1">
      <c r="B109" s="529" t="s">
        <v>1078</v>
      </c>
      <c r="C109" s="529"/>
      <c r="D109" s="529"/>
      <c r="E109" s="522" t="s">
        <v>771</v>
      </c>
      <c r="F109" s="528" t="s">
        <v>753</v>
      </c>
      <c r="G109" s="524">
        <v>7</v>
      </c>
      <c r="H109" s="525">
        <f t="shared" ref="H109:Q109" si="22">G109*(1+G$118)</f>
        <v>7</v>
      </c>
      <c r="I109" s="525">
        <f t="shared" si="22"/>
        <v>7</v>
      </c>
      <c r="J109" s="525">
        <f t="shared" si="22"/>
        <v>7</v>
      </c>
      <c r="K109" s="525">
        <f t="shared" si="22"/>
        <v>7</v>
      </c>
      <c r="L109" s="525">
        <f t="shared" si="22"/>
        <v>7</v>
      </c>
      <c r="M109" s="525">
        <f t="shared" si="22"/>
        <v>7</v>
      </c>
      <c r="N109" s="525">
        <f t="shared" si="22"/>
        <v>7</v>
      </c>
      <c r="O109" s="525">
        <f t="shared" si="22"/>
        <v>7</v>
      </c>
      <c r="P109" s="525">
        <f t="shared" si="22"/>
        <v>7</v>
      </c>
      <c r="Q109" s="525">
        <f t="shared" si="22"/>
        <v>7</v>
      </c>
    </row>
    <row r="110" spans="2:17" outlineLevel="1">
      <c r="B110" s="526" t="s">
        <v>1079</v>
      </c>
      <c r="C110" s="526"/>
      <c r="D110" s="526"/>
      <c r="E110" s="527" t="s">
        <v>771</v>
      </c>
      <c r="F110" s="528" t="s">
        <v>753</v>
      </c>
      <c r="G110" s="518">
        <v>35</v>
      </c>
      <c r="H110" s="519">
        <f t="shared" ref="H110:Q110" si="23">G110*(1+G$118)</f>
        <v>35</v>
      </c>
      <c r="I110" s="519">
        <f t="shared" si="23"/>
        <v>35</v>
      </c>
      <c r="J110" s="519">
        <f t="shared" si="23"/>
        <v>35</v>
      </c>
      <c r="K110" s="519">
        <f t="shared" si="23"/>
        <v>35</v>
      </c>
      <c r="L110" s="519">
        <f t="shared" si="23"/>
        <v>35</v>
      </c>
      <c r="M110" s="519">
        <f t="shared" si="23"/>
        <v>35</v>
      </c>
      <c r="N110" s="519">
        <f t="shared" si="23"/>
        <v>35</v>
      </c>
      <c r="O110" s="519">
        <f t="shared" si="23"/>
        <v>35</v>
      </c>
      <c r="P110" s="519">
        <f t="shared" si="23"/>
        <v>35</v>
      </c>
      <c r="Q110" s="519">
        <f t="shared" si="23"/>
        <v>35</v>
      </c>
    </row>
    <row r="111" spans="2:17" outlineLevel="1">
      <c r="B111" s="529" t="s">
        <v>1080</v>
      </c>
      <c r="C111" s="529"/>
      <c r="D111" s="529"/>
      <c r="E111" s="522" t="s">
        <v>369</v>
      </c>
      <c r="F111" s="523" t="s">
        <v>370</v>
      </c>
      <c r="G111" s="524">
        <f>80*0.95*0.3*25*12</f>
        <v>6840</v>
      </c>
      <c r="H111" s="525">
        <f t="shared" ref="H111:Q111" si="24">G111*(1+G$118)</f>
        <v>6840</v>
      </c>
      <c r="I111" s="525">
        <f t="shared" si="24"/>
        <v>6840</v>
      </c>
      <c r="J111" s="525">
        <f t="shared" si="24"/>
        <v>6840</v>
      </c>
      <c r="K111" s="525">
        <f t="shared" si="24"/>
        <v>6840</v>
      </c>
      <c r="L111" s="525">
        <f t="shared" si="24"/>
        <v>6840</v>
      </c>
      <c r="M111" s="525">
        <f t="shared" si="24"/>
        <v>6840</v>
      </c>
      <c r="N111" s="525">
        <f t="shared" si="24"/>
        <v>6840</v>
      </c>
      <c r="O111" s="525">
        <f t="shared" si="24"/>
        <v>6840</v>
      </c>
      <c r="P111" s="525">
        <f t="shared" si="24"/>
        <v>6840</v>
      </c>
      <c r="Q111" s="525">
        <f t="shared" si="24"/>
        <v>6840</v>
      </c>
    </row>
    <row r="112" spans="2:17" outlineLevel="1">
      <c r="B112" s="526" t="s">
        <v>123</v>
      </c>
      <c r="C112" s="526"/>
      <c r="D112" s="526"/>
      <c r="E112" s="527" t="s">
        <v>369</v>
      </c>
      <c r="F112" s="528" t="s">
        <v>370</v>
      </c>
      <c r="G112" s="518">
        <v>84816.000000000029</v>
      </c>
      <c r="H112" s="519">
        <f t="shared" ref="H112:Q112" si="25">G112*(1+G$118)</f>
        <v>84816.000000000029</v>
      </c>
      <c r="I112" s="519">
        <f t="shared" si="25"/>
        <v>84816.000000000029</v>
      </c>
      <c r="J112" s="519">
        <f t="shared" si="25"/>
        <v>84816.000000000029</v>
      </c>
      <c r="K112" s="519">
        <f t="shared" si="25"/>
        <v>84816.000000000029</v>
      </c>
      <c r="L112" s="519">
        <f t="shared" si="25"/>
        <v>84816.000000000029</v>
      </c>
      <c r="M112" s="519">
        <f t="shared" si="25"/>
        <v>84816.000000000029</v>
      </c>
      <c r="N112" s="519">
        <f t="shared" si="25"/>
        <v>84816.000000000029</v>
      </c>
      <c r="O112" s="519">
        <f t="shared" si="25"/>
        <v>84816.000000000029</v>
      </c>
      <c r="P112" s="519">
        <f t="shared" si="25"/>
        <v>84816.000000000029</v>
      </c>
      <c r="Q112" s="519">
        <f t="shared" si="25"/>
        <v>84816.000000000029</v>
      </c>
    </row>
    <row r="113" spans="2:40" outlineLevel="1">
      <c r="B113" s="529"/>
      <c r="C113" s="529"/>
      <c r="D113" s="529"/>
      <c r="E113" s="522"/>
      <c r="F113" s="523"/>
      <c r="G113" s="524"/>
      <c r="H113" s="525">
        <f t="shared" ref="H113:Q113" si="26">G113*(1+G$118)</f>
        <v>0</v>
      </c>
      <c r="I113" s="525">
        <f t="shared" si="26"/>
        <v>0</v>
      </c>
      <c r="J113" s="525">
        <f t="shared" si="26"/>
        <v>0</v>
      </c>
      <c r="K113" s="525">
        <f t="shared" si="26"/>
        <v>0</v>
      </c>
      <c r="L113" s="525">
        <f t="shared" si="26"/>
        <v>0</v>
      </c>
      <c r="M113" s="525">
        <f t="shared" si="26"/>
        <v>0</v>
      </c>
      <c r="N113" s="525">
        <f t="shared" si="26"/>
        <v>0</v>
      </c>
      <c r="O113" s="525">
        <f t="shared" si="26"/>
        <v>0</v>
      </c>
      <c r="P113" s="525">
        <f t="shared" si="26"/>
        <v>0</v>
      </c>
      <c r="Q113" s="525">
        <f t="shared" si="26"/>
        <v>0</v>
      </c>
    </row>
    <row r="114" spans="2:40" outlineLevel="1">
      <c r="B114" s="526"/>
      <c r="C114" s="526"/>
      <c r="D114" s="526"/>
      <c r="E114" s="527"/>
      <c r="F114" s="528"/>
      <c r="G114" s="518"/>
      <c r="H114" s="519">
        <f t="shared" ref="H114:Q114" si="27">G114*(1+G$118)</f>
        <v>0</v>
      </c>
      <c r="I114" s="519">
        <f t="shared" si="27"/>
        <v>0</v>
      </c>
      <c r="J114" s="519">
        <f t="shared" si="27"/>
        <v>0</v>
      </c>
      <c r="K114" s="519">
        <f t="shared" si="27"/>
        <v>0</v>
      </c>
      <c r="L114" s="519">
        <f t="shared" si="27"/>
        <v>0</v>
      </c>
      <c r="M114" s="519">
        <f t="shared" si="27"/>
        <v>0</v>
      </c>
      <c r="N114" s="519">
        <f t="shared" si="27"/>
        <v>0</v>
      </c>
      <c r="O114" s="519">
        <f t="shared" si="27"/>
        <v>0</v>
      </c>
      <c r="P114" s="519">
        <f t="shared" si="27"/>
        <v>0</v>
      </c>
      <c r="Q114" s="519">
        <f t="shared" si="27"/>
        <v>0</v>
      </c>
    </row>
    <row r="115" spans="2:40" outlineLevel="1">
      <c r="B115" s="529"/>
      <c r="C115" s="529"/>
      <c r="D115" s="529"/>
      <c r="E115" s="522"/>
      <c r="F115" s="523"/>
      <c r="G115" s="524"/>
      <c r="H115" s="525">
        <f t="shared" ref="H115:Q115" si="28">G115*(1+G$118)</f>
        <v>0</v>
      </c>
      <c r="I115" s="525">
        <f t="shared" si="28"/>
        <v>0</v>
      </c>
      <c r="J115" s="525">
        <f t="shared" si="28"/>
        <v>0</v>
      </c>
      <c r="K115" s="525">
        <f t="shared" si="28"/>
        <v>0</v>
      </c>
      <c r="L115" s="525">
        <f t="shared" si="28"/>
        <v>0</v>
      </c>
      <c r="M115" s="525">
        <f t="shared" si="28"/>
        <v>0</v>
      </c>
      <c r="N115" s="525">
        <f t="shared" si="28"/>
        <v>0</v>
      </c>
      <c r="O115" s="525">
        <f t="shared" si="28"/>
        <v>0</v>
      </c>
      <c r="P115" s="525">
        <f t="shared" si="28"/>
        <v>0</v>
      </c>
      <c r="Q115" s="525">
        <f t="shared" si="28"/>
        <v>0</v>
      </c>
    </row>
    <row r="116" spans="2:40" ht="5.0999999999999996" customHeight="1" outlineLevel="1">
      <c r="B116" s="530"/>
      <c r="C116" s="499"/>
      <c r="D116" s="499"/>
      <c r="E116" s="531"/>
      <c r="F116" s="532"/>
      <c r="G116" s="533"/>
      <c r="H116" s="533"/>
      <c r="I116" s="533"/>
      <c r="J116" s="533"/>
      <c r="K116" s="533"/>
      <c r="L116" s="533"/>
      <c r="M116" s="533"/>
      <c r="N116" s="533"/>
      <c r="O116" s="533"/>
      <c r="P116" s="533"/>
      <c r="Q116" s="533"/>
    </row>
    <row r="117" spans="2:40" outlineLevel="1">
      <c r="B117" s="383"/>
      <c r="C117" s="383"/>
      <c r="D117" s="383"/>
      <c r="E117" s="383"/>
      <c r="F117" s="383"/>
      <c r="G117" s="383"/>
      <c r="H117" s="383"/>
      <c r="I117" s="383"/>
      <c r="J117" s="383"/>
      <c r="K117" s="383"/>
      <c r="L117" s="383"/>
      <c r="M117" s="383"/>
      <c r="N117" s="383"/>
      <c r="O117" s="383"/>
      <c r="P117" s="383"/>
      <c r="Q117" s="383"/>
    </row>
    <row r="118" spans="2:40" outlineLevel="1">
      <c r="B118" s="534" t="s">
        <v>366</v>
      </c>
      <c r="C118" s="37"/>
      <c r="D118" s="535" t="s">
        <v>367</v>
      </c>
      <c r="E118" s="37"/>
      <c r="F118" s="37"/>
      <c r="G118" s="465">
        <f>G151</f>
        <v>0</v>
      </c>
      <c r="H118" s="465">
        <f>IF(SUMPRODUCT(($G118:G118&lt;&gt;$G$151:G$151)*1),G118,H$151)</f>
        <v>0</v>
      </c>
      <c r="I118" s="465">
        <f>IF(SUMPRODUCT(($G118:H118&lt;&gt;$G$151:H$151)*1),H118,I$151)</f>
        <v>0</v>
      </c>
      <c r="J118" s="465">
        <f>IF(SUMPRODUCT(($G118:I118&lt;&gt;$G$151:I$151)*1),I118,J$151)</f>
        <v>0</v>
      </c>
      <c r="K118" s="465">
        <f>IF(SUMPRODUCT(($G118:J118&lt;&gt;$G$151:J$151)*1),J118,K$151)</f>
        <v>0</v>
      </c>
      <c r="L118" s="465">
        <f>IF(SUMPRODUCT(($G118:K118&lt;&gt;$G$151:K$151)*1),K118,L$151)</f>
        <v>0</v>
      </c>
      <c r="M118" s="465">
        <f>IF(SUMPRODUCT(($G118:L118&lt;&gt;$G$151:L$151)*1),L118,M$151)</f>
        <v>0</v>
      </c>
      <c r="N118" s="465">
        <f>IF(SUMPRODUCT(($G118:M118&lt;&gt;$G$151:M$151)*1),M118,N$151)</f>
        <v>0</v>
      </c>
      <c r="O118" s="465">
        <f>IF(SUMPRODUCT(($G118:N118&lt;&gt;$G$151:N$151)*1),N118,O$151)</f>
        <v>0</v>
      </c>
      <c r="P118" s="465">
        <f>IF(SUMPRODUCT(($G118:O118&lt;&gt;$G$151:O$151)*1),O118,P$151)</f>
        <v>0</v>
      </c>
      <c r="Q118" s="536"/>
    </row>
    <row r="119" spans="2:40" outlineLevel="1">
      <c r="B119" s="37"/>
      <c r="C119" s="37"/>
      <c r="D119" s="37"/>
      <c r="E119" s="37"/>
      <c r="F119" s="37"/>
      <c r="G119" s="37"/>
      <c r="H119" s="37"/>
      <c r="I119" s="37"/>
      <c r="J119" s="37"/>
      <c r="K119" s="37"/>
      <c r="L119" s="37"/>
      <c r="M119" s="37"/>
      <c r="N119" s="37"/>
      <c r="O119" s="37"/>
      <c r="P119" s="37"/>
      <c r="Q119" s="37"/>
    </row>
    <row r="120" spans="2:40" outlineLevel="1">
      <c r="B120" s="537" t="s">
        <v>368</v>
      </c>
      <c r="C120" s="520"/>
      <c r="D120" s="538" t="str">
        <f>IF(AND(ReimbMethodType=120,COUNTIF($G$120:$Q$120,"&lt;&gt;"&amp;0)),1,"")</f>
        <v/>
      </c>
      <c r="E120" s="539" t="s">
        <v>369</v>
      </c>
      <c r="F120" s="539" t="s">
        <v>370</v>
      </c>
      <c r="G120" s="145">
        <f>'Operating Calculations'!C136*IFERROR(CHOOSE(MATCH($E$120,OIUnitType,),1,1/TotalDealUnits,1/(TotalDealUnits*MAX((1-G90-G91),))),)*IF($F$120=PerMonth,1/12,1)*(ReimbMethodType=120)</f>
        <v>0</v>
      </c>
      <c r="H120" s="145">
        <f>'Operating Calculations'!D136*IFERROR(CHOOSE(MATCH($E$120,OIUnitType,),1,1/TotalDealUnits,1/(TotalDealUnits*MAX((1-H90-H91),))),)*IF($F$120=PerMonth,1/12,1)*(ReimbMethodType=120)</f>
        <v>0</v>
      </c>
      <c r="I120" s="145">
        <f>'Operating Calculations'!E136*IFERROR(CHOOSE(MATCH($E$120,OIUnitType,),1,1/TotalDealUnits,1/(TotalDealUnits*MAX((1-I90-I91),))),)*IF($F$120=PerMonth,1/12,1)*(ReimbMethodType=120)</f>
        <v>0</v>
      </c>
      <c r="J120" s="145">
        <f>'Operating Calculations'!F136*IFERROR(CHOOSE(MATCH($E$120,OIUnitType,),1,1/TotalDealUnits,1/(TotalDealUnits*MAX((1-J90-J91),))),)*IF($F$120=PerMonth,1/12,1)*(ReimbMethodType=120)</f>
        <v>0</v>
      </c>
      <c r="K120" s="145">
        <f>'Operating Calculations'!G136*IFERROR(CHOOSE(MATCH($E$120,OIUnitType,),1,1/TotalDealUnits,1/(TotalDealUnits*MAX((1-K90-K91),))),)*IF($F$120=PerMonth,1/12,1)*(ReimbMethodType=120)</f>
        <v>0</v>
      </c>
      <c r="L120" s="145">
        <f>'Operating Calculations'!H136*IFERROR(CHOOSE(MATCH($E$120,OIUnitType,),1,1/TotalDealUnits,1/(TotalDealUnits*MAX((1-L90-L91),))),)*IF($F$120=PerMonth,1/12,1)*(ReimbMethodType=120)</f>
        <v>0</v>
      </c>
      <c r="M120" s="145">
        <f>'Operating Calculations'!I136*IFERROR(CHOOSE(MATCH($E$120,OIUnitType,),1,1/TotalDealUnits,1/(TotalDealUnits*MAX((1-M90-M91),))),)*IF($F$120=PerMonth,1/12,1)*(ReimbMethodType=120)</f>
        <v>0</v>
      </c>
      <c r="N120" s="145">
        <f>'Operating Calculations'!J136*IFERROR(CHOOSE(MATCH($E$120,OIUnitType,),1,1/TotalDealUnits,1/(TotalDealUnits*MAX((1-N90-N91),))),)*IF($F$120=PerMonth,1/12,1)*(ReimbMethodType=120)</f>
        <v>0</v>
      </c>
      <c r="O120" s="145">
        <f>'Operating Calculations'!K136*IFERROR(CHOOSE(MATCH($E$120,OIUnitType,),1,1/TotalDealUnits,1/(TotalDealUnits*MAX((1-O90-O91),))),)*IF($F$120=PerMonth,1/12,1)*(ReimbMethodType=120)</f>
        <v>0</v>
      </c>
      <c r="P120" s="145">
        <f>'Operating Calculations'!L136*IFERROR(CHOOSE(MATCH($E$120,OIUnitType,),1,1/TotalDealUnits,1/(TotalDealUnits*MAX((1-P90-P91),))),)*IF($F$120=PerMonth,1/12,1)*(ReimbMethodType=120)</f>
        <v>0</v>
      </c>
      <c r="Q120" s="145">
        <f>'Operating Calculations'!M136*IFERROR(CHOOSE(MATCH($E$120,OIUnitType,),1,1/TotalDealUnits,1/(TotalDealUnits*MAX((1-Q90-Q91),))),)*IF($F$120=PerMonth,1/12,1)*(ReimbMethodType=120)</f>
        <v>0</v>
      </c>
    </row>
    <row r="121" spans="2:40" outlineLevel="1">
      <c r="B121" s="37"/>
      <c r="C121" s="37"/>
      <c r="D121" s="37"/>
      <c r="E121" s="37"/>
      <c r="F121" s="37"/>
      <c r="G121" s="37"/>
      <c r="H121" s="37"/>
      <c r="I121" s="37"/>
      <c r="J121" s="37"/>
      <c r="K121" s="37"/>
      <c r="L121" s="37"/>
      <c r="M121" s="37"/>
      <c r="N121" s="37"/>
      <c r="O121" s="37"/>
      <c r="P121" s="37"/>
      <c r="Q121" s="37"/>
    </row>
    <row r="122" spans="2:40" outlineLevel="1">
      <c r="B122"/>
      <c r="C122"/>
      <c r="D122"/>
      <c r="E122"/>
      <c r="F122"/>
      <c r="G122"/>
      <c r="H122"/>
      <c r="I122"/>
      <c r="J122"/>
      <c r="K122"/>
      <c r="L122"/>
      <c r="M122"/>
      <c r="N122"/>
      <c r="O122"/>
      <c r="P122"/>
      <c r="Q122"/>
    </row>
    <row r="124" spans="2:40" ht="15.75" customHeight="1">
      <c r="B124" s="1034" t="s">
        <v>371</v>
      </c>
      <c r="C124" s="1019"/>
      <c r="D124" s="1019"/>
      <c r="E124" s="1019"/>
      <c r="F124" s="1019"/>
      <c r="G124" s="1019"/>
      <c r="H124" s="1019"/>
      <c r="I124" s="1019"/>
      <c r="J124" s="1019"/>
      <c r="K124" s="1019"/>
      <c r="L124" s="1019"/>
      <c r="M124" s="1019"/>
      <c r="N124" s="1019"/>
      <c r="O124" s="1019"/>
      <c r="P124" s="1019"/>
      <c r="Q124" s="1019"/>
      <c r="S124" s="1034" t="s">
        <v>372</v>
      </c>
      <c r="T124" s="1017"/>
      <c r="U124" s="1017"/>
      <c r="V124" s="1017"/>
      <c r="W124" s="1017"/>
      <c r="X124" s="1017"/>
      <c r="Y124" s="1017"/>
      <c r="Z124" s="1017"/>
      <c r="AA124" s="1017"/>
      <c r="AB124" s="1017"/>
      <c r="AC124" s="1017"/>
      <c r="AD124" s="1017"/>
      <c r="AE124" s="1017"/>
      <c r="AF124" s="1017"/>
      <c r="AG124" s="1017"/>
      <c r="AH124" s="1017"/>
      <c r="AI124" s="1017"/>
      <c r="AJ124" s="1017"/>
      <c r="AK124" s="1017"/>
    </row>
    <row r="125" spans="2:40" outlineLevel="1">
      <c r="U125"/>
    </row>
    <row r="126" spans="2:40" ht="14.25" customHeight="1" outlineLevel="1">
      <c r="B126" s="1043" t="s">
        <v>373</v>
      </c>
      <c r="C126" s="196"/>
      <c r="D126" s="196"/>
      <c r="E126" s="196"/>
      <c r="F126" s="196"/>
      <c r="G126" s="196"/>
      <c r="H126" s="196"/>
      <c r="I126" s="190"/>
      <c r="J126" s="190"/>
      <c r="K126" s="190"/>
      <c r="L126" s="190"/>
      <c r="M126" s="190"/>
      <c r="N126" s="196"/>
      <c r="O126" s="196"/>
      <c r="P126" s="196"/>
      <c r="Q126" s="196"/>
      <c r="S126" s="196"/>
      <c r="T126" s="196"/>
      <c r="U126"/>
      <c r="V126" s="1043" t="s">
        <v>374</v>
      </c>
      <c r="W126" s="196"/>
      <c r="X126" s="196"/>
      <c r="Y126"/>
      <c r="Z126" s="1043" t="s">
        <v>375</v>
      </c>
      <c r="AA126" s="196"/>
      <c r="AB126" s="196"/>
      <c r="AC126" s="196"/>
      <c r="AD126" s="196"/>
      <c r="AE126" s="196"/>
      <c r="AF126" s="196"/>
      <c r="AG126" s="196"/>
      <c r="AH126" s="196"/>
      <c r="AI126" s="196"/>
      <c r="AJ126" s="196"/>
      <c r="AK126" s="196"/>
      <c r="AL126" s="196"/>
      <c r="AM126" s="196"/>
      <c r="AN126" s="190"/>
    </row>
    <row r="127" spans="2:40" outlineLevel="1">
      <c r="B127" s="36"/>
      <c r="C127" s="36"/>
      <c r="D127" s="540" t="str">
        <f>IF(AND(IsHistoricalComponent,COUNTIF('Adjustments &amp; Notes'!F12:F56,"&gt;0")+COUNTIF('Adjustments &amp; Notes'!F12:F56,"&lt;0")),"Adjusted ","")</f>
        <v/>
      </c>
      <c r="E127" s="1121" t="s">
        <v>376</v>
      </c>
      <c r="F127" s="1081" t="s">
        <v>377</v>
      </c>
      <c r="G127" s="1088" t="s">
        <v>378</v>
      </c>
      <c r="H127" s="1123"/>
      <c r="I127" s="1123"/>
      <c r="J127" s="1123"/>
      <c r="K127" s="1123"/>
      <c r="L127" s="1123"/>
      <c r="M127" s="1123"/>
      <c r="N127" s="1123"/>
      <c r="O127" s="1123"/>
      <c r="P127" s="1123"/>
      <c r="Q127" s="1075"/>
      <c r="S127" s="1121" t="s">
        <v>139</v>
      </c>
      <c r="T127" s="1125">
        <v>1</v>
      </c>
      <c r="U127"/>
      <c r="V127" s="37"/>
      <c r="W127" s="37"/>
      <c r="X127" s="37"/>
      <c r="Y127"/>
      <c r="Z127" s="37"/>
      <c r="AA127" s="37"/>
      <c r="AB127" s="1088" t="s">
        <v>379</v>
      </c>
      <c r="AC127" s="1088"/>
      <c r="AD127" s="1088"/>
      <c r="AE127" s="1088"/>
      <c r="AF127" s="1088"/>
      <c r="AG127" s="1088"/>
      <c r="AH127" s="1088"/>
      <c r="AI127" s="1088"/>
      <c r="AJ127" s="1088"/>
      <c r="AK127" s="1088"/>
      <c r="AL127" s="1088"/>
      <c r="AM127" s="1088"/>
      <c r="AN127" s="190"/>
    </row>
    <row r="128" spans="2:40" outlineLevel="1">
      <c r="B128" s="1059" t="s">
        <v>380</v>
      </c>
      <c r="C128" s="405"/>
      <c r="D128" s="542" t="str">
        <f>IF(IsHistoricalComponent,IF(ISNUMBER(AdjstedHistSelection),IF(SUM('Select Historicals'!$O$9:$Z$9)=12,"Trailing ","T")&amp;SUM('Select Historicals'!$O$9:$Z$9)&amp;IF(SUM('Select Historicals'!$O$9:$Z$9)&lt;12," Ann'd "," "),"YE "&amp;BaseHistoricalDate&amp;" "),"")</f>
        <v xml:space="preserve">Trailing 12 </v>
      </c>
      <c r="E128" s="1122" t="s">
        <v>381</v>
      </c>
      <c r="F128" s="543" t="s">
        <v>748</v>
      </c>
      <c r="G128" s="1124">
        <v>1</v>
      </c>
      <c r="H128" s="1110">
        <f t="shared" ref="H128:Q128" si="29">G128+1</f>
        <v>2</v>
      </c>
      <c r="I128" s="1110">
        <f t="shared" si="29"/>
        <v>3</v>
      </c>
      <c r="J128" s="1110">
        <f t="shared" si="29"/>
        <v>4</v>
      </c>
      <c r="K128" s="1110">
        <f t="shared" si="29"/>
        <v>5</v>
      </c>
      <c r="L128" s="1110">
        <f t="shared" si="29"/>
        <v>6</v>
      </c>
      <c r="M128" s="1110">
        <f t="shared" si="29"/>
        <v>7</v>
      </c>
      <c r="N128" s="1110">
        <f t="shared" si="29"/>
        <v>8</v>
      </c>
      <c r="O128" s="1110">
        <f t="shared" si="29"/>
        <v>9</v>
      </c>
      <c r="P128" s="1110">
        <f t="shared" si="29"/>
        <v>10</v>
      </c>
      <c r="Q128" s="1110">
        <f t="shared" si="29"/>
        <v>11</v>
      </c>
      <c r="S128" s="1126">
        <f>YrOfExit+IF(ExitValBasis=Forward,1,)</f>
        <v>8</v>
      </c>
      <c r="T128" s="1085" t="s">
        <v>382</v>
      </c>
      <c r="U128"/>
      <c r="V128" s="1127" t="s">
        <v>383</v>
      </c>
      <c r="W128" s="1128"/>
      <c r="X128" s="1128"/>
      <c r="Y128"/>
      <c r="Z128" s="1127" t="s">
        <v>384</v>
      </c>
      <c r="AA128" s="405"/>
      <c r="AB128" s="1129">
        <f>IFERROR(EOMONTH(ClosingDate,1),"n/a")</f>
        <v>46142</v>
      </c>
      <c r="AC128" s="1129">
        <f t="shared" ref="AC128:AM128" si="30">IFERROR(EOMONTH(AB128,1),"n/a")</f>
        <v>46173</v>
      </c>
      <c r="AD128" s="1129">
        <f t="shared" si="30"/>
        <v>46203</v>
      </c>
      <c r="AE128" s="1129">
        <f t="shared" si="30"/>
        <v>46234</v>
      </c>
      <c r="AF128" s="1129">
        <f t="shared" si="30"/>
        <v>46265</v>
      </c>
      <c r="AG128" s="1129">
        <f t="shared" si="30"/>
        <v>46295</v>
      </c>
      <c r="AH128" s="1129">
        <f t="shared" si="30"/>
        <v>46326</v>
      </c>
      <c r="AI128" s="1129">
        <f t="shared" si="30"/>
        <v>46356</v>
      </c>
      <c r="AJ128" s="1129">
        <f t="shared" si="30"/>
        <v>46387</v>
      </c>
      <c r="AK128" s="1129">
        <f t="shared" si="30"/>
        <v>46418</v>
      </c>
      <c r="AL128" s="1129">
        <f t="shared" si="30"/>
        <v>46446</v>
      </c>
      <c r="AM128" s="1129">
        <f t="shared" si="30"/>
        <v>46477</v>
      </c>
      <c r="AN128" s="1130" t="s">
        <v>28</v>
      </c>
    </row>
    <row r="129" spans="2:40" outlineLevel="1">
      <c r="B129" s="32" t="s">
        <v>385</v>
      </c>
      <c r="C129" s="37"/>
      <c r="D129" s="544" t="str">
        <f>IF(IsHistoricalComponent,IFERROR(CHOOSE(MATCH(F129,ExpUnitTypeId,),TEXT('Adjustments &amp; Notes'!H38,"$ #,### ""/ unit"";;-"),TEXT('Adjustments &amp; Notes'!H38/$F$56,"$ #,##0.00 ""/ sf"";;-"),'Adjustments &amp; Notes'!G38,TEXT('Adjustments &amp; Notes'!G38/'Adjustments &amp; Notes'!$G$33,"#,##0.00% ""EGR"";;-"),'Adjustments &amp; Notes'!G38),),"")</f>
        <v>$ 1,128 / unit</v>
      </c>
      <c r="E129" s="545">
        <v>1175</v>
      </c>
      <c r="F129" s="546" t="str">
        <f>ExpUnitTypeSelection</f>
        <v>/ unit</v>
      </c>
      <c r="G129" s="78">
        <f>IFERROR(CHOOSE(MATCH(OperatingExpenseUnit,ExpUnitTypeId,),OperatingExpensesAmount*TotalDealUnits,OperatingExpensesAmount*AverageUnitSize*TotalDealUnits,OperatingExpensesAmount,OperatingExpensesAmount*Yr1EGR,BaseHistoricalExpenses*(1+OperatingExpensesAmount)),)</f>
        <v>94000</v>
      </c>
      <c r="H129" s="519">
        <f t="shared" ref="H129:Q129" si="31">IF(OperatingExpenseUnit=EGR,OperatingExpensesAmount*SUMIF(OpExYrsHeader,OpExYrsHeader,AnnualEGRCF),G129*(1+SUMIF(CFYears,OpExYrsHeader-1,InflRate)))</f>
        <v>94000</v>
      </c>
      <c r="I129" s="519">
        <f t="shared" si="31"/>
        <v>94000</v>
      </c>
      <c r="J129" s="519">
        <f t="shared" si="31"/>
        <v>94000</v>
      </c>
      <c r="K129" s="519">
        <f t="shared" si="31"/>
        <v>94000</v>
      </c>
      <c r="L129" s="519">
        <f t="shared" si="31"/>
        <v>94000</v>
      </c>
      <c r="M129" s="519">
        <f t="shared" si="31"/>
        <v>94000</v>
      </c>
      <c r="N129" s="519">
        <f t="shared" si="31"/>
        <v>94000</v>
      </c>
      <c r="O129" s="519">
        <f t="shared" si="31"/>
        <v>94000</v>
      </c>
      <c r="P129" s="519">
        <f t="shared" si="31"/>
        <v>94000</v>
      </c>
      <c r="Q129" s="519">
        <f t="shared" si="31"/>
        <v>94000</v>
      </c>
      <c r="S129" s="519">
        <f t="shared" ref="S129:S148" si="32">IF(OperatingExpenseUnit=EGR,OperatingExpensesAmount,SUMPRODUCT(OpExpAnnualInpTable*(OpExYrsHeader=ReversionYear)*(ROW()=ROW(OpExpAnnualInpTable))))</f>
        <v>94000</v>
      </c>
      <c r="T129" s="547"/>
      <c r="U129"/>
      <c r="V129" s="1334" t="s">
        <v>385</v>
      </c>
      <c r="W129" s="1334"/>
      <c r="X129" s="1334"/>
      <c r="Y129"/>
      <c r="Z129" s="1335" t="s">
        <v>386</v>
      </c>
      <c r="AA129" s="1336"/>
      <c r="AB129" s="548">
        <f t="shared" ref="AB129:AM138" si="33">1/12</f>
        <v>8.3333333333333329E-2</v>
      </c>
      <c r="AC129" s="548">
        <f t="shared" si="33"/>
        <v>8.3333333333333329E-2</v>
      </c>
      <c r="AD129" s="548">
        <f t="shared" si="33"/>
        <v>8.3333333333333329E-2</v>
      </c>
      <c r="AE129" s="548">
        <f t="shared" si="33"/>
        <v>8.3333333333333329E-2</v>
      </c>
      <c r="AF129" s="548">
        <f t="shared" si="33"/>
        <v>8.3333333333333329E-2</v>
      </c>
      <c r="AG129" s="548">
        <f t="shared" si="33"/>
        <v>8.3333333333333329E-2</v>
      </c>
      <c r="AH129" s="548">
        <f t="shared" si="33"/>
        <v>8.3333333333333329E-2</v>
      </c>
      <c r="AI129" s="548">
        <f t="shared" si="33"/>
        <v>8.3333333333333329E-2</v>
      </c>
      <c r="AJ129" s="548">
        <f t="shared" si="33"/>
        <v>8.3333333333333329E-2</v>
      </c>
      <c r="AK129" s="548">
        <f t="shared" si="33"/>
        <v>8.3333333333333329E-2</v>
      </c>
      <c r="AL129" s="548">
        <f t="shared" si="33"/>
        <v>8.3333333333333329E-2</v>
      </c>
      <c r="AM129" s="548">
        <f t="shared" si="33"/>
        <v>8.3333333333333329E-2</v>
      </c>
      <c r="AN129" s="549">
        <f t="shared" ref="AN129:AN148" si="34">SUM(AB129:AM129)</f>
        <v>1</v>
      </c>
    </row>
    <row r="130" spans="2:40" outlineLevel="1">
      <c r="B130" s="520" t="s">
        <v>387</v>
      </c>
      <c r="C130" s="521"/>
      <c r="D130" s="550" t="str">
        <f>IF(IsHistoricalComponent,IFERROR(CHOOSE(MATCH(F130,ExpUnitTypeId,),TEXT('Adjustments &amp; Notes'!H39,"$ #,### ""/ unit"";;-"),TEXT('Adjustments &amp; Notes'!H39/$F$56,"$ #,##0.00 ""/ sf"";;-"),'Adjustments &amp; Notes'!G39,TEXT('Adjustments &amp; Notes'!G39/'Adjustments &amp; Notes'!$G$33,"#,##0.00% ""EGR"";;-"),'Adjustments &amp; Notes'!G39),),"")</f>
        <v>-</v>
      </c>
      <c r="E130" s="551">
        <v>0</v>
      </c>
      <c r="F130" s="552" t="str">
        <f>ExpUnitTypeSelection</f>
        <v>/ unit</v>
      </c>
      <c r="G130" s="145">
        <f>IFERROR(CHOOSE(MATCH(OperatingExpenseUnit,ExpUnitTypeId,),OperatingExpensesAmount*TotalDealUnits,OperatingExpensesAmount*AverageUnitSize*TotalDealUnits,OperatingExpensesAmount,OperatingExpensesAmount*Yr1EGR,BaseHistoricalExpenses*(1+OperatingExpensesAmount)),)</f>
        <v>0</v>
      </c>
      <c r="H130" s="525">
        <f t="shared" ref="H130:Q130" si="35">IF(OperatingExpenseUnit=EGR,OperatingExpensesAmount*SUMIF(OpExYrsHeader,OpExYrsHeader,AnnualEGRCF),G130*(1+SUMIF(CFYears,OpExYrsHeader-1,InflRate)))</f>
        <v>0</v>
      </c>
      <c r="I130" s="525">
        <f t="shared" si="35"/>
        <v>0</v>
      </c>
      <c r="J130" s="525">
        <f t="shared" si="35"/>
        <v>0</v>
      </c>
      <c r="K130" s="525">
        <f t="shared" si="35"/>
        <v>0</v>
      </c>
      <c r="L130" s="525">
        <f t="shared" si="35"/>
        <v>0</v>
      </c>
      <c r="M130" s="525">
        <f t="shared" si="35"/>
        <v>0</v>
      </c>
      <c r="N130" s="525">
        <f t="shared" si="35"/>
        <v>0</v>
      </c>
      <c r="O130" s="525">
        <f t="shared" si="35"/>
        <v>0</v>
      </c>
      <c r="P130" s="525">
        <f t="shared" si="35"/>
        <v>0</v>
      </c>
      <c r="Q130" s="525">
        <f t="shared" si="35"/>
        <v>0</v>
      </c>
      <c r="S130" s="525">
        <f t="shared" si="32"/>
        <v>0</v>
      </c>
      <c r="T130" s="553"/>
      <c r="U130"/>
      <c r="V130" s="1317" t="s">
        <v>387</v>
      </c>
      <c r="W130" s="1317"/>
      <c r="X130" s="1317"/>
      <c r="Y130"/>
      <c r="Z130" s="1318" t="s">
        <v>386</v>
      </c>
      <c r="AA130" s="1319"/>
      <c r="AB130" s="554">
        <f t="shared" si="33"/>
        <v>8.3333333333333329E-2</v>
      </c>
      <c r="AC130" s="554">
        <f t="shared" si="33"/>
        <v>8.3333333333333329E-2</v>
      </c>
      <c r="AD130" s="554">
        <f t="shared" si="33"/>
        <v>8.3333333333333329E-2</v>
      </c>
      <c r="AE130" s="554">
        <f t="shared" si="33"/>
        <v>8.3333333333333329E-2</v>
      </c>
      <c r="AF130" s="554">
        <f t="shared" si="33"/>
        <v>8.3333333333333329E-2</v>
      </c>
      <c r="AG130" s="554">
        <f t="shared" si="33"/>
        <v>8.3333333333333329E-2</v>
      </c>
      <c r="AH130" s="554">
        <f t="shared" si="33"/>
        <v>8.3333333333333329E-2</v>
      </c>
      <c r="AI130" s="554">
        <f t="shared" si="33"/>
        <v>8.3333333333333329E-2</v>
      </c>
      <c r="AJ130" s="554">
        <f t="shared" si="33"/>
        <v>8.3333333333333329E-2</v>
      </c>
      <c r="AK130" s="554">
        <f t="shared" si="33"/>
        <v>8.3333333333333329E-2</v>
      </c>
      <c r="AL130" s="554">
        <f t="shared" si="33"/>
        <v>8.3333333333333329E-2</v>
      </c>
      <c r="AM130" s="554">
        <f t="shared" si="33"/>
        <v>8.3333333333333329E-2</v>
      </c>
      <c r="AN130" s="555">
        <f t="shared" si="34"/>
        <v>1</v>
      </c>
    </row>
    <row r="131" spans="2:40" outlineLevel="1">
      <c r="B131" s="32" t="s">
        <v>388</v>
      </c>
      <c r="C131" s="37"/>
      <c r="D131" s="556" t="str">
        <f>IF(IsHistoricalComponent,IFERROR(CHOOSE(MATCH(F131,ExpUnitTypeId,),TEXT('Adjustments &amp; Notes'!H40,"$ #,### ""/ unit"";;-"),TEXT('Adjustments &amp; Notes'!H40/$F$56,"$ #,##0.00 ""/ sf"";;-"),'Adjustments &amp; Notes'!G40,TEXT('Adjustments &amp; Notes'!G40/'Adjustments &amp; Notes'!$G$33,"#,##0.00% ""EGR"";;-"),'Adjustments &amp; Notes'!G40),),"")</f>
        <v>-</v>
      </c>
      <c r="E131" s="557">
        <v>0</v>
      </c>
      <c r="F131" s="546" t="str">
        <f>ExpUnitTypeSelection</f>
        <v>/ unit</v>
      </c>
      <c r="G131" s="78">
        <f>IFERROR(CHOOSE(MATCH(OperatingExpenseUnit,ExpUnitTypeId,),OperatingExpensesAmount*TotalDealUnits,OperatingExpensesAmount*AverageUnitSize*TotalDealUnits,OperatingExpensesAmount,OperatingExpensesAmount*Yr1EGR,BaseHistoricalExpenses*(1+OperatingExpensesAmount)),)</f>
        <v>0</v>
      </c>
      <c r="H131" s="519">
        <f t="shared" ref="H131:Q131" si="36">IF(OperatingExpenseUnit=EGR,OperatingExpensesAmount*SUMIF(OpExYrsHeader,OpExYrsHeader,AnnualEGRCF),G131*(1+SUMIF(CFYears,OpExYrsHeader-1,InflRate)))</f>
        <v>0</v>
      </c>
      <c r="I131" s="519">
        <f t="shared" si="36"/>
        <v>0</v>
      </c>
      <c r="J131" s="519">
        <f t="shared" si="36"/>
        <v>0</v>
      </c>
      <c r="K131" s="519">
        <f t="shared" si="36"/>
        <v>0</v>
      </c>
      <c r="L131" s="519">
        <f t="shared" si="36"/>
        <v>0</v>
      </c>
      <c r="M131" s="519">
        <f t="shared" si="36"/>
        <v>0</v>
      </c>
      <c r="N131" s="519">
        <f t="shared" si="36"/>
        <v>0</v>
      </c>
      <c r="O131" s="519">
        <f t="shared" si="36"/>
        <v>0</v>
      </c>
      <c r="P131" s="519">
        <f t="shared" si="36"/>
        <v>0</v>
      </c>
      <c r="Q131" s="519">
        <f t="shared" si="36"/>
        <v>0</v>
      </c>
      <c r="S131" s="519">
        <f t="shared" si="32"/>
        <v>0</v>
      </c>
      <c r="T131" s="547"/>
      <c r="U131"/>
      <c r="V131" s="1326" t="s">
        <v>388</v>
      </c>
      <c r="W131" s="1326"/>
      <c r="X131" s="1326"/>
      <c r="Y131"/>
      <c r="Z131" s="1322" t="s">
        <v>386</v>
      </c>
      <c r="AA131" s="1323"/>
      <c r="AB131" s="548">
        <f t="shared" si="33"/>
        <v>8.3333333333333329E-2</v>
      </c>
      <c r="AC131" s="548">
        <f t="shared" si="33"/>
        <v>8.3333333333333329E-2</v>
      </c>
      <c r="AD131" s="548">
        <f t="shared" si="33"/>
        <v>8.3333333333333329E-2</v>
      </c>
      <c r="AE131" s="548">
        <f t="shared" si="33"/>
        <v>8.3333333333333329E-2</v>
      </c>
      <c r="AF131" s="548">
        <f t="shared" si="33"/>
        <v>8.3333333333333329E-2</v>
      </c>
      <c r="AG131" s="548">
        <f t="shared" si="33"/>
        <v>8.3333333333333329E-2</v>
      </c>
      <c r="AH131" s="548">
        <f t="shared" si="33"/>
        <v>8.3333333333333329E-2</v>
      </c>
      <c r="AI131" s="548">
        <f t="shared" si="33"/>
        <v>8.3333333333333329E-2</v>
      </c>
      <c r="AJ131" s="548">
        <f t="shared" si="33"/>
        <v>8.3333333333333329E-2</v>
      </c>
      <c r="AK131" s="548">
        <f t="shared" si="33"/>
        <v>8.3333333333333329E-2</v>
      </c>
      <c r="AL131" s="548">
        <f t="shared" si="33"/>
        <v>8.3333333333333329E-2</v>
      </c>
      <c r="AM131" s="548">
        <f t="shared" si="33"/>
        <v>8.3333333333333329E-2</v>
      </c>
      <c r="AN131" s="549">
        <f t="shared" si="34"/>
        <v>1</v>
      </c>
    </row>
    <row r="132" spans="2:40" outlineLevel="1">
      <c r="B132" s="520" t="s">
        <v>389</v>
      </c>
      <c r="C132" s="521"/>
      <c r="D132" s="550" t="str">
        <f>IF(IsHistoricalComponent,IFERROR(CHOOSE(MATCH(F132,ExpUnitTypeId,),TEXT('Adjustments &amp; Notes'!H41,"$ #,### ""/ unit"";;-"),TEXT('Adjustments &amp; Notes'!H41/$F$56,"$ #,##0.00 ""/ sf"";;-"),'Adjustments &amp; Notes'!G41,TEXT('Adjustments &amp; Notes'!G41/'Adjustments &amp; Notes'!$G$33,"#,##0.00% ""EGR"";;-"),'Adjustments &amp; Notes'!G41),),"")</f>
        <v>$ 203 / unit</v>
      </c>
      <c r="E132" s="551">
        <v>200</v>
      </c>
      <c r="F132" s="552" t="str">
        <f>ExpUnitTypeSelection</f>
        <v>/ unit</v>
      </c>
      <c r="G132" s="145">
        <f>IFERROR(CHOOSE(MATCH(OperatingExpenseUnit,ExpUnitTypeId,),OperatingExpensesAmount*TotalDealUnits,OperatingExpensesAmount*AverageUnitSize*TotalDealUnits,OperatingExpensesAmount,OperatingExpensesAmount*Yr1EGR,BaseHistoricalExpenses*(1+OperatingExpensesAmount)),)</f>
        <v>16000</v>
      </c>
      <c r="H132" s="525">
        <f t="shared" ref="H132:Q132" si="37">IF(OperatingExpenseUnit=EGR,OperatingExpensesAmount*SUMIF(OpExYrsHeader,OpExYrsHeader,AnnualEGRCF),G132*(1+SUMIF(CFYears,OpExYrsHeader-1,InflRate)))</f>
        <v>16000</v>
      </c>
      <c r="I132" s="525">
        <f t="shared" si="37"/>
        <v>16000</v>
      </c>
      <c r="J132" s="525">
        <f t="shared" si="37"/>
        <v>16000</v>
      </c>
      <c r="K132" s="525">
        <f t="shared" si="37"/>
        <v>16000</v>
      </c>
      <c r="L132" s="525">
        <f t="shared" si="37"/>
        <v>16000</v>
      </c>
      <c r="M132" s="525">
        <f t="shared" si="37"/>
        <v>16000</v>
      </c>
      <c r="N132" s="525">
        <f t="shared" si="37"/>
        <v>16000</v>
      </c>
      <c r="O132" s="525">
        <f t="shared" si="37"/>
        <v>16000</v>
      </c>
      <c r="P132" s="525">
        <f t="shared" si="37"/>
        <v>16000</v>
      </c>
      <c r="Q132" s="525">
        <f t="shared" si="37"/>
        <v>16000</v>
      </c>
      <c r="S132" s="525">
        <f t="shared" si="32"/>
        <v>16000</v>
      </c>
      <c r="T132" s="553"/>
      <c r="U132"/>
      <c r="V132" s="1317" t="s">
        <v>389</v>
      </c>
      <c r="W132" s="1317"/>
      <c r="X132" s="1317"/>
      <c r="Y132"/>
      <c r="Z132" s="1318" t="s">
        <v>386</v>
      </c>
      <c r="AA132" s="1319"/>
      <c r="AB132" s="554">
        <f t="shared" si="33"/>
        <v>8.3333333333333329E-2</v>
      </c>
      <c r="AC132" s="554">
        <f t="shared" si="33"/>
        <v>8.3333333333333329E-2</v>
      </c>
      <c r="AD132" s="554">
        <f t="shared" si="33"/>
        <v>8.3333333333333329E-2</v>
      </c>
      <c r="AE132" s="554">
        <f t="shared" si="33"/>
        <v>8.3333333333333329E-2</v>
      </c>
      <c r="AF132" s="554">
        <f t="shared" si="33"/>
        <v>8.3333333333333329E-2</v>
      </c>
      <c r="AG132" s="554">
        <f t="shared" si="33"/>
        <v>8.3333333333333329E-2</v>
      </c>
      <c r="AH132" s="554">
        <f t="shared" si="33"/>
        <v>8.3333333333333329E-2</v>
      </c>
      <c r="AI132" s="554">
        <f t="shared" si="33"/>
        <v>8.3333333333333329E-2</v>
      </c>
      <c r="AJ132" s="554">
        <f t="shared" si="33"/>
        <v>8.3333333333333329E-2</v>
      </c>
      <c r="AK132" s="554">
        <f t="shared" si="33"/>
        <v>8.3333333333333329E-2</v>
      </c>
      <c r="AL132" s="554">
        <f t="shared" si="33"/>
        <v>8.3333333333333329E-2</v>
      </c>
      <c r="AM132" s="554">
        <f t="shared" si="33"/>
        <v>8.3333333333333329E-2</v>
      </c>
      <c r="AN132" s="555">
        <f t="shared" si="34"/>
        <v>1</v>
      </c>
    </row>
    <row r="133" spans="2:40" outlineLevel="1">
      <c r="B133" s="32" t="s">
        <v>390</v>
      </c>
      <c r="C133" s="37"/>
      <c r="D133" s="556" t="str">
        <f>IF(IsHistoricalComponent,IFERROR(CHOOSE(MATCH(F133,ExpUnitTypeId,),TEXT('Adjustments &amp; Notes'!H42,"$ #,### ""/ unit"";;-"),TEXT('Adjustments &amp; Notes'!H42/$F$56,"$ #,##0.00 ""/ sf"";;-"),'Adjustments &amp; Notes'!G42,TEXT('Adjustments &amp; Notes'!G42/'Adjustments &amp; Notes'!$G$33,"#,##0.00% ""EGR"";;-"),'Adjustments &amp; Notes'!G42),),"")</f>
        <v>$ 984 / unit</v>
      </c>
      <c r="E133" s="557">
        <v>1833.75</v>
      </c>
      <c r="F133" s="546" t="str">
        <f>ExpUnitTypeSelection</f>
        <v>/ unit</v>
      </c>
      <c r="G133" s="78">
        <f>IFERROR(CHOOSE(MATCH(OperatingExpenseUnit,ExpUnitTypeId,),OperatingExpensesAmount*TotalDealUnits,OperatingExpensesAmount*AverageUnitSize*TotalDealUnits,OperatingExpensesAmount,OperatingExpensesAmount*Yr1EGR,BaseHistoricalExpenses*(1+OperatingExpensesAmount)),)</f>
        <v>146700</v>
      </c>
      <c r="H133" s="519">
        <f t="shared" ref="H133:Q133" si="38">IF(OperatingExpenseUnit=EGR,OperatingExpensesAmount*SUMIF(OpExYrsHeader,OpExYrsHeader,AnnualEGRCF),G133*(1+SUMIF(CFYears,OpExYrsHeader-1,InflRate)))</f>
        <v>146700</v>
      </c>
      <c r="I133" s="519">
        <f t="shared" si="38"/>
        <v>146700</v>
      </c>
      <c r="J133" s="519">
        <f t="shared" si="38"/>
        <v>146700</v>
      </c>
      <c r="K133" s="519">
        <f t="shared" si="38"/>
        <v>146700</v>
      </c>
      <c r="L133" s="519">
        <f t="shared" si="38"/>
        <v>146700</v>
      </c>
      <c r="M133" s="519">
        <f t="shared" si="38"/>
        <v>146700</v>
      </c>
      <c r="N133" s="519">
        <f t="shared" si="38"/>
        <v>146700</v>
      </c>
      <c r="O133" s="519">
        <f t="shared" si="38"/>
        <v>146700</v>
      </c>
      <c r="P133" s="519">
        <f t="shared" si="38"/>
        <v>146700</v>
      </c>
      <c r="Q133" s="519">
        <f t="shared" si="38"/>
        <v>146700</v>
      </c>
      <c r="S133" s="519">
        <f t="shared" si="32"/>
        <v>146700</v>
      </c>
      <c r="T133" s="547"/>
      <c r="U133"/>
      <c r="V133" s="1326" t="s">
        <v>390</v>
      </c>
      <c r="W133" s="1326"/>
      <c r="X133" s="1326"/>
      <c r="Y133"/>
      <c r="Z133" s="1322" t="s">
        <v>386</v>
      </c>
      <c r="AA133" s="1323"/>
      <c r="AB133" s="548">
        <f t="shared" si="33"/>
        <v>8.3333333333333329E-2</v>
      </c>
      <c r="AC133" s="548">
        <f t="shared" si="33"/>
        <v>8.3333333333333329E-2</v>
      </c>
      <c r="AD133" s="548">
        <f t="shared" si="33"/>
        <v>8.3333333333333329E-2</v>
      </c>
      <c r="AE133" s="548">
        <f t="shared" si="33"/>
        <v>8.3333333333333329E-2</v>
      </c>
      <c r="AF133" s="548">
        <f t="shared" si="33"/>
        <v>8.3333333333333329E-2</v>
      </c>
      <c r="AG133" s="548">
        <f t="shared" si="33"/>
        <v>8.3333333333333329E-2</v>
      </c>
      <c r="AH133" s="548">
        <f t="shared" si="33"/>
        <v>8.3333333333333329E-2</v>
      </c>
      <c r="AI133" s="548">
        <f t="shared" si="33"/>
        <v>8.3333333333333329E-2</v>
      </c>
      <c r="AJ133" s="548">
        <f t="shared" si="33"/>
        <v>8.3333333333333329E-2</v>
      </c>
      <c r="AK133" s="548">
        <f t="shared" si="33"/>
        <v>8.3333333333333329E-2</v>
      </c>
      <c r="AL133" s="548">
        <f t="shared" si="33"/>
        <v>8.3333333333333329E-2</v>
      </c>
      <c r="AM133" s="548">
        <f t="shared" si="33"/>
        <v>8.3333333333333329E-2</v>
      </c>
      <c r="AN133" s="549">
        <f t="shared" si="34"/>
        <v>1</v>
      </c>
    </row>
    <row r="134" spans="2:40" outlineLevel="1">
      <c r="B134" s="520" t="s">
        <v>391</v>
      </c>
      <c r="C134" s="521"/>
      <c r="D134" s="550" t="str">
        <f>IF(IsHistoricalComponent,IFERROR(CHOOSE(MATCH(F134,ExpUnitTypeId,),TEXT('Adjustments &amp; Notes'!H43,"$ #,### ""/ unit"";;-"),TEXT('Adjustments &amp; Notes'!H43/$F$56,"$ #,##0.00 ""/ sf"";;-"),'Adjustments &amp; Notes'!G43,TEXT('Adjustments &amp; Notes'!G43/'Adjustments &amp; Notes'!$G$33,"#,##0.00% ""EGR"";;-"),'Adjustments &amp; Notes'!G43),),"")</f>
        <v>$ 168 / unit</v>
      </c>
      <c r="E134" s="551"/>
      <c r="F134" s="552" t="str">
        <f>ExpUnitTypeSelection</f>
        <v>/ unit</v>
      </c>
      <c r="G134" s="145">
        <f>IFERROR(CHOOSE(MATCH(OperatingExpenseUnit,ExpUnitTypeId,),OperatingExpensesAmount*TotalDealUnits,OperatingExpensesAmount*AverageUnitSize*TotalDealUnits,OperatingExpensesAmount,OperatingExpensesAmount*Yr1EGR,BaseHistoricalExpenses*(1+OperatingExpensesAmount)),)</f>
        <v>0</v>
      </c>
      <c r="H134" s="525">
        <f t="shared" ref="H134:Q134" si="39">IF(OperatingExpenseUnit=EGR,OperatingExpensesAmount*SUMIF(OpExYrsHeader,OpExYrsHeader,AnnualEGRCF),G134*(1+SUMIF(CFYears,OpExYrsHeader-1,InflRate)))</f>
        <v>0</v>
      </c>
      <c r="I134" s="525">
        <f t="shared" si="39"/>
        <v>0</v>
      </c>
      <c r="J134" s="525">
        <f t="shared" si="39"/>
        <v>0</v>
      </c>
      <c r="K134" s="525">
        <f t="shared" si="39"/>
        <v>0</v>
      </c>
      <c r="L134" s="525">
        <f t="shared" si="39"/>
        <v>0</v>
      </c>
      <c r="M134" s="525">
        <f t="shared" si="39"/>
        <v>0</v>
      </c>
      <c r="N134" s="525">
        <f t="shared" si="39"/>
        <v>0</v>
      </c>
      <c r="O134" s="525">
        <f t="shared" si="39"/>
        <v>0</v>
      </c>
      <c r="P134" s="525">
        <f t="shared" si="39"/>
        <v>0</v>
      </c>
      <c r="Q134" s="525">
        <f t="shared" si="39"/>
        <v>0</v>
      </c>
      <c r="S134" s="525">
        <f t="shared" si="32"/>
        <v>0</v>
      </c>
      <c r="T134" s="553"/>
      <c r="U134"/>
      <c r="V134" s="1317" t="s">
        <v>391</v>
      </c>
      <c r="W134" s="1317"/>
      <c r="X134" s="1317"/>
      <c r="Y134"/>
      <c r="Z134" s="1318" t="s">
        <v>386</v>
      </c>
      <c r="AA134" s="1319"/>
      <c r="AB134" s="554">
        <f t="shared" si="33"/>
        <v>8.3333333333333329E-2</v>
      </c>
      <c r="AC134" s="554">
        <f t="shared" si="33"/>
        <v>8.3333333333333329E-2</v>
      </c>
      <c r="AD134" s="554">
        <f t="shared" si="33"/>
        <v>8.3333333333333329E-2</v>
      </c>
      <c r="AE134" s="554">
        <f t="shared" si="33"/>
        <v>8.3333333333333329E-2</v>
      </c>
      <c r="AF134" s="554">
        <f t="shared" si="33"/>
        <v>8.3333333333333329E-2</v>
      </c>
      <c r="AG134" s="554">
        <f t="shared" si="33"/>
        <v>8.3333333333333329E-2</v>
      </c>
      <c r="AH134" s="554">
        <f t="shared" si="33"/>
        <v>8.3333333333333329E-2</v>
      </c>
      <c r="AI134" s="554">
        <f t="shared" si="33"/>
        <v>8.3333333333333329E-2</v>
      </c>
      <c r="AJ134" s="554">
        <f t="shared" si="33"/>
        <v>8.3333333333333329E-2</v>
      </c>
      <c r="AK134" s="554">
        <f t="shared" si="33"/>
        <v>8.3333333333333329E-2</v>
      </c>
      <c r="AL134" s="554">
        <f t="shared" si="33"/>
        <v>8.3333333333333329E-2</v>
      </c>
      <c r="AM134" s="554">
        <f t="shared" si="33"/>
        <v>8.3333333333333329E-2</v>
      </c>
      <c r="AN134" s="555">
        <f t="shared" si="34"/>
        <v>1</v>
      </c>
    </row>
    <row r="135" spans="2:40" outlineLevel="1">
      <c r="B135" s="32" t="s">
        <v>392</v>
      </c>
      <c r="C135" s="37"/>
      <c r="D135" s="556" t="str">
        <f>IF(IsHistoricalComponent,IFERROR(CHOOSE(MATCH(F135,ExpUnitTypeId,),TEXT('Adjustments &amp; Notes'!H44,"$ #,### ""/ unit"";;-"),TEXT('Adjustments &amp; Notes'!H44/$F$56,"$ #,##0.00 ""/ sf"";;-"),'Adjustments &amp; Notes'!G44,TEXT('Adjustments &amp; Notes'!G44/'Adjustments &amp; Notes'!$G$33,"#,##0.00% ""EGR"";;-"),'Adjustments &amp; Notes'!G44),),"")</f>
        <v>-</v>
      </c>
      <c r="E135" s="557"/>
      <c r="F135" s="546" t="str">
        <f>ExpUnitTypeSelection</f>
        <v>/ unit</v>
      </c>
      <c r="G135" s="78">
        <f>IFERROR(CHOOSE(MATCH(OperatingExpenseUnit,ExpUnitTypeId,),OperatingExpensesAmount*TotalDealUnits,OperatingExpensesAmount*AverageUnitSize*TotalDealUnits,OperatingExpensesAmount,OperatingExpensesAmount*Yr1EGR,BaseHistoricalExpenses*(1+OperatingExpensesAmount)),)</f>
        <v>0</v>
      </c>
      <c r="H135" s="519">
        <f t="shared" ref="H135:Q135" si="40">IF(OperatingExpenseUnit=EGR,OperatingExpensesAmount*SUMIF(OpExYrsHeader,OpExYrsHeader,AnnualEGRCF),G135*(1+SUMIF(CFYears,OpExYrsHeader-1,InflRate)))</f>
        <v>0</v>
      </c>
      <c r="I135" s="519">
        <f t="shared" si="40"/>
        <v>0</v>
      </c>
      <c r="J135" s="519">
        <f t="shared" si="40"/>
        <v>0</v>
      </c>
      <c r="K135" s="519">
        <f t="shared" si="40"/>
        <v>0</v>
      </c>
      <c r="L135" s="519">
        <f t="shared" si="40"/>
        <v>0</v>
      </c>
      <c r="M135" s="519">
        <f t="shared" si="40"/>
        <v>0</v>
      </c>
      <c r="N135" s="519">
        <f t="shared" si="40"/>
        <v>0</v>
      </c>
      <c r="O135" s="519">
        <f t="shared" si="40"/>
        <v>0</v>
      </c>
      <c r="P135" s="519">
        <f t="shared" si="40"/>
        <v>0</v>
      </c>
      <c r="Q135" s="519">
        <f t="shared" si="40"/>
        <v>0</v>
      </c>
      <c r="S135" s="519">
        <f t="shared" si="32"/>
        <v>0</v>
      </c>
      <c r="T135" s="547"/>
      <c r="U135"/>
      <c r="V135" s="1326" t="s">
        <v>393</v>
      </c>
      <c r="W135" s="1326"/>
      <c r="X135" s="1326"/>
      <c r="Y135"/>
      <c r="Z135" s="1322" t="s">
        <v>386</v>
      </c>
      <c r="AA135" s="1323"/>
      <c r="AB135" s="548">
        <f t="shared" si="33"/>
        <v>8.3333333333333329E-2</v>
      </c>
      <c r="AC135" s="548">
        <f t="shared" si="33"/>
        <v>8.3333333333333329E-2</v>
      </c>
      <c r="AD135" s="548">
        <f t="shared" si="33"/>
        <v>8.3333333333333329E-2</v>
      </c>
      <c r="AE135" s="548">
        <f t="shared" si="33"/>
        <v>8.3333333333333329E-2</v>
      </c>
      <c r="AF135" s="548">
        <f t="shared" si="33"/>
        <v>8.3333333333333329E-2</v>
      </c>
      <c r="AG135" s="548">
        <f t="shared" si="33"/>
        <v>8.3333333333333329E-2</v>
      </c>
      <c r="AH135" s="548">
        <f t="shared" si="33"/>
        <v>8.3333333333333329E-2</v>
      </c>
      <c r="AI135" s="548">
        <f t="shared" si="33"/>
        <v>8.3333333333333329E-2</v>
      </c>
      <c r="AJ135" s="548">
        <f t="shared" si="33"/>
        <v>8.3333333333333329E-2</v>
      </c>
      <c r="AK135" s="548">
        <f t="shared" si="33"/>
        <v>8.3333333333333329E-2</v>
      </c>
      <c r="AL135" s="548">
        <f t="shared" si="33"/>
        <v>8.3333333333333329E-2</v>
      </c>
      <c r="AM135" s="548">
        <f t="shared" si="33"/>
        <v>8.3333333333333329E-2</v>
      </c>
      <c r="AN135" s="549">
        <f t="shared" si="34"/>
        <v>1</v>
      </c>
    </row>
    <row r="136" spans="2:40" outlineLevel="1">
      <c r="B136" s="520" t="s">
        <v>394</v>
      </c>
      <c r="C136" s="521"/>
      <c r="D136" s="550" t="str">
        <f>IF(IsHistoricalComponent,IFERROR(CHOOSE(MATCH(F136,ExpUnitTypeId,),TEXT('Adjustments &amp; Notes'!H45,"$ #,### ""/ unit"";;-"),TEXT('Adjustments &amp; Notes'!H45/$F$56,"$ #,##0.00 ""/ sf"";;-"),'Adjustments &amp; Notes'!G45,TEXT('Adjustments &amp; Notes'!G45/'Adjustments &amp; Notes'!$G$33,"#,##0.00% ""EGR"";;-"),'Adjustments &amp; Notes'!G45),),"")</f>
        <v>$ 439 / unit</v>
      </c>
      <c r="E136" s="551"/>
      <c r="F136" s="552" t="str">
        <f>ExpUnitTypeSelection</f>
        <v>/ unit</v>
      </c>
      <c r="G136" s="145">
        <f>IFERROR(CHOOSE(MATCH(OperatingExpenseUnit,ExpUnitTypeId,),OperatingExpensesAmount*TotalDealUnits,OperatingExpensesAmount*AverageUnitSize*TotalDealUnits,OperatingExpensesAmount,OperatingExpensesAmount*Yr1EGR,BaseHistoricalExpenses*(1+OperatingExpensesAmount)),)</f>
        <v>0</v>
      </c>
      <c r="H136" s="525">
        <f t="shared" ref="H136:Q136" si="41">IF(OperatingExpenseUnit=EGR,OperatingExpensesAmount*SUMIF(OpExYrsHeader,OpExYrsHeader,AnnualEGRCF),G136*(1+SUMIF(CFYears,OpExYrsHeader-1,InflRate)))</f>
        <v>0</v>
      </c>
      <c r="I136" s="525">
        <f t="shared" si="41"/>
        <v>0</v>
      </c>
      <c r="J136" s="525">
        <f t="shared" si="41"/>
        <v>0</v>
      </c>
      <c r="K136" s="525">
        <f t="shared" si="41"/>
        <v>0</v>
      </c>
      <c r="L136" s="525">
        <f t="shared" si="41"/>
        <v>0</v>
      </c>
      <c r="M136" s="525">
        <f t="shared" si="41"/>
        <v>0</v>
      </c>
      <c r="N136" s="525">
        <f t="shared" si="41"/>
        <v>0</v>
      </c>
      <c r="O136" s="525">
        <f t="shared" si="41"/>
        <v>0</v>
      </c>
      <c r="P136" s="525">
        <f t="shared" si="41"/>
        <v>0</v>
      </c>
      <c r="Q136" s="525">
        <f t="shared" si="41"/>
        <v>0</v>
      </c>
      <c r="S136" s="525">
        <f t="shared" si="32"/>
        <v>0</v>
      </c>
      <c r="T136" s="553"/>
      <c r="U136"/>
      <c r="V136" s="1317" t="s">
        <v>395</v>
      </c>
      <c r="W136" s="1317"/>
      <c r="X136" s="1317"/>
      <c r="Y136"/>
      <c r="Z136" s="1318" t="s">
        <v>386</v>
      </c>
      <c r="AA136" s="1319"/>
      <c r="AB136" s="554">
        <f t="shared" si="33"/>
        <v>8.3333333333333329E-2</v>
      </c>
      <c r="AC136" s="554">
        <f t="shared" si="33"/>
        <v>8.3333333333333329E-2</v>
      </c>
      <c r="AD136" s="554">
        <f t="shared" si="33"/>
        <v>8.3333333333333329E-2</v>
      </c>
      <c r="AE136" s="554">
        <f t="shared" si="33"/>
        <v>8.3333333333333329E-2</v>
      </c>
      <c r="AF136" s="554">
        <f t="shared" si="33"/>
        <v>8.3333333333333329E-2</v>
      </c>
      <c r="AG136" s="554">
        <f t="shared" si="33"/>
        <v>8.3333333333333329E-2</v>
      </c>
      <c r="AH136" s="554">
        <f t="shared" si="33"/>
        <v>8.3333333333333329E-2</v>
      </c>
      <c r="AI136" s="554">
        <f t="shared" si="33"/>
        <v>8.3333333333333329E-2</v>
      </c>
      <c r="AJ136" s="554">
        <f t="shared" si="33"/>
        <v>8.3333333333333329E-2</v>
      </c>
      <c r="AK136" s="554">
        <f t="shared" si="33"/>
        <v>8.3333333333333329E-2</v>
      </c>
      <c r="AL136" s="554">
        <f t="shared" si="33"/>
        <v>8.3333333333333329E-2</v>
      </c>
      <c r="AM136" s="554">
        <f t="shared" si="33"/>
        <v>8.3333333333333329E-2</v>
      </c>
      <c r="AN136" s="555">
        <f t="shared" si="34"/>
        <v>1</v>
      </c>
    </row>
    <row r="137" spans="2:40" outlineLevel="1">
      <c r="B137" s="32" t="s">
        <v>396</v>
      </c>
      <c r="C137" s="37"/>
      <c r="D137" s="556" t="str">
        <f>IF(IsHistoricalComponent,IFERROR(CHOOSE(MATCH(F137,ExpUnitTypeId,),TEXT('Adjustments &amp; Notes'!H46,"$ #,### ""/ unit"";;-"),TEXT('Adjustments &amp; Notes'!H46/$F$56,"$ #,##0.00 ""/ sf"";;-"),'Adjustments &amp; Notes'!G46,TEXT('Adjustments &amp; Notes'!G46/'Adjustments &amp; Notes'!$G$33,"#,##0.00% ""EGR"";;-"),'Adjustments &amp; Notes'!G46),),"")</f>
        <v>-</v>
      </c>
      <c r="E137" s="557"/>
      <c r="F137" s="546" t="str">
        <f>ExpUnitTypeSelection</f>
        <v>/ unit</v>
      </c>
      <c r="G137" s="78">
        <f>IFERROR(CHOOSE(MATCH(OperatingExpenseUnit,ExpUnitTypeId,),OperatingExpensesAmount*TotalDealUnits,OperatingExpensesAmount*AverageUnitSize*TotalDealUnits,OperatingExpensesAmount,OperatingExpensesAmount*Yr1EGR,BaseHistoricalExpenses*(1+OperatingExpensesAmount)),)</f>
        <v>0</v>
      </c>
      <c r="H137" s="519">
        <f t="shared" ref="H137:Q137" si="42">IF(OperatingExpenseUnit=EGR,OperatingExpensesAmount*SUMIF(OpExYrsHeader,OpExYrsHeader,AnnualEGRCF),G137*(1+SUMIF(CFYears,OpExYrsHeader-1,InflRate)))</f>
        <v>0</v>
      </c>
      <c r="I137" s="519">
        <f t="shared" si="42"/>
        <v>0</v>
      </c>
      <c r="J137" s="519">
        <f t="shared" si="42"/>
        <v>0</v>
      </c>
      <c r="K137" s="519">
        <f t="shared" si="42"/>
        <v>0</v>
      </c>
      <c r="L137" s="519">
        <f t="shared" si="42"/>
        <v>0</v>
      </c>
      <c r="M137" s="519">
        <f t="shared" si="42"/>
        <v>0</v>
      </c>
      <c r="N137" s="519">
        <f t="shared" si="42"/>
        <v>0</v>
      </c>
      <c r="O137" s="519">
        <f t="shared" si="42"/>
        <v>0</v>
      </c>
      <c r="P137" s="519">
        <f t="shared" si="42"/>
        <v>0</v>
      </c>
      <c r="Q137" s="519">
        <f t="shared" si="42"/>
        <v>0</v>
      </c>
      <c r="S137" s="519">
        <f t="shared" si="32"/>
        <v>0</v>
      </c>
      <c r="T137" s="547"/>
      <c r="U137"/>
      <c r="V137" s="1326" t="s">
        <v>396</v>
      </c>
      <c r="W137" s="1326"/>
      <c r="X137" s="1326"/>
      <c r="Y137"/>
      <c r="Z137" s="1322" t="s">
        <v>386</v>
      </c>
      <c r="AA137" s="1323"/>
      <c r="AB137" s="548">
        <f t="shared" si="33"/>
        <v>8.3333333333333329E-2</v>
      </c>
      <c r="AC137" s="548">
        <f t="shared" si="33"/>
        <v>8.3333333333333329E-2</v>
      </c>
      <c r="AD137" s="548">
        <f t="shared" si="33"/>
        <v>8.3333333333333329E-2</v>
      </c>
      <c r="AE137" s="548">
        <f t="shared" si="33"/>
        <v>8.3333333333333329E-2</v>
      </c>
      <c r="AF137" s="548">
        <f t="shared" si="33"/>
        <v>8.3333333333333329E-2</v>
      </c>
      <c r="AG137" s="548">
        <f t="shared" si="33"/>
        <v>8.3333333333333329E-2</v>
      </c>
      <c r="AH137" s="548">
        <f t="shared" si="33"/>
        <v>8.3333333333333329E-2</v>
      </c>
      <c r="AI137" s="548">
        <f t="shared" si="33"/>
        <v>8.3333333333333329E-2</v>
      </c>
      <c r="AJ137" s="548">
        <f t="shared" si="33"/>
        <v>8.3333333333333329E-2</v>
      </c>
      <c r="AK137" s="548">
        <f t="shared" si="33"/>
        <v>8.3333333333333329E-2</v>
      </c>
      <c r="AL137" s="548">
        <f t="shared" si="33"/>
        <v>8.3333333333333329E-2</v>
      </c>
      <c r="AM137" s="548">
        <f t="shared" si="33"/>
        <v>8.3333333333333329E-2</v>
      </c>
      <c r="AN137" s="549">
        <f t="shared" si="34"/>
        <v>1</v>
      </c>
    </row>
    <row r="138" spans="2:40" outlineLevel="1">
      <c r="B138" s="520" t="s">
        <v>397</v>
      </c>
      <c r="C138" s="521"/>
      <c r="D138" s="550" t="str">
        <f>IF(IsHistoricalComponent,IFERROR(CHOOSE(MATCH(F138,ExpUnitTypeId,),TEXT('Adjustments &amp; Notes'!H47,"$ #,### ""/ unit"";;-"),TEXT('Adjustments &amp; Notes'!H47/$F$56,"$ #,##0.00 ""/ sf"";;-"),'Adjustments &amp; Notes'!G47,TEXT('Adjustments &amp; Notes'!G47/'Adjustments &amp; Notes'!$G$33,"#,##0.00% ""EGR"";;-"),'Adjustments &amp; Notes'!G47),),"")</f>
        <v>$ 337 / unit</v>
      </c>
      <c r="E138" s="551"/>
      <c r="F138" s="552" t="str">
        <f>ExpUnitTypeSelection</f>
        <v>/ unit</v>
      </c>
      <c r="G138" s="145">
        <f>IFERROR(CHOOSE(MATCH(OperatingExpenseUnit,ExpUnitTypeId,),OperatingExpensesAmount*TotalDealUnits,OperatingExpensesAmount*AverageUnitSize*TotalDealUnits,OperatingExpensesAmount,OperatingExpensesAmount*Yr1EGR,BaseHistoricalExpenses*(1+OperatingExpensesAmount)),)</f>
        <v>0</v>
      </c>
      <c r="H138" s="525">
        <f t="shared" ref="H138:Q138" si="43">IF(OperatingExpenseUnit=EGR,OperatingExpensesAmount*SUMIF(OpExYrsHeader,OpExYrsHeader,AnnualEGRCF),G138*(1+SUMIF(CFYears,OpExYrsHeader-1,InflRate)))</f>
        <v>0</v>
      </c>
      <c r="I138" s="525">
        <f t="shared" si="43"/>
        <v>0</v>
      </c>
      <c r="J138" s="525">
        <f t="shared" si="43"/>
        <v>0</v>
      </c>
      <c r="K138" s="525">
        <f t="shared" si="43"/>
        <v>0</v>
      </c>
      <c r="L138" s="525">
        <f t="shared" si="43"/>
        <v>0</v>
      </c>
      <c r="M138" s="525">
        <f t="shared" si="43"/>
        <v>0</v>
      </c>
      <c r="N138" s="525">
        <f t="shared" si="43"/>
        <v>0</v>
      </c>
      <c r="O138" s="525">
        <f t="shared" si="43"/>
        <v>0</v>
      </c>
      <c r="P138" s="525">
        <f t="shared" si="43"/>
        <v>0</v>
      </c>
      <c r="Q138" s="525">
        <f t="shared" si="43"/>
        <v>0</v>
      </c>
      <c r="S138" s="525">
        <f t="shared" si="32"/>
        <v>0</v>
      </c>
      <c r="T138" s="553"/>
      <c r="U138"/>
      <c r="V138" s="1317" t="s">
        <v>398</v>
      </c>
      <c r="W138" s="1317"/>
      <c r="X138" s="1317"/>
      <c r="Y138"/>
      <c r="Z138" s="1318" t="s">
        <v>386</v>
      </c>
      <c r="AA138" s="1319"/>
      <c r="AB138" s="554">
        <f t="shared" si="33"/>
        <v>8.3333333333333329E-2</v>
      </c>
      <c r="AC138" s="554">
        <f t="shared" si="33"/>
        <v>8.3333333333333329E-2</v>
      </c>
      <c r="AD138" s="554">
        <f t="shared" si="33"/>
        <v>8.3333333333333329E-2</v>
      </c>
      <c r="AE138" s="554">
        <f t="shared" si="33"/>
        <v>8.3333333333333329E-2</v>
      </c>
      <c r="AF138" s="554">
        <f t="shared" si="33"/>
        <v>8.3333333333333329E-2</v>
      </c>
      <c r="AG138" s="554">
        <f t="shared" si="33"/>
        <v>8.3333333333333329E-2</v>
      </c>
      <c r="AH138" s="554">
        <f t="shared" si="33"/>
        <v>8.3333333333333329E-2</v>
      </c>
      <c r="AI138" s="554">
        <f t="shared" si="33"/>
        <v>8.3333333333333329E-2</v>
      </c>
      <c r="AJ138" s="554">
        <f t="shared" si="33"/>
        <v>8.3333333333333329E-2</v>
      </c>
      <c r="AK138" s="554">
        <f t="shared" si="33"/>
        <v>8.3333333333333329E-2</v>
      </c>
      <c r="AL138" s="554">
        <f t="shared" si="33"/>
        <v>8.3333333333333329E-2</v>
      </c>
      <c r="AM138" s="554">
        <f t="shared" si="33"/>
        <v>8.3333333333333329E-2</v>
      </c>
      <c r="AN138" s="555">
        <f t="shared" si="34"/>
        <v>1</v>
      </c>
    </row>
    <row r="139" spans="2:40" outlineLevel="1">
      <c r="B139" s="32" t="s">
        <v>399</v>
      </c>
      <c r="C139" s="37"/>
      <c r="D139" s="556" t="str">
        <f>IF(IsHistoricalComponent,IFERROR(CHOOSE(MATCH(F139,ExpUnitTypeId,),TEXT('Adjustments &amp; Notes'!H48,"$ #,### ""/ unit"";;-"),TEXT('Adjustments &amp; Notes'!H48/$F$56,"$ #,##0.00 ""/ sf"";;-"),'Adjustments &amp; Notes'!G48,TEXT('Adjustments &amp; Notes'!G48/'Adjustments &amp; Notes'!$G$33,"#,##0.00% ""EGR"";;-"),'Adjustments &amp; Notes'!G48),),"")</f>
        <v>-</v>
      </c>
      <c r="E139" s="557"/>
      <c r="F139" s="546" t="str">
        <f>ExpUnitTypeSelection</f>
        <v>/ unit</v>
      </c>
      <c r="G139" s="78">
        <f>IFERROR(CHOOSE(MATCH(OperatingExpenseUnit,ExpUnitTypeId,),OperatingExpensesAmount*TotalDealUnits,OperatingExpensesAmount*AverageUnitSize*TotalDealUnits,OperatingExpensesAmount,OperatingExpensesAmount*Yr1EGR,BaseHistoricalExpenses*(1+OperatingExpensesAmount)),)</f>
        <v>0</v>
      </c>
      <c r="H139" s="519">
        <f t="shared" ref="H139:Q139" si="44">IF(OperatingExpenseUnit=EGR,OperatingExpensesAmount*SUMIF(OpExYrsHeader,OpExYrsHeader,AnnualEGRCF),G139*(1+SUMIF(CFYears,OpExYrsHeader-1,InflRate)))</f>
        <v>0</v>
      </c>
      <c r="I139" s="519">
        <f t="shared" si="44"/>
        <v>0</v>
      </c>
      <c r="J139" s="519">
        <f t="shared" si="44"/>
        <v>0</v>
      </c>
      <c r="K139" s="519">
        <f t="shared" si="44"/>
        <v>0</v>
      </c>
      <c r="L139" s="519">
        <f t="shared" si="44"/>
        <v>0</v>
      </c>
      <c r="M139" s="519">
        <f t="shared" si="44"/>
        <v>0</v>
      </c>
      <c r="N139" s="519">
        <f t="shared" si="44"/>
        <v>0</v>
      </c>
      <c r="O139" s="519">
        <f t="shared" si="44"/>
        <v>0</v>
      </c>
      <c r="P139" s="519">
        <f t="shared" si="44"/>
        <v>0</v>
      </c>
      <c r="Q139" s="519">
        <f t="shared" si="44"/>
        <v>0</v>
      </c>
      <c r="S139" s="519">
        <f t="shared" si="32"/>
        <v>0</v>
      </c>
      <c r="T139" s="547"/>
      <c r="U139"/>
      <c r="V139" s="1326" t="s">
        <v>398</v>
      </c>
      <c r="W139" s="1326"/>
      <c r="X139" s="1326"/>
      <c r="Y139"/>
      <c r="Z139" s="1322" t="s">
        <v>386</v>
      </c>
      <c r="AA139" s="1323"/>
      <c r="AB139" s="548">
        <f t="shared" ref="AB139:AM148" si="45">1/12</f>
        <v>8.3333333333333329E-2</v>
      </c>
      <c r="AC139" s="548">
        <f t="shared" si="45"/>
        <v>8.3333333333333329E-2</v>
      </c>
      <c r="AD139" s="548">
        <f t="shared" si="45"/>
        <v>8.3333333333333329E-2</v>
      </c>
      <c r="AE139" s="548">
        <f t="shared" si="45"/>
        <v>8.3333333333333329E-2</v>
      </c>
      <c r="AF139" s="548">
        <f t="shared" si="45"/>
        <v>8.3333333333333329E-2</v>
      </c>
      <c r="AG139" s="548">
        <f t="shared" si="45"/>
        <v>8.3333333333333329E-2</v>
      </c>
      <c r="AH139" s="548">
        <f t="shared" si="45"/>
        <v>8.3333333333333329E-2</v>
      </c>
      <c r="AI139" s="548">
        <f t="shared" si="45"/>
        <v>8.3333333333333329E-2</v>
      </c>
      <c r="AJ139" s="548">
        <f t="shared" si="45"/>
        <v>8.3333333333333329E-2</v>
      </c>
      <c r="AK139" s="548">
        <f t="shared" si="45"/>
        <v>8.3333333333333329E-2</v>
      </c>
      <c r="AL139" s="548">
        <f t="shared" si="45"/>
        <v>8.3333333333333329E-2</v>
      </c>
      <c r="AM139" s="548">
        <f t="shared" si="45"/>
        <v>8.3333333333333329E-2</v>
      </c>
      <c r="AN139" s="549">
        <f t="shared" si="34"/>
        <v>1</v>
      </c>
    </row>
    <row r="140" spans="2:40" outlineLevel="1">
      <c r="B140" s="520" t="s">
        <v>400</v>
      </c>
      <c r="C140" s="521"/>
      <c r="D140" s="550" t="str">
        <f>IF(IsHistoricalComponent,IFERROR(CHOOSE(MATCH(F140,ExpUnitTypeId,),TEXT('Adjustments &amp; Notes'!H49,"$ #,### ""/ unit"";;-"),TEXT('Adjustments &amp; Notes'!H49/$F$56,"$ #,##0.00 ""/ sf"";;-"),'Adjustments &amp; Notes'!G49,TEXT('Adjustments &amp; Notes'!G49/'Adjustments &amp; Notes'!$G$33,"#,##0.00% ""EGR"";;-"),'Adjustments &amp; Notes'!G49),),"")</f>
        <v>-</v>
      </c>
      <c r="E140" s="551"/>
      <c r="F140" s="552" t="str">
        <f>ExpUnitTypeSelection</f>
        <v>/ unit</v>
      </c>
      <c r="G140" s="145">
        <f>IFERROR(CHOOSE(MATCH(OperatingExpenseUnit,ExpUnitTypeId,),OperatingExpensesAmount*TotalDealUnits,OperatingExpensesAmount*AverageUnitSize*TotalDealUnits,OperatingExpensesAmount,OperatingExpensesAmount*Yr1EGR,BaseHistoricalExpenses*(1+OperatingExpensesAmount)),)</f>
        <v>0</v>
      </c>
      <c r="H140" s="525">
        <f t="shared" ref="H140:Q140" si="46">IF(OperatingExpenseUnit=EGR,OperatingExpensesAmount*SUMIF(OpExYrsHeader,OpExYrsHeader,AnnualEGRCF),G140*(1+SUMIF(CFYears,OpExYrsHeader-1,InflRate)))</f>
        <v>0</v>
      </c>
      <c r="I140" s="525">
        <f t="shared" si="46"/>
        <v>0</v>
      </c>
      <c r="J140" s="525">
        <f t="shared" si="46"/>
        <v>0</v>
      </c>
      <c r="K140" s="525">
        <f t="shared" si="46"/>
        <v>0</v>
      </c>
      <c r="L140" s="525">
        <f t="shared" si="46"/>
        <v>0</v>
      </c>
      <c r="M140" s="525">
        <f t="shared" si="46"/>
        <v>0</v>
      </c>
      <c r="N140" s="525">
        <f t="shared" si="46"/>
        <v>0</v>
      </c>
      <c r="O140" s="525">
        <f t="shared" si="46"/>
        <v>0</v>
      </c>
      <c r="P140" s="525">
        <f t="shared" si="46"/>
        <v>0</v>
      </c>
      <c r="Q140" s="525">
        <f t="shared" si="46"/>
        <v>0</v>
      </c>
      <c r="S140" s="525">
        <f t="shared" si="32"/>
        <v>0</v>
      </c>
      <c r="T140" s="553"/>
      <c r="U140"/>
      <c r="V140" s="1317" t="s">
        <v>398</v>
      </c>
      <c r="W140" s="1317"/>
      <c r="X140" s="1317"/>
      <c r="Y140"/>
      <c r="Z140" s="1318" t="s">
        <v>386</v>
      </c>
      <c r="AA140" s="1319"/>
      <c r="AB140" s="554">
        <f t="shared" si="45"/>
        <v>8.3333333333333329E-2</v>
      </c>
      <c r="AC140" s="554">
        <f t="shared" si="45"/>
        <v>8.3333333333333329E-2</v>
      </c>
      <c r="AD140" s="554">
        <f t="shared" si="45"/>
        <v>8.3333333333333329E-2</v>
      </c>
      <c r="AE140" s="554">
        <f t="shared" si="45"/>
        <v>8.3333333333333329E-2</v>
      </c>
      <c r="AF140" s="554">
        <f t="shared" si="45"/>
        <v>8.3333333333333329E-2</v>
      </c>
      <c r="AG140" s="554">
        <f t="shared" si="45"/>
        <v>8.3333333333333329E-2</v>
      </c>
      <c r="AH140" s="554">
        <f t="shared" si="45"/>
        <v>8.3333333333333329E-2</v>
      </c>
      <c r="AI140" s="554">
        <f t="shared" si="45"/>
        <v>8.3333333333333329E-2</v>
      </c>
      <c r="AJ140" s="554">
        <f t="shared" si="45"/>
        <v>8.3333333333333329E-2</v>
      </c>
      <c r="AK140" s="554">
        <f t="shared" si="45"/>
        <v>8.3333333333333329E-2</v>
      </c>
      <c r="AL140" s="554">
        <f t="shared" si="45"/>
        <v>8.3333333333333329E-2</v>
      </c>
      <c r="AM140" s="554">
        <f t="shared" si="45"/>
        <v>8.3333333333333329E-2</v>
      </c>
      <c r="AN140" s="555">
        <f t="shared" si="34"/>
        <v>1</v>
      </c>
    </row>
    <row r="141" spans="2:40" outlineLevel="1">
      <c r="B141" s="32" t="s">
        <v>401</v>
      </c>
      <c r="C141" s="37"/>
      <c r="D141" s="556" t="str">
        <f>IF(IsHistoricalComponent,IFERROR(CHOOSE(MATCH(F141,ExpUnitTypeId,),TEXT('Adjustments &amp; Notes'!H50,"$ #,### ""/ unit"";;-"),TEXT('Adjustments &amp; Notes'!H50/$F$56,"$ #,##0.00 ""/ sf"";;-"),'Adjustments &amp; Notes'!G50,TEXT('Adjustments &amp; Notes'!G50/'Adjustments &amp; Notes'!$G$33,"#,##0.00% ""EGR"";;-"),'Adjustments &amp; Notes'!G50),),"")</f>
        <v>$ 763 / unit</v>
      </c>
      <c r="E141" s="557"/>
      <c r="F141" s="546" t="str">
        <f>ExpUnitTypeSelection</f>
        <v>/ unit</v>
      </c>
      <c r="G141" s="78">
        <f>IFERROR(CHOOSE(MATCH(OperatingExpenseUnit,ExpUnitTypeId,),OperatingExpensesAmount*TotalDealUnits,OperatingExpensesAmount*AverageUnitSize*TotalDealUnits,OperatingExpensesAmount,OperatingExpensesAmount*Yr1EGR,BaseHistoricalExpenses*(1+OperatingExpensesAmount)),)</f>
        <v>0</v>
      </c>
      <c r="H141" s="519">
        <f t="shared" ref="H141:Q141" si="47">IF(OperatingExpenseUnit=EGR,OperatingExpensesAmount*SUMIF(OpExYrsHeader,OpExYrsHeader,AnnualEGRCF),G141*(1+SUMIF(CFYears,OpExYrsHeader-1,InflRate)))</f>
        <v>0</v>
      </c>
      <c r="I141" s="519">
        <f t="shared" si="47"/>
        <v>0</v>
      </c>
      <c r="J141" s="519">
        <f t="shared" si="47"/>
        <v>0</v>
      </c>
      <c r="K141" s="519">
        <f t="shared" si="47"/>
        <v>0</v>
      </c>
      <c r="L141" s="519">
        <f t="shared" si="47"/>
        <v>0</v>
      </c>
      <c r="M141" s="519">
        <f t="shared" si="47"/>
        <v>0</v>
      </c>
      <c r="N141" s="519">
        <f t="shared" si="47"/>
        <v>0</v>
      </c>
      <c r="O141" s="519">
        <f t="shared" si="47"/>
        <v>0</v>
      </c>
      <c r="P141" s="519">
        <f t="shared" si="47"/>
        <v>0</v>
      </c>
      <c r="Q141" s="519">
        <f t="shared" si="47"/>
        <v>0</v>
      </c>
      <c r="S141" s="519">
        <f t="shared" si="32"/>
        <v>0</v>
      </c>
      <c r="T141" s="547"/>
      <c r="U141"/>
      <c r="V141" s="1326" t="s">
        <v>398</v>
      </c>
      <c r="W141" s="1326"/>
      <c r="X141" s="1326"/>
      <c r="Y141"/>
      <c r="Z141" s="1322" t="s">
        <v>386</v>
      </c>
      <c r="AA141" s="1323"/>
      <c r="AB141" s="548">
        <f t="shared" si="45"/>
        <v>8.3333333333333329E-2</v>
      </c>
      <c r="AC141" s="548">
        <f t="shared" si="45"/>
        <v>8.3333333333333329E-2</v>
      </c>
      <c r="AD141" s="548">
        <f t="shared" si="45"/>
        <v>8.3333333333333329E-2</v>
      </c>
      <c r="AE141" s="548">
        <f t="shared" si="45"/>
        <v>8.3333333333333329E-2</v>
      </c>
      <c r="AF141" s="548">
        <f t="shared" si="45"/>
        <v>8.3333333333333329E-2</v>
      </c>
      <c r="AG141" s="548">
        <f t="shared" si="45"/>
        <v>8.3333333333333329E-2</v>
      </c>
      <c r="AH141" s="548">
        <f t="shared" si="45"/>
        <v>8.3333333333333329E-2</v>
      </c>
      <c r="AI141" s="548">
        <f t="shared" si="45"/>
        <v>8.3333333333333329E-2</v>
      </c>
      <c r="AJ141" s="548">
        <f t="shared" si="45"/>
        <v>8.3333333333333329E-2</v>
      </c>
      <c r="AK141" s="548">
        <f t="shared" si="45"/>
        <v>8.3333333333333329E-2</v>
      </c>
      <c r="AL141" s="548">
        <f t="shared" si="45"/>
        <v>8.3333333333333329E-2</v>
      </c>
      <c r="AM141" s="548">
        <f t="shared" si="45"/>
        <v>8.3333333333333329E-2</v>
      </c>
      <c r="AN141" s="549">
        <f t="shared" si="34"/>
        <v>1</v>
      </c>
    </row>
    <row r="142" spans="2:40" outlineLevel="1">
      <c r="B142" s="520" t="s">
        <v>402</v>
      </c>
      <c r="C142" s="521"/>
      <c r="D142" s="550" t="str">
        <f>IF(IsHistoricalComponent,IFERROR(CHOOSE(MATCH(F142,ExpUnitTypeId,),TEXT('Adjustments &amp; Notes'!H51,"$ #,### ""/ unit"";;-"),TEXT('Adjustments &amp; Notes'!H51/$F$56,"$ #,##0.00 ""/ sf"";;-"),'Adjustments &amp; Notes'!G51,TEXT('Adjustments &amp; Notes'!G51/'Adjustments &amp; Notes'!$G$33,"#,##0.00% ""EGR"";;-"),'Adjustments &amp; Notes'!G51),),"")</f>
        <v>$ 524 / unit</v>
      </c>
      <c r="E142" s="551"/>
      <c r="F142" s="552" t="str">
        <f>ExpUnitTypeSelection</f>
        <v>/ unit</v>
      </c>
      <c r="G142" s="145">
        <f>IFERROR(CHOOSE(MATCH(OperatingExpenseUnit,ExpUnitTypeId,),OperatingExpensesAmount*TotalDealUnits,OperatingExpensesAmount*AverageUnitSize*TotalDealUnits,OperatingExpensesAmount,OperatingExpensesAmount*Yr1EGR,BaseHistoricalExpenses*(1+OperatingExpensesAmount)),)</f>
        <v>0</v>
      </c>
      <c r="H142" s="525">
        <f t="shared" ref="H142:Q142" si="48">IF(OperatingExpenseUnit=EGR,OperatingExpensesAmount*SUMIF(OpExYrsHeader,OpExYrsHeader,AnnualEGRCF),G142*(1+SUMIF(CFYears,OpExYrsHeader-1,InflRate)))</f>
        <v>0</v>
      </c>
      <c r="I142" s="525">
        <f t="shared" si="48"/>
        <v>0</v>
      </c>
      <c r="J142" s="525">
        <f t="shared" si="48"/>
        <v>0</v>
      </c>
      <c r="K142" s="525">
        <f t="shared" si="48"/>
        <v>0</v>
      </c>
      <c r="L142" s="525">
        <f t="shared" si="48"/>
        <v>0</v>
      </c>
      <c r="M142" s="525">
        <f t="shared" si="48"/>
        <v>0</v>
      </c>
      <c r="N142" s="525">
        <f t="shared" si="48"/>
        <v>0</v>
      </c>
      <c r="O142" s="525">
        <f t="shared" si="48"/>
        <v>0</v>
      </c>
      <c r="P142" s="525">
        <f t="shared" si="48"/>
        <v>0</v>
      </c>
      <c r="Q142" s="525">
        <f t="shared" si="48"/>
        <v>0</v>
      </c>
      <c r="S142" s="525">
        <f t="shared" si="32"/>
        <v>0</v>
      </c>
      <c r="T142" s="553"/>
      <c r="U142"/>
      <c r="V142" s="1317" t="s">
        <v>402</v>
      </c>
      <c r="W142" s="1317"/>
      <c r="X142" s="1317"/>
      <c r="Y142"/>
      <c r="Z142" s="1318" t="s">
        <v>386</v>
      </c>
      <c r="AA142" s="1319"/>
      <c r="AB142" s="554">
        <f t="shared" si="45"/>
        <v>8.3333333333333329E-2</v>
      </c>
      <c r="AC142" s="554">
        <f t="shared" si="45"/>
        <v>8.3333333333333329E-2</v>
      </c>
      <c r="AD142" s="554">
        <f t="shared" si="45"/>
        <v>8.3333333333333329E-2</v>
      </c>
      <c r="AE142" s="554">
        <f t="shared" si="45"/>
        <v>8.3333333333333329E-2</v>
      </c>
      <c r="AF142" s="554">
        <f t="shared" si="45"/>
        <v>8.3333333333333329E-2</v>
      </c>
      <c r="AG142" s="554">
        <f t="shared" si="45"/>
        <v>8.3333333333333329E-2</v>
      </c>
      <c r="AH142" s="554">
        <f t="shared" si="45"/>
        <v>8.3333333333333329E-2</v>
      </c>
      <c r="AI142" s="554">
        <f t="shared" si="45"/>
        <v>8.3333333333333329E-2</v>
      </c>
      <c r="AJ142" s="554">
        <f t="shared" si="45"/>
        <v>8.3333333333333329E-2</v>
      </c>
      <c r="AK142" s="554">
        <f t="shared" si="45"/>
        <v>8.3333333333333329E-2</v>
      </c>
      <c r="AL142" s="554">
        <f t="shared" si="45"/>
        <v>8.3333333333333329E-2</v>
      </c>
      <c r="AM142" s="554">
        <f t="shared" si="45"/>
        <v>8.3333333333333329E-2</v>
      </c>
      <c r="AN142" s="555">
        <f t="shared" si="34"/>
        <v>1</v>
      </c>
    </row>
    <row r="143" spans="2:40" outlineLevel="1">
      <c r="B143" s="32" t="s">
        <v>403</v>
      </c>
      <c r="C143" s="37"/>
      <c r="D143" s="556">
        <f>IF(IsHistoricalComponent,IF(YrReassBegins=1,'Adjustments &amp; Notes'!G52,IFERROR(CHOOSE(MATCH(F143,ExpUnitTypeId,),TEXT('Adjustments &amp; Notes'!H52,"$ #,### ""/ unit"";;-"),TEXT('Adjustments &amp; Notes'!H52/$F$56,"$ #,##0.00 ""/ sf"";;-"),'Adjustments &amp; Notes'!G52,TEXT('Adjustments &amp; Notes'!G52/'Adjustments &amp; Notes'!$G$33,"#,##0.00% ""EGR"";;-"),'Adjustments &amp; Notes'!G52),)),"")</f>
        <v>182667</v>
      </c>
      <c r="E143" s="557">
        <v>182667</v>
      </c>
      <c r="F143" s="1384" t="s">
        <v>28</v>
      </c>
      <c r="G143" s="78">
        <f>IFERROR(CHOOSE(MATCH(OperatingExpenseUnit,ExpUnitTypeId,),OperatingExpensesAmount*TotalDealUnits,OperatingExpensesAmount*AverageUnitSize*TotalDealUnits,OperatingExpensesAmount,OperatingExpensesAmount*Yr1EGR,BaseHistoricalExpenses*(1+OperatingExpensesAmount)),)</f>
        <v>182667</v>
      </c>
      <c r="H143" s="519">
        <f t="shared" ref="H143:Q143" si="49">IF(OperatingExpenseUnit=EGR,OperatingExpensesAmount*SUMIF(OpExYrsHeader,OpExYrsHeader,AnnualEGRCF),G143*(1+SUMIF(CFYears,OpExYrsHeader-1,RETInfRate)))</f>
        <v>182667</v>
      </c>
      <c r="I143" s="519">
        <f t="shared" si="49"/>
        <v>182667</v>
      </c>
      <c r="J143" s="519">
        <f t="shared" si="49"/>
        <v>182667</v>
      </c>
      <c r="K143" s="519">
        <f t="shared" si="49"/>
        <v>182667</v>
      </c>
      <c r="L143" s="519">
        <f t="shared" si="49"/>
        <v>182667</v>
      </c>
      <c r="M143" s="519">
        <f t="shared" si="49"/>
        <v>182667</v>
      </c>
      <c r="N143" s="519">
        <f t="shared" si="49"/>
        <v>182667</v>
      </c>
      <c r="O143" s="519">
        <f t="shared" si="49"/>
        <v>182667</v>
      </c>
      <c r="P143" s="519">
        <f t="shared" si="49"/>
        <v>182667</v>
      </c>
      <c r="Q143" s="519">
        <f t="shared" si="49"/>
        <v>182667</v>
      </c>
      <c r="R143" s="388"/>
      <c r="S143" s="519">
        <f t="shared" si="32"/>
        <v>182667</v>
      </c>
      <c r="T143" s="547"/>
      <c r="U143"/>
      <c r="V143" s="1326" t="s">
        <v>403</v>
      </c>
      <c r="W143" s="1326"/>
      <c r="X143" s="1326"/>
      <c r="Y143"/>
      <c r="Z143" s="1322" t="s">
        <v>386</v>
      </c>
      <c r="AA143" s="1323"/>
      <c r="AB143" s="548">
        <f t="shared" si="45"/>
        <v>8.3333333333333329E-2</v>
      </c>
      <c r="AC143" s="548">
        <f t="shared" si="45"/>
        <v>8.3333333333333329E-2</v>
      </c>
      <c r="AD143" s="548">
        <f t="shared" si="45"/>
        <v>8.3333333333333329E-2</v>
      </c>
      <c r="AE143" s="548">
        <f t="shared" si="45"/>
        <v>8.3333333333333329E-2</v>
      </c>
      <c r="AF143" s="548">
        <f t="shared" si="45"/>
        <v>8.3333333333333329E-2</v>
      </c>
      <c r="AG143" s="548">
        <f t="shared" si="45"/>
        <v>8.3333333333333329E-2</v>
      </c>
      <c r="AH143" s="548">
        <f t="shared" si="45"/>
        <v>8.3333333333333329E-2</v>
      </c>
      <c r="AI143" s="548">
        <f t="shared" si="45"/>
        <v>8.3333333333333329E-2</v>
      </c>
      <c r="AJ143" s="548">
        <f t="shared" si="45"/>
        <v>8.3333333333333329E-2</v>
      </c>
      <c r="AK143" s="548">
        <f t="shared" si="45"/>
        <v>8.3333333333333329E-2</v>
      </c>
      <c r="AL143" s="548">
        <f t="shared" si="45"/>
        <v>8.3333333333333329E-2</v>
      </c>
      <c r="AM143" s="548">
        <f t="shared" si="45"/>
        <v>8.3333333333333329E-2</v>
      </c>
      <c r="AN143" s="549">
        <f t="shared" si="34"/>
        <v>1</v>
      </c>
    </row>
    <row r="144" spans="2:40" outlineLevel="1">
      <c r="B144" s="529" t="s">
        <v>404</v>
      </c>
      <c r="C144" s="558"/>
      <c r="D144" s="550" t="str">
        <f>IF(IsHistoricalComponent,IFERROR(CHOOSE(MATCH(F144,ExpUnitTypeId,),TEXT('Adjustments &amp; Notes'!H53,"$ #,### ""/ unit"";;-"),TEXT('Adjustments &amp; Notes'!H53/$F$56,"$ #,##0.00 ""/ sf"";;-"),'Adjustments &amp; Notes'!G53,TEXT('Adjustments &amp; Notes'!G53/'Adjustments &amp; Notes'!$G$33,"#,##0.00% ""EGR"";;-"),'Adjustments &amp; Notes'!G53),),"")</f>
        <v>-</v>
      </c>
      <c r="E144" s="551"/>
      <c r="F144" s="552" t="str">
        <f>ExpUnitTypeSelection</f>
        <v>/ unit</v>
      </c>
      <c r="G144" s="145">
        <f>IFERROR(CHOOSE(MATCH(OperatingExpenseUnit,ExpUnitTypeId,),OperatingExpensesAmount*TotalDealUnits,OperatingExpensesAmount*AverageUnitSize*TotalDealUnits,OperatingExpensesAmount,OperatingExpensesAmount*Yr1EGR,BaseHistoricalExpenses*(1+OperatingExpensesAmount)),)</f>
        <v>0</v>
      </c>
      <c r="H144" s="525">
        <f t="shared" ref="H144:Q144" si="50">IF(OperatingExpenseUnit=EGR,OperatingExpensesAmount*SUMIF(OpExYrsHeader,OpExYrsHeader,AnnualEGRCF),G144*(1+SUMIF(CFYears,OpExYrsHeader-1,InflRate)))</f>
        <v>0</v>
      </c>
      <c r="I144" s="525">
        <f t="shared" si="50"/>
        <v>0</v>
      </c>
      <c r="J144" s="525">
        <f t="shared" si="50"/>
        <v>0</v>
      </c>
      <c r="K144" s="525">
        <f t="shared" si="50"/>
        <v>0</v>
      </c>
      <c r="L144" s="525">
        <f t="shared" si="50"/>
        <v>0</v>
      </c>
      <c r="M144" s="525">
        <f t="shared" si="50"/>
        <v>0</v>
      </c>
      <c r="N144" s="525">
        <f t="shared" si="50"/>
        <v>0</v>
      </c>
      <c r="O144" s="525">
        <f t="shared" si="50"/>
        <v>0</v>
      </c>
      <c r="P144" s="525">
        <f t="shared" si="50"/>
        <v>0</v>
      </c>
      <c r="Q144" s="525">
        <f t="shared" si="50"/>
        <v>0</v>
      </c>
      <c r="S144" s="525">
        <f t="shared" si="32"/>
        <v>0</v>
      </c>
      <c r="T144" s="553"/>
      <c r="U144"/>
      <c r="V144" s="1317" t="s">
        <v>403</v>
      </c>
      <c r="W144" s="1317"/>
      <c r="X144" s="1317"/>
      <c r="Y144"/>
      <c r="Z144" s="1318" t="s">
        <v>386</v>
      </c>
      <c r="AA144" s="1319"/>
      <c r="AB144" s="554">
        <f t="shared" si="45"/>
        <v>8.3333333333333329E-2</v>
      </c>
      <c r="AC144" s="554">
        <f t="shared" si="45"/>
        <v>8.3333333333333329E-2</v>
      </c>
      <c r="AD144" s="554">
        <f t="shared" si="45"/>
        <v>8.3333333333333329E-2</v>
      </c>
      <c r="AE144" s="554">
        <f t="shared" si="45"/>
        <v>8.3333333333333329E-2</v>
      </c>
      <c r="AF144" s="554">
        <f t="shared" si="45"/>
        <v>8.3333333333333329E-2</v>
      </c>
      <c r="AG144" s="554">
        <f t="shared" si="45"/>
        <v>8.3333333333333329E-2</v>
      </c>
      <c r="AH144" s="554">
        <f t="shared" si="45"/>
        <v>8.3333333333333329E-2</v>
      </c>
      <c r="AI144" s="554">
        <f t="shared" si="45"/>
        <v>8.3333333333333329E-2</v>
      </c>
      <c r="AJ144" s="554">
        <f t="shared" si="45"/>
        <v>8.3333333333333329E-2</v>
      </c>
      <c r="AK144" s="554">
        <f t="shared" si="45"/>
        <v>8.3333333333333329E-2</v>
      </c>
      <c r="AL144" s="554">
        <f t="shared" si="45"/>
        <v>8.3333333333333329E-2</v>
      </c>
      <c r="AM144" s="554">
        <f t="shared" si="45"/>
        <v>8.3333333333333329E-2</v>
      </c>
      <c r="AN144" s="555">
        <f t="shared" si="34"/>
        <v>1</v>
      </c>
    </row>
    <row r="145" spans="2:40" outlineLevel="1">
      <c r="B145" s="32" t="s">
        <v>405</v>
      </c>
      <c r="C145" s="37"/>
      <c r="D145" s="556" t="str">
        <f>IF(IsHistoricalComponent,IFERROR(CHOOSE(MATCH(F145,ExpUnitTypeId,),TEXT('Adjustments &amp; Notes'!H54,"$ #,### ""/ unit"";;-"),TEXT('Adjustments &amp; Notes'!H54/$F$56,"$ #,##0.00 ""/ sf"";;-"),'Adjustments &amp; Notes'!G54,TEXT('Adjustments &amp; Notes'!G54/'Adjustments &amp; Notes'!$G$33,"#,##0.00% ""EGR"";;-"),'Adjustments &amp; Notes'!G54),),"")</f>
        <v>$ 572 / unit</v>
      </c>
      <c r="E145" s="557"/>
      <c r="F145" s="546" t="str">
        <f>ExpUnitTypeSelection</f>
        <v>/ unit</v>
      </c>
      <c r="G145" s="78">
        <f>IFERROR(CHOOSE(MATCH(OperatingExpenseUnit,ExpUnitTypeId,),OperatingExpensesAmount*TotalDealUnits,OperatingExpensesAmount*AverageUnitSize*TotalDealUnits,OperatingExpensesAmount,OperatingExpensesAmount*Yr1EGR,BaseHistoricalExpenses*(1+OperatingExpensesAmount)),)</f>
        <v>0</v>
      </c>
      <c r="H145" s="519">
        <f t="shared" ref="H145:Q145" si="51">IF(OperatingExpenseUnit=EGR,OperatingExpensesAmount*SUMIF(OpExYrsHeader,OpExYrsHeader,AnnualEGRCF),G145*(1+SUMIF(CFYears,OpExYrsHeader-1,InflRate)))</f>
        <v>0</v>
      </c>
      <c r="I145" s="519">
        <f t="shared" si="51"/>
        <v>0</v>
      </c>
      <c r="J145" s="519">
        <f t="shared" si="51"/>
        <v>0</v>
      </c>
      <c r="K145" s="519">
        <f t="shared" si="51"/>
        <v>0</v>
      </c>
      <c r="L145" s="519">
        <f t="shared" si="51"/>
        <v>0</v>
      </c>
      <c r="M145" s="519">
        <f t="shared" si="51"/>
        <v>0</v>
      </c>
      <c r="N145" s="519">
        <f t="shared" si="51"/>
        <v>0</v>
      </c>
      <c r="O145" s="519">
        <f t="shared" si="51"/>
        <v>0</v>
      </c>
      <c r="P145" s="519">
        <f t="shared" si="51"/>
        <v>0</v>
      </c>
      <c r="Q145" s="519">
        <f t="shared" si="51"/>
        <v>0</v>
      </c>
      <c r="S145" s="519">
        <f t="shared" si="32"/>
        <v>0</v>
      </c>
      <c r="T145" s="547"/>
      <c r="U145"/>
      <c r="V145" s="1326" t="s">
        <v>405</v>
      </c>
      <c r="W145" s="1326"/>
      <c r="X145" s="1326"/>
      <c r="Y145"/>
      <c r="Z145" s="1322" t="s">
        <v>386</v>
      </c>
      <c r="AA145" s="1323"/>
      <c r="AB145" s="548">
        <f t="shared" si="45"/>
        <v>8.3333333333333329E-2</v>
      </c>
      <c r="AC145" s="548">
        <f t="shared" si="45"/>
        <v>8.3333333333333329E-2</v>
      </c>
      <c r="AD145" s="548">
        <f t="shared" si="45"/>
        <v>8.3333333333333329E-2</v>
      </c>
      <c r="AE145" s="548">
        <f t="shared" si="45"/>
        <v>8.3333333333333329E-2</v>
      </c>
      <c r="AF145" s="548">
        <f t="shared" si="45"/>
        <v>8.3333333333333329E-2</v>
      </c>
      <c r="AG145" s="548">
        <f t="shared" si="45"/>
        <v>8.3333333333333329E-2</v>
      </c>
      <c r="AH145" s="548">
        <f t="shared" si="45"/>
        <v>8.3333333333333329E-2</v>
      </c>
      <c r="AI145" s="548">
        <f t="shared" si="45"/>
        <v>8.3333333333333329E-2</v>
      </c>
      <c r="AJ145" s="548">
        <f t="shared" si="45"/>
        <v>8.3333333333333329E-2</v>
      </c>
      <c r="AK145" s="548">
        <f t="shared" si="45"/>
        <v>8.3333333333333329E-2</v>
      </c>
      <c r="AL145" s="548">
        <f t="shared" si="45"/>
        <v>8.3333333333333329E-2</v>
      </c>
      <c r="AM145" s="548">
        <f t="shared" si="45"/>
        <v>8.3333333333333329E-2</v>
      </c>
      <c r="AN145" s="549">
        <f t="shared" si="34"/>
        <v>1</v>
      </c>
    </row>
    <row r="146" spans="2:40" outlineLevel="1">
      <c r="B146" s="520" t="s">
        <v>406</v>
      </c>
      <c r="C146" s="521"/>
      <c r="D146" s="550" t="str">
        <f>IF(IsHistoricalComponent,IFERROR(CHOOSE(MATCH(F146,ExpUnitTypeId,),TEXT('Adjustments &amp; Notes'!H55,"$ #,### ""/ unit"";;-"),TEXT('Adjustments &amp; Notes'!H55/$F$56,"$ #,##0.00 ""/ sf"";;-"),'Adjustments &amp; Notes'!G55,TEXT('Adjustments &amp; Notes'!G55/'Adjustments &amp; Notes'!$G$33,"#,##0.00% ""EGR"";;-"),'Adjustments &amp; Notes'!G55),),"")</f>
        <v>-</v>
      </c>
      <c r="E146" s="551"/>
      <c r="F146" s="552" t="str">
        <f>ExpUnitTypeSelection</f>
        <v>/ unit</v>
      </c>
      <c r="G146" s="145">
        <f>IFERROR(CHOOSE(MATCH(OperatingExpenseUnit,ExpUnitTypeId,),OperatingExpensesAmount*TotalDealUnits,OperatingExpensesAmount*AverageUnitSize*TotalDealUnits,OperatingExpensesAmount,OperatingExpensesAmount*Yr1EGR,BaseHistoricalExpenses*(1+OperatingExpensesAmount)),)</f>
        <v>0</v>
      </c>
      <c r="H146" s="525">
        <f t="shared" ref="H146:Q146" si="52">IF(OperatingExpenseUnit=EGR,OperatingExpensesAmount*SUMIF(OpExYrsHeader,OpExYrsHeader,AnnualEGRCF),G146*(1+SUMIF(CFYears,OpExYrsHeader-1,InflRate)))</f>
        <v>0</v>
      </c>
      <c r="I146" s="525">
        <f t="shared" si="52"/>
        <v>0</v>
      </c>
      <c r="J146" s="525">
        <f t="shared" si="52"/>
        <v>0</v>
      </c>
      <c r="K146" s="525">
        <f t="shared" si="52"/>
        <v>0</v>
      </c>
      <c r="L146" s="525">
        <f t="shared" si="52"/>
        <v>0</v>
      </c>
      <c r="M146" s="525">
        <f t="shared" si="52"/>
        <v>0</v>
      </c>
      <c r="N146" s="525">
        <f t="shared" si="52"/>
        <v>0</v>
      </c>
      <c r="O146" s="525">
        <f t="shared" si="52"/>
        <v>0</v>
      </c>
      <c r="P146" s="525">
        <f t="shared" si="52"/>
        <v>0</v>
      </c>
      <c r="Q146" s="525">
        <f t="shared" si="52"/>
        <v>0</v>
      </c>
      <c r="S146" s="525">
        <f t="shared" si="32"/>
        <v>0</v>
      </c>
      <c r="T146" s="553"/>
      <c r="U146"/>
      <c r="V146" s="1317" t="s">
        <v>406</v>
      </c>
      <c r="W146" s="1317"/>
      <c r="X146" s="1317"/>
      <c r="Y146"/>
      <c r="Z146" s="1318" t="s">
        <v>386</v>
      </c>
      <c r="AA146" s="1319"/>
      <c r="AB146" s="554">
        <f t="shared" si="45"/>
        <v>8.3333333333333329E-2</v>
      </c>
      <c r="AC146" s="554">
        <f t="shared" si="45"/>
        <v>8.3333333333333329E-2</v>
      </c>
      <c r="AD146" s="554">
        <f t="shared" si="45"/>
        <v>8.3333333333333329E-2</v>
      </c>
      <c r="AE146" s="554">
        <f t="shared" si="45"/>
        <v>8.3333333333333329E-2</v>
      </c>
      <c r="AF146" s="554">
        <f t="shared" si="45"/>
        <v>8.3333333333333329E-2</v>
      </c>
      <c r="AG146" s="554">
        <f t="shared" si="45"/>
        <v>8.3333333333333329E-2</v>
      </c>
      <c r="AH146" s="554">
        <f t="shared" si="45"/>
        <v>8.3333333333333329E-2</v>
      </c>
      <c r="AI146" s="554">
        <f t="shared" si="45"/>
        <v>8.3333333333333329E-2</v>
      </c>
      <c r="AJ146" s="554">
        <f t="shared" si="45"/>
        <v>8.3333333333333329E-2</v>
      </c>
      <c r="AK146" s="554">
        <f t="shared" si="45"/>
        <v>8.3333333333333329E-2</v>
      </c>
      <c r="AL146" s="554">
        <f t="shared" si="45"/>
        <v>8.3333333333333329E-2</v>
      </c>
      <c r="AM146" s="554">
        <f t="shared" si="45"/>
        <v>8.3333333333333329E-2</v>
      </c>
      <c r="AN146" s="555">
        <f t="shared" si="34"/>
        <v>1</v>
      </c>
    </row>
    <row r="147" spans="2:40" outlineLevel="1">
      <c r="B147" s="526" t="s">
        <v>407</v>
      </c>
      <c r="C147" s="408"/>
      <c r="D147" s="559">
        <v>0</v>
      </c>
      <c r="E147" s="557"/>
      <c r="F147" s="546" t="str">
        <f>ExpUnitTypeSelection</f>
        <v>/ unit</v>
      </c>
      <c r="G147" s="67">
        <f>IFERROR(CHOOSE(MATCH(OperatingExpenseUnit,ExpUnitTypeId,),OperatingExpensesAmount*TotalDealUnits,OperatingExpensesAmount*AverageUnitSize*TotalDealUnits,OperatingExpensesAmount,OperatingExpensesAmount*Yr1EGR,BaseHistoricalExpenses*(1+OperatingExpensesAmount)),)</f>
        <v>0</v>
      </c>
      <c r="H147" s="519">
        <f t="shared" ref="H147:Q147" si="53">IF(OperatingExpenseUnit=EGR,OperatingExpensesAmount*SUMIF(OpExYrsHeader,OpExYrsHeader,AnnualEGRCF),G147*(1+SUMIF(CFYears,OpExYrsHeader-1,InflRate)))</f>
        <v>0</v>
      </c>
      <c r="I147" s="519">
        <f t="shared" si="53"/>
        <v>0</v>
      </c>
      <c r="J147" s="519">
        <f t="shared" si="53"/>
        <v>0</v>
      </c>
      <c r="K147" s="519">
        <f t="shared" si="53"/>
        <v>0</v>
      </c>
      <c r="L147" s="519">
        <f t="shared" si="53"/>
        <v>0</v>
      </c>
      <c r="M147" s="519">
        <f t="shared" si="53"/>
        <v>0</v>
      </c>
      <c r="N147" s="519">
        <f t="shared" si="53"/>
        <v>0</v>
      </c>
      <c r="O147" s="519">
        <f t="shared" si="53"/>
        <v>0</v>
      </c>
      <c r="P147" s="519">
        <f t="shared" si="53"/>
        <v>0</v>
      </c>
      <c r="Q147" s="519">
        <f t="shared" si="53"/>
        <v>0</v>
      </c>
      <c r="S147" s="519">
        <f t="shared" si="32"/>
        <v>0</v>
      </c>
      <c r="T147" s="547"/>
      <c r="U147"/>
      <c r="V147" s="1320" t="s">
        <v>406</v>
      </c>
      <c r="W147" s="1321"/>
      <c r="X147" s="1321"/>
      <c r="Y147"/>
      <c r="Z147" s="1322" t="s">
        <v>386</v>
      </c>
      <c r="AA147" s="1323"/>
      <c r="AB147" s="548">
        <f t="shared" si="45"/>
        <v>8.3333333333333329E-2</v>
      </c>
      <c r="AC147" s="548">
        <f t="shared" si="45"/>
        <v>8.3333333333333329E-2</v>
      </c>
      <c r="AD147" s="548">
        <f t="shared" si="45"/>
        <v>8.3333333333333329E-2</v>
      </c>
      <c r="AE147" s="548">
        <f t="shared" si="45"/>
        <v>8.3333333333333329E-2</v>
      </c>
      <c r="AF147" s="548">
        <f t="shared" si="45"/>
        <v>8.3333333333333329E-2</v>
      </c>
      <c r="AG147" s="548">
        <f t="shared" si="45"/>
        <v>8.3333333333333329E-2</v>
      </c>
      <c r="AH147" s="548">
        <f t="shared" si="45"/>
        <v>8.3333333333333329E-2</v>
      </c>
      <c r="AI147" s="548">
        <f t="shared" si="45"/>
        <v>8.3333333333333329E-2</v>
      </c>
      <c r="AJ147" s="548">
        <f t="shared" si="45"/>
        <v>8.3333333333333329E-2</v>
      </c>
      <c r="AK147" s="548">
        <f t="shared" si="45"/>
        <v>8.3333333333333329E-2</v>
      </c>
      <c r="AL147" s="548">
        <f t="shared" si="45"/>
        <v>8.3333333333333329E-2</v>
      </c>
      <c r="AM147" s="548">
        <f t="shared" si="45"/>
        <v>8.3333333333333329E-2</v>
      </c>
      <c r="AN147" s="549">
        <f t="shared" si="34"/>
        <v>1</v>
      </c>
    </row>
    <row r="148" spans="2:40" outlineLevel="1">
      <c r="B148" s="529" t="s">
        <v>408</v>
      </c>
      <c r="C148" s="558"/>
      <c r="D148" s="560">
        <v>0</v>
      </c>
      <c r="E148" s="551"/>
      <c r="F148" s="552" t="str">
        <f>ExpUnitTypeSelection</f>
        <v>/ unit</v>
      </c>
      <c r="G148" s="295">
        <f>IFERROR(CHOOSE(MATCH(OperatingExpenseUnit,ExpUnitTypeId,),OperatingExpensesAmount*TotalDealUnits,OperatingExpensesAmount*AverageUnitSize*TotalDealUnits,OperatingExpensesAmount,OperatingExpensesAmount*Yr1EGR,BaseHistoricalExpenses*(1+OperatingExpensesAmount)),)</f>
        <v>0</v>
      </c>
      <c r="H148" s="525">
        <f t="shared" ref="H148:Q148" si="54">IF(OperatingExpenseUnit=EGR,OperatingExpensesAmount*SUMIF(OpExYrsHeader,OpExYrsHeader,AnnualEGRCF),G148*(1+SUMIF(CFYears,OpExYrsHeader-1,InflRate)))</f>
        <v>0</v>
      </c>
      <c r="I148" s="525">
        <f t="shared" si="54"/>
        <v>0</v>
      </c>
      <c r="J148" s="525">
        <f t="shared" si="54"/>
        <v>0</v>
      </c>
      <c r="K148" s="525">
        <f t="shared" si="54"/>
        <v>0</v>
      </c>
      <c r="L148" s="525">
        <f t="shared" si="54"/>
        <v>0</v>
      </c>
      <c r="M148" s="525">
        <f t="shared" si="54"/>
        <v>0</v>
      </c>
      <c r="N148" s="525">
        <f t="shared" si="54"/>
        <v>0</v>
      </c>
      <c r="O148" s="525">
        <f t="shared" si="54"/>
        <v>0</v>
      </c>
      <c r="P148" s="525">
        <f t="shared" si="54"/>
        <v>0</v>
      </c>
      <c r="Q148" s="525">
        <f t="shared" si="54"/>
        <v>0</v>
      </c>
      <c r="S148" s="525">
        <f t="shared" si="32"/>
        <v>0</v>
      </c>
      <c r="T148" s="553"/>
      <c r="U148"/>
      <c r="V148" s="1324" t="s">
        <v>406</v>
      </c>
      <c r="W148" s="1325"/>
      <c r="X148" s="1325"/>
      <c r="Y148"/>
      <c r="Z148" s="1318" t="s">
        <v>386</v>
      </c>
      <c r="AA148" s="1319"/>
      <c r="AB148" s="554">
        <f t="shared" si="45"/>
        <v>8.3333333333333329E-2</v>
      </c>
      <c r="AC148" s="554">
        <f t="shared" si="45"/>
        <v>8.3333333333333329E-2</v>
      </c>
      <c r="AD148" s="554">
        <f t="shared" si="45"/>
        <v>8.3333333333333329E-2</v>
      </c>
      <c r="AE148" s="554">
        <f t="shared" si="45"/>
        <v>8.3333333333333329E-2</v>
      </c>
      <c r="AF148" s="554">
        <f t="shared" si="45"/>
        <v>8.3333333333333329E-2</v>
      </c>
      <c r="AG148" s="554">
        <f t="shared" si="45"/>
        <v>8.3333333333333329E-2</v>
      </c>
      <c r="AH148" s="554">
        <f t="shared" si="45"/>
        <v>8.3333333333333329E-2</v>
      </c>
      <c r="AI148" s="554">
        <f t="shared" si="45"/>
        <v>8.3333333333333329E-2</v>
      </c>
      <c r="AJ148" s="554">
        <f t="shared" si="45"/>
        <v>8.3333333333333329E-2</v>
      </c>
      <c r="AK148" s="554">
        <f t="shared" si="45"/>
        <v>8.3333333333333329E-2</v>
      </c>
      <c r="AL148" s="554">
        <f t="shared" si="45"/>
        <v>8.3333333333333329E-2</v>
      </c>
      <c r="AM148" s="554">
        <f t="shared" si="45"/>
        <v>8.3333333333333329E-2</v>
      </c>
      <c r="AN148" s="555">
        <f t="shared" si="34"/>
        <v>1</v>
      </c>
    </row>
    <row r="149" spans="2:40" ht="4.5" customHeight="1" outlineLevel="1">
      <c r="B149" s="37"/>
      <c r="C149" s="37"/>
      <c r="D149" s="561"/>
      <c r="E149" s="541"/>
      <c r="F149" s="562"/>
      <c r="G149" s="37"/>
      <c r="H149" s="37"/>
      <c r="I149" s="37"/>
      <c r="J149" s="37"/>
      <c r="K149" s="37"/>
      <c r="L149" s="37"/>
      <c r="M149" s="37"/>
      <c r="N149" s="37"/>
      <c r="O149" s="37"/>
      <c r="P149" s="37"/>
      <c r="Q149" s="37"/>
      <c r="S149" s="562"/>
      <c r="T149" s="561"/>
      <c r="U149"/>
      <c r="V149" s="37"/>
      <c r="W149" s="37"/>
      <c r="X149" s="37"/>
      <c r="Y149"/>
      <c r="Z149" s="541"/>
      <c r="AA149" s="562"/>
      <c r="AB149" s="37"/>
      <c r="AC149" s="37"/>
      <c r="AD149" s="37"/>
      <c r="AE149" s="37"/>
      <c r="AF149" s="37"/>
      <c r="AG149" s="37"/>
      <c r="AH149" s="37"/>
      <c r="AI149" s="37"/>
      <c r="AJ149" s="37"/>
      <c r="AK149" s="37"/>
      <c r="AL149" s="37"/>
      <c r="AM149" s="37"/>
      <c r="AN149" s="37"/>
    </row>
    <row r="150" spans="2:40" outlineLevel="1">
      <c r="B150" s="383"/>
      <c r="C150" s="383"/>
      <c r="D150" s="383"/>
      <c r="E150" s="383"/>
      <c r="F150" s="383"/>
      <c r="G150" s="383"/>
      <c r="H150" s="383"/>
      <c r="I150" s="383"/>
      <c r="J150" s="383"/>
      <c r="K150" s="383"/>
      <c r="L150" s="383"/>
      <c r="M150" s="383"/>
      <c r="N150" s="383"/>
      <c r="O150" s="383"/>
      <c r="P150" s="383"/>
      <c r="Q150" s="383"/>
      <c r="S150" s="383"/>
      <c r="T150" s="383"/>
      <c r="U150"/>
      <c r="V150" s="383"/>
      <c r="W150" s="383"/>
      <c r="X150" s="383"/>
      <c r="Y150"/>
      <c r="Z150" s="383"/>
      <c r="AA150" s="383"/>
      <c r="AB150" s="383"/>
      <c r="AC150" s="383"/>
      <c r="AD150" s="383"/>
      <c r="AE150" s="383"/>
      <c r="AF150" s="383"/>
      <c r="AG150" s="383"/>
      <c r="AH150" s="383"/>
      <c r="AI150" s="383"/>
      <c r="AJ150" s="383"/>
      <c r="AK150" s="383"/>
      <c r="AL150" s="383"/>
      <c r="AM150" s="383"/>
      <c r="AN150" s="383"/>
    </row>
    <row r="151" spans="2:40" outlineLevel="1">
      <c r="B151" s="36" t="s">
        <v>409</v>
      </c>
      <c r="C151" s="36"/>
      <c r="D151" s="535" t="s">
        <v>367</v>
      </c>
      <c r="E151" s="37"/>
      <c r="F151" s="37"/>
      <c r="G151" s="367"/>
      <c r="H151" s="465">
        <f t="shared" ref="H151:P151" si="55">G151</f>
        <v>0</v>
      </c>
      <c r="I151" s="465">
        <f t="shared" si="55"/>
        <v>0</v>
      </c>
      <c r="J151" s="465">
        <f t="shared" si="55"/>
        <v>0</v>
      </c>
      <c r="K151" s="465">
        <f t="shared" si="55"/>
        <v>0</v>
      </c>
      <c r="L151" s="465">
        <f t="shared" si="55"/>
        <v>0</v>
      </c>
      <c r="M151" s="465">
        <f t="shared" si="55"/>
        <v>0</v>
      </c>
      <c r="N151" s="465">
        <f t="shared" si="55"/>
        <v>0</v>
      </c>
      <c r="O151" s="465">
        <f t="shared" si="55"/>
        <v>0</v>
      </c>
      <c r="P151" s="465">
        <f t="shared" si="55"/>
        <v>0</v>
      </c>
      <c r="Q151" s="536"/>
      <c r="S151" s="536"/>
      <c r="T151" s="536"/>
      <c r="U151"/>
      <c r="V151" s="37"/>
      <c r="W151" s="37"/>
      <c r="X151" s="37"/>
      <c r="Y151"/>
      <c r="Z151" s="536"/>
      <c r="AA151" s="536"/>
      <c r="AB151" s="536"/>
      <c r="AC151" s="536"/>
      <c r="AD151" s="536"/>
      <c r="AE151" s="536"/>
      <c r="AF151" s="536"/>
      <c r="AG151" s="536"/>
      <c r="AH151" s="536"/>
      <c r="AI151" s="536"/>
      <c r="AJ151" s="536"/>
      <c r="AK151" s="536"/>
      <c r="AL151" s="536"/>
      <c r="AM151" s="536"/>
      <c r="AN151" s="536"/>
    </row>
    <row r="152" spans="2:40" outlineLevel="1">
      <c r="B152" s="36" t="s">
        <v>410</v>
      </c>
      <c r="C152" s="36"/>
      <c r="D152" s="535" t="s">
        <v>367</v>
      </c>
      <c r="E152" s="37"/>
      <c r="F152" s="37"/>
      <c r="G152" s="466">
        <f>G151</f>
        <v>0</v>
      </c>
      <c r="H152" s="466">
        <f>IF(SUMPRODUCT(($G152:G152&lt;&gt;$G$151:G$151)*1),G152,H$151)</f>
        <v>0</v>
      </c>
      <c r="I152" s="466">
        <f>IF(SUMPRODUCT(($G152:H152&lt;&gt;$G$151:H$151)*1),H152,I$151)</f>
        <v>0</v>
      </c>
      <c r="J152" s="466">
        <f>IF(SUMPRODUCT(($G152:I152&lt;&gt;$G$151:I$151)*1),I152,J$151)</f>
        <v>0</v>
      </c>
      <c r="K152" s="466">
        <f>IF(SUMPRODUCT(($G152:J152&lt;&gt;$G$151:J$151)*1),J152,K$151)</f>
        <v>0</v>
      </c>
      <c r="L152" s="466">
        <f>IF(SUMPRODUCT(($G152:K152&lt;&gt;$G$151:K$151)*1),K152,L$151)</f>
        <v>0</v>
      </c>
      <c r="M152" s="466">
        <f>IF(SUMPRODUCT(($G152:L152&lt;&gt;$G$151:L$151)*1),L152,M$151)</f>
        <v>0</v>
      </c>
      <c r="N152" s="466">
        <f>IF(SUMPRODUCT(($G152:M152&lt;&gt;$G$151:M$151)*1),M152,N$151)</f>
        <v>0</v>
      </c>
      <c r="O152" s="466">
        <f>IF(SUMPRODUCT(($G152:N152&lt;&gt;$G$151:N$151)*1),N152,O$151)</f>
        <v>0</v>
      </c>
      <c r="P152" s="466">
        <f>IF(SUMPRODUCT(($G152:O152&lt;&gt;$G$151:O$151)*1),O152,P$151)</f>
        <v>0</v>
      </c>
      <c r="Q152" s="536"/>
      <c r="S152" s="536"/>
      <c r="T152" s="536"/>
      <c r="U152"/>
      <c r="V152" s="37"/>
      <c r="W152" s="37"/>
      <c r="X152" s="37"/>
      <c r="Y152"/>
      <c r="Z152" s="536"/>
      <c r="AA152" s="536"/>
      <c r="AB152" s="536"/>
      <c r="AC152" s="536"/>
      <c r="AD152" s="536"/>
      <c r="AE152" s="536"/>
      <c r="AF152" s="536"/>
      <c r="AG152" s="536"/>
      <c r="AH152" s="536"/>
      <c r="AI152" s="536"/>
      <c r="AJ152" s="536"/>
      <c r="AK152" s="536"/>
      <c r="AL152" s="536"/>
      <c r="AM152" s="536"/>
      <c r="AN152" s="536"/>
    </row>
    <row r="153" spans="2:40" outlineLevel="1">
      <c r="B153" s="36" t="s">
        <v>411</v>
      </c>
      <c r="C153" s="36"/>
      <c r="D153" s="37"/>
      <c r="E153" s="37"/>
      <c r="F153" s="37"/>
      <c r="G153" s="563">
        <v>1</v>
      </c>
      <c r="H153" s="36" t="s">
        <v>412</v>
      </c>
      <c r="I153" s="81">
        <f>1-G153</f>
        <v>0</v>
      </c>
      <c r="J153" s="36" t="s">
        <v>413</v>
      </c>
      <c r="K153" s="37"/>
      <c r="L153" s="37"/>
      <c r="M153" s="37"/>
      <c r="N153" s="37"/>
      <c r="O153" s="37"/>
      <c r="P153" s="37"/>
      <c r="Q153" s="37"/>
      <c r="S153" s="37"/>
      <c r="T153" s="37"/>
      <c r="U153"/>
      <c r="V153" s="37"/>
      <c r="W153" s="37"/>
      <c r="X153" s="37"/>
      <c r="Y153"/>
      <c r="Z153" s="37"/>
      <c r="AA153" s="37"/>
      <c r="AB153" s="37"/>
      <c r="AC153" s="37"/>
      <c r="AD153" s="37"/>
      <c r="AE153" s="37"/>
      <c r="AF153" s="37"/>
      <c r="AG153" s="37"/>
      <c r="AH153" s="37"/>
      <c r="AI153" s="37"/>
      <c r="AJ153" s="37"/>
      <c r="AK153" s="37"/>
      <c r="AL153" s="37"/>
      <c r="AM153" s="37"/>
      <c r="AN153" s="37"/>
    </row>
    <row r="154" spans="2:40" outlineLevel="1">
      <c r="B154" s="36" t="str">
        <f>IF(SUM('Operating Calculations'!$C$136:$O$136),"Tenant Reimbursement Method:","")</f>
        <v/>
      </c>
      <c r="C154" s="37"/>
      <c r="D154" s="37"/>
      <c r="E154" s="37"/>
      <c r="F154" s="37"/>
      <c r="G154" s="1312" t="s">
        <v>414</v>
      </c>
      <c r="H154" s="1312"/>
      <c r="I154" s="37"/>
      <c r="J154" s="37"/>
      <c r="K154" s="37"/>
      <c r="L154" s="37"/>
      <c r="M154" s="37"/>
      <c r="N154" s="37"/>
      <c r="O154" s="37"/>
      <c r="P154" s="37"/>
      <c r="Q154" s="37"/>
      <c r="S154" s="37"/>
      <c r="T154" s="37"/>
      <c r="U154"/>
      <c r="V154" s="37"/>
      <c r="W154" s="37"/>
      <c r="X154" s="37"/>
      <c r="Y154"/>
      <c r="Z154" s="37"/>
      <c r="AA154" s="37"/>
      <c r="AB154" s="37"/>
      <c r="AC154" s="37"/>
      <c r="AD154" s="37"/>
      <c r="AE154" s="37"/>
      <c r="AF154" s="37"/>
      <c r="AG154" s="37"/>
      <c r="AH154" s="37"/>
      <c r="AI154" s="37"/>
      <c r="AJ154" s="37"/>
      <c r="AK154" s="37"/>
      <c r="AL154" s="37"/>
      <c r="AM154" s="37"/>
      <c r="AN154" s="37"/>
    </row>
    <row r="155" spans="2:40" ht="12.2" customHeight="1" outlineLevel="1">
      <c r="B155" s="37"/>
      <c r="C155" s="37"/>
      <c r="D155" s="37"/>
      <c r="E155" s="37"/>
      <c r="F155" s="37"/>
      <c r="G155" s="37"/>
      <c r="H155" s="37"/>
      <c r="I155" s="37"/>
      <c r="J155" s="37"/>
      <c r="K155" s="37"/>
      <c r="L155" s="37"/>
      <c r="M155" s="37"/>
      <c r="N155" s="37"/>
      <c r="O155" s="37"/>
      <c r="P155" s="37"/>
      <c r="Q155" s="37"/>
      <c r="S155" s="37"/>
      <c r="T155" s="37"/>
      <c r="U155"/>
      <c r="V155" s="37"/>
      <c r="W155" s="37"/>
      <c r="X155" s="37"/>
      <c r="Y155"/>
      <c r="Z155" s="37"/>
      <c r="AA155" s="37"/>
      <c r="AB155" s="37"/>
      <c r="AC155" s="37"/>
      <c r="AD155" s="37"/>
      <c r="AE155" s="37"/>
      <c r="AF155" s="37"/>
      <c r="AG155" s="37"/>
      <c r="AH155" s="37"/>
      <c r="AI155" s="37"/>
      <c r="AJ155" s="37"/>
      <c r="AK155" s="37"/>
      <c r="AL155" s="37"/>
      <c r="AM155" s="37"/>
      <c r="AN155" s="37"/>
    </row>
    <row r="156" spans="2:40" outlineLevel="1">
      <c r="U156"/>
    </row>
    <row r="157" spans="2:40" outlineLevel="1"/>
    <row r="158" spans="2:40" outlineLevel="1">
      <c r="B158" s="1043" t="s">
        <v>415</v>
      </c>
      <c r="C158" s="196"/>
      <c r="D158" s="196"/>
      <c r="E158" s="196"/>
      <c r="F158" s="196"/>
      <c r="G158" s="196"/>
      <c r="H158" s="196"/>
      <c r="I158" s="196"/>
      <c r="J158" s="196"/>
      <c r="K158" s="196"/>
      <c r="L158" s="196"/>
      <c r="M158" s="564"/>
      <c r="N158" s="196"/>
      <c r="O158" s="196"/>
      <c r="P158" s="196"/>
      <c r="Q158" s="196"/>
    </row>
    <row r="159" spans="2:40" outlineLevel="1">
      <c r="B159" s="37"/>
      <c r="C159" s="37"/>
      <c r="D159" s="37"/>
      <c r="E159" s="1061" t="s">
        <v>416</v>
      </c>
      <c r="F159" s="565"/>
      <c r="G159" s="1061" t="s">
        <v>417</v>
      </c>
      <c r="H159" s="37"/>
      <c r="I159" s="37"/>
      <c r="J159" s="37"/>
      <c r="K159" s="37"/>
      <c r="L159" s="37"/>
      <c r="M159" s="37"/>
      <c r="N159" s="37"/>
      <c r="O159" s="37"/>
      <c r="P159" s="37"/>
      <c r="Q159" s="37"/>
    </row>
    <row r="160" spans="2:40" outlineLevel="1">
      <c r="B160" s="36" t="s">
        <v>418</v>
      </c>
      <c r="C160" s="37"/>
      <c r="D160" s="37"/>
      <c r="E160" s="566" t="s">
        <v>303</v>
      </c>
      <c r="F160" s="37"/>
      <c r="G160" s="356" t="s">
        <v>303</v>
      </c>
      <c r="H160" s="37"/>
      <c r="I160" s="37"/>
      <c r="J160" s="567"/>
      <c r="K160" s="568" t="s">
        <v>419</v>
      </c>
      <c r="L160" s="569"/>
      <c r="M160" s="37"/>
      <c r="N160" s="37"/>
      <c r="O160" s="37"/>
      <c r="P160" s="37"/>
      <c r="Q160" s="37"/>
    </row>
    <row r="161" spans="2:54" outlineLevel="1">
      <c r="B161" s="36" t="s">
        <v>420</v>
      </c>
      <c r="C161" s="37"/>
      <c r="D161" s="1313">
        <f>PurchasePrice</f>
        <v>13009400</v>
      </c>
      <c r="E161" s="1313"/>
      <c r="F161" s="1314">
        <f>IF(ExitCapRate,MAX(ReversionNOILessTaxes,)/(ExitCapRate+AssessRatioAtExit*MillRateAtExit/1000*(1-RETReimb)*(1-EarlyTaxPmntDiscnt)),)</f>
        <v>27926890.480959717</v>
      </c>
      <c r="G161" s="1314"/>
      <c r="H161" s="37"/>
      <c r="I161" s="37"/>
      <c r="J161" s="37"/>
      <c r="K161" s="37"/>
      <c r="L161" s="37"/>
      <c r="M161" s="37"/>
      <c r="N161" s="37"/>
      <c r="O161" s="37"/>
      <c r="P161" s="37"/>
      <c r="Q161" s="37"/>
    </row>
    <row r="162" spans="2:54" outlineLevel="1">
      <c r="B162" s="36" t="s">
        <v>421</v>
      </c>
      <c r="C162" s="37"/>
      <c r="D162" s="37"/>
      <c r="E162" s="570"/>
      <c r="F162" s="37"/>
      <c r="G162" s="571"/>
      <c r="H162" s="37"/>
      <c r="I162" s="37"/>
      <c r="J162" s="37"/>
      <c r="K162" s="37"/>
      <c r="L162" s="37"/>
      <c r="M162" s="37"/>
      <c r="N162" s="37"/>
      <c r="O162" s="37"/>
      <c r="P162" s="37"/>
      <c r="Q162" s="37"/>
    </row>
    <row r="163" spans="2:54" outlineLevel="1">
      <c r="B163" s="36" t="s">
        <v>422</v>
      </c>
      <c r="C163" s="37"/>
      <c r="D163" s="1253">
        <f>D161*E162</f>
        <v>0</v>
      </c>
      <c r="E163" s="1253"/>
      <c r="F163" s="1253">
        <f>F161*G162</f>
        <v>0</v>
      </c>
      <c r="G163" s="1253"/>
      <c r="H163" s="37"/>
      <c r="I163" s="37"/>
      <c r="J163" s="37"/>
      <c r="K163" s="37"/>
      <c r="L163" s="37"/>
      <c r="M163" s="37"/>
      <c r="N163" s="37"/>
      <c r="O163" s="37"/>
      <c r="P163" s="37"/>
      <c r="Q163" s="37"/>
    </row>
    <row r="164" spans="2:54" outlineLevel="1">
      <c r="B164" s="36" t="s">
        <v>423</v>
      </c>
      <c r="C164" s="37"/>
      <c r="D164" s="37"/>
      <c r="E164" s="572"/>
      <c r="F164" s="37"/>
      <c r="G164" s="573"/>
      <c r="H164" s="37"/>
      <c r="I164" s="37"/>
      <c r="J164" s="37"/>
      <c r="K164" s="37"/>
      <c r="L164" s="37"/>
      <c r="M164" s="37"/>
      <c r="N164" s="37"/>
      <c r="O164" s="37"/>
      <c r="P164" s="37"/>
      <c r="Q164" s="37"/>
    </row>
    <row r="165" spans="2:54" outlineLevel="1">
      <c r="B165" s="36" t="s">
        <v>424</v>
      </c>
      <c r="C165" s="37"/>
      <c r="D165" s="37"/>
      <c r="E165" s="574">
        <v>0</v>
      </c>
      <c r="F165" s="37"/>
      <c r="G165" s="37"/>
      <c r="H165" s="37"/>
      <c r="I165" s="37"/>
      <c r="J165" s="37"/>
      <c r="K165" s="37"/>
      <c r="L165" s="37"/>
      <c r="M165" s="37"/>
      <c r="N165" s="37"/>
      <c r="O165" s="37"/>
      <c r="P165" s="37"/>
      <c r="Q165" s="37"/>
    </row>
    <row r="166" spans="2:54" outlineLevel="1">
      <c r="B166" s="36"/>
      <c r="C166" s="37"/>
      <c r="D166" s="37"/>
      <c r="E166" s="575"/>
      <c r="F166" s="37"/>
      <c r="G166" s="37"/>
      <c r="H166" s="37"/>
      <c r="I166" s="37"/>
      <c r="J166" s="37"/>
      <c r="K166" s="37"/>
      <c r="L166" s="37"/>
      <c r="M166" s="37"/>
      <c r="N166" s="37"/>
      <c r="O166" s="37"/>
      <c r="P166" s="37"/>
      <c r="Q166" s="37"/>
    </row>
    <row r="167" spans="2:54" outlineLevel="1"/>
    <row r="168" spans="2:54" outlineLevel="1"/>
    <row r="169" spans="2:54" ht="14.25" customHeight="1" outlineLevel="1">
      <c r="B169" s="1043" t="s">
        <v>39</v>
      </c>
      <c r="C169" s="196"/>
      <c r="D169" s="196"/>
      <c r="E169" s="196"/>
      <c r="F169" s="196"/>
      <c r="G169" s="196"/>
      <c r="H169" s="196"/>
      <c r="I169" s="196"/>
      <c r="J169" s="196"/>
      <c r="K169" s="196"/>
      <c r="L169" s="196"/>
      <c r="M169" s="196"/>
      <c r="N169" s="196"/>
      <c r="O169" s="196"/>
      <c r="P169" s="196"/>
      <c r="Q169" s="196"/>
    </row>
    <row r="170" spans="2:54" outlineLevel="1">
      <c r="B170" s="1107" t="s">
        <v>425</v>
      </c>
      <c r="C170" s="464"/>
      <c r="D170" s="464"/>
      <c r="E170" s="464"/>
      <c r="F170" s="464"/>
      <c r="G170" s="1110">
        <v>1</v>
      </c>
      <c r="H170" s="1110">
        <f t="shared" ref="H170:Q170" si="56">G170+1</f>
        <v>2</v>
      </c>
      <c r="I170" s="1110">
        <f t="shared" si="56"/>
        <v>3</v>
      </c>
      <c r="J170" s="1110">
        <f t="shared" si="56"/>
        <v>4</v>
      </c>
      <c r="K170" s="1110">
        <f t="shared" si="56"/>
        <v>5</v>
      </c>
      <c r="L170" s="1110">
        <f t="shared" si="56"/>
        <v>6</v>
      </c>
      <c r="M170" s="1110">
        <f t="shared" si="56"/>
        <v>7</v>
      </c>
      <c r="N170" s="1110">
        <f t="shared" si="56"/>
        <v>8</v>
      </c>
      <c r="O170" s="1110">
        <f t="shared" si="56"/>
        <v>9</v>
      </c>
      <c r="P170" s="1110">
        <f t="shared" si="56"/>
        <v>10</v>
      </c>
      <c r="Q170" s="1110">
        <f t="shared" si="56"/>
        <v>11</v>
      </c>
    </row>
    <row r="171" spans="2:54" outlineLevel="1">
      <c r="B171" s="36" t="s">
        <v>426</v>
      </c>
      <c r="C171" s="37"/>
      <c r="D171" s="37"/>
      <c r="E171" s="1315" t="s">
        <v>350</v>
      </c>
      <c r="F171" s="1316"/>
      <c r="G171" s="576"/>
      <c r="H171" s="519">
        <f t="shared" ref="H171:Q171" si="57">G171*(1+G151*(ReserveInflationMethod=Grown))</f>
        <v>0</v>
      </c>
      <c r="I171" s="519">
        <f t="shared" si="57"/>
        <v>0</v>
      </c>
      <c r="J171" s="519">
        <f t="shared" si="57"/>
        <v>0</v>
      </c>
      <c r="K171" s="519">
        <f t="shared" si="57"/>
        <v>0</v>
      </c>
      <c r="L171" s="519">
        <f t="shared" si="57"/>
        <v>0</v>
      </c>
      <c r="M171" s="519">
        <f t="shared" si="57"/>
        <v>0</v>
      </c>
      <c r="N171" s="519">
        <f t="shared" si="57"/>
        <v>0</v>
      </c>
      <c r="O171" s="519">
        <f t="shared" si="57"/>
        <v>0</v>
      </c>
      <c r="P171" s="519">
        <f t="shared" si="57"/>
        <v>0</v>
      </c>
      <c r="Q171" s="519">
        <f t="shared" si="57"/>
        <v>0</v>
      </c>
    </row>
    <row r="172" spans="2:54" outlineLevel="1">
      <c r="B172" s="32" t="str">
        <f>"Reversion Yr. "&amp;ReversionYear&amp;" ($/unit)"</f>
        <v>Reversion Yr. 8 ($/unit)</v>
      </c>
      <c r="C172" s="37"/>
      <c r="D172" s="577">
        <f>ProjectedReserves</f>
        <v>0</v>
      </c>
      <c r="E172" s="1306" t="s">
        <v>350</v>
      </c>
      <c r="F172" s="1307"/>
      <c r="G172" s="78">
        <f>-'CF Calculations'!$Q$60/TotalDealUnits*(G170=ReversionYear)</f>
        <v>0</v>
      </c>
      <c r="H172" s="78">
        <f>-'CF Calculations'!$Q$60/TotalDealUnits*(H170=ReversionYear)</f>
        <v>0</v>
      </c>
      <c r="I172" s="78">
        <f>-'CF Calculations'!$Q$60/TotalDealUnits*(I170=ReversionYear)</f>
        <v>0</v>
      </c>
      <c r="J172" s="78">
        <f>-'CF Calculations'!$Q$60/TotalDealUnits*(J170=ReversionYear)</f>
        <v>0</v>
      </c>
      <c r="K172" s="78">
        <f>-'CF Calculations'!$Q$60/TotalDealUnits*(K170=ReversionYear)</f>
        <v>0</v>
      </c>
      <c r="L172" s="78">
        <f>-'CF Calculations'!$Q$60/TotalDealUnits*(L170=ReversionYear)</f>
        <v>0</v>
      </c>
      <c r="M172" s="78">
        <f>-'CF Calculations'!$Q$60/TotalDealUnits*(M170=ReversionYear)</f>
        <v>0</v>
      </c>
      <c r="N172" s="78">
        <f>-'CF Calculations'!$Q$60/TotalDealUnits*(N170=ReversionYear)</f>
        <v>0</v>
      </c>
      <c r="O172" s="78">
        <f>-'CF Calculations'!$Q$60/TotalDealUnits*(O170=ReversionYear)</f>
        <v>0</v>
      </c>
      <c r="P172" s="78">
        <f>-'CF Calculations'!$Q$60/TotalDealUnits*(P170=ReversionYear)</f>
        <v>0</v>
      </c>
      <c r="Q172" s="78">
        <f>-'CF Calculations'!$Q$60/TotalDealUnits*(Q170=ReversionYear)</f>
        <v>0</v>
      </c>
    </row>
    <row r="173" spans="2:54" outlineLevel="1">
      <c r="B173" s="37"/>
      <c r="C173" s="37"/>
      <c r="D173" s="37"/>
      <c r="E173" s="37"/>
      <c r="F173" s="37"/>
      <c r="G173" s="37"/>
      <c r="H173" s="37"/>
      <c r="I173" s="37"/>
      <c r="J173" s="37"/>
      <c r="K173" s="37"/>
      <c r="L173" s="37"/>
      <c r="M173" s="37"/>
      <c r="N173" s="37"/>
      <c r="O173" s="37"/>
      <c r="P173" s="37"/>
      <c r="Q173" s="37"/>
    </row>
    <row r="174" spans="2:54" outlineLevel="1"/>
    <row r="175" spans="2:54" outlineLevel="1"/>
    <row r="176" spans="2:54" ht="14.25" customHeight="1" outlineLevel="1">
      <c r="B176" s="1043" t="s">
        <v>427</v>
      </c>
      <c r="C176" s="196"/>
      <c r="D176" s="196"/>
      <c r="E176" s="196"/>
      <c r="F176" s="196"/>
      <c r="G176" s="196"/>
      <c r="H176" s="196"/>
      <c r="I176" s="196"/>
      <c r="J176" s="196"/>
      <c r="K176" s="196"/>
      <c r="L176" s="578"/>
      <c r="M176" s="579"/>
      <c r="N176" s="580"/>
      <c r="O176" s="580"/>
      <c r="P176" s="580"/>
      <c r="Q176" s="580"/>
      <c r="S176" s="1043" t="s">
        <v>428</v>
      </c>
      <c r="T176" s="196"/>
      <c r="U176" s="196"/>
      <c r="V176" s="196"/>
      <c r="W176" s="196"/>
      <c r="X176" s="196"/>
      <c r="Y176" s="196"/>
      <c r="Z176" s="196"/>
      <c r="AA176" s="196"/>
      <c r="AB176" s="196"/>
      <c r="AC176" s="196"/>
      <c r="AD176" s="196"/>
      <c r="AE176" s="196"/>
      <c r="AF176" s="196"/>
      <c r="AG176" s="196"/>
      <c r="AH176" s="196"/>
      <c r="AI176" s="196"/>
      <c r="AJ176" s="196"/>
      <c r="AK176" s="196"/>
      <c r="AL176" s="196"/>
      <c r="AM176" s="196"/>
      <c r="AN176" s="196"/>
      <c r="AO176" s="196"/>
      <c r="AP176" s="196"/>
      <c r="AQ176" s="196"/>
      <c r="AR176" s="196"/>
      <c r="AS176" s="196"/>
      <c r="AT176" s="196"/>
      <c r="AU176" s="196"/>
      <c r="AV176" s="196"/>
      <c r="AW176" s="196"/>
      <c r="AX176" s="196"/>
      <c r="AY176" s="196"/>
      <c r="AZ176" s="196"/>
      <c r="BA176" s="196"/>
      <c r="BB176" s="196"/>
    </row>
    <row r="177" spans="2:54" outlineLevel="1">
      <c r="B177" s="36" t="s">
        <v>429</v>
      </c>
      <c r="C177" s="37"/>
      <c r="D177" s="581" t="s">
        <v>343</v>
      </c>
      <c r="E177" s="355"/>
      <c r="F177" s="355"/>
      <c r="G177" s="395"/>
      <c r="H177" s="582"/>
      <c r="I177" s="582"/>
      <c r="J177" s="582"/>
      <c r="K177" s="582"/>
      <c r="L177" s="582"/>
      <c r="M177" s="582"/>
      <c r="N177" s="582"/>
      <c r="O177" s="582"/>
      <c r="P177" s="582"/>
      <c r="Q177" s="389"/>
      <c r="S177" s="473"/>
      <c r="T177" s="473"/>
      <c r="U177" s="473"/>
      <c r="V177" s="473"/>
      <c r="W177" s="473"/>
      <c r="X177" s="473"/>
      <c r="Y177" s="473"/>
      <c r="Z177" s="473"/>
      <c r="AA177" s="473"/>
      <c r="AB177" s="473"/>
      <c r="AC177" s="473"/>
      <c r="AD177" s="473"/>
      <c r="AE177" s="473"/>
      <c r="AF177" s="473"/>
      <c r="AG177" s="473"/>
      <c r="AH177" s="473"/>
      <c r="AI177" s="473"/>
      <c r="AJ177" s="473"/>
      <c r="AK177" s="473"/>
      <c r="AL177" s="473"/>
      <c r="AM177" s="473"/>
      <c r="AN177" s="473"/>
      <c r="AO177" s="473"/>
      <c r="AP177" s="473"/>
      <c r="AQ177" s="473"/>
      <c r="AR177" s="473"/>
      <c r="AS177" s="473"/>
      <c r="AT177" s="473"/>
      <c r="AU177" s="473"/>
      <c r="AV177" s="473"/>
      <c r="AW177" s="473"/>
      <c r="AX177" s="473"/>
      <c r="AY177" s="473"/>
      <c r="AZ177" s="473"/>
      <c r="BA177" s="473"/>
      <c r="BB177" s="473"/>
    </row>
    <row r="178" spans="2:54" ht="12.75" customHeight="1" outlineLevel="1">
      <c r="B178" s="37"/>
      <c r="C178" s="37"/>
      <c r="D178" s="37"/>
      <c r="E178" s="37"/>
      <c r="F178" s="1121" t="s">
        <v>430</v>
      </c>
      <c r="G178" s="1088" t="s">
        <v>378</v>
      </c>
      <c r="H178" s="1123"/>
      <c r="I178" s="1123"/>
      <c r="J178" s="1123"/>
      <c r="K178" s="1123"/>
      <c r="L178" s="1123"/>
      <c r="M178" s="1123"/>
      <c r="N178" s="1123"/>
      <c r="O178" s="1123"/>
      <c r="P178" s="1123"/>
      <c r="Q178" s="1131" t="s">
        <v>431</v>
      </c>
      <c r="S178" s="463">
        <f t="shared" ref="S178:BB178" si="58">S76</f>
        <v>46142</v>
      </c>
      <c r="T178" s="463">
        <f t="shared" si="58"/>
        <v>46173</v>
      </c>
      <c r="U178" s="463">
        <f t="shared" si="58"/>
        <v>46203</v>
      </c>
      <c r="V178" s="463">
        <f t="shared" si="58"/>
        <v>46234</v>
      </c>
      <c r="W178" s="463">
        <f t="shared" si="58"/>
        <v>46265</v>
      </c>
      <c r="X178" s="463">
        <f t="shared" si="58"/>
        <v>46295</v>
      </c>
      <c r="Y178" s="463">
        <f t="shared" si="58"/>
        <v>46326</v>
      </c>
      <c r="Z178" s="463">
        <f t="shared" si="58"/>
        <v>46356</v>
      </c>
      <c r="AA178" s="463">
        <f t="shared" si="58"/>
        <v>46387</v>
      </c>
      <c r="AB178" s="463">
        <f t="shared" si="58"/>
        <v>46418</v>
      </c>
      <c r="AC178" s="463">
        <f t="shared" si="58"/>
        <v>46446</v>
      </c>
      <c r="AD178" s="463">
        <f t="shared" si="58"/>
        <v>46477</v>
      </c>
      <c r="AE178" s="463">
        <f t="shared" si="58"/>
        <v>46507</v>
      </c>
      <c r="AF178" s="463">
        <f t="shared" si="58"/>
        <v>46538</v>
      </c>
      <c r="AG178" s="463">
        <f t="shared" si="58"/>
        <v>46568</v>
      </c>
      <c r="AH178" s="463">
        <f t="shared" si="58"/>
        <v>46599</v>
      </c>
      <c r="AI178" s="463">
        <f t="shared" si="58"/>
        <v>46630</v>
      </c>
      <c r="AJ178" s="463">
        <f t="shared" si="58"/>
        <v>46660</v>
      </c>
      <c r="AK178" s="463">
        <f t="shared" si="58"/>
        <v>46691</v>
      </c>
      <c r="AL178" s="463">
        <f t="shared" si="58"/>
        <v>46721</v>
      </c>
      <c r="AM178" s="463">
        <f t="shared" si="58"/>
        <v>46752</v>
      </c>
      <c r="AN178" s="463">
        <f t="shared" si="58"/>
        <v>46783</v>
      </c>
      <c r="AO178" s="463">
        <f t="shared" si="58"/>
        <v>46812</v>
      </c>
      <c r="AP178" s="463">
        <f t="shared" si="58"/>
        <v>46843</v>
      </c>
      <c r="AQ178" s="463">
        <f t="shared" si="58"/>
        <v>46873</v>
      </c>
      <c r="AR178" s="463">
        <f t="shared" si="58"/>
        <v>46904</v>
      </c>
      <c r="AS178" s="463">
        <f t="shared" si="58"/>
        <v>46934</v>
      </c>
      <c r="AT178" s="463">
        <f t="shared" si="58"/>
        <v>46965</v>
      </c>
      <c r="AU178" s="463">
        <f t="shared" si="58"/>
        <v>46996</v>
      </c>
      <c r="AV178" s="463">
        <f t="shared" si="58"/>
        <v>47026</v>
      </c>
      <c r="AW178" s="463">
        <f t="shared" si="58"/>
        <v>47057</v>
      </c>
      <c r="AX178" s="463">
        <f t="shared" si="58"/>
        <v>47087</v>
      </c>
      <c r="AY178" s="463">
        <f t="shared" si="58"/>
        <v>47118</v>
      </c>
      <c r="AZ178" s="463">
        <f t="shared" si="58"/>
        <v>47149</v>
      </c>
      <c r="BA178" s="463">
        <f t="shared" si="58"/>
        <v>47177</v>
      </c>
      <c r="BB178" s="463">
        <f t="shared" si="58"/>
        <v>47208</v>
      </c>
    </row>
    <row r="179" spans="2:54" outlineLevel="1">
      <c r="B179" s="1059" t="s">
        <v>432</v>
      </c>
      <c r="C179" s="404"/>
      <c r="D179" s="404"/>
      <c r="E179" s="404"/>
      <c r="F179" s="1085" t="s">
        <v>433</v>
      </c>
      <c r="G179" s="1110">
        <v>1</v>
      </c>
      <c r="H179" s="1110">
        <f t="shared" ref="H179:P179" si="59">G179+1</f>
        <v>2</v>
      </c>
      <c r="I179" s="1110">
        <f t="shared" si="59"/>
        <v>3</v>
      </c>
      <c r="J179" s="1110">
        <f t="shared" si="59"/>
        <v>4</v>
      </c>
      <c r="K179" s="1110">
        <f t="shared" si="59"/>
        <v>5</v>
      </c>
      <c r="L179" s="1110">
        <f t="shared" si="59"/>
        <v>6</v>
      </c>
      <c r="M179" s="1110">
        <f t="shared" si="59"/>
        <v>7</v>
      </c>
      <c r="N179" s="1110">
        <f t="shared" si="59"/>
        <v>8</v>
      </c>
      <c r="O179" s="1110">
        <f t="shared" si="59"/>
        <v>9</v>
      </c>
      <c r="P179" s="1110">
        <f t="shared" si="59"/>
        <v>10</v>
      </c>
      <c r="Q179" s="1112" t="s">
        <v>318</v>
      </c>
      <c r="S179" s="1060">
        <v>1</v>
      </c>
      <c r="T179" s="1060">
        <f t="shared" ref="T179:BB179" si="60">S179+1</f>
        <v>2</v>
      </c>
      <c r="U179" s="1060">
        <f t="shared" si="60"/>
        <v>3</v>
      </c>
      <c r="V179" s="1060">
        <f t="shared" si="60"/>
        <v>4</v>
      </c>
      <c r="W179" s="1060">
        <f t="shared" si="60"/>
        <v>5</v>
      </c>
      <c r="X179" s="1060">
        <f t="shared" si="60"/>
        <v>6</v>
      </c>
      <c r="Y179" s="1060">
        <f t="shared" si="60"/>
        <v>7</v>
      </c>
      <c r="Z179" s="1060">
        <f t="shared" si="60"/>
        <v>8</v>
      </c>
      <c r="AA179" s="1060">
        <f t="shared" si="60"/>
        <v>9</v>
      </c>
      <c r="AB179" s="1060">
        <f t="shared" si="60"/>
        <v>10</v>
      </c>
      <c r="AC179" s="1060">
        <f t="shared" si="60"/>
        <v>11</v>
      </c>
      <c r="AD179" s="1060">
        <f t="shared" si="60"/>
        <v>12</v>
      </c>
      <c r="AE179" s="1060">
        <f t="shared" si="60"/>
        <v>13</v>
      </c>
      <c r="AF179" s="1060">
        <f t="shared" si="60"/>
        <v>14</v>
      </c>
      <c r="AG179" s="1060">
        <f t="shared" si="60"/>
        <v>15</v>
      </c>
      <c r="AH179" s="1060">
        <f t="shared" si="60"/>
        <v>16</v>
      </c>
      <c r="AI179" s="1060">
        <f t="shared" si="60"/>
        <v>17</v>
      </c>
      <c r="AJ179" s="1060">
        <f t="shared" si="60"/>
        <v>18</v>
      </c>
      <c r="AK179" s="1060">
        <f t="shared" si="60"/>
        <v>19</v>
      </c>
      <c r="AL179" s="1060">
        <f t="shared" si="60"/>
        <v>20</v>
      </c>
      <c r="AM179" s="1060">
        <f t="shared" si="60"/>
        <v>21</v>
      </c>
      <c r="AN179" s="1060">
        <f t="shared" si="60"/>
        <v>22</v>
      </c>
      <c r="AO179" s="1060">
        <f t="shared" si="60"/>
        <v>23</v>
      </c>
      <c r="AP179" s="1060">
        <f t="shared" si="60"/>
        <v>24</v>
      </c>
      <c r="AQ179" s="1060">
        <f t="shared" si="60"/>
        <v>25</v>
      </c>
      <c r="AR179" s="1060">
        <f t="shared" si="60"/>
        <v>26</v>
      </c>
      <c r="AS179" s="1060">
        <f t="shared" si="60"/>
        <v>27</v>
      </c>
      <c r="AT179" s="1060">
        <f t="shared" si="60"/>
        <v>28</v>
      </c>
      <c r="AU179" s="1060">
        <f t="shared" si="60"/>
        <v>29</v>
      </c>
      <c r="AV179" s="1060">
        <f t="shared" si="60"/>
        <v>30</v>
      </c>
      <c r="AW179" s="1060">
        <f t="shared" si="60"/>
        <v>31</v>
      </c>
      <c r="AX179" s="1060">
        <f t="shared" si="60"/>
        <v>32</v>
      </c>
      <c r="AY179" s="1060">
        <f t="shared" si="60"/>
        <v>33</v>
      </c>
      <c r="AZ179" s="1060">
        <f t="shared" si="60"/>
        <v>34</v>
      </c>
      <c r="BA179" s="1060">
        <f t="shared" si="60"/>
        <v>35</v>
      </c>
      <c r="BB179" s="1060">
        <f t="shared" si="60"/>
        <v>36</v>
      </c>
    </row>
    <row r="180" spans="2:54" outlineLevel="1">
      <c r="B180" s="526"/>
      <c r="C180" s="526"/>
      <c r="D180" s="526"/>
      <c r="E180" s="526"/>
      <c r="F180" s="583"/>
      <c r="G180" s="1001">
        <v>0</v>
      </c>
      <c r="H180" s="586">
        <v>0</v>
      </c>
      <c r="I180" s="586">
        <v>0</v>
      </c>
      <c r="J180" s="518">
        <v>0</v>
      </c>
      <c r="K180" s="518">
        <v>0</v>
      </c>
      <c r="L180" s="518">
        <v>0</v>
      </c>
      <c r="M180" s="518">
        <v>0</v>
      </c>
      <c r="N180" s="518">
        <v>0</v>
      </c>
      <c r="O180" s="518">
        <v>0</v>
      </c>
      <c r="P180" s="518">
        <v>0</v>
      </c>
      <c r="Q180" s="584">
        <f t="shared" ref="Q180:Q186" si="61">IF(SUMPRODUCT(MAX((G180:P180&gt;0)*$G$179:$P$179))&gt;3,SUMPRODUCT(MAX((G180:P180&gt;0)*$G$179:$P$179))*12+1,SUMPRODUCT(MAX((S180:BB180&gt;0)*$S$179:$BB$179))+1)*(F180&gt;0)*(SUM(G180:P180)&gt;0)</f>
        <v>0</v>
      </c>
      <c r="R180" s="351"/>
      <c r="S180" s="78">
        <f t="shared" ref="S180:AB186" si="62">SUMPRODUCT(Yr1to3AnnualCapExInput*(COLUMN(Yr1to3AnnualCapExInput)-COLUMN(Yr1AnnualCapEx)+1=ROUNDUP((COLUMN()-COLUMN(Mnth1CapExInput)+1)/12,))*(ROW()=ROW(MnthlyCapexInputs)))/12</f>
        <v>0</v>
      </c>
      <c r="T180" s="78">
        <f t="shared" si="62"/>
        <v>0</v>
      </c>
      <c r="U180" s="78">
        <f t="shared" si="62"/>
        <v>0</v>
      </c>
      <c r="V180" s="78">
        <f t="shared" si="62"/>
        <v>0</v>
      </c>
      <c r="W180" s="78">
        <f t="shared" si="62"/>
        <v>0</v>
      </c>
      <c r="X180" s="78">
        <f t="shared" si="62"/>
        <v>0</v>
      </c>
      <c r="Y180" s="78">
        <f t="shared" si="62"/>
        <v>0</v>
      </c>
      <c r="Z180" s="78">
        <f t="shared" si="62"/>
        <v>0</v>
      </c>
      <c r="AA180" s="78">
        <f t="shared" si="62"/>
        <v>0</v>
      </c>
      <c r="AB180" s="78">
        <f t="shared" si="62"/>
        <v>0</v>
      </c>
      <c r="AC180" s="78">
        <f t="shared" ref="AC180:AL186" si="63">SUMPRODUCT(Yr1to3AnnualCapExInput*(COLUMN(Yr1to3AnnualCapExInput)-COLUMN(Yr1AnnualCapEx)+1=ROUNDUP((COLUMN()-COLUMN(Mnth1CapExInput)+1)/12,))*(ROW()=ROW(MnthlyCapexInputs)))/12</f>
        <v>0</v>
      </c>
      <c r="AD180" s="78">
        <f t="shared" si="63"/>
        <v>0</v>
      </c>
      <c r="AE180" s="78">
        <f t="shared" si="63"/>
        <v>0</v>
      </c>
      <c r="AF180" s="78">
        <f t="shared" si="63"/>
        <v>0</v>
      </c>
      <c r="AG180" s="78">
        <f t="shared" si="63"/>
        <v>0</v>
      </c>
      <c r="AH180" s="78">
        <f t="shared" si="63"/>
        <v>0</v>
      </c>
      <c r="AI180" s="78">
        <f t="shared" si="63"/>
        <v>0</v>
      </c>
      <c r="AJ180" s="78">
        <f t="shared" si="63"/>
        <v>0</v>
      </c>
      <c r="AK180" s="78">
        <f t="shared" si="63"/>
        <v>0</v>
      </c>
      <c r="AL180" s="78">
        <f t="shared" si="63"/>
        <v>0</v>
      </c>
      <c r="AM180" s="78">
        <f t="shared" ref="AM180:AV186" si="64">SUMPRODUCT(Yr1to3AnnualCapExInput*(COLUMN(Yr1to3AnnualCapExInput)-COLUMN(Yr1AnnualCapEx)+1=ROUNDUP((COLUMN()-COLUMN(Mnth1CapExInput)+1)/12,))*(ROW()=ROW(MnthlyCapexInputs)))/12</f>
        <v>0</v>
      </c>
      <c r="AN180" s="78">
        <f t="shared" si="64"/>
        <v>0</v>
      </c>
      <c r="AO180" s="78">
        <f t="shared" si="64"/>
        <v>0</v>
      </c>
      <c r="AP180" s="78">
        <f t="shared" si="64"/>
        <v>0</v>
      </c>
      <c r="AQ180" s="78">
        <f t="shared" si="64"/>
        <v>0</v>
      </c>
      <c r="AR180" s="78">
        <f t="shared" si="64"/>
        <v>0</v>
      </c>
      <c r="AS180" s="78">
        <f t="shared" si="64"/>
        <v>0</v>
      </c>
      <c r="AT180" s="78">
        <f t="shared" si="64"/>
        <v>0</v>
      </c>
      <c r="AU180" s="78">
        <f t="shared" si="64"/>
        <v>0</v>
      </c>
      <c r="AV180" s="78">
        <f t="shared" si="64"/>
        <v>0</v>
      </c>
      <c r="AW180" s="78">
        <f t="shared" ref="AW180:BB186" si="65">SUMPRODUCT(Yr1to3AnnualCapExInput*(COLUMN(Yr1to3AnnualCapExInput)-COLUMN(Yr1AnnualCapEx)+1=ROUNDUP((COLUMN()-COLUMN(Mnth1CapExInput)+1)/12,))*(ROW()=ROW(MnthlyCapexInputs)))/12</f>
        <v>0</v>
      </c>
      <c r="AX180" s="78">
        <f t="shared" si="65"/>
        <v>0</v>
      </c>
      <c r="AY180" s="78">
        <f t="shared" si="65"/>
        <v>0</v>
      </c>
      <c r="AZ180" s="78">
        <f t="shared" si="65"/>
        <v>0</v>
      </c>
      <c r="BA180" s="78">
        <f t="shared" si="65"/>
        <v>0</v>
      </c>
      <c r="BB180" s="78">
        <f t="shared" si="65"/>
        <v>0</v>
      </c>
    </row>
    <row r="181" spans="2:54" outlineLevel="1">
      <c r="B181" s="529"/>
      <c r="C181" s="529"/>
      <c r="D181" s="529"/>
      <c r="E181" s="529"/>
      <c r="F181" s="585"/>
      <c r="G181" s="1002">
        <v>0</v>
      </c>
      <c r="H181" s="1003">
        <v>0</v>
      </c>
      <c r="I181" s="1003">
        <v>0</v>
      </c>
      <c r="J181" s="524">
        <v>0</v>
      </c>
      <c r="K181" s="524">
        <v>0</v>
      </c>
      <c r="L181" s="524">
        <v>0</v>
      </c>
      <c r="M181" s="524">
        <v>0</v>
      </c>
      <c r="N181" s="524">
        <v>0</v>
      </c>
      <c r="O181" s="524">
        <v>0</v>
      </c>
      <c r="P181" s="524">
        <v>0</v>
      </c>
      <c r="Q181" s="587">
        <f t="shared" si="61"/>
        <v>0</v>
      </c>
      <c r="S181" s="145">
        <f t="shared" si="62"/>
        <v>0</v>
      </c>
      <c r="T181" s="145">
        <f t="shared" si="62"/>
        <v>0</v>
      </c>
      <c r="U181" s="145">
        <f t="shared" si="62"/>
        <v>0</v>
      </c>
      <c r="V181" s="145">
        <f t="shared" si="62"/>
        <v>0</v>
      </c>
      <c r="W181" s="145">
        <f t="shared" si="62"/>
        <v>0</v>
      </c>
      <c r="X181" s="145">
        <f t="shared" si="62"/>
        <v>0</v>
      </c>
      <c r="Y181" s="145">
        <f t="shared" si="62"/>
        <v>0</v>
      </c>
      <c r="Z181" s="145">
        <f t="shared" si="62"/>
        <v>0</v>
      </c>
      <c r="AA181" s="145">
        <f t="shared" si="62"/>
        <v>0</v>
      </c>
      <c r="AB181" s="145">
        <f t="shared" si="62"/>
        <v>0</v>
      </c>
      <c r="AC181" s="145">
        <f t="shared" si="63"/>
        <v>0</v>
      </c>
      <c r="AD181" s="145">
        <f t="shared" si="63"/>
        <v>0</v>
      </c>
      <c r="AE181" s="145">
        <f t="shared" si="63"/>
        <v>0</v>
      </c>
      <c r="AF181" s="145">
        <f t="shared" si="63"/>
        <v>0</v>
      </c>
      <c r="AG181" s="145">
        <f t="shared" si="63"/>
        <v>0</v>
      </c>
      <c r="AH181" s="145">
        <f t="shared" si="63"/>
        <v>0</v>
      </c>
      <c r="AI181" s="145">
        <f t="shared" si="63"/>
        <v>0</v>
      </c>
      <c r="AJ181" s="145">
        <f t="shared" si="63"/>
        <v>0</v>
      </c>
      <c r="AK181" s="145">
        <f t="shared" si="63"/>
        <v>0</v>
      </c>
      <c r="AL181" s="145">
        <f t="shared" si="63"/>
        <v>0</v>
      </c>
      <c r="AM181" s="145">
        <f t="shared" si="64"/>
        <v>0</v>
      </c>
      <c r="AN181" s="145">
        <f t="shared" si="64"/>
        <v>0</v>
      </c>
      <c r="AO181" s="145">
        <f t="shared" si="64"/>
        <v>0</v>
      </c>
      <c r="AP181" s="145">
        <f t="shared" si="64"/>
        <v>0</v>
      </c>
      <c r="AQ181" s="145">
        <f t="shared" si="64"/>
        <v>0</v>
      </c>
      <c r="AR181" s="145">
        <f t="shared" si="64"/>
        <v>0</v>
      </c>
      <c r="AS181" s="145">
        <f t="shared" si="64"/>
        <v>0</v>
      </c>
      <c r="AT181" s="145">
        <f t="shared" si="64"/>
        <v>0</v>
      </c>
      <c r="AU181" s="145">
        <f t="shared" si="64"/>
        <v>0</v>
      </c>
      <c r="AV181" s="145">
        <f t="shared" si="64"/>
        <v>0</v>
      </c>
      <c r="AW181" s="145">
        <f t="shared" si="65"/>
        <v>0</v>
      </c>
      <c r="AX181" s="145">
        <f t="shared" si="65"/>
        <v>0</v>
      </c>
      <c r="AY181" s="145">
        <f t="shared" si="65"/>
        <v>0</v>
      </c>
      <c r="AZ181" s="145">
        <f t="shared" si="65"/>
        <v>0</v>
      </c>
      <c r="BA181" s="145">
        <f t="shared" si="65"/>
        <v>0</v>
      </c>
      <c r="BB181" s="145">
        <f t="shared" si="65"/>
        <v>0</v>
      </c>
    </row>
    <row r="182" spans="2:54" outlineLevel="1">
      <c r="B182" s="526"/>
      <c r="C182" s="526"/>
      <c r="D182" s="526"/>
      <c r="E182" s="526"/>
      <c r="F182" s="588"/>
      <c r="G182" s="1001">
        <v>0</v>
      </c>
      <c r="H182" s="586">
        <v>0</v>
      </c>
      <c r="I182" s="586">
        <v>0</v>
      </c>
      <c r="J182" s="518">
        <v>0</v>
      </c>
      <c r="K182" s="518">
        <v>0</v>
      </c>
      <c r="L182" s="518">
        <v>0</v>
      </c>
      <c r="M182" s="518">
        <v>0</v>
      </c>
      <c r="N182" s="518">
        <v>0</v>
      </c>
      <c r="O182" s="518">
        <v>0</v>
      </c>
      <c r="P182" s="518">
        <v>0</v>
      </c>
      <c r="Q182" s="584">
        <f t="shared" si="61"/>
        <v>0</v>
      </c>
      <c r="S182" s="78">
        <f t="shared" si="62"/>
        <v>0</v>
      </c>
      <c r="T182" s="78">
        <f t="shared" si="62"/>
        <v>0</v>
      </c>
      <c r="U182" s="78">
        <f t="shared" si="62"/>
        <v>0</v>
      </c>
      <c r="V182" s="78">
        <f t="shared" si="62"/>
        <v>0</v>
      </c>
      <c r="W182" s="78">
        <f t="shared" si="62"/>
        <v>0</v>
      </c>
      <c r="X182" s="78">
        <f t="shared" si="62"/>
        <v>0</v>
      </c>
      <c r="Y182" s="78">
        <f t="shared" si="62"/>
        <v>0</v>
      </c>
      <c r="Z182" s="78">
        <f t="shared" si="62"/>
        <v>0</v>
      </c>
      <c r="AA182" s="78">
        <f t="shared" si="62"/>
        <v>0</v>
      </c>
      <c r="AB182" s="78">
        <f t="shared" si="62"/>
        <v>0</v>
      </c>
      <c r="AC182" s="78">
        <f t="shared" si="63"/>
        <v>0</v>
      </c>
      <c r="AD182" s="78">
        <f t="shared" si="63"/>
        <v>0</v>
      </c>
      <c r="AE182" s="78">
        <f t="shared" si="63"/>
        <v>0</v>
      </c>
      <c r="AF182" s="78">
        <f t="shared" si="63"/>
        <v>0</v>
      </c>
      <c r="AG182" s="78">
        <f t="shared" si="63"/>
        <v>0</v>
      </c>
      <c r="AH182" s="78">
        <f t="shared" si="63"/>
        <v>0</v>
      </c>
      <c r="AI182" s="78">
        <f t="shared" si="63"/>
        <v>0</v>
      </c>
      <c r="AJ182" s="78">
        <f t="shared" si="63"/>
        <v>0</v>
      </c>
      <c r="AK182" s="78">
        <f t="shared" si="63"/>
        <v>0</v>
      </c>
      <c r="AL182" s="78">
        <f t="shared" si="63"/>
        <v>0</v>
      </c>
      <c r="AM182" s="78">
        <f t="shared" si="64"/>
        <v>0</v>
      </c>
      <c r="AN182" s="78">
        <f t="shared" si="64"/>
        <v>0</v>
      </c>
      <c r="AO182" s="78">
        <f t="shared" si="64"/>
        <v>0</v>
      </c>
      <c r="AP182" s="78">
        <f t="shared" si="64"/>
        <v>0</v>
      </c>
      <c r="AQ182" s="78">
        <f t="shared" si="64"/>
        <v>0</v>
      </c>
      <c r="AR182" s="78">
        <f t="shared" si="64"/>
        <v>0</v>
      </c>
      <c r="AS182" s="78">
        <f t="shared" si="64"/>
        <v>0</v>
      </c>
      <c r="AT182" s="78">
        <f t="shared" si="64"/>
        <v>0</v>
      </c>
      <c r="AU182" s="78">
        <f t="shared" si="64"/>
        <v>0</v>
      </c>
      <c r="AV182" s="78">
        <f t="shared" si="64"/>
        <v>0</v>
      </c>
      <c r="AW182" s="78">
        <f t="shared" si="65"/>
        <v>0</v>
      </c>
      <c r="AX182" s="78">
        <f t="shared" si="65"/>
        <v>0</v>
      </c>
      <c r="AY182" s="78">
        <f t="shared" si="65"/>
        <v>0</v>
      </c>
      <c r="AZ182" s="78">
        <f t="shared" si="65"/>
        <v>0</v>
      </c>
      <c r="BA182" s="78">
        <f t="shared" si="65"/>
        <v>0</v>
      </c>
      <c r="BB182" s="78">
        <f t="shared" si="65"/>
        <v>0</v>
      </c>
    </row>
    <row r="183" spans="2:54" outlineLevel="1">
      <c r="B183" s="529"/>
      <c r="C183" s="529"/>
      <c r="D183" s="529"/>
      <c r="E183" s="529"/>
      <c r="F183" s="585"/>
      <c r="G183" s="1002">
        <v>0</v>
      </c>
      <c r="H183" s="1003">
        <v>0</v>
      </c>
      <c r="I183" s="1003">
        <v>0</v>
      </c>
      <c r="J183" s="524">
        <v>0</v>
      </c>
      <c r="K183" s="524">
        <v>0</v>
      </c>
      <c r="L183" s="524">
        <v>0</v>
      </c>
      <c r="M183" s="524">
        <v>0</v>
      </c>
      <c r="N183" s="524">
        <v>0</v>
      </c>
      <c r="O183" s="524">
        <v>0</v>
      </c>
      <c r="P183" s="524">
        <v>0</v>
      </c>
      <c r="Q183" s="587">
        <f t="shared" si="61"/>
        <v>0</v>
      </c>
      <c r="S183" s="145">
        <f t="shared" si="62"/>
        <v>0</v>
      </c>
      <c r="T183" s="145">
        <f t="shared" si="62"/>
        <v>0</v>
      </c>
      <c r="U183" s="145">
        <f t="shared" si="62"/>
        <v>0</v>
      </c>
      <c r="V183" s="145">
        <f t="shared" si="62"/>
        <v>0</v>
      </c>
      <c r="W183" s="145">
        <f t="shared" si="62"/>
        <v>0</v>
      </c>
      <c r="X183" s="145">
        <f t="shared" si="62"/>
        <v>0</v>
      </c>
      <c r="Y183" s="145">
        <f t="shared" si="62"/>
        <v>0</v>
      </c>
      <c r="Z183" s="145">
        <f t="shared" si="62"/>
        <v>0</v>
      </c>
      <c r="AA183" s="145">
        <f t="shared" si="62"/>
        <v>0</v>
      </c>
      <c r="AB183" s="145">
        <f t="shared" si="62"/>
        <v>0</v>
      </c>
      <c r="AC183" s="145">
        <f t="shared" si="63"/>
        <v>0</v>
      </c>
      <c r="AD183" s="145">
        <f t="shared" si="63"/>
        <v>0</v>
      </c>
      <c r="AE183" s="145">
        <f t="shared" si="63"/>
        <v>0</v>
      </c>
      <c r="AF183" s="145">
        <f t="shared" si="63"/>
        <v>0</v>
      </c>
      <c r="AG183" s="145">
        <f t="shared" si="63"/>
        <v>0</v>
      </c>
      <c r="AH183" s="145">
        <f t="shared" si="63"/>
        <v>0</v>
      </c>
      <c r="AI183" s="145">
        <f t="shared" si="63"/>
        <v>0</v>
      </c>
      <c r="AJ183" s="145">
        <f t="shared" si="63"/>
        <v>0</v>
      </c>
      <c r="AK183" s="145">
        <f t="shared" si="63"/>
        <v>0</v>
      </c>
      <c r="AL183" s="145">
        <f t="shared" si="63"/>
        <v>0</v>
      </c>
      <c r="AM183" s="145">
        <f t="shared" si="64"/>
        <v>0</v>
      </c>
      <c r="AN183" s="145">
        <f t="shared" si="64"/>
        <v>0</v>
      </c>
      <c r="AO183" s="145">
        <f t="shared" si="64"/>
        <v>0</v>
      </c>
      <c r="AP183" s="145">
        <f t="shared" si="64"/>
        <v>0</v>
      </c>
      <c r="AQ183" s="145">
        <f t="shared" si="64"/>
        <v>0</v>
      </c>
      <c r="AR183" s="145">
        <f t="shared" si="64"/>
        <v>0</v>
      </c>
      <c r="AS183" s="145">
        <f t="shared" si="64"/>
        <v>0</v>
      </c>
      <c r="AT183" s="145">
        <f t="shared" si="64"/>
        <v>0</v>
      </c>
      <c r="AU183" s="145">
        <f t="shared" si="64"/>
        <v>0</v>
      </c>
      <c r="AV183" s="145">
        <f t="shared" si="64"/>
        <v>0</v>
      </c>
      <c r="AW183" s="145">
        <f t="shared" si="65"/>
        <v>0</v>
      </c>
      <c r="AX183" s="145">
        <f t="shared" si="65"/>
        <v>0</v>
      </c>
      <c r="AY183" s="145">
        <f t="shared" si="65"/>
        <v>0</v>
      </c>
      <c r="AZ183" s="145">
        <f t="shared" si="65"/>
        <v>0</v>
      </c>
      <c r="BA183" s="145">
        <f t="shared" si="65"/>
        <v>0</v>
      </c>
      <c r="BB183" s="145">
        <f t="shared" si="65"/>
        <v>0</v>
      </c>
    </row>
    <row r="184" spans="2:54" outlineLevel="1">
      <c r="B184" s="526"/>
      <c r="C184" s="526"/>
      <c r="D184" s="526"/>
      <c r="E184" s="526"/>
      <c r="F184" s="588"/>
      <c r="G184" s="1001">
        <v>0</v>
      </c>
      <c r="H184" s="586">
        <v>0</v>
      </c>
      <c r="I184" s="586">
        <v>0</v>
      </c>
      <c r="J184" s="518">
        <v>0</v>
      </c>
      <c r="K184" s="518">
        <v>0</v>
      </c>
      <c r="L184" s="518">
        <v>0</v>
      </c>
      <c r="M184" s="518">
        <v>0</v>
      </c>
      <c r="N184" s="518">
        <v>0</v>
      </c>
      <c r="O184" s="518">
        <v>0</v>
      </c>
      <c r="P184" s="518">
        <v>0</v>
      </c>
      <c r="Q184" s="584">
        <f t="shared" si="61"/>
        <v>0</v>
      </c>
      <c r="S184" s="78">
        <f t="shared" si="62"/>
        <v>0</v>
      </c>
      <c r="T184" s="78">
        <f t="shared" si="62"/>
        <v>0</v>
      </c>
      <c r="U184" s="78">
        <f t="shared" si="62"/>
        <v>0</v>
      </c>
      <c r="V184" s="78">
        <f t="shared" si="62"/>
        <v>0</v>
      </c>
      <c r="W184" s="78">
        <f t="shared" si="62"/>
        <v>0</v>
      </c>
      <c r="X184" s="78">
        <f t="shared" si="62"/>
        <v>0</v>
      </c>
      <c r="Y184" s="78">
        <f t="shared" si="62"/>
        <v>0</v>
      </c>
      <c r="Z184" s="78">
        <f t="shared" si="62"/>
        <v>0</v>
      </c>
      <c r="AA184" s="78">
        <f t="shared" si="62"/>
        <v>0</v>
      </c>
      <c r="AB184" s="78">
        <f t="shared" si="62"/>
        <v>0</v>
      </c>
      <c r="AC184" s="78">
        <f t="shared" si="63"/>
        <v>0</v>
      </c>
      <c r="AD184" s="78">
        <f t="shared" si="63"/>
        <v>0</v>
      </c>
      <c r="AE184" s="78">
        <f t="shared" si="63"/>
        <v>0</v>
      </c>
      <c r="AF184" s="78">
        <f t="shared" si="63"/>
        <v>0</v>
      </c>
      <c r="AG184" s="78">
        <f t="shared" si="63"/>
        <v>0</v>
      </c>
      <c r="AH184" s="78">
        <f t="shared" si="63"/>
        <v>0</v>
      </c>
      <c r="AI184" s="78">
        <f t="shared" si="63"/>
        <v>0</v>
      </c>
      <c r="AJ184" s="78">
        <f t="shared" si="63"/>
        <v>0</v>
      </c>
      <c r="AK184" s="78">
        <f t="shared" si="63"/>
        <v>0</v>
      </c>
      <c r="AL184" s="78">
        <f t="shared" si="63"/>
        <v>0</v>
      </c>
      <c r="AM184" s="78">
        <f t="shared" si="64"/>
        <v>0</v>
      </c>
      <c r="AN184" s="78">
        <f t="shared" si="64"/>
        <v>0</v>
      </c>
      <c r="AO184" s="78">
        <f t="shared" si="64"/>
        <v>0</v>
      </c>
      <c r="AP184" s="78">
        <f t="shared" si="64"/>
        <v>0</v>
      </c>
      <c r="AQ184" s="78">
        <f t="shared" si="64"/>
        <v>0</v>
      </c>
      <c r="AR184" s="78">
        <f t="shared" si="64"/>
        <v>0</v>
      </c>
      <c r="AS184" s="78">
        <f t="shared" si="64"/>
        <v>0</v>
      </c>
      <c r="AT184" s="78">
        <f t="shared" si="64"/>
        <v>0</v>
      </c>
      <c r="AU184" s="78">
        <f t="shared" si="64"/>
        <v>0</v>
      </c>
      <c r="AV184" s="78">
        <f t="shared" si="64"/>
        <v>0</v>
      </c>
      <c r="AW184" s="78">
        <f t="shared" si="65"/>
        <v>0</v>
      </c>
      <c r="AX184" s="78">
        <f t="shared" si="65"/>
        <v>0</v>
      </c>
      <c r="AY184" s="78">
        <f t="shared" si="65"/>
        <v>0</v>
      </c>
      <c r="AZ184" s="78">
        <f t="shared" si="65"/>
        <v>0</v>
      </c>
      <c r="BA184" s="78">
        <f t="shared" si="65"/>
        <v>0</v>
      </c>
      <c r="BB184" s="78">
        <f t="shared" si="65"/>
        <v>0</v>
      </c>
    </row>
    <row r="185" spans="2:54" outlineLevel="1">
      <c r="B185" s="529"/>
      <c r="C185" s="529"/>
      <c r="D185" s="529"/>
      <c r="E185" s="529"/>
      <c r="F185" s="585"/>
      <c r="G185" s="1002">
        <v>0</v>
      </c>
      <c r="H185" s="1003">
        <v>0</v>
      </c>
      <c r="I185" s="1003">
        <v>0</v>
      </c>
      <c r="J185" s="524">
        <v>0</v>
      </c>
      <c r="K185" s="524">
        <v>0</v>
      </c>
      <c r="L185" s="524">
        <v>0</v>
      </c>
      <c r="M185" s="524">
        <v>0</v>
      </c>
      <c r="N185" s="524">
        <v>0</v>
      </c>
      <c r="O185" s="524">
        <v>0</v>
      </c>
      <c r="P185" s="524">
        <v>0</v>
      </c>
      <c r="Q185" s="587">
        <f t="shared" si="61"/>
        <v>0</v>
      </c>
      <c r="S185" s="145">
        <f t="shared" si="62"/>
        <v>0</v>
      </c>
      <c r="T185" s="145">
        <f t="shared" si="62"/>
        <v>0</v>
      </c>
      <c r="U185" s="145">
        <f t="shared" si="62"/>
        <v>0</v>
      </c>
      <c r="V185" s="145">
        <f t="shared" si="62"/>
        <v>0</v>
      </c>
      <c r="W185" s="145">
        <f t="shared" si="62"/>
        <v>0</v>
      </c>
      <c r="X185" s="145">
        <f t="shared" si="62"/>
        <v>0</v>
      </c>
      <c r="Y185" s="145">
        <f t="shared" si="62"/>
        <v>0</v>
      </c>
      <c r="Z185" s="145">
        <f t="shared" si="62"/>
        <v>0</v>
      </c>
      <c r="AA185" s="145">
        <f t="shared" si="62"/>
        <v>0</v>
      </c>
      <c r="AB185" s="145">
        <f t="shared" si="62"/>
        <v>0</v>
      </c>
      <c r="AC185" s="145">
        <f t="shared" si="63"/>
        <v>0</v>
      </c>
      <c r="AD185" s="145">
        <f t="shared" si="63"/>
        <v>0</v>
      </c>
      <c r="AE185" s="145">
        <f t="shared" si="63"/>
        <v>0</v>
      </c>
      <c r="AF185" s="145">
        <f t="shared" si="63"/>
        <v>0</v>
      </c>
      <c r="AG185" s="145">
        <f t="shared" si="63"/>
        <v>0</v>
      </c>
      <c r="AH185" s="145">
        <f t="shared" si="63"/>
        <v>0</v>
      </c>
      <c r="AI185" s="145">
        <f t="shared" si="63"/>
        <v>0</v>
      </c>
      <c r="AJ185" s="145">
        <f t="shared" si="63"/>
        <v>0</v>
      </c>
      <c r="AK185" s="145">
        <f t="shared" si="63"/>
        <v>0</v>
      </c>
      <c r="AL185" s="145">
        <f t="shared" si="63"/>
        <v>0</v>
      </c>
      <c r="AM185" s="145">
        <f t="shared" si="64"/>
        <v>0</v>
      </c>
      <c r="AN185" s="145">
        <f t="shared" si="64"/>
        <v>0</v>
      </c>
      <c r="AO185" s="145">
        <f t="shared" si="64"/>
        <v>0</v>
      </c>
      <c r="AP185" s="145">
        <f t="shared" si="64"/>
        <v>0</v>
      </c>
      <c r="AQ185" s="145">
        <f t="shared" si="64"/>
        <v>0</v>
      </c>
      <c r="AR185" s="145">
        <f t="shared" si="64"/>
        <v>0</v>
      </c>
      <c r="AS185" s="145">
        <f t="shared" si="64"/>
        <v>0</v>
      </c>
      <c r="AT185" s="145">
        <f t="shared" si="64"/>
        <v>0</v>
      </c>
      <c r="AU185" s="145">
        <f t="shared" si="64"/>
        <v>0</v>
      </c>
      <c r="AV185" s="145">
        <f t="shared" si="64"/>
        <v>0</v>
      </c>
      <c r="AW185" s="145">
        <f t="shared" si="65"/>
        <v>0</v>
      </c>
      <c r="AX185" s="145">
        <f t="shared" si="65"/>
        <v>0</v>
      </c>
      <c r="AY185" s="145">
        <f t="shared" si="65"/>
        <v>0</v>
      </c>
      <c r="AZ185" s="145">
        <f t="shared" si="65"/>
        <v>0</v>
      </c>
      <c r="BA185" s="145">
        <f t="shared" si="65"/>
        <v>0</v>
      </c>
      <c r="BB185" s="145">
        <f t="shared" si="65"/>
        <v>0</v>
      </c>
    </row>
    <row r="186" spans="2:54" outlineLevel="1">
      <c r="B186" s="526"/>
      <c r="C186" s="526"/>
      <c r="D186" s="526"/>
      <c r="E186" s="526"/>
      <c r="F186" s="588"/>
      <c r="G186" s="1001">
        <v>0</v>
      </c>
      <c r="H186" s="586">
        <v>0</v>
      </c>
      <c r="I186" s="586">
        <v>0</v>
      </c>
      <c r="J186" s="518">
        <v>0</v>
      </c>
      <c r="K186" s="518">
        <v>0</v>
      </c>
      <c r="L186" s="518">
        <v>0</v>
      </c>
      <c r="M186" s="518">
        <v>0</v>
      </c>
      <c r="N186" s="518">
        <v>0</v>
      </c>
      <c r="O186" s="518">
        <v>0</v>
      </c>
      <c r="P186" s="518">
        <v>0</v>
      </c>
      <c r="Q186" s="584">
        <f t="shared" si="61"/>
        <v>0</v>
      </c>
      <c r="S186" s="78">
        <f t="shared" si="62"/>
        <v>0</v>
      </c>
      <c r="T186" s="78">
        <f t="shared" si="62"/>
        <v>0</v>
      </c>
      <c r="U186" s="78">
        <f t="shared" si="62"/>
        <v>0</v>
      </c>
      <c r="V186" s="78">
        <f t="shared" si="62"/>
        <v>0</v>
      </c>
      <c r="W186" s="78">
        <f t="shared" si="62"/>
        <v>0</v>
      </c>
      <c r="X186" s="78">
        <f t="shared" si="62"/>
        <v>0</v>
      </c>
      <c r="Y186" s="78">
        <f t="shared" si="62"/>
        <v>0</v>
      </c>
      <c r="Z186" s="78">
        <f t="shared" si="62"/>
        <v>0</v>
      </c>
      <c r="AA186" s="78">
        <f t="shared" si="62"/>
        <v>0</v>
      </c>
      <c r="AB186" s="78">
        <f t="shared" si="62"/>
        <v>0</v>
      </c>
      <c r="AC186" s="78">
        <f t="shared" si="63"/>
        <v>0</v>
      </c>
      <c r="AD186" s="78">
        <f t="shared" si="63"/>
        <v>0</v>
      </c>
      <c r="AE186" s="78">
        <f t="shared" si="63"/>
        <v>0</v>
      </c>
      <c r="AF186" s="78">
        <f t="shared" si="63"/>
        <v>0</v>
      </c>
      <c r="AG186" s="78">
        <f t="shared" si="63"/>
        <v>0</v>
      </c>
      <c r="AH186" s="78">
        <f t="shared" si="63"/>
        <v>0</v>
      </c>
      <c r="AI186" s="78">
        <f t="shared" si="63"/>
        <v>0</v>
      </c>
      <c r="AJ186" s="78">
        <f t="shared" si="63"/>
        <v>0</v>
      </c>
      <c r="AK186" s="78">
        <f t="shared" si="63"/>
        <v>0</v>
      </c>
      <c r="AL186" s="78">
        <f t="shared" si="63"/>
        <v>0</v>
      </c>
      <c r="AM186" s="78">
        <f t="shared" si="64"/>
        <v>0</v>
      </c>
      <c r="AN186" s="78">
        <f t="shared" si="64"/>
        <v>0</v>
      </c>
      <c r="AO186" s="78">
        <f t="shared" si="64"/>
        <v>0</v>
      </c>
      <c r="AP186" s="78">
        <f t="shared" si="64"/>
        <v>0</v>
      </c>
      <c r="AQ186" s="78">
        <f t="shared" si="64"/>
        <v>0</v>
      </c>
      <c r="AR186" s="78">
        <f t="shared" si="64"/>
        <v>0</v>
      </c>
      <c r="AS186" s="78">
        <f t="shared" si="64"/>
        <v>0</v>
      </c>
      <c r="AT186" s="78">
        <f t="shared" si="64"/>
        <v>0</v>
      </c>
      <c r="AU186" s="78">
        <f t="shared" si="64"/>
        <v>0</v>
      </c>
      <c r="AV186" s="78">
        <f t="shared" si="64"/>
        <v>0</v>
      </c>
      <c r="AW186" s="78">
        <f t="shared" si="65"/>
        <v>0</v>
      </c>
      <c r="AX186" s="78">
        <f t="shared" si="65"/>
        <v>0</v>
      </c>
      <c r="AY186" s="78">
        <f t="shared" si="65"/>
        <v>0</v>
      </c>
      <c r="AZ186" s="78">
        <f t="shared" si="65"/>
        <v>0</v>
      </c>
      <c r="BA186" s="78">
        <f t="shared" si="65"/>
        <v>0</v>
      </c>
      <c r="BB186" s="78">
        <f t="shared" si="65"/>
        <v>0</v>
      </c>
    </row>
    <row r="187" spans="2:54" ht="5.0999999999999996" customHeight="1" outlineLevel="1">
      <c r="B187" s="427"/>
      <c r="C187" s="37"/>
      <c r="D187" s="37"/>
      <c r="E187" s="37"/>
      <c r="F187" s="589"/>
      <c r="G187" s="483"/>
      <c r="H187" s="483"/>
      <c r="I187" s="483"/>
      <c r="J187" s="483"/>
      <c r="K187" s="483"/>
      <c r="L187" s="483"/>
      <c r="M187" s="483"/>
      <c r="N187" s="483"/>
      <c r="O187" s="483"/>
      <c r="P187" s="483"/>
      <c r="Q187" s="590"/>
      <c r="S187" s="590"/>
      <c r="T187" s="590"/>
      <c r="U187" s="590"/>
      <c r="V187" s="590"/>
      <c r="W187" s="590"/>
      <c r="X187" s="590"/>
      <c r="Y187" s="590"/>
      <c r="Z187" s="590"/>
      <c r="AA187" s="590"/>
      <c r="AB187" s="590"/>
      <c r="AC187" s="590"/>
      <c r="AD187" s="590"/>
      <c r="AE187" s="590"/>
      <c r="AF187" s="590"/>
      <c r="AG187" s="590"/>
      <c r="AH187" s="590"/>
      <c r="AI187" s="590"/>
      <c r="AJ187" s="590"/>
      <c r="AK187" s="590"/>
      <c r="AL187" s="590"/>
      <c r="AM187" s="590"/>
      <c r="AN187" s="590"/>
      <c r="AO187" s="590"/>
      <c r="AP187" s="590"/>
      <c r="AQ187" s="590"/>
      <c r="AR187" s="590"/>
      <c r="AS187" s="590"/>
      <c r="AT187" s="590"/>
      <c r="AU187" s="590"/>
      <c r="AV187" s="590"/>
      <c r="AW187" s="590"/>
      <c r="AX187" s="590"/>
      <c r="AY187" s="590"/>
      <c r="AZ187" s="590"/>
      <c r="BA187" s="590"/>
      <c r="BB187" s="590"/>
    </row>
    <row r="188" spans="2:54" outlineLevel="1">
      <c r="B188" s="383"/>
      <c r="C188" s="383"/>
      <c r="D188" s="383"/>
      <c r="E188" s="383"/>
      <c r="F188" s="383"/>
      <c r="G188" s="383"/>
      <c r="H188" s="383"/>
      <c r="I188" s="383"/>
      <c r="J188" s="383"/>
      <c r="K188" s="383"/>
      <c r="L188" s="383"/>
      <c r="M188" s="383"/>
      <c r="N188" s="383"/>
      <c r="O188" s="383"/>
      <c r="P188" s="383"/>
      <c r="Q188" s="383"/>
      <c r="S188" s="383"/>
      <c r="T188" s="383"/>
      <c r="U188" s="383"/>
      <c r="V188" s="383"/>
      <c r="W188" s="383"/>
      <c r="X188" s="383"/>
      <c r="Y188" s="383"/>
      <c r="Z188" s="383"/>
      <c r="AA188" s="383"/>
      <c r="AB188" s="383"/>
      <c r="AC188" s="383"/>
      <c r="AD188" s="383"/>
      <c r="AE188" s="383"/>
      <c r="AF188" s="383"/>
      <c r="AG188" s="383"/>
      <c r="AH188" s="383"/>
      <c r="AI188" s="383"/>
      <c r="AJ188" s="383"/>
      <c r="AK188" s="383"/>
      <c r="AL188" s="383"/>
      <c r="AM188" s="383"/>
      <c r="AN188" s="383"/>
      <c r="AO188" s="383"/>
      <c r="AP188" s="383"/>
      <c r="AQ188" s="383"/>
      <c r="AR188" s="383"/>
      <c r="AS188" s="383"/>
      <c r="AT188" s="383"/>
      <c r="AU188" s="383"/>
      <c r="AV188" s="383"/>
      <c r="AW188" s="383"/>
      <c r="AX188" s="383"/>
      <c r="AY188" s="383"/>
      <c r="AZ188" s="383"/>
      <c r="BA188" s="383"/>
      <c r="BB188" s="383"/>
    </row>
    <row r="189" spans="2:54" ht="12" customHeight="1" outlineLevel="1"/>
    <row r="190" spans="2:54" ht="12" customHeight="1"/>
    <row r="191" spans="2:54" ht="15.75" customHeight="1">
      <c r="B191" s="1034" t="s">
        <v>434</v>
      </c>
      <c r="C191" s="1019"/>
      <c r="D191" s="1019"/>
      <c r="E191" s="1019"/>
      <c r="F191" s="1019"/>
      <c r="G191" s="1019"/>
      <c r="H191" s="1019"/>
      <c r="I191" s="1019"/>
      <c r="J191" s="1019"/>
      <c r="K191" s="1019"/>
      <c r="L191" s="1019"/>
      <c r="M191" s="1019"/>
      <c r="N191" s="1019"/>
      <c r="O191" s="1019"/>
      <c r="P191" s="1019"/>
      <c r="Q191" s="1019"/>
      <c r="S191" s="1034" t="s">
        <v>435</v>
      </c>
      <c r="T191" s="1017"/>
      <c r="U191" s="1017"/>
      <c r="V191" s="1017"/>
      <c r="W191" s="1017"/>
      <c r="X191" s="1017"/>
      <c r="Y191" s="1017"/>
      <c r="Z191" s="1017"/>
      <c r="AA191" s="1017"/>
      <c r="AB191" s="1017"/>
      <c r="AC191" s="1017"/>
      <c r="AD191" s="1017"/>
      <c r="AE191" s="1017"/>
      <c r="AF191" s="1017"/>
    </row>
    <row r="192" spans="2:54" outlineLevel="1"/>
    <row r="193" spans="1:32" ht="14.25" customHeight="1" outlineLevel="1">
      <c r="A193" s="353">
        <v>1</v>
      </c>
      <c r="B193" s="1043" t="str">
        <f>IF(IsMAL,"USING MULTIPLE ASSUMABLE INPUTS","ASSUMABLE LOAN")</f>
        <v>ASSUMABLE LOAN</v>
      </c>
      <c r="C193" s="196"/>
      <c r="D193" s="196"/>
      <c r="E193" s="591" t="s">
        <v>436</v>
      </c>
      <c r="G193" s="1043" t="s">
        <v>437</v>
      </c>
      <c r="H193" s="1043"/>
      <c r="I193" s="1058" t="str">
        <f t="array" ref="I193">IFERROR(IF(AND(Loan1Amount&lt;&gt;"",Loan1Amount&lt;&gt;0,Loan1Amount=BRIDGELOANAMOUNT),"Bridge",IF(AND(Loan1Amount&lt;&gt;"",Loan1Amount&lt;&gt;0,Loan1Amount=REFILOANAMOUNT),"Refinance","Loan 1")),"Loan 1")</f>
        <v>Loan 1</v>
      </c>
      <c r="J193" s="1058"/>
      <c r="K193" s="1058" t="str">
        <f t="array" ref="K193">IFERROR(IF(AND(Loan2Amount&lt;&gt;"",Loan2Amount&lt;&gt;0,Loan2Amount=REFILOANAMOUNT),"Refinance","Loan 2"),"Loan 2")</f>
        <v>Loan 2</v>
      </c>
      <c r="L193" s="1058"/>
      <c r="M193" s="1058" t="str">
        <f t="array" ref="M193">IFERROR(IF(AND(Loan3Amount&lt;&gt;"",Loan3Amount&lt;&gt;0,Loan3Amount=REFILOANAMOUNT),"Refinance","Loan 3"),"Loan 3")</f>
        <v>Loan 3</v>
      </c>
      <c r="S193" s="1043" t="s">
        <v>440</v>
      </c>
      <c r="T193" s="1043"/>
      <c r="U193" s="1132"/>
      <c r="V193" s="1133" t="s">
        <v>441</v>
      </c>
      <c r="W193" s="1132"/>
      <c r="X193" s="1132"/>
      <c r="Z193" s="1135" t="s">
        <v>442</v>
      </c>
      <c r="AA193" s="592"/>
      <c r="AB193" s="593"/>
      <c r="AC193" s="593"/>
      <c r="AD193" s="593"/>
      <c r="AE193" s="594"/>
      <c r="AF193" s="593"/>
    </row>
    <row r="194" spans="1:32" outlineLevel="1">
      <c r="B194" s="1045" t="s">
        <v>443</v>
      </c>
      <c r="C194" s="37"/>
      <c r="D194" s="37"/>
      <c r="E194" s="995">
        <f>AnalysisStartDate</f>
        <v>46113</v>
      </c>
      <c r="F194"/>
      <c r="G194" s="1045" t="s">
        <v>443</v>
      </c>
      <c r="H194" s="36"/>
      <c r="I194" s="596">
        <f>EOMONTH(AnalysisStartDate,I195)*(I195&lt;&gt;"")</f>
        <v>0</v>
      </c>
      <c r="J194" s="597"/>
      <c r="K194" s="596">
        <f>EOMONTH(AnalysisStartDate,K195)*(K195&lt;&gt;"")</f>
        <v>0</v>
      </c>
      <c r="L194" s="597"/>
      <c r="M194" s="596">
        <f>EOMONTH(AnalysisStartDate,M195)*(M195&lt;&gt;"")</f>
        <v>0</v>
      </c>
      <c r="N194" s="351"/>
      <c r="S194" s="1045"/>
      <c r="T194" s="1074"/>
      <c r="U194" s="1308" t="str">
        <f>IF(D211="","",D211)</f>
        <v/>
      </c>
      <c r="V194" s="1308" t="str">
        <f>IF(H211="","",H211)</f>
        <v/>
      </c>
      <c r="W194" s="1308" t="str">
        <f>IF(J211="","",J211)</f>
        <v/>
      </c>
      <c r="X194" s="1308" t="str">
        <f>IF(L211="","",L211)</f>
        <v/>
      </c>
      <c r="Z194" s="1074"/>
      <c r="AA194" s="1074"/>
      <c r="AB194" s="1074"/>
      <c r="AC194" s="1074"/>
      <c r="AD194" s="1074"/>
      <c r="AE194" s="1074"/>
      <c r="AF194" s="1074"/>
    </row>
    <row r="195" spans="1:32" outlineLevel="1">
      <c r="B195" s="36" t="s">
        <v>444</v>
      </c>
      <c r="C195" s="37"/>
      <c r="D195" s="37"/>
      <c r="E195" s="598"/>
      <c r="G195" s="36" t="s">
        <v>445</v>
      </c>
      <c r="H195" s="36"/>
      <c r="I195" s="599"/>
      <c r="J195" s="36"/>
      <c r="K195" s="599"/>
      <c r="L195" s="36"/>
      <c r="M195" s="599"/>
      <c r="N195" s="600"/>
      <c r="S195" s="1134" t="s">
        <v>446</v>
      </c>
      <c r="T195" s="1075"/>
      <c r="U195" s="1309"/>
      <c r="V195" s="1310"/>
      <c r="W195" s="1310"/>
      <c r="X195" s="1310"/>
      <c r="Z195" s="1074"/>
      <c r="AA195" s="1074"/>
      <c r="AB195" s="1075"/>
      <c r="AC195" s="1076" t="s">
        <v>217</v>
      </c>
      <c r="AD195" s="1076"/>
      <c r="AE195" s="1076"/>
      <c r="AF195" s="1076" t="s">
        <v>447</v>
      </c>
    </row>
    <row r="196" spans="1:32" outlineLevel="1">
      <c r="B196" s="36" t="s">
        <v>448</v>
      </c>
      <c r="C196" s="37"/>
      <c r="D196" s="37"/>
      <c r="E196" s="601"/>
      <c r="G196" s="36" t="s">
        <v>449</v>
      </c>
      <c r="H196" s="36"/>
      <c r="I196" s="602"/>
      <c r="J196" s="36"/>
      <c r="K196" s="602"/>
      <c r="L196" s="36"/>
      <c r="M196" s="602"/>
      <c r="S196" s="42">
        <f>EOMONTH(ClosingDate,12)</f>
        <v>46477</v>
      </c>
      <c r="T196" s="37"/>
      <c r="U196" s="603">
        <f>AssumBseRate</f>
        <v>0</v>
      </c>
      <c r="V196" s="603">
        <f>Loan1BseRate</f>
        <v>0</v>
      </c>
      <c r="W196" s="603">
        <f>Loan2BseRate</f>
        <v>0</v>
      </c>
      <c r="X196" s="603">
        <f>Loan3BseRate</f>
        <v>0</v>
      </c>
      <c r="Z196" s="539" t="s">
        <v>403</v>
      </c>
      <c r="AA196" s="539"/>
      <c r="AB196" s="1311"/>
      <c r="AC196" s="1311"/>
      <c r="AD196" s="521"/>
      <c r="AE196" s="1299" t="s">
        <v>450</v>
      </c>
      <c r="AF196" s="1299"/>
    </row>
    <row r="197" spans="1:32" outlineLevel="1">
      <c r="B197" s="36" t="s">
        <v>451</v>
      </c>
      <c r="C197" s="37"/>
      <c r="D197" s="37"/>
      <c r="E197" s="604">
        <f>MIN(AssumRemainTerm*1,YrOfExit*12)</f>
        <v>0</v>
      </c>
      <c r="G197" s="36"/>
      <c r="H197" s="36"/>
      <c r="I197" s="36"/>
      <c r="J197" s="36"/>
      <c r="K197" s="36"/>
      <c r="L197" s="36"/>
      <c r="M197" s="36"/>
      <c r="S197" s="605">
        <f t="shared" ref="S197:S205" si="66">EOMONTH(S196,12)</f>
        <v>46843</v>
      </c>
      <c r="T197" s="521"/>
      <c r="U197" s="606">
        <f t="shared" ref="U197:U205" si="67">U196</f>
        <v>0</v>
      </c>
      <c r="V197" s="606">
        <f t="shared" ref="V197:V205" si="68">V196</f>
        <v>0</v>
      </c>
      <c r="W197" s="606">
        <f t="shared" ref="W197:W205" si="69">W196</f>
        <v>0</v>
      </c>
      <c r="X197" s="606">
        <f t="shared" ref="X197:X205" si="70">X196</f>
        <v>0</v>
      </c>
      <c r="Z197" s="539" t="s">
        <v>173</v>
      </c>
      <c r="AA197" s="539"/>
      <c r="AB197" s="1300"/>
      <c r="AC197" s="1300"/>
      <c r="AD197" s="521"/>
      <c r="AE197" s="1299"/>
      <c r="AF197" s="1299"/>
    </row>
    <row r="198" spans="1:32" outlineLevel="1">
      <c r="B198" s="595"/>
      <c r="C198" s="37"/>
      <c r="D198" s="37"/>
      <c r="E198" s="37"/>
      <c r="G198" s="1045" t="s">
        <v>43</v>
      </c>
      <c r="H198" s="36"/>
      <c r="I198" s="36"/>
      <c r="J198" s="36"/>
      <c r="K198" s="36"/>
      <c r="L198" s="36"/>
      <c r="M198" s="36"/>
      <c r="S198" s="42">
        <f t="shared" si="66"/>
        <v>47208</v>
      </c>
      <c r="T198" s="37"/>
      <c r="U198" s="603">
        <f t="shared" si="67"/>
        <v>0</v>
      </c>
      <c r="V198" s="603">
        <f t="shared" si="68"/>
        <v>0</v>
      </c>
      <c r="W198" s="603">
        <f t="shared" si="69"/>
        <v>0</v>
      </c>
      <c r="X198" s="603">
        <f t="shared" si="70"/>
        <v>0</v>
      </c>
      <c r="Z198" s="36" t="s">
        <v>182</v>
      </c>
      <c r="AA198" s="36"/>
      <c r="AB198" s="1291"/>
      <c r="AC198" s="1291"/>
      <c r="AD198" s="595"/>
      <c r="AE198" s="1301">
        <v>0</v>
      </c>
      <c r="AF198" s="1303" t="s">
        <v>452</v>
      </c>
    </row>
    <row r="199" spans="1:32" outlineLevel="1">
      <c r="B199" s="1045" t="s">
        <v>43</v>
      </c>
      <c r="C199" s="37"/>
      <c r="D199" s="37"/>
      <c r="E199" s="37"/>
      <c r="F199" s="357"/>
      <c r="G199" s="36" t="s">
        <v>453</v>
      </c>
      <c r="H199" s="483"/>
      <c r="I199" s="608"/>
      <c r="J199" s="483"/>
      <c r="K199" s="608"/>
      <c r="L199" s="483"/>
      <c r="M199" s="608"/>
      <c r="N199" s="351"/>
      <c r="S199" s="605">
        <f t="shared" si="66"/>
        <v>47573</v>
      </c>
      <c r="T199" s="521"/>
      <c r="U199" s="606">
        <f t="shared" si="67"/>
        <v>0</v>
      </c>
      <c r="V199" s="606">
        <f t="shared" si="68"/>
        <v>0</v>
      </c>
      <c r="W199" s="606">
        <f t="shared" si="69"/>
        <v>0</v>
      </c>
      <c r="X199" s="606">
        <f t="shared" si="70"/>
        <v>0</v>
      </c>
      <c r="Z199" s="36" t="s">
        <v>454</v>
      </c>
      <c r="AA199" s="36"/>
      <c r="AB199" s="1305"/>
      <c r="AC199" s="1305"/>
      <c r="AD199" s="37"/>
      <c r="AE199" s="1302"/>
      <c r="AF199" s="1304"/>
    </row>
    <row r="200" spans="1:32" outlineLevel="1">
      <c r="B200" s="36" t="s">
        <v>455</v>
      </c>
      <c r="C200" s="37"/>
      <c r="D200" s="1291"/>
      <c r="E200" s="1291"/>
      <c r="F200" s="388"/>
      <c r="G200" s="36" t="s">
        <v>456</v>
      </c>
      <c r="H200" s="609" t="str">
        <f>IF(AND(Loan1Amount*1,PurchasePrice*1,Loan1DSCR*1),Loan1Amount/PurchasePrice,"")</f>
        <v/>
      </c>
      <c r="I200" s="610">
        <v>0</v>
      </c>
      <c r="J200" s="609" t="str">
        <f>IF(AND(Loan2Amount*1,PurchasePrice*1,Loan2DSCR*1),Loan2Amount/PurchasePrice,"")</f>
        <v/>
      </c>
      <c r="K200" s="610">
        <v>0</v>
      </c>
      <c r="L200" s="609" t="str">
        <f>IF(AND(Loan3Amount*1,PurchasePrice*1,Loan3DSCR*1),Loan3Amount/PurchasePrice,"")</f>
        <v/>
      </c>
      <c r="M200" s="610">
        <v>0</v>
      </c>
      <c r="S200" s="42">
        <f t="shared" si="66"/>
        <v>47938</v>
      </c>
      <c r="T200" s="37"/>
      <c r="U200" s="603">
        <f t="shared" si="67"/>
        <v>0</v>
      </c>
      <c r="V200" s="603">
        <f t="shared" si="68"/>
        <v>0</v>
      </c>
      <c r="W200" s="603">
        <f t="shared" si="69"/>
        <v>0</v>
      </c>
      <c r="X200" s="603">
        <f t="shared" si="70"/>
        <v>0</v>
      </c>
      <c r="Z200" s="378" t="s">
        <v>457</v>
      </c>
      <c r="AA200" s="378"/>
      <c r="AB200" s="1292">
        <f>SUM(AB196:AC199)</f>
        <v>0</v>
      </c>
      <c r="AC200" s="1292"/>
      <c r="AD200" s="383"/>
      <c r="AE200" s="383"/>
      <c r="AF200" s="383"/>
    </row>
    <row r="201" spans="1:32" outlineLevel="1">
      <c r="B201" s="36" t="str">
        <f>"Cur. Balance ("&amp;IF(PurchasePrice,TEXT(AssumCurrBal/PurchasePrice,"0.00%"),"0%")&amp;" LTV)"</f>
        <v>Cur. Balance (0.00% LTV)</v>
      </c>
      <c r="C201" s="37"/>
      <c r="D201" s="1293">
        <f>IF(AssumAmortPer,ROUNDDOWN(FV(AssumIntRate/12,MAX(AssumLoanTerm-AssumeIOPer-AssumRemainTerm,0),PMT(AssumIntRate/12,AssumAmortPer*12,-AssumOrigBal),-AssumOrigBal),2),AssumOrigBal)</f>
        <v>0</v>
      </c>
      <c r="E201" s="1294"/>
      <c r="F201" s="611"/>
      <c r="G201" s="36" t="s">
        <v>458</v>
      </c>
      <c r="H201" s="1295"/>
      <c r="I201" s="1296"/>
      <c r="J201" s="1297"/>
      <c r="K201" s="1298"/>
      <c r="L201" s="1295"/>
      <c r="M201" s="1295"/>
      <c r="O201" s="612"/>
      <c r="S201" s="605">
        <f t="shared" si="66"/>
        <v>48304</v>
      </c>
      <c r="T201" s="521"/>
      <c r="U201" s="606">
        <f t="shared" si="67"/>
        <v>0</v>
      </c>
      <c r="V201" s="606">
        <f t="shared" si="68"/>
        <v>0</v>
      </c>
      <c r="W201" s="606">
        <f t="shared" si="69"/>
        <v>0</v>
      </c>
      <c r="X201" s="606">
        <f t="shared" si="70"/>
        <v>0</v>
      </c>
      <c r="Z201" s="37"/>
      <c r="AA201" s="37"/>
      <c r="AB201" s="37"/>
      <c r="AC201" s="37"/>
      <c r="AD201" s="37"/>
      <c r="AE201" s="37"/>
      <c r="AF201" s="37"/>
    </row>
    <row r="202" spans="1:32" outlineLevel="1">
      <c r="B202" s="613" t="s">
        <v>459</v>
      </c>
      <c r="C202" s="510"/>
      <c r="D202" s="1286">
        <f>-'CF Calculations'!O140+D218</f>
        <v>0</v>
      </c>
      <c r="E202" s="1286"/>
      <c r="F202" s="614"/>
      <c r="G202" s="613" t="s">
        <v>460</v>
      </c>
      <c r="H202" s="1287">
        <f>-'CF Calculations'!O208</f>
        <v>0</v>
      </c>
      <c r="I202" s="1287"/>
      <c r="J202" s="1287">
        <f>-'CF Calculations'!O272</f>
        <v>0</v>
      </c>
      <c r="K202" s="1287"/>
      <c r="L202" s="1287">
        <f>-'CF Calculations'!O294</f>
        <v>0</v>
      </c>
      <c r="M202" s="1287"/>
      <c r="S202" s="42">
        <f t="shared" si="66"/>
        <v>48669</v>
      </c>
      <c r="T202" s="37"/>
      <c r="U202" s="603">
        <f t="shared" si="67"/>
        <v>0</v>
      </c>
      <c r="V202" s="603">
        <f t="shared" si="68"/>
        <v>0</v>
      </c>
      <c r="W202" s="603">
        <f t="shared" si="69"/>
        <v>0</v>
      </c>
      <c r="X202" s="603">
        <f t="shared" si="70"/>
        <v>0</v>
      </c>
      <c r="Z202" s="615" t="s">
        <v>461</v>
      </c>
      <c r="AA202" s="37"/>
      <c r="AB202" s="37"/>
      <c r="AC202" s="37"/>
      <c r="AD202" s="37"/>
      <c r="AE202" s="37"/>
      <c r="AF202" s="37"/>
    </row>
    <row r="203" spans="1:32" outlineLevel="1">
      <c r="B203" s="36"/>
      <c r="C203" s="37"/>
      <c r="D203" s="37"/>
      <c r="E203" s="37"/>
      <c r="F203" s="612"/>
      <c r="G203" s="36"/>
      <c r="H203" s="36"/>
      <c r="I203" s="36"/>
      <c r="J203" s="36"/>
      <c r="K203" s="36"/>
      <c r="L203" s="36"/>
      <c r="M203" s="36"/>
      <c r="S203" s="605">
        <f t="shared" si="66"/>
        <v>49034</v>
      </c>
      <c r="T203" s="521"/>
      <c r="U203" s="606">
        <f t="shared" si="67"/>
        <v>0</v>
      </c>
      <c r="V203" s="606">
        <f t="shared" si="68"/>
        <v>0</v>
      </c>
      <c r="W203" s="606">
        <f t="shared" si="69"/>
        <v>0</v>
      </c>
      <c r="X203" s="606">
        <f t="shared" si="70"/>
        <v>0</v>
      </c>
      <c r="Z203" s="37"/>
      <c r="AA203" s="37"/>
      <c r="AB203" s="37"/>
      <c r="AC203" s="37"/>
      <c r="AD203" s="37"/>
      <c r="AE203" s="37"/>
      <c r="AF203" s="37"/>
    </row>
    <row r="204" spans="1:32" outlineLevel="1">
      <c r="B204" s="1045" t="s">
        <v>462</v>
      </c>
      <c r="C204" s="37"/>
      <c r="D204" s="37"/>
      <c r="E204" s="37"/>
      <c r="G204" s="1045" t="s">
        <v>463</v>
      </c>
      <c r="H204" s="36"/>
      <c r="I204" s="36"/>
      <c r="J204" s="36"/>
      <c r="K204" s="36"/>
      <c r="L204" s="36"/>
      <c r="M204" s="36"/>
      <c r="S204" s="42">
        <f t="shared" si="66"/>
        <v>49399</v>
      </c>
      <c r="T204" s="37"/>
      <c r="U204" s="603">
        <f t="shared" si="67"/>
        <v>0</v>
      </c>
      <c r="V204" s="603">
        <f t="shared" si="68"/>
        <v>0</v>
      </c>
      <c r="W204" s="603">
        <f t="shared" si="69"/>
        <v>0</v>
      </c>
      <c r="X204" s="603">
        <f t="shared" si="70"/>
        <v>0</v>
      </c>
    </row>
    <row r="205" spans="1:32" outlineLevel="1">
      <c r="B205" s="36" t="s">
        <v>464</v>
      </c>
      <c r="C205" s="37"/>
      <c r="D205" s="37"/>
      <c r="E205" s="616"/>
      <c r="F205" s="351"/>
      <c r="G205" s="36" t="s">
        <v>464</v>
      </c>
      <c r="H205" s="37"/>
      <c r="I205" s="616"/>
      <c r="J205" s="37"/>
      <c r="K205" s="616"/>
      <c r="L205" s="37"/>
      <c r="M205" s="616"/>
      <c r="S205" s="605">
        <f t="shared" si="66"/>
        <v>49765</v>
      </c>
      <c r="T205" s="521"/>
      <c r="U205" s="606">
        <f t="shared" si="67"/>
        <v>0</v>
      </c>
      <c r="V205" s="606">
        <f t="shared" si="68"/>
        <v>0</v>
      </c>
      <c r="W205" s="606">
        <f t="shared" si="69"/>
        <v>0</v>
      </c>
      <c r="X205" s="606">
        <f t="shared" si="70"/>
        <v>0</v>
      </c>
    </row>
    <row r="206" spans="1:32" outlineLevel="1">
      <c r="B206" s="36" t="s">
        <v>465</v>
      </c>
      <c r="C206" s="37"/>
      <c r="D206" s="37"/>
      <c r="E206" s="996"/>
      <c r="G206" s="36" t="s">
        <v>465</v>
      </c>
      <c r="H206" s="37"/>
      <c r="I206" s="617"/>
      <c r="J206" s="37"/>
      <c r="K206" s="617"/>
      <c r="L206" s="37"/>
      <c r="M206" s="617"/>
      <c r="S206" s="618"/>
      <c r="T206" s="383"/>
      <c r="U206" s="501"/>
      <c r="V206" s="501"/>
      <c r="W206" s="501"/>
      <c r="X206" s="501"/>
    </row>
    <row r="207" spans="1:32" outlineLevel="1">
      <c r="B207" s="36" t="s">
        <v>466</v>
      </c>
      <c r="C207" s="37"/>
      <c r="D207" s="37"/>
      <c r="E207" s="619" t="s">
        <v>467</v>
      </c>
      <c r="G207" s="36" t="s">
        <v>466</v>
      </c>
      <c r="H207" s="37"/>
      <c r="I207" s="619" t="s">
        <v>467</v>
      </c>
      <c r="J207" s="37"/>
      <c r="K207" s="619" t="s">
        <v>467</v>
      </c>
      <c r="L207" s="37"/>
      <c r="M207" s="619" t="s">
        <v>467</v>
      </c>
      <c r="S207" s="534" t="s">
        <v>468</v>
      </c>
      <c r="T207" s="37"/>
      <c r="U207" s="620"/>
      <c r="V207" s="620"/>
      <c r="W207" s="620"/>
      <c r="X207" s="620"/>
    </row>
    <row r="208" spans="1:32" outlineLevel="1">
      <c r="B208" s="36" t="s">
        <v>469</v>
      </c>
      <c r="C208" s="37"/>
      <c r="D208" s="37"/>
      <c r="E208" s="621" t="s">
        <v>467</v>
      </c>
      <c r="G208" s="36" t="s">
        <v>469</v>
      </c>
      <c r="H208" s="37"/>
      <c r="I208" s="621" t="s">
        <v>467</v>
      </c>
      <c r="J208" s="37"/>
      <c r="K208" s="621" t="s">
        <v>467</v>
      </c>
      <c r="L208" s="37"/>
      <c r="M208" s="621" t="s">
        <v>467</v>
      </c>
      <c r="S208" s="534" t="s">
        <v>470</v>
      </c>
      <c r="T208" s="37"/>
      <c r="U208" s="622"/>
      <c r="V208" s="622"/>
      <c r="W208" s="622"/>
      <c r="X208" s="622"/>
    </row>
    <row r="209" spans="2:33" outlineLevel="1">
      <c r="B209" s="36"/>
      <c r="C209" s="37"/>
      <c r="D209" s="37"/>
      <c r="E209" s="37"/>
      <c r="G209" s="595"/>
      <c r="H209" s="37"/>
      <c r="I209" s="37"/>
      <c r="J209" s="37"/>
      <c r="K209" s="37"/>
      <c r="L209" s="37"/>
      <c r="M209" s="37"/>
      <c r="S209" s="534"/>
      <c r="T209" s="37"/>
      <c r="U209" s="459"/>
      <c r="V209" s="459"/>
      <c r="W209" s="459"/>
      <c r="X209" s="459"/>
    </row>
    <row r="210" spans="2:33" outlineLevel="1">
      <c r="B210" s="1045" t="s">
        <v>471</v>
      </c>
      <c r="C210" s="37"/>
      <c r="D210" s="37"/>
      <c r="E210" s="37"/>
      <c r="G210" s="1045" t="s">
        <v>48</v>
      </c>
      <c r="H210" s="37"/>
      <c r="I210" s="37"/>
      <c r="J210" s="37"/>
      <c r="K210" s="37"/>
      <c r="L210" s="37"/>
      <c r="M210" s="37"/>
    </row>
    <row r="211" spans="2:33" outlineLevel="1">
      <c r="B211" s="36" t="s">
        <v>472</v>
      </c>
      <c r="C211" s="37"/>
      <c r="D211" s="1288"/>
      <c r="E211" s="1288"/>
      <c r="G211" s="36" t="s">
        <v>472</v>
      </c>
      <c r="H211" s="1288"/>
      <c r="I211" s="1288"/>
      <c r="J211" s="1289"/>
      <c r="K211" s="1290"/>
      <c r="L211" s="1288"/>
      <c r="M211" s="1288"/>
    </row>
    <row r="212" spans="2:33" outlineLevel="1">
      <c r="B212" s="36" t="str">
        <f>IF(AssumIntType=FixedInterest,"Interest","Base")&amp;" Rate"</f>
        <v>Interest Rate</v>
      </c>
      <c r="C212" s="37"/>
      <c r="D212" s="37"/>
      <c r="E212" s="569"/>
      <c r="G212" s="36"/>
      <c r="H212" s="623" t="str">
        <f>IF(Loan1IntType=FixedInterest,"Interest Rate","Base Rate")</f>
        <v>Interest Rate</v>
      </c>
      <c r="I212" s="569"/>
      <c r="J212" s="623" t="str">
        <f>IF(Loan2IntType=FixedInterest,"Interest Rate","Base Rate")</f>
        <v>Interest Rate</v>
      </c>
      <c r="K212" s="569"/>
      <c r="L212" s="623" t="str">
        <f>IF(Loan3IntType=FixedInterest,"Interest Rate","Base Rate")</f>
        <v>Interest Rate</v>
      </c>
      <c r="M212" s="569"/>
      <c r="S212" s="1043" t="s">
        <v>274</v>
      </c>
      <c r="T212" s="1043"/>
      <c r="U212" s="1043"/>
      <c r="V212" s="1132" t="s">
        <v>228</v>
      </c>
      <c r="W212" s="1132"/>
      <c r="X212" s="1132"/>
      <c r="Y212" s="1058"/>
      <c r="Z212" s="1132" t="s">
        <v>438</v>
      </c>
      <c r="AA212" s="1132"/>
      <c r="AB212" s="1132"/>
      <c r="AC212" s="1132"/>
      <c r="AD212" s="1132" t="s">
        <v>439</v>
      </c>
      <c r="AE212" s="1132"/>
      <c r="AF212" s="1132"/>
    </row>
    <row r="213" spans="2:33" outlineLevel="1">
      <c r="B213" s="36" t="s">
        <v>473</v>
      </c>
      <c r="C213" s="37"/>
      <c r="D213" s="37"/>
      <c r="E213" s="997">
        <v>0</v>
      </c>
      <c r="G213" s="36"/>
      <c r="H213" s="623" t="s">
        <v>473</v>
      </c>
      <c r="I213" s="624">
        <v>0</v>
      </c>
      <c r="J213" s="623" t="s">
        <v>473</v>
      </c>
      <c r="K213" s="624">
        <v>0</v>
      </c>
      <c r="L213" s="623" t="s">
        <v>473</v>
      </c>
      <c r="M213" s="624">
        <v>0</v>
      </c>
      <c r="S213" s="1045"/>
      <c r="T213" s="1074"/>
      <c r="U213" s="1074"/>
      <c r="V213" s="1077" t="s">
        <v>112</v>
      </c>
      <c r="W213" s="1078"/>
      <c r="X213" s="1076" t="s">
        <v>217</v>
      </c>
      <c r="Y213" s="1079"/>
      <c r="Z213" s="1080" t="s">
        <v>112</v>
      </c>
      <c r="AA213" s="1078"/>
      <c r="AB213" s="1076" t="s">
        <v>217</v>
      </c>
      <c r="AC213" s="1079"/>
      <c r="AD213" s="1080" t="s">
        <v>112</v>
      </c>
      <c r="AE213" s="1078"/>
      <c r="AF213" s="1076" t="s">
        <v>217</v>
      </c>
    </row>
    <row r="214" spans="2:33" outlineLevel="1">
      <c r="B214" s="509" t="s">
        <v>48</v>
      </c>
      <c r="C214" s="503"/>
      <c r="D214" s="503"/>
      <c r="E214" s="998">
        <f>E212+E213/10000</f>
        <v>0</v>
      </c>
      <c r="G214" s="509"/>
      <c r="H214" s="626" t="s">
        <v>48</v>
      </c>
      <c r="I214" s="511">
        <f>I212+I213/10000</f>
        <v>0</v>
      </c>
      <c r="J214" s="626" t="s">
        <v>48</v>
      </c>
      <c r="K214" s="511">
        <f>K212+K213/10000</f>
        <v>0</v>
      </c>
      <c r="L214" s="626" t="s">
        <v>48</v>
      </c>
      <c r="M214" s="511">
        <f>M212+M213/10000</f>
        <v>0</v>
      </c>
      <c r="S214" s="36" t="s">
        <v>474</v>
      </c>
      <c r="T214" s="37"/>
      <c r="U214" s="37"/>
      <c r="V214" s="627">
        <f>IF(H201,W214/H201*10000,)</f>
        <v>0</v>
      </c>
      <c r="W214" s="1282"/>
      <c r="X214" s="1282"/>
      <c r="Y214" s="625"/>
      <c r="Z214" s="627">
        <f>IF(K201,AA214/K201*10000,)</f>
        <v>0</v>
      </c>
      <c r="AA214" s="1282"/>
      <c r="AB214" s="1282"/>
      <c r="AC214" s="625"/>
      <c r="AD214" s="627">
        <f>IF(L201,AE214/L201*10000,)</f>
        <v>0</v>
      </c>
      <c r="AE214" s="1282"/>
      <c r="AF214" s="1282"/>
    </row>
    <row r="215" spans="2:33" outlineLevel="1">
      <c r="B215" s="36"/>
      <c r="C215" s="37"/>
      <c r="D215" s="37"/>
      <c r="E215" s="37"/>
      <c r="G215" s="36"/>
      <c r="H215" s="36"/>
      <c r="I215" s="36"/>
      <c r="J215" s="36"/>
      <c r="K215" s="36"/>
      <c r="L215" s="36"/>
      <c r="M215" s="36"/>
      <c r="S215" s="36" t="s">
        <v>475</v>
      </c>
      <c r="T215" s="37"/>
      <c r="U215" s="37"/>
      <c r="V215" s="628"/>
      <c r="W215" s="1285">
        <f>V215*$H$201</f>
        <v>0</v>
      </c>
      <c r="X215" s="1285"/>
      <c r="Y215" s="625"/>
      <c r="Z215" s="628"/>
      <c r="AA215" s="1285">
        <f>Z215*$J$201</f>
        <v>0</v>
      </c>
      <c r="AB215" s="1285"/>
      <c r="AC215" s="625"/>
      <c r="AD215" s="628"/>
      <c r="AE215" s="1285">
        <f>AD215*$L$201</f>
        <v>0</v>
      </c>
      <c r="AF215" s="1285"/>
    </row>
    <row r="216" spans="2:33" outlineLevel="1">
      <c r="B216" s="1045" t="s">
        <v>476</v>
      </c>
      <c r="C216" s="37"/>
      <c r="D216" s="37"/>
      <c r="E216" s="37"/>
      <c r="G216" s="1045" t="s">
        <v>476</v>
      </c>
      <c r="H216" s="36"/>
      <c r="I216" s="36"/>
      <c r="J216" s="36"/>
      <c r="K216" s="36"/>
      <c r="L216" s="36"/>
      <c r="M216" s="36"/>
      <c r="S216" s="36" t="s">
        <v>477</v>
      </c>
      <c r="T216" s="37"/>
      <c r="U216" s="37"/>
      <c r="V216" s="367"/>
      <c r="W216" s="1253">
        <f>V216*$H$201</f>
        <v>0</v>
      </c>
      <c r="X216" s="1253"/>
      <c r="Y216" s="625"/>
      <c r="Z216" s="367"/>
      <c r="AA216" s="1253">
        <f>Z216*$J$201</f>
        <v>0</v>
      </c>
      <c r="AB216" s="1253"/>
      <c r="AC216" s="625"/>
      <c r="AD216" s="367"/>
      <c r="AE216" s="1253">
        <f>AD216*$L$201</f>
        <v>0</v>
      </c>
      <c r="AF216" s="1253"/>
    </row>
    <row r="217" spans="2:33" outlineLevel="1">
      <c r="B217" s="36" t="s">
        <v>478</v>
      </c>
      <c r="C217" s="37"/>
      <c r="D217" s="37"/>
      <c r="E217" s="608"/>
      <c r="G217" s="36" t="s">
        <v>479</v>
      </c>
      <c r="H217" s="36"/>
      <c r="I217" s="608"/>
      <c r="J217" s="36"/>
      <c r="K217" s="608"/>
      <c r="L217" s="36"/>
      <c r="M217" s="608"/>
      <c r="S217" s="36" t="s">
        <v>480</v>
      </c>
      <c r="T217" s="37"/>
      <c r="U217" s="37"/>
      <c r="V217" s="629"/>
      <c r="W217" s="1285">
        <f>V217*$H$201</f>
        <v>0</v>
      </c>
      <c r="X217" s="1285"/>
      <c r="Y217" s="625"/>
      <c r="Z217" s="629"/>
      <c r="AA217" s="1285">
        <f>Z217*$J$201</f>
        <v>0</v>
      </c>
      <c r="AB217" s="1285"/>
      <c r="AC217" s="625"/>
      <c r="AD217" s="629"/>
      <c r="AE217" s="1285">
        <f>AD217*$L$201</f>
        <v>0</v>
      </c>
      <c r="AF217" s="1285"/>
    </row>
    <row r="218" spans="2:33" ht="13.5" outlineLevel="1">
      <c r="B218" s="36" t="s">
        <v>481</v>
      </c>
      <c r="C218" s="37"/>
      <c r="D218" s="1282"/>
      <c r="E218" s="1282"/>
      <c r="G218" s="36" t="s">
        <v>482</v>
      </c>
      <c r="H218" s="36"/>
      <c r="I218" s="630"/>
      <c r="J218" s="36"/>
      <c r="K218" s="630"/>
      <c r="L218" s="36"/>
      <c r="M218" s="630"/>
      <c r="S218" s="378" t="s">
        <v>483</v>
      </c>
      <c r="T218" s="378"/>
      <c r="U218" s="378"/>
      <c r="V218" s="631">
        <f>IF(H201,W218/H201,)</f>
        <v>0</v>
      </c>
      <c r="W218" s="1283">
        <f>SUM(W214:X217)</f>
        <v>0</v>
      </c>
      <c r="X218" s="1284"/>
      <c r="Y218" s="632"/>
      <c r="Z218" s="631">
        <f>IF(J201,AA218/J201,)</f>
        <v>0</v>
      </c>
      <c r="AA218" s="1283">
        <f>SUM(AA214:AB217)</f>
        <v>0</v>
      </c>
      <c r="AB218" s="1284"/>
      <c r="AC218" s="632"/>
      <c r="AD218" s="631">
        <f>IF(L201,AE218/L201,)</f>
        <v>0</v>
      </c>
      <c r="AE218" s="1283">
        <f>SUM(AE214:AF217)</f>
        <v>0</v>
      </c>
      <c r="AF218" s="1284"/>
    </row>
    <row r="219" spans="2:33" outlineLevel="1">
      <c r="B219" s="36"/>
      <c r="C219" s="37"/>
      <c r="D219" s="37"/>
      <c r="E219" s="999">
        <f>SUM('CF Calculations'!S148:EI148)</f>
        <v>0</v>
      </c>
      <c r="G219" s="36"/>
      <c r="H219" s="36"/>
      <c r="I219" s="633">
        <f>SUM('CF Calculations'!T216:EI216)</f>
        <v>0</v>
      </c>
      <c r="J219" s="36"/>
      <c r="K219" s="633">
        <f>SUM('CF Calculations'!T280:EI280)</f>
        <v>0</v>
      </c>
      <c r="L219" s="36"/>
      <c r="M219" s="633">
        <f>SUM('CF Calculations'!T302:EI302)</f>
        <v>0</v>
      </c>
      <c r="S219" s="378"/>
      <c r="T219" s="378"/>
      <c r="U219" s="378"/>
      <c r="V219" s="634"/>
      <c r="W219" s="635"/>
      <c r="X219" s="635"/>
      <c r="Y219" s="635"/>
      <c r="Z219" s="634"/>
      <c r="AA219" s="635"/>
      <c r="AB219" s="635"/>
      <c r="AC219" s="635"/>
      <c r="AD219" s="634"/>
      <c r="AE219" s="635"/>
      <c r="AF219" s="635"/>
    </row>
    <row r="220" spans="2:33" outlineLevel="1"/>
    <row r="222" spans="2:33" ht="15.75" customHeight="1">
      <c r="B222" s="1034" t="s">
        <v>485</v>
      </c>
      <c r="C222" s="1017"/>
      <c r="D222" s="1017"/>
      <c r="E222" s="1017"/>
      <c r="F222" s="1017"/>
      <c r="G222" s="1017"/>
      <c r="H222" s="1017"/>
      <c r="I222" s="1017"/>
      <c r="J222" s="1017"/>
      <c r="K222" s="1017"/>
      <c r="L222" s="1017"/>
      <c r="M222" s="1017"/>
      <c r="N222" s="1017"/>
      <c r="O222" s="1017"/>
      <c r="P222" s="1017"/>
      <c r="Q222" s="1017"/>
      <c r="R222" s="1017"/>
      <c r="S222" s="1017"/>
      <c r="T222" s="1017"/>
      <c r="U222" s="1017"/>
      <c r="V222" s="1017"/>
      <c r="W222" s="1017"/>
      <c r="X222" s="1017"/>
      <c r="Y222" s="1017"/>
      <c r="Z222" s="1017"/>
      <c r="AA222" s="1017"/>
      <c r="AB222" s="1017"/>
      <c r="AC222" s="1017"/>
      <c r="AD222" s="1017"/>
      <c r="AE222" s="1017"/>
      <c r="AF222" s="1017"/>
      <c r="AG222" s="1017"/>
    </row>
    <row r="223" spans="2:33" outlineLevel="1"/>
    <row r="224" spans="2:33" outlineLevel="1">
      <c r="B224" s="1043" t="s">
        <v>486</v>
      </c>
      <c r="C224" s="196"/>
      <c r="D224" s="196"/>
      <c r="E224" s="196"/>
      <c r="F224"/>
      <c r="G224" s="1136" t="s">
        <v>487</v>
      </c>
      <c r="H224" s="1137"/>
      <c r="I224" s="1137"/>
      <c r="J224" s="1137"/>
      <c r="K224" s="1137"/>
      <c r="L224" s="1137"/>
      <c r="M224" s="1137"/>
      <c r="O224" s="1043" t="s">
        <v>488</v>
      </c>
      <c r="P224" s="196"/>
      <c r="Q224" s="196"/>
      <c r="R224" s="196"/>
      <c r="S224" s="196"/>
      <c r="T224" s="196"/>
      <c r="U224" s="196"/>
      <c r="V224" s="196"/>
      <c r="X224" s="1043" t="str">
        <f>IF(LeveragedIRRSensitivityType=200,"LEVERAGED INTERNAL RATE OF RETURN","PARTNERSHIP RATE OF RETURN")</f>
        <v>LEVERAGED INTERNAL RATE OF RETURN</v>
      </c>
      <c r="Y224" s="196"/>
      <c r="Z224" s="196"/>
      <c r="AA224" s="196"/>
      <c r="AB224" s="196"/>
      <c r="AC224" s="196"/>
      <c r="AD224" s="196"/>
      <c r="AE224" s="196"/>
      <c r="AG224" s="1043" t="s">
        <v>489</v>
      </c>
    </row>
    <row r="225" spans="2:33" outlineLevel="1">
      <c r="B225" s="354"/>
      <c r="C225" s="37"/>
      <c r="D225" s="37"/>
      <c r="E225" s="37"/>
      <c r="F225"/>
      <c r="G225" s="1138" t="s">
        <v>490</v>
      </c>
      <c r="H225" s="1139">
        <f>'CF Calculations'!$C$86</f>
        <v>0.16421136998081587</v>
      </c>
      <c r="I225" s="1140">
        <f>IF(LeveragedIRRSensitivityType=200,LeveredIRR,PartnershipIRR)</f>
        <v>0.16421136998081587</v>
      </c>
      <c r="J225" s="1141">
        <f>IF(LeveragedIRRSensitivityType=200,IF('CF Calculations'!$O$122=0,0,('CF Calculations'!$O$108/'CF Calculations'!$O$122)+1),IF(LeveredFundingReq+'CF Calculations'!#REF!,'CF Calculations'!#REF!/(LeveredFundingReq+'CF Calculations'!#REF!)+1,))</f>
        <v>2.5172372550407625</v>
      </c>
      <c r="K225" s="1142">
        <f>SUMIF(CFYears,PostRenovationYr,'CF Calculations'!E117:N117)</f>
        <v>7.7923329182826365E-2</v>
      </c>
      <c r="L225" s="1143">
        <f>SUMIF(CFYears,PostRenovationYr,'CF Calculations'!E123:N123)</f>
        <v>7.7923000000000006E-2</v>
      </c>
      <c r="M225" s="1144">
        <f>SalesPrice</f>
        <v>24605672.299141534</v>
      </c>
      <c r="O225" s="37"/>
      <c r="P225" s="37"/>
      <c r="Q225" s="37"/>
      <c r="R225" s="1062" t="s">
        <v>204</v>
      </c>
      <c r="S225" s="1063"/>
      <c r="T225" s="1063"/>
      <c r="U225" s="1063"/>
      <c r="V225" s="1063"/>
      <c r="X225" s="37"/>
      <c r="Y225" s="37"/>
      <c r="Z225" s="37"/>
      <c r="AA225" s="1062" t="s">
        <v>204</v>
      </c>
      <c r="AB225" s="1063"/>
      <c r="AC225" s="1063"/>
      <c r="AD225" s="1063"/>
      <c r="AE225" s="1063"/>
      <c r="AG225" s="1064" t="s">
        <v>491</v>
      </c>
    </row>
    <row r="226" spans="2:33" outlineLevel="1">
      <c r="B226" s="1081" t="s">
        <v>492</v>
      </c>
      <c r="C226" s="37"/>
      <c r="D226" s="37"/>
      <c r="E226" s="37"/>
      <c r="F226"/>
      <c r="G226" s="636">
        <f>IF(MarketRentSensitivityIncrementType=190,MarketRentSensitivityInput-MarketRentSensitivityDollarIncrement*2,MarketRentSensitivityInput*(1-MarketRentSensitivityPcntIncrement*2))</f>
        <v>1.113578532140675</v>
      </c>
      <c r="H226" s="44">
        <v>9.9752002787852234E-2</v>
      </c>
      <c r="I226" s="44">
        <v>9.9752002787852234E-2</v>
      </c>
      <c r="J226" s="98">
        <v>1.8028392025657878</v>
      </c>
      <c r="K226" s="44">
        <v>5.2378164919833367E-2</v>
      </c>
      <c r="L226" s="44">
        <v>5.2378000000000001E-2</v>
      </c>
      <c r="M226" s="637">
        <v>20618838.104818016</v>
      </c>
      <c r="O226" s="37"/>
      <c r="P226" s="37"/>
      <c r="Q226" s="40">
        <f>'CF Calculations'!$C$86</f>
        <v>0.16421136998081587</v>
      </c>
      <c r="R226" s="638">
        <f>S226-$E$240%%</f>
        <v>4.9999999999999996E-2</v>
      </c>
      <c r="S226" s="638">
        <f>T226-$E$240%%</f>
        <v>5.2499999999999998E-2</v>
      </c>
      <c r="T226" s="638">
        <f>$E$239</f>
        <v>5.5E-2</v>
      </c>
      <c r="U226" s="638">
        <f>T226+$E$240%%</f>
        <v>5.7500000000000002E-2</v>
      </c>
      <c r="V226" s="638">
        <f>U226+$E$240%%</f>
        <v>6.0000000000000005E-2</v>
      </c>
      <c r="X226" s="37"/>
      <c r="Y226" s="37"/>
      <c r="Z226" s="40">
        <f>IF(LeveragedIRRSensitivityType=200,LeveredIRR,PartnershipIRR)</f>
        <v>0.16421136998081587</v>
      </c>
      <c r="AA226" s="638">
        <f>AB226-$E$240%%</f>
        <v>4.9999999999999996E-2</v>
      </c>
      <c r="AB226" s="638">
        <f>AC226-$E$240%%</f>
        <v>5.2499999999999998E-2</v>
      </c>
      <c r="AC226" s="638">
        <f>$E$239</f>
        <v>5.5E-2</v>
      </c>
      <c r="AD226" s="638">
        <f>AC226+$E$240%%</f>
        <v>5.7500000000000002E-2</v>
      </c>
      <c r="AE226" s="638">
        <f>AD226+$E$240%%</f>
        <v>6.0000000000000005E-2</v>
      </c>
      <c r="AG226" s="203"/>
    </row>
    <row r="227" spans="2:33" outlineLevel="1">
      <c r="B227" s="387" t="s">
        <v>493</v>
      </c>
      <c r="C227" s="37"/>
      <c r="D227" s="37"/>
      <c r="E227" s="639">
        <f>X56</f>
        <v>1.2373094801563056</v>
      </c>
      <c r="F227"/>
      <c r="G227" s="640">
        <f>IF(MarketRentSensitivityIncrementType=190,MarketRentSensitivityInput-MarketRentSensitivityDollarIncrement,MarketRentSensitivityInput*(1-MarketRentSensitivityPcntIncrement))</f>
        <v>1.1754440061484903</v>
      </c>
      <c r="H227" s="44">
        <v>0.11401971681600331</v>
      </c>
      <c r="I227" s="44">
        <v>0.11401971681600331</v>
      </c>
      <c r="J227" s="98">
        <v>1.9477868988211671</v>
      </c>
      <c r="K227" s="44">
        <v>5.7066725752792723E-2</v>
      </c>
      <c r="L227" s="44">
        <v>5.7067E-2</v>
      </c>
      <c r="M227" s="637">
        <v>22252434.161146291</v>
      </c>
      <c r="O227" s="1279" t="s">
        <v>14</v>
      </c>
      <c r="P227" s="641"/>
      <c r="Q227" s="642">
        <v>3</v>
      </c>
      <c r="R227" s="643">
        <v>0.19323064195329853</v>
      </c>
      <c r="S227" s="644">
        <v>0.17579422853789395</v>
      </c>
      <c r="T227" s="645">
        <v>0.15946484553374396</v>
      </c>
      <c r="U227" s="644">
        <v>0.14412772370865246</v>
      </c>
      <c r="V227" s="646">
        <v>0.12968431088350707</v>
      </c>
      <c r="X227" s="1279" t="s">
        <v>14</v>
      </c>
      <c r="Y227" s="641"/>
      <c r="Z227" s="642">
        <v>3</v>
      </c>
      <c r="AA227" s="643">
        <v>0.19323064195329853</v>
      </c>
      <c r="AB227" s="644">
        <v>0.17579422853789395</v>
      </c>
      <c r="AC227" s="645">
        <v>0.15946484553374396</v>
      </c>
      <c r="AD227" s="644">
        <v>0.14412772370865246</v>
      </c>
      <c r="AE227" s="646">
        <v>0.12968431088350707</v>
      </c>
      <c r="AG227" s="203"/>
    </row>
    <row r="228" spans="2:33" outlineLevel="1">
      <c r="B228" s="36" t="s">
        <v>494</v>
      </c>
      <c r="C228" s="37"/>
      <c r="D228" s="37"/>
      <c r="E228" s="647">
        <f>TargetMarketRentPerSF*MarketRentSensitivityPcntIncrement</f>
        <v>6.186547400781528E-2</v>
      </c>
      <c r="F228"/>
      <c r="G228" s="648">
        <v>1.2373094801563056</v>
      </c>
      <c r="H228" s="231">
        <v>0.12754053007614163</v>
      </c>
      <c r="I228" s="231">
        <v>0.12754053007614163</v>
      </c>
      <c r="J228" s="649">
        <v>2.0927345950765464</v>
      </c>
      <c r="K228" s="231">
        <v>6.1755286585752016E-2</v>
      </c>
      <c r="L228" s="231">
        <v>6.1754999999999997E-2</v>
      </c>
      <c r="M228" s="650">
        <v>23886030.217474569</v>
      </c>
      <c r="O228" s="1280"/>
      <c r="P228" s="641"/>
      <c r="Q228" s="642">
        <v>5</v>
      </c>
      <c r="R228" s="651">
        <v>0.1566029969164966</v>
      </c>
      <c r="S228" s="44">
        <v>0.14697093476087408</v>
      </c>
      <c r="T228" s="231">
        <v>0.1379086894711179</v>
      </c>
      <c r="U228" s="44">
        <v>0.12936000163946826</v>
      </c>
      <c r="V228" s="652">
        <v>0.12127628702588189</v>
      </c>
      <c r="X228" s="1280"/>
      <c r="Y228" s="641"/>
      <c r="Z228" s="642">
        <v>5</v>
      </c>
      <c r="AA228" s="651">
        <v>0.1566029969164966</v>
      </c>
      <c r="AB228" s="44">
        <v>0.14697093476087408</v>
      </c>
      <c r="AC228" s="231">
        <v>0.1379086894711179</v>
      </c>
      <c r="AD228" s="44">
        <v>0.12936000163946826</v>
      </c>
      <c r="AE228" s="652">
        <v>0.12127628702588189</v>
      </c>
      <c r="AG228" s="203"/>
    </row>
    <row r="229" spans="2:33" outlineLevel="1">
      <c r="B229" s="36" t="s">
        <v>495</v>
      </c>
      <c r="C229" s="37"/>
      <c r="D229" s="37"/>
      <c r="E229" s="367">
        <v>0.05</v>
      </c>
      <c r="F229"/>
      <c r="G229" s="636">
        <f>IF(MarketRentSensitivityIncrementType=190,MarketRentSensitivityInput+MarketRentSensitivityDollarIncrement,MarketRentSensitivityInput*(1+MarketRentSensitivityPcntIncrement))</f>
        <v>1.2991749541641209</v>
      </c>
      <c r="H229" s="44">
        <v>0.14040681611504557</v>
      </c>
      <c r="I229" s="44">
        <v>0.14040681611504557</v>
      </c>
      <c r="J229" s="98">
        <v>2.2376822913319234</v>
      </c>
      <c r="K229" s="44">
        <v>6.6443847418711358E-2</v>
      </c>
      <c r="L229" s="44">
        <v>6.6444000000000003E-2</v>
      </c>
      <c r="M229" s="637">
        <v>25519626.273802832</v>
      </c>
      <c r="O229" s="1280"/>
      <c r="P229" s="641"/>
      <c r="Q229" s="642">
        <v>7</v>
      </c>
      <c r="R229" s="651">
        <v>0.14000450590667013</v>
      </c>
      <c r="S229" s="44">
        <v>0.13358575465780054</v>
      </c>
      <c r="T229" s="231">
        <v>0.12754053007614163</v>
      </c>
      <c r="U229" s="44">
        <v>0.12183257775770584</v>
      </c>
      <c r="V229" s="652">
        <v>0.11643052230000284</v>
      </c>
      <c r="X229" s="1280"/>
      <c r="Y229" s="641"/>
      <c r="Z229" s="642">
        <v>7</v>
      </c>
      <c r="AA229" s="651">
        <v>0.14000450590667013</v>
      </c>
      <c r="AB229" s="44">
        <v>0.13358575465780054</v>
      </c>
      <c r="AC229" s="231">
        <v>0.12754053007614163</v>
      </c>
      <c r="AD229" s="44">
        <v>0.12183257775770584</v>
      </c>
      <c r="AE229" s="652">
        <v>0.11643052230000284</v>
      </c>
      <c r="AG229" s="203"/>
    </row>
    <row r="230" spans="2:33" outlineLevel="1">
      <c r="B230" s="37"/>
      <c r="C230" s="37"/>
      <c r="D230" s="37"/>
      <c r="E230" s="37"/>
      <c r="F230"/>
      <c r="G230" s="640">
        <f>IF(MarketRentSensitivityIncrementType=190,MarketRentSensitivityInput+MarketRentSensitivityDollarIncrement*2,MarketRentSensitivityInput*(1+MarketRentSensitivityPcntIncrement*2))</f>
        <v>1.3610404281719362</v>
      </c>
      <c r="H230" s="44">
        <v>0.15269452314433063</v>
      </c>
      <c r="I230" s="44">
        <v>0.15269452314433063</v>
      </c>
      <c r="J230" s="98">
        <v>2.3826299875873032</v>
      </c>
      <c r="K230" s="44">
        <v>7.113240825167072E-2</v>
      </c>
      <c r="L230" s="44">
        <v>7.1132000000000001E-2</v>
      </c>
      <c r="M230" s="637">
        <v>27153222.330131106</v>
      </c>
      <c r="O230" s="1280"/>
      <c r="P230" s="641"/>
      <c r="Q230" s="642">
        <v>10</v>
      </c>
      <c r="R230" s="653">
        <v>0.12754643109893871</v>
      </c>
      <c r="S230" s="654">
        <v>0.1234677024034152</v>
      </c>
      <c r="T230" s="655">
        <v>0.11962812267142442</v>
      </c>
      <c r="U230" s="654">
        <v>0.11600461073686397</v>
      </c>
      <c r="V230" s="656">
        <v>0.11257716907333548</v>
      </c>
      <c r="X230" s="1280"/>
      <c r="Y230" s="641"/>
      <c r="Z230" s="642">
        <v>10</v>
      </c>
      <c r="AA230" s="653">
        <v>0.12754643109893871</v>
      </c>
      <c r="AB230" s="654">
        <v>0.1234677024034152</v>
      </c>
      <c r="AC230" s="655">
        <v>0.11962812267142442</v>
      </c>
      <c r="AD230" s="654">
        <v>0.11600461073686397</v>
      </c>
      <c r="AE230" s="656">
        <v>0.11257716907333548</v>
      </c>
      <c r="AG230" s="203"/>
    </row>
    <row r="231" spans="2:33" outlineLevel="1">
      <c r="B231" s="1081" t="s">
        <v>496</v>
      </c>
      <c r="C231" s="37"/>
      <c r="D231" s="37"/>
      <c r="E231" s="37"/>
      <c r="F231"/>
      <c r="G231" s="27"/>
      <c r="H231" s="27"/>
      <c r="I231" s="27"/>
      <c r="J231" s="27"/>
      <c r="K231" s="27"/>
      <c r="L231" s="27"/>
      <c r="M231" s="27"/>
      <c r="O231" s="657"/>
      <c r="P231" s="657"/>
      <c r="Q231" s="37"/>
      <c r="R231" s="37"/>
      <c r="S231" s="37"/>
      <c r="T231" s="37"/>
      <c r="U231" s="37"/>
      <c r="V231" s="37"/>
      <c r="X231" s="657"/>
      <c r="Y231" s="657"/>
      <c r="Z231" s="37"/>
      <c r="AA231" s="37"/>
      <c r="AB231" s="37"/>
      <c r="AC231" s="37"/>
      <c r="AD231" s="37"/>
      <c r="AE231" s="37"/>
      <c r="AG231" s="203"/>
    </row>
    <row r="232" spans="2:33" outlineLevel="1">
      <c r="B232" s="36" t="s">
        <v>16</v>
      </c>
      <c r="C232" s="37"/>
      <c r="D232" s="1281">
        <v>15093236.363636363</v>
      </c>
      <c r="E232" s="1281"/>
      <c r="F232"/>
      <c r="G232" s="27"/>
      <c r="H232" s="27"/>
      <c r="I232" s="27"/>
      <c r="J232" s="27"/>
      <c r="K232" s="27"/>
      <c r="L232" s="27"/>
      <c r="M232" s="27"/>
      <c r="O232" s="37"/>
      <c r="P232" s="37"/>
      <c r="Q232" s="37"/>
      <c r="R232" s="37"/>
      <c r="S232" s="37"/>
      <c r="T232" s="37"/>
      <c r="U232" s="37"/>
      <c r="V232" s="37"/>
      <c r="X232" s="37"/>
      <c r="Y232" s="37"/>
      <c r="Z232" s="37"/>
      <c r="AA232" s="37"/>
      <c r="AB232" s="37"/>
      <c r="AC232" s="37"/>
      <c r="AD232" s="37"/>
      <c r="AE232" s="37"/>
      <c r="AG232" s="203"/>
    </row>
    <row r="233" spans="2:33" outlineLevel="1">
      <c r="B233" s="36" t="s">
        <v>497</v>
      </c>
      <c r="C233" s="37"/>
      <c r="D233" s="37"/>
      <c r="E233" s="658">
        <f>ROUND(PurchasePriceSensitivityInput*PriceSensitivityPcntIncrement,-4)</f>
        <v>150000</v>
      </c>
      <c r="F233"/>
      <c r="G233"/>
      <c r="H233"/>
      <c r="I233"/>
      <c r="J233"/>
      <c r="K233"/>
      <c r="L233"/>
      <c r="M233"/>
      <c r="AG233" s="203"/>
    </row>
    <row r="234" spans="2:33" ht="12.75" customHeight="1" outlineLevel="1">
      <c r="B234" s="36" t="s">
        <v>498</v>
      </c>
      <c r="C234" s="37"/>
      <c r="D234" s="37"/>
      <c r="E234" s="569">
        <v>0.01</v>
      </c>
      <c r="G234"/>
      <c r="H234"/>
      <c r="I234"/>
      <c r="J234"/>
      <c r="K234"/>
      <c r="L234"/>
      <c r="M234"/>
      <c r="AG234" s="203"/>
    </row>
    <row r="235" spans="2:33" outlineLevel="1">
      <c r="B235" s="36" t="s">
        <v>499</v>
      </c>
      <c r="C235" s="37"/>
      <c r="D235" s="37"/>
      <c r="E235" s="363">
        <v>100000</v>
      </c>
      <c r="G235" s="1136" t="s">
        <v>500</v>
      </c>
      <c r="H235" s="1137"/>
      <c r="I235" s="1137"/>
      <c r="J235" s="1137"/>
      <c r="K235" s="1137"/>
      <c r="L235" s="1137"/>
      <c r="M235" s="1137"/>
      <c r="O235" s="1043" t="s">
        <v>501</v>
      </c>
      <c r="P235" s="196"/>
      <c r="Q235" s="196"/>
      <c r="R235" s="196"/>
      <c r="S235" s="196"/>
      <c r="T235" s="196"/>
      <c r="U235" s="196"/>
      <c r="V235" s="196"/>
      <c r="X235" s="1043" t="str">
        <f>IF(LeveragedIRRSensitivityType=200,"LEVERAGED EQUITY MULTIPLE","PARTNERSHIPEQUITYMULTIPLE")</f>
        <v>LEVERAGED EQUITY MULTIPLE</v>
      </c>
      <c r="Y235" s="196"/>
      <c r="Z235" s="196"/>
      <c r="AA235" s="196"/>
      <c r="AB235" s="196"/>
      <c r="AC235" s="196"/>
      <c r="AD235" s="196"/>
      <c r="AE235" s="196"/>
      <c r="AG235" s="203"/>
    </row>
    <row r="236" spans="2:33" outlineLevel="1">
      <c r="B236" s="37"/>
      <c r="C236" s="37"/>
      <c r="D236" s="37"/>
      <c r="E236" s="37"/>
      <c r="G236" s="1145" t="s">
        <v>502</v>
      </c>
      <c r="H236" s="1146" t="s">
        <v>503</v>
      </c>
      <c r="I236" s="1147">
        <f>I247</f>
        <v>0</v>
      </c>
      <c r="J236" s="1148" t="str">
        <f>J247</f>
        <v>n/a</v>
      </c>
      <c r="K236" s="1149">
        <f>K247</f>
        <v>8.9408571428571434E-2</v>
      </c>
      <c r="L236" s="1150">
        <f>L247</f>
        <v>8.9408571428571434E-2</v>
      </c>
      <c r="M236" s="1151">
        <f>M247</f>
        <v>0.16421136998081587</v>
      </c>
      <c r="O236" s="37"/>
      <c r="P236" s="37"/>
      <c r="Q236" s="37"/>
      <c r="R236" s="1062" t="s">
        <v>204</v>
      </c>
      <c r="S236" s="1063"/>
      <c r="T236" s="1063"/>
      <c r="U236" s="1063"/>
      <c r="V236" s="1063"/>
      <c r="X236" s="37"/>
      <c r="Y236" s="37"/>
      <c r="Z236" s="37"/>
      <c r="AA236" s="1062" t="s">
        <v>204</v>
      </c>
      <c r="AB236" s="1063"/>
      <c r="AC236" s="1063"/>
      <c r="AD236" s="1063"/>
      <c r="AE236" s="1063"/>
      <c r="AG236" s="203"/>
    </row>
    <row r="237" spans="2:33" outlineLevel="1">
      <c r="B237" s="1081" t="s">
        <v>504</v>
      </c>
      <c r="C237" s="37"/>
      <c r="D237" s="37"/>
      <c r="E237" s="37"/>
      <c r="G237" s="78">
        <f>RenovPremiumSensitivityInput*(1+H237)</f>
        <v>0</v>
      </c>
      <c r="H237" s="659">
        <f>-E244*2</f>
        <v>-0.1</v>
      </c>
      <c r="I237" s="40"/>
      <c r="J237" s="40"/>
      <c r="K237" s="40"/>
      <c r="L237" s="40"/>
      <c r="M237" s="40"/>
      <c r="O237" s="37"/>
      <c r="P237" s="37"/>
      <c r="Q237" s="175">
        <f>IF('CF Calculations'!$O$114=0,0,('CF Calculations'!$O$86/'CF Calculations'!$O$114)+1)</f>
        <v>2.5172372550407625</v>
      </c>
      <c r="R237" s="638">
        <f>S237-$E$240%%</f>
        <v>4.9999999999999996E-2</v>
      </c>
      <c r="S237" s="638">
        <f>T237-$E$240%%</f>
        <v>5.2499999999999998E-2</v>
      </c>
      <c r="T237" s="638">
        <f>$E$239</f>
        <v>5.5E-2</v>
      </c>
      <c r="U237" s="638">
        <f>T237+$E$240%%</f>
        <v>5.7500000000000002E-2</v>
      </c>
      <c r="V237" s="638">
        <f>U237+$E$240%%</f>
        <v>6.0000000000000005E-2</v>
      </c>
      <c r="X237" s="37"/>
      <c r="Y237" s="37"/>
      <c r="Z237" s="175">
        <f>IF(LeveragedIRRSensitivityType=200,IF('CF Calculations'!$O$122=0,0,('CF Calculations'!$O$108/'CF Calculations'!$O$122)+1),IF(LeveredFundingReq+'CF Calculations'!#REF!,'CF Calculations'!#REF!/(LeveredFundingReq+'CF Calculations'!#REF!)+1,))</f>
        <v>2.5172372550407625</v>
      </c>
      <c r="AA237" s="638">
        <f>AB237-$E$240%%</f>
        <v>4.9999999999999996E-2</v>
      </c>
      <c r="AB237" s="638">
        <f>AC237-$E$240%%</f>
        <v>5.2499999999999998E-2</v>
      </c>
      <c r="AC237" s="638">
        <f>$E$239</f>
        <v>5.5E-2</v>
      </c>
      <c r="AD237" s="638">
        <f>AC237+$E$240%%</f>
        <v>5.7500000000000002E-2</v>
      </c>
      <c r="AE237" s="638">
        <f>AD237+$E$240%%</f>
        <v>6.0000000000000005E-2</v>
      </c>
      <c r="AG237" s="203"/>
    </row>
    <row r="238" spans="2:33" outlineLevel="1">
      <c r="B238" s="36" t="s">
        <v>133</v>
      </c>
      <c r="C238" s="37"/>
      <c r="D238" s="37"/>
      <c r="E238" s="634">
        <v>5.5E-2</v>
      </c>
      <c r="G238" s="78">
        <f>RenovPremiumSensitivityInput*(1+H238)</f>
        <v>0</v>
      </c>
      <c r="H238" s="659">
        <f>-E244</f>
        <v>-0.05</v>
      </c>
      <c r="I238" s="40"/>
      <c r="J238" s="40"/>
      <c r="K238" s="40"/>
      <c r="L238" s="40"/>
      <c r="M238" s="40"/>
      <c r="O238" s="1279" t="s">
        <v>14</v>
      </c>
      <c r="P238" s="641"/>
      <c r="Q238" s="642">
        <v>3</v>
      </c>
      <c r="R238" s="660">
        <v>1.6602054646636291</v>
      </c>
      <c r="S238" s="661">
        <v>1.5904934708916092</v>
      </c>
      <c r="T238" s="662">
        <v>1.5271189310988635</v>
      </c>
      <c r="U238" s="661">
        <v>1.4692552208533136</v>
      </c>
      <c r="V238" s="663">
        <v>1.4162134864615594</v>
      </c>
      <c r="X238" s="1279" t="s">
        <v>14</v>
      </c>
      <c r="Y238" s="641"/>
      <c r="Z238" s="642">
        <v>3</v>
      </c>
      <c r="AA238" s="660">
        <v>1.6602054646636291</v>
      </c>
      <c r="AB238" s="661">
        <v>1.5904934708916092</v>
      </c>
      <c r="AC238" s="662">
        <v>1.5271189310988635</v>
      </c>
      <c r="AD238" s="661">
        <v>1.4692552208533136</v>
      </c>
      <c r="AE238" s="663">
        <v>1.4162134864615594</v>
      </c>
      <c r="AG238" s="203"/>
    </row>
    <row r="239" spans="2:33" outlineLevel="1">
      <c r="B239" s="36" t="s">
        <v>204</v>
      </c>
      <c r="C239" s="37"/>
      <c r="D239" s="664"/>
      <c r="E239" s="665">
        <v>5.5E-2</v>
      </c>
      <c r="G239" s="145">
        <f>RenovPremiumSensitivityInput*(1+H239)</f>
        <v>0</v>
      </c>
      <c r="H239" s="666">
        <v>0</v>
      </c>
      <c r="I239" s="158"/>
      <c r="J239" s="158"/>
      <c r="K239" s="158"/>
      <c r="L239" s="158"/>
      <c r="M239" s="158"/>
      <c r="O239" s="1280"/>
      <c r="P239" s="641"/>
      <c r="Q239" s="642">
        <v>5</v>
      </c>
      <c r="R239" s="667">
        <v>1.9505237893904428</v>
      </c>
      <c r="S239" s="175">
        <v>1.8741364324065284</v>
      </c>
      <c r="T239" s="213">
        <v>1.8046933806029701</v>
      </c>
      <c r="U239" s="175">
        <v>1.7412888550431997</v>
      </c>
      <c r="V239" s="668">
        <v>1.6831680399467435</v>
      </c>
      <c r="X239" s="1280"/>
      <c r="Y239" s="641"/>
      <c r="Z239" s="642">
        <v>5</v>
      </c>
      <c r="AA239" s="667">
        <v>1.9505237893904428</v>
      </c>
      <c r="AB239" s="175">
        <v>1.8741364324065284</v>
      </c>
      <c r="AC239" s="213">
        <v>1.8046933806029701</v>
      </c>
      <c r="AD239" s="175">
        <v>1.7412888550431997</v>
      </c>
      <c r="AE239" s="668">
        <v>1.6831680399467435</v>
      </c>
      <c r="AG239" s="203"/>
    </row>
    <row r="240" spans="2:33" outlineLevel="1">
      <c r="B240" s="36" t="s">
        <v>505</v>
      </c>
      <c r="C240" s="37"/>
      <c r="D240" s="37"/>
      <c r="E240" s="669">
        <v>25</v>
      </c>
      <c r="G240" s="78">
        <f>RenovPremiumSensitivityInput*(1+H240)</f>
        <v>0</v>
      </c>
      <c r="H240" s="659">
        <f>E244</f>
        <v>0.05</v>
      </c>
      <c r="I240" s="40"/>
      <c r="J240" s="40"/>
      <c r="K240" s="40"/>
      <c r="L240" s="40"/>
      <c r="M240" s="40"/>
      <c r="O240" s="1280"/>
      <c r="P240" s="641"/>
      <c r="Q240" s="642">
        <v>7</v>
      </c>
      <c r="R240" s="667">
        <v>2.2509911123800341</v>
      </c>
      <c r="S240" s="175">
        <v>2.1680948414115404</v>
      </c>
      <c r="T240" s="213">
        <v>2.0927345950765464</v>
      </c>
      <c r="U240" s="175">
        <v>2.023927413640247</v>
      </c>
      <c r="V240" s="668">
        <v>1.9608541639903057</v>
      </c>
      <c r="X240" s="1280"/>
      <c r="Y240" s="641"/>
      <c r="Z240" s="642">
        <v>7</v>
      </c>
      <c r="AA240" s="667">
        <v>2.2509911123800341</v>
      </c>
      <c r="AB240" s="175">
        <v>2.1680948414115404</v>
      </c>
      <c r="AC240" s="213">
        <v>2.0927345950765464</v>
      </c>
      <c r="AD240" s="175">
        <v>2.023927413640247</v>
      </c>
      <c r="AE240" s="668">
        <v>1.9608541639903057</v>
      </c>
      <c r="AG240" s="203"/>
    </row>
    <row r="241" spans="2:33" outlineLevel="1">
      <c r="B241" s="37"/>
      <c r="C241" s="37"/>
      <c r="D241" s="37"/>
      <c r="E241" s="37"/>
      <c r="G241" s="78">
        <f>RenovPremiumSensitivityInput*(1+H241)</f>
        <v>0</v>
      </c>
      <c r="H241" s="659">
        <f>E244*2</f>
        <v>0.1</v>
      </c>
      <c r="I241" s="40"/>
      <c r="J241" s="40"/>
      <c r="K241" s="40"/>
      <c r="L241" s="40"/>
      <c r="M241" s="40"/>
      <c r="O241" s="1280"/>
      <c r="P241" s="641"/>
      <c r="Q241" s="642">
        <v>10</v>
      </c>
      <c r="R241" s="670">
        <v>2.7437326443954553</v>
      </c>
      <c r="S241" s="671">
        <v>2.650322278387037</v>
      </c>
      <c r="T241" s="672">
        <v>2.5654037638339302</v>
      </c>
      <c r="U241" s="671">
        <v>2.4878694679376152</v>
      </c>
      <c r="V241" s="673">
        <v>2.416796363365993</v>
      </c>
      <c r="X241" s="1280"/>
      <c r="Y241" s="641"/>
      <c r="Z241" s="642">
        <v>10</v>
      </c>
      <c r="AA241" s="670">
        <v>2.7437326443954553</v>
      </c>
      <c r="AB241" s="671">
        <v>2.650322278387037</v>
      </c>
      <c r="AC241" s="672">
        <v>2.5654037638339302</v>
      </c>
      <c r="AD241" s="671">
        <v>2.4878694679376152</v>
      </c>
      <c r="AE241" s="673">
        <v>2.416796363365993</v>
      </c>
      <c r="AG241" s="203"/>
    </row>
    <row r="242" spans="2:33" outlineLevel="1">
      <c r="B242" s="1081" t="s">
        <v>506</v>
      </c>
      <c r="C242" s="37"/>
      <c r="D242" s="37"/>
      <c r="E242" s="37"/>
      <c r="G242" s="27"/>
      <c r="H242" s="27"/>
      <c r="I242" s="27"/>
      <c r="J242" s="27"/>
      <c r="K242" s="27"/>
      <c r="L242" s="27"/>
      <c r="M242" s="27"/>
      <c r="O242" s="657"/>
      <c r="P242" s="657"/>
      <c r="Q242" s="37"/>
      <c r="R242" s="37"/>
      <c r="S242" s="37"/>
      <c r="T242" s="37"/>
      <c r="U242" s="37"/>
      <c r="V242" s="37"/>
      <c r="X242" s="657"/>
      <c r="Y242" s="657"/>
      <c r="Z242" s="37"/>
      <c r="AA242" s="37"/>
      <c r="AB242" s="37"/>
      <c r="AC242" s="37"/>
      <c r="AD242" s="37"/>
      <c r="AE242" s="37"/>
      <c r="AG242" s="203"/>
    </row>
    <row r="243" spans="2:33" outlineLevel="1">
      <c r="B243" s="674" t="s">
        <v>507</v>
      </c>
      <c r="C243" s="123"/>
      <c r="D243" s="123"/>
      <c r="E243" s="675">
        <f>AverageRenovPremium</f>
        <v>0</v>
      </c>
      <c r="G243" s="27"/>
      <c r="H243" s="27"/>
      <c r="I243" s="27"/>
      <c r="J243" s="27"/>
      <c r="K243" s="27"/>
      <c r="L243" s="27"/>
      <c r="M243" s="27"/>
      <c r="O243" s="37"/>
      <c r="P243" s="37"/>
      <c r="Q243" s="37"/>
      <c r="R243" s="37"/>
      <c r="S243" s="37"/>
      <c r="T243" s="37"/>
      <c r="U243" s="37"/>
      <c r="V243" s="37"/>
      <c r="X243" s="37"/>
      <c r="Y243" s="37"/>
      <c r="Z243" s="37"/>
      <c r="AA243" s="37"/>
      <c r="AB243" s="37"/>
      <c r="AC243" s="37"/>
      <c r="AD243" s="37"/>
      <c r="AE243" s="37"/>
      <c r="AG243" s="203"/>
    </row>
    <row r="244" spans="2:33" outlineLevel="1">
      <c r="B244" s="387" t="s">
        <v>508</v>
      </c>
      <c r="C244" s="37"/>
      <c r="D244" s="37"/>
      <c r="E244" s="634">
        <v>0.05</v>
      </c>
      <c r="AG244" s="203"/>
    </row>
    <row r="245" spans="2:33" ht="12.75" customHeight="1" outlineLevel="1">
      <c r="B245" s="37"/>
      <c r="C245" s="37"/>
      <c r="D245" s="37"/>
      <c r="E245" s="37"/>
      <c r="AG245" s="203"/>
    </row>
    <row r="246" spans="2:33" outlineLevel="1">
      <c r="B246" s="1081" t="s">
        <v>509</v>
      </c>
      <c r="C246" s="37"/>
      <c r="D246" s="37"/>
      <c r="E246" s="37"/>
      <c r="G246" s="1136" t="s">
        <v>510</v>
      </c>
      <c r="H246" s="1137"/>
      <c r="I246" s="1137"/>
      <c r="J246" s="1137"/>
      <c r="K246" s="1137"/>
      <c r="L246" s="1137"/>
      <c r="M246" s="1137"/>
      <c r="O246" s="1043" t="s">
        <v>511</v>
      </c>
      <c r="P246" s="196"/>
      <c r="Q246" s="196"/>
      <c r="R246" s="196"/>
      <c r="S246" s="196"/>
      <c r="T246" s="196"/>
      <c r="U246" s="196"/>
      <c r="V246" s="196"/>
      <c r="X246" s="1043" t="s">
        <v>511</v>
      </c>
      <c r="Y246" s="196"/>
      <c r="Z246" s="196"/>
      <c r="AA246" s="196"/>
      <c r="AB246" s="196"/>
      <c r="AC246" s="196"/>
      <c r="AD246" s="196"/>
      <c r="AE246" s="196"/>
      <c r="AG246" s="37"/>
    </row>
    <row r="247" spans="2:33" outlineLevel="1">
      <c r="B247" s="674" t="s">
        <v>512</v>
      </c>
      <c r="C247" s="123"/>
      <c r="D247" s="123"/>
      <c r="E247" s="675">
        <f>AverageRenovCost</f>
        <v>0</v>
      </c>
      <c r="G247" s="1145" t="s">
        <v>513</v>
      </c>
      <c r="H247" s="1146" t="s">
        <v>503</v>
      </c>
      <c r="I247" s="1147">
        <f>RenovationROI</f>
        <v>0</v>
      </c>
      <c r="J247" s="1148" t="str">
        <f>RenovationIRR</f>
        <v>n/a</v>
      </c>
      <c r="K247" s="1149">
        <f>Q251</f>
        <v>8.9408571428571434E-2</v>
      </c>
      <c r="L247" s="1150">
        <f>'CF Calculations'!O123</f>
        <v>8.9408571428571434E-2</v>
      </c>
      <c r="M247" s="1151">
        <f>I225</f>
        <v>0.16421136998081587</v>
      </c>
      <c r="O247" s="37"/>
      <c r="P247" s="37"/>
      <c r="Q247" s="37"/>
      <c r="R247" s="1062" t="s">
        <v>16</v>
      </c>
      <c r="S247" s="1063"/>
      <c r="T247" s="1063"/>
      <c r="U247" s="1063"/>
      <c r="V247" s="1063"/>
      <c r="X247" s="37"/>
      <c r="Y247" s="37"/>
      <c r="Z247" s="37"/>
      <c r="AA247" s="1062" t="s">
        <v>133</v>
      </c>
      <c r="AB247" s="1063"/>
      <c r="AC247" s="1063"/>
      <c r="AD247" s="1063"/>
      <c r="AE247" s="1063"/>
      <c r="AG247" s="37"/>
    </row>
    <row r="248" spans="2:33" outlineLevel="1">
      <c r="B248" s="387" t="s">
        <v>514</v>
      </c>
      <c r="C248" s="37"/>
      <c r="D248" s="37"/>
      <c r="E248" s="634">
        <v>0.1</v>
      </c>
      <c r="G248" s="78">
        <f>RenovCostSensitivityInput*(1+H248)</f>
        <v>0</v>
      </c>
      <c r="H248" s="659">
        <f>-E248*2</f>
        <v>-0.2</v>
      </c>
      <c r="I248" s="40"/>
      <c r="J248" s="40"/>
      <c r="K248" s="40"/>
      <c r="L248" s="40"/>
      <c r="M248" s="40"/>
      <c r="O248" s="37"/>
      <c r="P248" s="37"/>
      <c r="Q248" s="27"/>
      <c r="R248" s="676">
        <f>IF(T248,MROUND(S248-$E$233,$E$235),)</f>
        <v>14800000</v>
      </c>
      <c r="S248" s="676">
        <f>IF(T248,MROUND(T248-$E$233,$E$235),)</f>
        <v>14900000</v>
      </c>
      <c r="T248" s="676">
        <f>$D$232</f>
        <v>15093236.363636363</v>
      </c>
      <c r="U248" s="676">
        <f>MROUND(T248+$E$233,$E$235)</f>
        <v>15200000</v>
      </c>
      <c r="V248" s="676">
        <f>MROUND(U248+$E$233,$E$235)</f>
        <v>15400000</v>
      </c>
      <c r="X248" s="37"/>
      <c r="Y248" s="37"/>
      <c r="Z248" s="27"/>
      <c r="AA248" s="638">
        <f>AB248-$E$240%%</f>
        <v>4.9999999999999996E-2</v>
      </c>
      <c r="AB248" s="638">
        <f>AC248-$E$240%%</f>
        <v>5.2499999999999998E-2</v>
      </c>
      <c r="AC248" s="638">
        <f>GoingInCapRateSensitivityInput</f>
        <v>5.5E-2</v>
      </c>
      <c r="AD248" s="638">
        <f>AC248+$E$240%%</f>
        <v>5.7500000000000002E-2</v>
      </c>
      <c r="AE248" s="638">
        <f>AD248+$E$240%%</f>
        <v>6.0000000000000005E-2</v>
      </c>
      <c r="AG248" s="37"/>
    </row>
    <row r="249" spans="2:33" outlineLevel="1">
      <c r="B249" s="37"/>
      <c r="C249" s="37"/>
      <c r="D249" s="37"/>
      <c r="E249" s="37"/>
      <c r="G249" s="78">
        <f>RenovCostSensitivityInput*(1+H249)</f>
        <v>0</v>
      </c>
      <c r="H249" s="659">
        <f>-E248</f>
        <v>-0.1</v>
      </c>
      <c r="I249" s="40"/>
      <c r="J249" s="40"/>
      <c r="K249" s="40"/>
      <c r="L249" s="40"/>
      <c r="M249" s="40"/>
      <c r="O249" s="1277" t="s">
        <v>200</v>
      </c>
      <c r="P249" s="454" t="s">
        <v>133</v>
      </c>
      <c r="Q249" s="44">
        <f>IF(GoingInCapRateSensitivityType=90,'CF Calculations'!E112,InPlaceNOI/PurchasePrice)</f>
        <v>5.5E-2</v>
      </c>
      <c r="R249" s="643">
        <v>5.6089729729729733E-2</v>
      </c>
      <c r="S249" s="644">
        <v>5.5713288590604024E-2</v>
      </c>
      <c r="T249" s="645">
        <v>5.5E-2</v>
      </c>
      <c r="U249" s="644">
        <v>5.4613684210526314E-2</v>
      </c>
      <c r="V249" s="646">
        <v>5.3904415584415583E-2</v>
      </c>
      <c r="X249" s="1277" t="s">
        <v>200</v>
      </c>
      <c r="Y249" s="454" t="s">
        <v>16</v>
      </c>
      <c r="Z249" s="67">
        <f>PurchasePrice</f>
        <v>13009400</v>
      </c>
      <c r="AA249" s="677">
        <v>16602560.000000002</v>
      </c>
      <c r="AB249" s="678">
        <v>15811961.904761905</v>
      </c>
      <c r="AC249" s="679">
        <v>15093236.363636363</v>
      </c>
      <c r="AD249" s="678">
        <v>14437008.695652174</v>
      </c>
      <c r="AE249" s="680">
        <v>13835466.666666666</v>
      </c>
      <c r="AG249" s="37"/>
    </row>
    <row r="250" spans="2:33" outlineLevel="1">
      <c r="B250" s="37"/>
      <c r="C250" s="37"/>
      <c r="D250" s="37"/>
      <c r="E250" s="37"/>
      <c r="G250" s="145">
        <f>RenovCostSensitivityInput*(1+H250)</f>
        <v>0</v>
      </c>
      <c r="H250" s="666">
        <v>0</v>
      </c>
      <c r="I250" s="158"/>
      <c r="J250" s="158"/>
      <c r="K250" s="158"/>
      <c r="L250" s="158"/>
      <c r="M250" s="158"/>
      <c r="O250" s="1278"/>
      <c r="P250" s="454" t="s">
        <v>515</v>
      </c>
      <c r="Q250" s="44">
        <f>ProFormaCashOnCash</f>
        <v>7.7923000000000006E-2</v>
      </c>
      <c r="R250" s="651">
        <v>6.2978999999999993E-2</v>
      </c>
      <c r="S250" s="44">
        <v>6.2556E-2</v>
      </c>
      <c r="T250" s="231">
        <v>6.1754999999999997E-2</v>
      </c>
      <c r="U250" s="44">
        <v>6.1322000000000002E-2</v>
      </c>
      <c r="V250" s="652">
        <v>6.0525000000000002E-2</v>
      </c>
      <c r="X250" s="1278"/>
      <c r="Y250" s="454" t="str">
        <f t="shared" ref="Y250:Z254" si="71">P250</f>
        <v>Year 1 Cash on Cash</v>
      </c>
      <c r="Z250" s="44">
        <f t="shared" si="71"/>
        <v>7.7923000000000006E-2</v>
      </c>
      <c r="AA250" s="681">
        <v>5.6141000000000003E-2</v>
      </c>
      <c r="AB250" s="67">
        <v>5.8948E-2</v>
      </c>
      <c r="AC250" s="295">
        <v>6.1754999999999997E-2</v>
      </c>
      <c r="AD250" s="67">
        <v>6.4561999999999994E-2</v>
      </c>
      <c r="AE250" s="682">
        <v>6.7368999999999998E-2</v>
      </c>
      <c r="AG250" s="37"/>
    </row>
    <row r="251" spans="2:33" outlineLevel="1">
      <c r="B251" s="37"/>
      <c r="C251" s="37"/>
      <c r="D251" s="37"/>
      <c r="E251" s="37"/>
      <c r="G251" s="78">
        <f>RenovCostSensitivityInput*(1+H251)</f>
        <v>0</v>
      </c>
      <c r="H251" s="659">
        <f>E248</f>
        <v>0.1</v>
      </c>
      <c r="I251" s="40"/>
      <c r="J251" s="40"/>
      <c r="K251" s="40"/>
      <c r="L251" s="40"/>
      <c r="M251" s="40"/>
      <c r="O251" s="1278"/>
      <c r="P251" s="454" t="str">
        <f>IF(PostRenovationYr=1,"Avg. Cash on Cash","Post-Renov. C-o-C")</f>
        <v>Avg. Cash on Cash</v>
      </c>
      <c r="Q251" s="44">
        <f>IF(PostRenovationYr=1,'CF Calculations'!O123,SUMIF(CFYears,PostRenovationYr,'CF Calculations'!E123:N123))</f>
        <v>8.9408571428571434E-2</v>
      </c>
      <c r="R251" s="651">
        <v>7.4325285714285719E-2</v>
      </c>
      <c r="S251" s="44">
        <v>7.3826571428571436E-2</v>
      </c>
      <c r="T251" s="231">
        <v>7.2881428571428569E-2</v>
      </c>
      <c r="U251" s="44">
        <v>7.2369428571428571E-2</v>
      </c>
      <c r="V251" s="652">
        <v>7.1429714285714277E-2</v>
      </c>
      <c r="X251" s="1278"/>
      <c r="Y251" s="454" t="str">
        <f t="shared" si="71"/>
        <v>Avg. Cash on Cash</v>
      </c>
      <c r="Z251" s="44">
        <f t="shared" si="71"/>
        <v>8.9408571428571434E-2</v>
      </c>
      <c r="AA251" s="681">
        <v>6.6255714285714293E-2</v>
      </c>
      <c r="AB251" s="67">
        <v>6.9568571428571438E-2</v>
      </c>
      <c r="AC251" s="295">
        <v>7.2881428571428569E-2</v>
      </c>
      <c r="AD251" s="67">
        <v>7.619385714285716E-2</v>
      </c>
      <c r="AE251" s="682">
        <v>7.9506714285714306E-2</v>
      </c>
      <c r="AG251" s="37"/>
    </row>
    <row r="252" spans="2:33" outlineLevel="1">
      <c r="B252" s="37"/>
      <c r="C252" s="37"/>
      <c r="D252" s="37"/>
      <c r="E252" s="37"/>
      <c r="G252" s="78">
        <f>RenovCostSensitivityInput*(1+H252)</f>
        <v>0</v>
      </c>
      <c r="H252" s="659">
        <f>E248*2</f>
        <v>0.2</v>
      </c>
      <c r="I252" s="40"/>
      <c r="J252" s="40"/>
      <c r="K252" s="40"/>
      <c r="L252" s="40"/>
      <c r="M252" s="40"/>
      <c r="O252" s="1278"/>
      <c r="P252" s="454" t="s">
        <v>208</v>
      </c>
      <c r="Q252" s="44">
        <f>'CF Calculations'!$C$86</f>
        <v>0.16421136998081587</v>
      </c>
      <c r="R252" s="651">
        <v>0.13126042297177443</v>
      </c>
      <c r="S252" s="44">
        <v>0.12998142810953284</v>
      </c>
      <c r="T252" s="231">
        <v>0.12754053007614163</v>
      </c>
      <c r="U252" s="44">
        <v>0.12620885958836103</v>
      </c>
      <c r="V252" s="652">
        <v>0.12374585696990592</v>
      </c>
      <c r="X252" s="1278"/>
      <c r="Y252" s="454" t="str">
        <f t="shared" si="71"/>
        <v>Unleveraged IRR</v>
      </c>
      <c r="Z252" s="44">
        <f t="shared" si="71"/>
        <v>0.16421136998081587</v>
      </c>
      <c r="AA252" s="651">
        <v>0.10974305416009522</v>
      </c>
      <c r="AB252" s="44">
        <v>0.11879781373893672</v>
      </c>
      <c r="AC252" s="231">
        <v>0.12754053007614163</v>
      </c>
      <c r="AD252" s="44">
        <v>0.13599697442799386</v>
      </c>
      <c r="AE252" s="652">
        <v>0.14418978927652826</v>
      </c>
      <c r="AG252" s="37"/>
    </row>
    <row r="253" spans="2:33" outlineLevel="1">
      <c r="B253" s="37"/>
      <c r="C253" s="37"/>
      <c r="D253" s="37"/>
      <c r="E253" s="37"/>
      <c r="G253" s="27"/>
      <c r="H253" s="27"/>
      <c r="I253" s="27"/>
      <c r="J253" s="27"/>
      <c r="K253" s="27"/>
      <c r="L253" s="27"/>
      <c r="M253" s="27"/>
      <c r="O253" s="1278"/>
      <c r="P253" s="454" t="str">
        <f>IF(LeveragedIRRSensitivityType=200,"Leveraged IRR","Partnership IRR")</f>
        <v>Leveraged IRR</v>
      </c>
      <c r="Q253" s="44">
        <f>IF(LeveragedIRRSensitivityType=200,LeveredIRR,PartnershipIRR)</f>
        <v>0.16421136998081587</v>
      </c>
      <c r="R253" s="651">
        <v>0.13126042297177443</v>
      </c>
      <c r="S253" s="44">
        <v>0.12998142810953284</v>
      </c>
      <c r="T253" s="231">
        <v>0.12754053007614163</v>
      </c>
      <c r="U253" s="44">
        <v>0.12620885958836103</v>
      </c>
      <c r="V253" s="652">
        <v>0.12374585696990592</v>
      </c>
      <c r="X253" s="1278"/>
      <c r="Y253" s="454" t="str">
        <f t="shared" si="71"/>
        <v>Leveraged IRR</v>
      </c>
      <c r="Z253" s="44">
        <f t="shared" si="71"/>
        <v>0.16421136998081587</v>
      </c>
      <c r="AA253" s="651">
        <v>0.10974305416009522</v>
      </c>
      <c r="AB253" s="44">
        <v>0.11879781373893672</v>
      </c>
      <c r="AC253" s="231">
        <v>0.12754053007614163</v>
      </c>
      <c r="AD253" s="44">
        <v>0.13599697442799386</v>
      </c>
      <c r="AE253" s="652">
        <v>0.14418978927652826</v>
      </c>
      <c r="AG253" s="37"/>
    </row>
    <row r="254" spans="2:33" outlineLevel="1">
      <c r="B254" s="37"/>
      <c r="C254" s="37"/>
      <c r="D254" s="37"/>
      <c r="E254" s="37"/>
      <c r="G254" s="27"/>
      <c r="H254" s="27"/>
      <c r="I254" s="27"/>
      <c r="J254" s="27"/>
      <c r="K254" s="27"/>
      <c r="L254" s="27"/>
      <c r="M254" s="27"/>
      <c r="O254" s="1278"/>
      <c r="P254" s="454" t="str">
        <f>IF(LeveragedIRRSensitivityType=200,"Equity Multiple","Part'ship Eq. Mult.")</f>
        <v>Equity Multiple</v>
      </c>
      <c r="Q254" s="98">
        <f>IF(LeveragedIRRSensitivityType=200,IF('CF Calculations'!$O$122=0,0,('CF Calculations'!$O$108/'CF Calculations'!$O$122)+1),IF(LeveredFundingReq+'CF Calculations'!#REF!,'CF Calculations'!#REF!/(LeveredFundingReq+'CF Calculations'!#REF!)+1,))</f>
        <v>2.5172372550407625</v>
      </c>
      <c r="R254" s="683">
        <v>2.1341985060708879</v>
      </c>
      <c r="S254" s="684">
        <v>2.1198750261643724</v>
      </c>
      <c r="T254" s="685">
        <v>2.0927345950765464</v>
      </c>
      <c r="U254" s="684">
        <v>2.0780353874900754</v>
      </c>
      <c r="V254" s="686">
        <v>2.0510479149252694</v>
      </c>
      <c r="X254" s="1278"/>
      <c r="Y254" s="454" t="str">
        <f t="shared" si="71"/>
        <v>Equity Multiple</v>
      </c>
      <c r="Z254" s="98">
        <f t="shared" si="71"/>
        <v>2.5172372550407625</v>
      </c>
      <c r="AA254" s="683">
        <v>1.9024859955241327</v>
      </c>
      <c r="AB254" s="684">
        <v>1.9976102953003396</v>
      </c>
      <c r="AC254" s="685">
        <v>2.0927345950765464</v>
      </c>
      <c r="AD254" s="684">
        <v>2.1878588948527522</v>
      </c>
      <c r="AE254" s="686">
        <v>2.2829831946289589</v>
      </c>
      <c r="AG254" s="37"/>
    </row>
    <row r="255" spans="2:33" outlineLevel="1">
      <c r="B255" s="37"/>
      <c r="C255" s="37"/>
      <c r="D255" s="37"/>
      <c r="E255" s="37"/>
      <c r="G255" s="27"/>
      <c r="H255" s="27"/>
      <c r="I255" s="27"/>
      <c r="J255" s="27"/>
      <c r="K255" s="27"/>
      <c r="L255" s="27"/>
      <c r="M255" s="27"/>
      <c r="O255" s="37"/>
      <c r="P255" s="37"/>
      <c r="Q255" s="37"/>
      <c r="R255" s="37"/>
      <c r="S255" s="37"/>
      <c r="T255" s="37"/>
      <c r="U255" s="37"/>
      <c r="V255" s="37"/>
      <c r="X255" s="37"/>
      <c r="Y255" s="37"/>
      <c r="Z255" s="37"/>
      <c r="AA255" s="37"/>
      <c r="AB255" s="37"/>
      <c r="AC255" s="37"/>
      <c r="AD255" s="37"/>
      <c r="AE255" s="37"/>
      <c r="AG255" s="37"/>
    </row>
  </sheetData>
  <sheetProtection sheet="1" scenarios="1" formatCells="0" formatColumns="0" formatRows="0" sort="0" autoFilter="0" pivotTables="0"/>
  <mergeCells count="132">
    <mergeCell ref="D33:E33"/>
    <mergeCell ref="F33:G33"/>
    <mergeCell ref="W33:X33"/>
    <mergeCell ref="AD33:AE33"/>
    <mergeCell ref="W34:X34"/>
    <mergeCell ref="AD34:AE34"/>
    <mergeCell ref="B17:M24"/>
    <mergeCell ref="F31:G31"/>
    <mergeCell ref="L31:M31"/>
    <mergeCell ref="W31:X31"/>
    <mergeCell ref="AD31:AE31"/>
    <mergeCell ref="F32:G32"/>
    <mergeCell ref="L32:M32"/>
    <mergeCell ref="W32:X32"/>
    <mergeCell ref="AD32:AE32"/>
    <mergeCell ref="F37:G37"/>
    <mergeCell ref="L37:M37"/>
    <mergeCell ref="W37:X37"/>
    <mergeCell ref="AD37:AE37"/>
    <mergeCell ref="F38:G38"/>
    <mergeCell ref="L38:M38"/>
    <mergeCell ref="W38:X38"/>
    <mergeCell ref="W35:X35"/>
    <mergeCell ref="AD35:AE35"/>
    <mergeCell ref="F36:G36"/>
    <mergeCell ref="L36:M36"/>
    <mergeCell ref="W36:X36"/>
    <mergeCell ref="AD36:AE36"/>
    <mergeCell ref="D69:F69"/>
    <mergeCell ref="D70:F70"/>
    <mergeCell ref="D83:E83"/>
    <mergeCell ref="V129:X129"/>
    <mergeCell ref="Z129:AA129"/>
    <mergeCell ref="V130:X130"/>
    <mergeCell ref="Z130:AA130"/>
    <mergeCell ref="F39:G39"/>
    <mergeCell ref="L39:M39"/>
    <mergeCell ref="W39:X39"/>
    <mergeCell ref="F42:G42"/>
    <mergeCell ref="W42:X42"/>
    <mergeCell ref="B50:E50"/>
    <mergeCell ref="V134:X134"/>
    <mergeCell ref="Z134:AA134"/>
    <mergeCell ref="V135:X135"/>
    <mergeCell ref="Z135:AA135"/>
    <mergeCell ref="V136:X136"/>
    <mergeCell ref="Z136:AA136"/>
    <mergeCell ref="V131:X131"/>
    <mergeCell ref="Z131:AA131"/>
    <mergeCell ref="V132:X132"/>
    <mergeCell ref="Z132:AA132"/>
    <mergeCell ref="V133:X133"/>
    <mergeCell ref="Z133:AA133"/>
    <mergeCell ref="V140:X140"/>
    <mergeCell ref="Z140:AA140"/>
    <mergeCell ref="V141:X141"/>
    <mergeCell ref="Z141:AA141"/>
    <mergeCell ref="V142:X142"/>
    <mergeCell ref="Z142:AA142"/>
    <mergeCell ref="V137:X137"/>
    <mergeCell ref="Z137:AA137"/>
    <mergeCell ref="V138:X138"/>
    <mergeCell ref="Z138:AA138"/>
    <mergeCell ref="V139:X139"/>
    <mergeCell ref="Z139:AA139"/>
    <mergeCell ref="V146:X146"/>
    <mergeCell ref="Z146:AA146"/>
    <mergeCell ref="V147:X147"/>
    <mergeCell ref="Z147:AA147"/>
    <mergeCell ref="V148:X148"/>
    <mergeCell ref="Z148:AA148"/>
    <mergeCell ref="V143:X143"/>
    <mergeCell ref="Z143:AA143"/>
    <mergeCell ref="V144:X144"/>
    <mergeCell ref="Z144:AA144"/>
    <mergeCell ref="V145:X145"/>
    <mergeCell ref="Z145:AA145"/>
    <mergeCell ref="E172:F172"/>
    <mergeCell ref="U194:U195"/>
    <mergeCell ref="V194:V195"/>
    <mergeCell ref="W194:W195"/>
    <mergeCell ref="X194:X195"/>
    <mergeCell ref="AB196:AC196"/>
    <mergeCell ref="G154:H154"/>
    <mergeCell ref="D161:E161"/>
    <mergeCell ref="F161:G161"/>
    <mergeCell ref="D163:E163"/>
    <mergeCell ref="F163:G163"/>
    <mergeCell ref="E171:F171"/>
    <mergeCell ref="AB200:AC200"/>
    <mergeCell ref="D201:E201"/>
    <mergeCell ref="H201:I201"/>
    <mergeCell ref="J201:K201"/>
    <mergeCell ref="L201:M201"/>
    <mergeCell ref="AE196:AF197"/>
    <mergeCell ref="AB197:AC197"/>
    <mergeCell ref="AB198:AC198"/>
    <mergeCell ref="AE198:AE199"/>
    <mergeCell ref="AF198:AF199"/>
    <mergeCell ref="AB199:AC199"/>
    <mergeCell ref="D202:E202"/>
    <mergeCell ref="H202:I202"/>
    <mergeCell ref="J202:K202"/>
    <mergeCell ref="L202:M202"/>
    <mergeCell ref="D211:E211"/>
    <mergeCell ref="H211:I211"/>
    <mergeCell ref="J211:K211"/>
    <mergeCell ref="L211:M211"/>
    <mergeCell ref="D200:E200"/>
    <mergeCell ref="AA218:AB218"/>
    <mergeCell ref="AE218:AF218"/>
    <mergeCell ref="W216:X216"/>
    <mergeCell ref="AA216:AB216"/>
    <mergeCell ref="AE216:AF216"/>
    <mergeCell ref="W217:X217"/>
    <mergeCell ref="AA217:AB217"/>
    <mergeCell ref="AE217:AF217"/>
    <mergeCell ref="W214:X214"/>
    <mergeCell ref="AA214:AB214"/>
    <mergeCell ref="AE214:AF214"/>
    <mergeCell ref="W215:X215"/>
    <mergeCell ref="AA215:AB215"/>
    <mergeCell ref="AE215:AF215"/>
    <mergeCell ref="O249:O254"/>
    <mergeCell ref="X249:X254"/>
    <mergeCell ref="O227:O230"/>
    <mergeCell ref="X227:X230"/>
    <mergeCell ref="D232:E232"/>
    <mergeCell ref="O238:O241"/>
    <mergeCell ref="X238:X241"/>
    <mergeCell ref="D218:E218"/>
    <mergeCell ref="W218:X218"/>
  </mergeCells>
  <conditionalFormatting sqref="E205">
    <cfRule type="expression" dxfId="221" priority="151">
      <formula>OR($E$205=0,$E$195&lt;=$E$206)</formula>
    </cfRule>
    <cfRule type="cellIs" dxfId="220" priority="157" operator="lessThan">
      <formula>($E$195-$E$206)/12*($E$205&gt;0)</formula>
    </cfRule>
  </conditionalFormatting>
  <conditionalFormatting sqref="AF198">
    <cfRule type="expression" dxfId="219" priority="156">
      <formula>AND($AE$198=0,$AE$198&lt;&gt;"")</formula>
    </cfRule>
  </conditionalFormatting>
  <conditionalFormatting sqref="H198:I218">
    <cfRule type="expression" dxfId="218" priority="19" stopIfTrue="1">
      <formula>OR($I$195="",$I$195&lt;0,$I$195&gt;YrOfExit*12,$I$196&lt;=0)</formula>
    </cfRule>
  </conditionalFormatting>
  <conditionalFormatting sqref="W207:W208">
    <cfRule type="expression" dxfId="217" priority="153">
      <formula>$K$207=FixedInterest</formula>
    </cfRule>
  </conditionalFormatting>
  <conditionalFormatting sqref="X207:X208">
    <cfRule type="expression" dxfId="216" priority="152">
      <formula>$M$207=FixedInterest</formula>
    </cfRule>
  </conditionalFormatting>
  <conditionalFormatting sqref="F161:G165">
    <cfRule type="expression" dxfId="215" priority="131">
      <formula>NOT(IsReassAtExit)</formula>
    </cfRule>
  </conditionalFormatting>
  <conditionalFormatting sqref="D161:E165">
    <cfRule type="expression" dxfId="214" priority="121">
      <formula>$E$160=SelectionIsNo</formula>
    </cfRule>
  </conditionalFormatting>
  <conditionalFormatting sqref="B161:C165">
    <cfRule type="expression" dxfId="213" priority="146">
      <formula>AND(NOT(IsReassAtClosing),NOT(IsReassAtExit))</formula>
    </cfRule>
  </conditionalFormatting>
  <conditionalFormatting sqref="E197">
    <cfRule type="expression" dxfId="212" priority="140">
      <formula>AND($E$196&lt;&gt;"",YrOfExit*1,$E$197&gt;=YrOfExit*12)</formula>
    </cfRule>
    <cfRule type="expression" dxfId="211" priority="145">
      <formula>AND(AssumPydwnMnth&lt;&gt;"",AssumPydwnMnth&lt;AssumRemainTerm,AssumPydwnMnth&lt;YrOfExit*12)</formula>
    </cfRule>
  </conditionalFormatting>
  <conditionalFormatting sqref="B218">
    <cfRule type="expression" dxfId="210" priority="144">
      <formula>$E$197&gt;=$E$196</formula>
    </cfRule>
  </conditionalFormatting>
  <conditionalFormatting sqref="D218:E218">
    <cfRule type="expression" dxfId="209" priority="143">
      <formula>$E$197&gt;=$E$196</formula>
    </cfRule>
  </conditionalFormatting>
  <conditionalFormatting sqref="B206">
    <cfRule type="expression" dxfId="208" priority="142">
      <formula>NOT(AssumableHasAmort)</formula>
    </cfRule>
  </conditionalFormatting>
  <conditionalFormatting sqref="D201:E201">
    <cfRule type="containsBlanks" dxfId="207" priority="126">
      <formula>LEN(TRIM(D201))=0</formula>
    </cfRule>
  </conditionalFormatting>
  <conditionalFormatting sqref="B213:E214">
    <cfRule type="expression" dxfId="206" priority="141">
      <formula>AssumableInterestRateType=150</formula>
    </cfRule>
  </conditionalFormatting>
  <conditionalFormatting sqref="B196:B218">
    <cfRule type="expression" dxfId="205" priority="139">
      <formula>OR($E$195="",$E$195&lt;=0)</formula>
    </cfRule>
  </conditionalFormatting>
  <conditionalFormatting sqref="H213:I214">
    <cfRule type="expression" dxfId="204" priority="138">
      <formula>$I$207=FixedInterest</formula>
    </cfRule>
  </conditionalFormatting>
  <conditionalFormatting sqref="I212:M212">
    <cfRule type="expression" dxfId="203" priority="172">
      <formula>I$212=""</formula>
    </cfRule>
  </conditionalFormatting>
  <conditionalFormatting sqref="S78:BB79">
    <cfRule type="expression" dxfId="202" priority="50">
      <formula>AND(NOT(PrintFormat),$B78&lt;&gt;"",RehabInputDetailType=61,ISEVEN(ROW()-ROW($B$77)))</formula>
    </cfRule>
    <cfRule type="expression" dxfId="201" priority="132">
      <formula>AND(NOT(PrintFormat),$B78&lt;&gt;"",RehabInputDetailType=61)</formula>
    </cfRule>
    <cfRule type="expression" dxfId="200" priority="133">
      <formula>ISEVEN(ROW()-ROW($S$77))</formula>
    </cfRule>
  </conditionalFormatting>
  <conditionalFormatting sqref="G162">
    <cfRule type="containsBlanks" dxfId="199" priority="147">
      <formula>LEN(TRIM(G162))=0</formula>
    </cfRule>
  </conditionalFormatting>
  <conditionalFormatting sqref="S180:BB186">
    <cfRule type="expression" dxfId="198" priority="129">
      <formula>AND(NOT(PrintFormat),CapExInputDetailType=61,ISEVEN(ROW()-ROW($B$179)))</formula>
    </cfRule>
    <cfRule type="expression" dxfId="197" priority="130">
      <formula>AND(NOT(PrintFormat),CapExInputDetailType=61)</formula>
    </cfRule>
  </conditionalFormatting>
  <conditionalFormatting sqref="J198:K218">
    <cfRule type="expression" dxfId="196" priority="18" stopIfTrue="1">
      <formula>OR($K$195="",$K$195&lt;0,$K$195&gt;YrOfExit*12,$K$196&lt;=0)</formula>
    </cfRule>
  </conditionalFormatting>
  <conditionalFormatting sqref="J213:K214">
    <cfRule type="expression" dxfId="195" priority="128">
      <formula>$K$207=FixedInterest</formula>
    </cfRule>
  </conditionalFormatting>
  <conditionalFormatting sqref="L198:M218">
    <cfRule type="expression" dxfId="194" priority="14" stopIfTrue="1">
      <formula>OR($M$195="",$M$195&lt;0,$M$195&gt;YrOfExit*12,$M$196&lt;=0)</formula>
    </cfRule>
  </conditionalFormatting>
  <conditionalFormatting sqref="L213:M214">
    <cfRule type="expression" dxfId="193" priority="127">
      <formula>$M$207=FixedInterest</formula>
    </cfRule>
  </conditionalFormatting>
  <conditionalFormatting sqref="E196">
    <cfRule type="expression" dxfId="192" priority="79">
      <formula>OR($E$195="",$E$195&lt;=0)</formula>
    </cfRule>
    <cfRule type="containsBlanks" dxfId="191" priority="168">
      <formula>LEN(TRIM(E196))=0</formula>
    </cfRule>
  </conditionalFormatting>
  <conditionalFormatting sqref="D200:E200">
    <cfRule type="containsBlanks" dxfId="190" priority="169">
      <formula>LEN(TRIM(D200))=0</formula>
    </cfRule>
  </conditionalFormatting>
  <conditionalFormatting sqref="E208">
    <cfRule type="expression" dxfId="189" priority="104">
      <formula>AND(OR($E$205=0,$E$195&lt;=$E$206),$E$207=FixedInterest)</formula>
    </cfRule>
    <cfRule type="expression" dxfId="188" priority="124">
      <formula>AND(OR($E$205=0,$E$195&lt;=$E$206),$E$207&lt;&gt;FixedInterest)</formula>
    </cfRule>
    <cfRule type="expression" dxfId="187" priority="125">
      <formula>$E$207=FixedInterest</formula>
    </cfRule>
  </conditionalFormatting>
  <conditionalFormatting sqref="E212">
    <cfRule type="containsBlanks" dxfId="186" priority="167">
      <formula>LEN(TRIM(E212))=0</formula>
    </cfRule>
  </conditionalFormatting>
  <conditionalFormatting sqref="G196:G218">
    <cfRule type="expression" dxfId="185" priority="96">
      <formula>AND($I$195="",$K$195="",$M$195="")</formula>
    </cfRule>
  </conditionalFormatting>
  <conditionalFormatting sqref="T129:T148">
    <cfRule type="expression" dxfId="184" priority="135">
      <formula>AND(OR($F129&lt;&gt;EGR,AND($F129=EGR,ReimbMethodType=121)),SUM($G129:$Q129,$S129)&lt;&gt;0,ISEVEN(ROW()-ROW($T$128)))</formula>
    </cfRule>
    <cfRule type="expression" dxfId="183" priority="163">
      <formula>AND(OR($F129&lt;&gt;EGR,AND($F129=EGR,ReimbMethodType=121)),SUM($G129:$Q129,$S129)&lt;&gt;0)</formula>
    </cfRule>
  </conditionalFormatting>
  <conditionalFormatting sqref="Z129:AA148">
    <cfRule type="expression" dxfId="182" priority="91">
      <formula>AND($F129&lt;&gt;EGR,SUM($G129:$Q129,$S129)&lt;&gt;0,ISEVEN(ROW()-ROW($T$128)))</formula>
    </cfRule>
    <cfRule type="expression" dxfId="181" priority="122">
      <formula>AND($F129&lt;&gt;EGR,SUM($G129:$Q129,$S129)&lt;&gt;0)</formula>
    </cfRule>
  </conditionalFormatting>
  <conditionalFormatting sqref="X196:X205">
    <cfRule type="expression" dxfId="180" priority="93">
      <formula>AND($M$195&lt;&gt;"",$M$195&gt;=0,$M$195&lt;=YrOfExit*12,$S196&lt;=$M$194)</formula>
    </cfRule>
  </conditionalFormatting>
  <conditionalFormatting sqref="V196:V205">
    <cfRule type="expression" dxfId="179" priority="95">
      <formula>AND($I$195&lt;&gt;"",$I$195&gt;=0,$I$195&lt;=YrOfExit*12,$S196&lt;=$I$194)</formula>
    </cfRule>
  </conditionalFormatting>
  <conditionalFormatting sqref="W196:W205">
    <cfRule type="expression" dxfId="178" priority="62">
      <formula>AND(OR(PrintFormat,$S196&lt;=$K$194,$K$195="",$K$195&gt;YrOfExit*12,$K$207=FixedInterest),ISEVEN(ROW()-ROW($S$195)))</formula>
    </cfRule>
    <cfRule type="expression" dxfId="177" priority="74">
      <formula>OR(PrintFormat,$S196&lt;=$K$194,$K$195="",$K$195&gt;YrOfExit*12,$K$207=FixedInterest)</formula>
    </cfRule>
    <cfRule type="expression" dxfId="176" priority="94">
      <formula>AND($K$195&lt;&gt;"",$K$195&gt;=0,$K$195&lt;=YrOfExit*12,$S196&lt;=$K$194)</formula>
    </cfRule>
  </conditionalFormatting>
  <conditionalFormatting sqref="X196:X205">
    <cfRule type="expression" dxfId="175" priority="67">
      <formula>AND(OR(PrintFormat,$S196&lt;=$M$194,$M$195="",$M$195&gt;YrOfExit*12,$M$207=FixedInterest),ISEVEN(ROW()-ROW($S$195)))</formula>
    </cfRule>
    <cfRule type="expression" dxfId="174" priority="71">
      <formula>OR(PrintFormat,$S196&lt;=$M$194,$M$195="",$M$195&gt;YrOfExit*12,$M$207=FixedInterest)</formula>
    </cfRule>
  </conditionalFormatting>
  <conditionalFormatting sqref="V196:V205">
    <cfRule type="expression" dxfId="173" priority="68">
      <formula>AND(OR(PrintFormat,$S196&lt;=$I$194,$I$195="",$I$195&gt;YrOfExit*12,$I$207=FixedInterest),ISEVEN(ROW()-ROW($S$195)))</formula>
    </cfRule>
    <cfRule type="expression" dxfId="172" priority="73">
      <formula>OR(PrintFormat,$S196&lt;=$I$194,$I$195="",$I$195&gt;YrOfExit*12,$I$207=FixedInterest)</formula>
    </cfRule>
  </conditionalFormatting>
  <conditionalFormatting sqref="U196:U205">
    <cfRule type="expression" dxfId="171" priority="69">
      <formula>AND(OR(PrintFormat,$E$195=0,$E$207=FixedInterest),ISEVEN(ROW()-ROW($S$195)))</formula>
    </cfRule>
    <cfRule type="expression" dxfId="170" priority="72">
      <formula>OR(PrintFormat,$E$195=0,$E$207=FixedInterest)</formula>
    </cfRule>
  </conditionalFormatting>
  <conditionalFormatting sqref="F32:G32">
    <cfRule type="expression" dxfId="169" priority="77">
      <formula>AND(AcqValuationMethodType=132,Year1NOI&lt;0)</formula>
    </cfRule>
    <cfRule type="expression" dxfId="168" priority="89">
      <formula>AND(AcqValuationMethodType=130,$F$32="")</formula>
    </cfRule>
    <cfRule type="expression" dxfId="167" priority="111">
      <formula>AND(AcqValuationMethodType=133,InPlaceNOI&lt;0)</formula>
    </cfRule>
    <cfRule type="expression" dxfId="166" priority="112">
      <formula>AND(NOT(PrintFormat),NOT($F$32),AcqValuationMethodType=130,FirstGeneration,OriginalDealID*1)</formula>
    </cfRule>
  </conditionalFormatting>
  <conditionalFormatting sqref="M10:M11">
    <cfRule type="containsBlanks" dxfId="165" priority="120">
      <formula>LEN(TRIM(M10))=0</formula>
    </cfRule>
  </conditionalFormatting>
  <conditionalFormatting sqref="I199:M199">
    <cfRule type="expression" dxfId="164" priority="21">
      <formula>I$200&gt;0</formula>
    </cfRule>
    <cfRule type="expression" dxfId="163" priority="170">
      <formula>AND(I$199="",ISEVEN(COLUMN()-COLUMN($I$199)))</formula>
    </cfRule>
  </conditionalFormatting>
  <conditionalFormatting sqref="H201:M201">
    <cfRule type="expression" dxfId="162" priority="87">
      <formula>H$201=""</formula>
    </cfRule>
    <cfRule type="expression" dxfId="161" priority="88">
      <formula>AND(I$200*1,ROUND(I$199,2)&lt;=ROUND(H$200,2))</formula>
    </cfRule>
    <cfRule type="expression" dxfId="160" priority="171">
      <formula>ROUND(H$200,2)&lt;ROUND(I$199,2)</formula>
    </cfRule>
  </conditionalFormatting>
  <conditionalFormatting sqref="I200">
    <cfRule type="expression" dxfId="159" priority="92" stopIfTrue="1">
      <formula>Loan1AmountType&lt;&gt;70</formula>
    </cfRule>
  </conditionalFormatting>
  <conditionalFormatting sqref="K200">
    <cfRule type="expression" dxfId="158" priority="22" stopIfTrue="1">
      <formula>Loan2AmountType&lt;&gt;70</formula>
    </cfRule>
  </conditionalFormatting>
  <conditionalFormatting sqref="M200">
    <cfRule type="expression" dxfId="157" priority="20" stopIfTrue="1">
      <formula>Loan3AmountType&lt;&gt;70</formula>
    </cfRule>
  </conditionalFormatting>
  <conditionalFormatting sqref="F33:G33">
    <cfRule type="expression" dxfId="156" priority="81">
      <formula>AND(AcqValuationMethodType&lt;&gt;130,$F$33="")</formula>
    </cfRule>
    <cfRule type="expression" dxfId="155" priority="116">
      <formula>AND(NOT($F$33),AcqValuationMethodType&lt;&gt;130,FirstGeneration,OriginalDealID*1)</formula>
    </cfRule>
  </conditionalFormatting>
  <conditionalFormatting sqref="G225:M230">
    <cfRule type="expression" dxfId="154" priority="105">
      <formula>COUNTIF($F$53:$F$54,"&gt;0")=0</formula>
    </cfRule>
  </conditionalFormatting>
  <conditionalFormatting sqref="D172">
    <cfRule type="cellIs" dxfId="153" priority="154" operator="notEqual">
      <formula>ProjectedReserves</formula>
    </cfRule>
  </conditionalFormatting>
  <conditionalFormatting sqref="G78:I79">
    <cfRule type="expression" dxfId="152" priority="53">
      <formula>AND(NOT(PrintFormat),$B78&lt;&gt;"",RehabInputDetailType=60,ISEVEN(ROW()-ROW($B$77)))</formula>
    </cfRule>
    <cfRule type="expression" dxfId="151" priority="110">
      <formula>AND(NOT(PrintFormat),$B78&lt;&gt;"",RehabInputDetailType=60)</formula>
    </cfRule>
  </conditionalFormatting>
  <conditionalFormatting sqref="G180:I186">
    <cfRule type="expression" dxfId="150" priority="75">
      <formula>AND(NOT(PrintFormat),CapExInputDetailType=60,ISEVEN(ROW()-ROW($B$179)))</formula>
    </cfRule>
    <cfRule type="expression" dxfId="149" priority="109">
      <formula>AND(NOT(PrintFormat),CapExInputDetailType=60)</formula>
    </cfRule>
  </conditionalFormatting>
  <conditionalFormatting sqref="B153:J153">
    <cfRule type="expression" dxfId="148" priority="113">
      <formula>SUM($F$135:$Q$135,$S$135)=0</formula>
    </cfRule>
  </conditionalFormatting>
  <conditionalFormatting sqref="E234">
    <cfRule type="expression" dxfId="147" priority="108">
      <formula>PriceSensIncrementType=140</formula>
    </cfRule>
  </conditionalFormatting>
  <conditionalFormatting sqref="G90:Q94">
    <cfRule type="expression" dxfId="146" priority="10">
      <formula>AND(PrintFormat,ISEVEN(ROW()-ROW($B$89)))</formula>
    </cfRule>
  </conditionalFormatting>
  <conditionalFormatting sqref="B106:Q115">
    <cfRule type="expression" dxfId="145" priority="9">
      <formula>AND(PrintFormat,ISEVEN(ROW()-ROW($B$105)))</formula>
    </cfRule>
  </conditionalFormatting>
  <conditionalFormatting sqref="B129:Q148">
    <cfRule type="expression" dxfId="144" priority="7">
      <formula>AND(PrintFormat,ISEVEN(ROW()-ROW($B$128)))</formula>
    </cfRule>
  </conditionalFormatting>
  <conditionalFormatting sqref="B180:F186">
    <cfRule type="expression" dxfId="143" priority="2">
      <formula>AND(PrintFormat,ISEVEN(ROW()-ROW($B$179)))</formula>
    </cfRule>
  </conditionalFormatting>
  <conditionalFormatting sqref="G69:Q69">
    <cfRule type="expression" dxfId="142" priority="101">
      <formula>OR(AND(MarketRentGrowthType&lt;&gt;52,G$68=1),AND(MarketRentGrowthType&lt;&gt;52,G$69&lt;&gt;F$69,OR(G$68=2,G$68=3)),AND(G$69&lt;&gt;F$69,G$68&gt;3))</formula>
    </cfRule>
  </conditionalFormatting>
  <conditionalFormatting sqref="G106:G115">
    <cfRule type="expression" dxfId="141" priority="102">
      <formula>$G$105</formula>
    </cfRule>
  </conditionalFormatting>
  <conditionalFormatting sqref="G152:P152">
    <cfRule type="expression" dxfId="140" priority="103">
      <formula>OR(AND($G$152&lt;&gt;$G$151,G$128=1),AND(G$152&lt;&gt;IF(SUMPRODUCT((F152:$G152&lt;&gt;F$151:$G$151)*1),F152,G$151),G$128&gt;1))</formula>
    </cfRule>
  </conditionalFormatting>
  <conditionalFormatting sqref="G151">
    <cfRule type="expression" dxfId="139" priority="100">
      <formula>$G$151</formula>
    </cfRule>
  </conditionalFormatting>
  <conditionalFormatting sqref="H151:P151">
    <cfRule type="expression" dxfId="138" priority="99">
      <formula>H$151&lt;&gt;G$151</formula>
    </cfRule>
  </conditionalFormatting>
  <conditionalFormatting sqref="G171">
    <cfRule type="expression" dxfId="137" priority="98">
      <formula>$G$171</formula>
    </cfRule>
  </conditionalFormatting>
  <conditionalFormatting sqref="S207:S208">
    <cfRule type="expression" dxfId="136" priority="97">
      <formula>AND(AssumableInterestRateType=150,Loan1InterestRateType=150,Loan2InterestRateType=150,Loan3InterestRateType=150)</formula>
    </cfRule>
  </conditionalFormatting>
  <conditionalFormatting sqref="D197:E218">
    <cfRule type="expression" dxfId="135" priority="86">
      <formula>OR($E$195="",$E$195&lt;=0,$E$196&lt;=0)</formula>
    </cfRule>
  </conditionalFormatting>
  <conditionalFormatting sqref="B17 B160:G165 J180:P186 D194:E219 AB194:AF200 V213:AF218 U207:X208 D75 D83:J83 S69:BB70 G90:Q94 K31:M38 W31:X37 H194:M219 S129:T148 Z129:AM148 D171:Q172 G118:P118 D69:Q70 F151:P154 L160 V147:X148 M10:M11 AC31:AE37 B129:Q148 B177:F187 D31:G41 D225:E241 B53:C54 B106:Q115">
    <cfRule type="expression" dxfId="134" priority="1">
      <formula>PrintFormat</formula>
    </cfRule>
  </conditionalFormatting>
  <conditionalFormatting sqref="U196">
    <cfRule type="expression" dxfId="133" priority="165">
      <formula>$U$196&lt;&gt;AssumBseRate</formula>
    </cfRule>
  </conditionalFormatting>
  <conditionalFormatting sqref="V196">
    <cfRule type="expression" dxfId="132" priority="164">
      <formula>$V$196&lt;&gt;Loan1BseRate</formula>
    </cfRule>
  </conditionalFormatting>
  <conditionalFormatting sqref="W196">
    <cfRule type="expression" dxfId="131" priority="161">
      <formula>$W$196&lt;&gt;Loan2BseRate</formula>
    </cfRule>
  </conditionalFormatting>
  <conditionalFormatting sqref="X196">
    <cfRule type="expression" dxfId="130" priority="162">
      <formula>$X$196&lt;&gt;Loan3BseRate</formula>
    </cfRule>
  </conditionalFormatting>
  <conditionalFormatting sqref="U197:X205">
    <cfRule type="expression" dxfId="129" priority="159">
      <formula>AND(U197&lt;&gt;U196,ISEVEN(ROW()-ROW($S$195)))</formula>
    </cfRule>
    <cfRule type="expression" dxfId="128" priority="160">
      <formula>U197&lt;&gt;U196</formula>
    </cfRule>
  </conditionalFormatting>
  <conditionalFormatting sqref="G206">
    <cfRule type="expression" dxfId="127" priority="115">
      <formula>AND(NOT(L1HasAmort),NOT(L2HasAmort),NOT(L3HasAmort))</formula>
    </cfRule>
  </conditionalFormatting>
  <conditionalFormatting sqref="B44">
    <cfRule type="notContainsBlanks" dxfId="126" priority="90">
      <formula>LEN(TRIM(B44))&gt;0</formula>
    </cfRule>
  </conditionalFormatting>
  <conditionalFormatting sqref="L32:M32">
    <cfRule type="expression" dxfId="125" priority="78">
      <formula>AND(DispValuationType=11,ReversionNOI&lt;0)</formula>
    </cfRule>
    <cfRule type="expression" dxfId="124" priority="80">
      <formula>AND(NOT(DispValuationType),NOT($L$32))</formula>
    </cfRule>
    <cfRule type="expression" dxfId="123" priority="84">
      <formula>AND(NOT(PrintFormat),$L$32="",FirstGeneration,OriginalDealID*1)</formula>
    </cfRule>
  </conditionalFormatting>
  <conditionalFormatting sqref="S129:T148">
    <cfRule type="expression" dxfId="122" priority="6">
      <formula>AND(PrintFormat,ISEVEN(ROW()-ROW($B$128)))</formula>
    </cfRule>
  </conditionalFormatting>
  <conditionalFormatting sqref="Z129:AM148">
    <cfRule type="expression" dxfId="121" priority="4">
      <formula>AND(PrintFormat,ISEVEN(ROW()-ROW($B$128)))</formula>
    </cfRule>
  </conditionalFormatting>
  <conditionalFormatting sqref="J180:P186">
    <cfRule type="expression" dxfId="120" priority="3">
      <formula>AND(PrintFormat,ISEVEN(ROW()-ROW($B$179)))</formula>
    </cfRule>
  </conditionalFormatting>
  <conditionalFormatting sqref="AD213:AF218">
    <cfRule type="expression" dxfId="119" priority="85">
      <formula>OR($M$195="",$M$195&lt;0,$M$195&gt;YrOfExit*12,$M$196&lt;=0)</formula>
    </cfRule>
  </conditionalFormatting>
  <conditionalFormatting sqref="H171:Q171">
    <cfRule type="expression" dxfId="118" priority="175">
      <formula>H$171&lt;&gt;G$171*(1+G$151*(ReserveInflationMethod=Grown))</formula>
    </cfRule>
  </conditionalFormatting>
  <conditionalFormatting sqref="H143:Q143">
    <cfRule type="expression" dxfId="117" priority="176">
      <formula>$E$165=H$128</formula>
    </cfRule>
  </conditionalFormatting>
  <conditionalFormatting sqref="M33">
    <cfRule type="expression" dxfId="116" priority="82">
      <formula>AND(NOT(DispValuationType),NOT($M$33))</formula>
    </cfRule>
    <cfRule type="expression" dxfId="115" priority="83">
      <formula>AND(NOT(PrintFormat),$M$33="",FirstGeneration,OriginalDealID*1)</formula>
    </cfRule>
  </conditionalFormatting>
  <conditionalFormatting sqref="AN129:AN148">
    <cfRule type="expression" dxfId="114" priority="58">
      <formula>$Z129&lt;&gt;UniformDist</formula>
    </cfRule>
  </conditionalFormatting>
  <conditionalFormatting sqref="B53:C54">
    <cfRule type="expression" dxfId="113" priority="5">
      <formula>AND(PrintFormat,ISEVEN(ROW()-ROW($B$52)))</formula>
    </cfRule>
    <cfRule type="expression" dxfId="112" priority="181">
      <formula>AND(NOT(PrintFormat),ISEVEN(ROW()-ROW($B$52)))</formula>
    </cfRule>
  </conditionalFormatting>
  <conditionalFormatting sqref="I53:I54">
    <cfRule type="expression" dxfId="111" priority="55">
      <formula>ISEVEN(ROW()-ROW($I$52))</formula>
    </cfRule>
  </conditionalFormatting>
  <conditionalFormatting sqref="S53:AB54">
    <cfRule type="expression" dxfId="110" priority="54">
      <formula>ISEVEN(ROW()-ROW($T$52))</formula>
    </cfRule>
  </conditionalFormatting>
  <conditionalFormatting sqref="B78:E79">
    <cfRule type="expression" dxfId="109" priority="134">
      <formula>ISEVEN(ROW()-ROW($B$77))</formula>
    </cfRule>
  </conditionalFormatting>
  <conditionalFormatting sqref="G78:P79">
    <cfRule type="expression" dxfId="108" priority="166">
      <formula>ISEVEN(ROW()-ROW($G$77))</formula>
    </cfRule>
  </conditionalFormatting>
  <conditionalFormatting sqref="F78:F79">
    <cfRule type="expression" dxfId="107" priority="52">
      <formula>ISEVEN(ROW()-ROW($F$77))</formula>
    </cfRule>
  </conditionalFormatting>
  <conditionalFormatting sqref="Q78:Q79">
    <cfRule type="expression" dxfId="106" priority="51">
      <formula>ISEVEN(ROW()-ROW($F$77))</formula>
    </cfRule>
  </conditionalFormatting>
  <conditionalFormatting sqref="R78:R79">
    <cfRule type="expression" dxfId="105" priority="44">
      <formula>$Q78&gt;$R78</formula>
    </cfRule>
  </conditionalFormatting>
  <conditionalFormatting sqref="AA227:AE230">
    <cfRule type="expression" dxfId="104" priority="43">
      <formula>MaxLoanTerm&lt;$Z227*12</formula>
    </cfRule>
  </conditionalFormatting>
  <conditionalFormatting sqref="AA238:AE241">
    <cfRule type="expression" dxfId="103" priority="42">
      <formula>MaxLoanTerm&lt;$Z238*12</formula>
    </cfRule>
  </conditionalFormatting>
  <conditionalFormatting sqref="H53:H54">
    <cfRule type="expression" dxfId="102" priority="177">
      <formula>AND(NOT(PrintFormat),$B53&lt;&gt;"",$H53=0,ISEVEN(ROW()-ROW($B$52)))</formula>
    </cfRule>
    <cfRule type="expression" dxfId="101" priority="178">
      <formula>AND(NOT(PrintFormat),$B53&lt;&gt;"",$H53=0)</formula>
    </cfRule>
  </conditionalFormatting>
  <conditionalFormatting sqref="L53:L54">
    <cfRule type="expression" dxfId="100" priority="57">
      <formula>AND(NOT(PrintFormat),$B53&lt;&gt;"",$L53="",ISEVEN(ROW()-ROW($B$52)))</formula>
    </cfRule>
    <cfRule type="expression" dxfId="99" priority="76">
      <formula>AND(NOT(PrintFormat),$B53&lt;&gt;"",$L53="")</formula>
    </cfRule>
  </conditionalFormatting>
  <conditionalFormatting sqref="H56">
    <cfRule type="cellIs" dxfId="98" priority="40" operator="greaterThanOrEqual">
      <formula>1000</formula>
    </cfRule>
  </conditionalFormatting>
  <conditionalFormatting sqref="D53:H54">
    <cfRule type="expression" dxfId="97" priority="183">
      <formula>ISEVEN(ROW()-ROW($B$52))</formula>
    </cfRule>
  </conditionalFormatting>
  <conditionalFormatting sqref="F53:H54">
    <cfRule type="expression" dxfId="96" priority="180">
      <formula>AND($B53&lt;&gt;"",NOT(PrintFormat),ISEVEN(ROW()-ROW($B$52)))</formula>
    </cfRule>
    <cfRule type="expression" dxfId="95" priority="182">
      <formula>AND($B53&lt;&gt;"",NOT(PrintFormat))</formula>
    </cfRule>
  </conditionalFormatting>
  <conditionalFormatting sqref="Y49:AB57">
    <cfRule type="expression" dxfId="94" priority="41">
      <formula>NOT(IsRenov)</formula>
    </cfRule>
  </conditionalFormatting>
  <conditionalFormatting sqref="G70:Q70">
    <cfRule type="expression" dxfId="93" priority="65">
      <formula>OR(AND(OtherRentGrowthType&lt;&gt;52,G$68=1,G$70&lt;&gt;G$69),AND(OtherRentGrowthType&lt;&gt;52,G$70&lt;&gt;IF(SUMPRODUCT((F70:$G70&lt;&gt;F$69:$G$69)*1),F70,G$69),OR(G$68=2,G$68=3)),AND(G$70&lt;&gt;IF(SUMPRODUCT((F70:$G70&lt;&gt;F$69:$G$69)*1),F70,G$69),G$68&gt;3))</formula>
    </cfRule>
  </conditionalFormatting>
  <conditionalFormatting sqref="G90:G94">
    <cfRule type="expression" dxfId="92" priority="64">
      <formula>AND(ISEVEN(ROW()-ROW($G$89)),NOT(ISBLANK($G90)))</formula>
    </cfRule>
    <cfRule type="expression" dxfId="91" priority="106">
      <formula>NOT(ISBLANK($G90))</formula>
    </cfRule>
  </conditionalFormatting>
  <conditionalFormatting sqref="AB129:AM148">
    <cfRule type="expression" dxfId="90" priority="184">
      <formula>AND(SUM($G129:$Q129,$S129)&lt;&gt;0,$F129&lt;&gt;EGR,$Z129&lt;&gt;UniformDist,ISEVEN(ROW()-ROW($B$128)))</formula>
    </cfRule>
    <cfRule type="expression" dxfId="89" priority="185">
      <formula>AND(SUM($G129:$Q129,$S129)&lt;&gt;0,$F129&lt;&gt;EGR,$Z129&lt;&gt;UniformDist)</formula>
    </cfRule>
  </conditionalFormatting>
  <conditionalFormatting sqref="F128">
    <cfRule type="expression" dxfId="88" priority="33">
      <formula>$F$128=GrownOverHistoricals</formula>
    </cfRule>
    <cfRule type="expression" dxfId="87" priority="37">
      <formula>PrintFormat</formula>
    </cfRule>
  </conditionalFormatting>
  <conditionalFormatting sqref="F143">
    <cfRule type="expression" dxfId="86" priority="38">
      <formula>$E$165=1</formula>
    </cfRule>
  </conditionalFormatting>
  <conditionalFormatting sqref="E143">
    <cfRule type="expression" dxfId="85" priority="39">
      <formula>$E$165=1</formula>
    </cfRule>
  </conditionalFormatting>
  <conditionalFormatting sqref="S143">
    <cfRule type="expression" dxfId="84" priority="61">
      <formula>$G$160=SelectionIsYes</formula>
    </cfRule>
  </conditionalFormatting>
  <conditionalFormatting sqref="D127:D128">
    <cfRule type="expression" dxfId="83" priority="34" stopIfTrue="1">
      <formula>PrintFormat</formula>
    </cfRule>
    <cfRule type="expression" dxfId="82" priority="35">
      <formula>$D127&lt;&gt;""</formula>
    </cfRule>
  </conditionalFormatting>
  <conditionalFormatting sqref="D33:E33">
    <cfRule type="expression" dxfId="81" priority="31" stopIfTrue="1">
      <formula>PrintFormat</formula>
    </cfRule>
    <cfRule type="expression" dxfId="80" priority="32">
      <formula>$D$33&lt;&gt;""</formula>
    </cfRule>
  </conditionalFormatting>
  <conditionalFormatting sqref="V148:X148">
    <cfRule type="expression" dxfId="79" priority="8">
      <formula>PrintFormat</formula>
    </cfRule>
  </conditionalFormatting>
  <conditionalFormatting sqref="B120">
    <cfRule type="expression" dxfId="78" priority="26">
      <formula>PrintFormat</formula>
    </cfRule>
  </conditionalFormatting>
  <conditionalFormatting sqref="D120:Q120">
    <cfRule type="expression" dxfId="77" priority="66">
      <formula>OR(ReimbMethodType=121,NOT(COUNTIF($G$120:$Q$120,"&lt;&gt;"&amp;0)))</formula>
    </cfRule>
  </conditionalFormatting>
  <conditionalFormatting sqref="H106:Q115">
    <cfRule type="expression" dxfId="76" priority="186">
      <formula>AND(H106&lt;&gt;G106*(1+G$118),ISEVEN(ROW()-ROW($B$105)))</formula>
    </cfRule>
    <cfRule type="expression" dxfId="75" priority="187">
      <formula>AND(H106&lt;&gt;G106*(1+G$118))</formula>
    </cfRule>
  </conditionalFormatting>
  <conditionalFormatting sqref="G118:P118">
    <cfRule type="expression" dxfId="74" priority="188">
      <formula>OR(AND($G$118&lt;&gt;$G$151,G$105=1),AND(G$105&gt;1,G$118&lt;&gt;IF(SUMPRODUCT((F118:$G118&lt;&gt;F$151:$G$151)*1),F118,G$151)))</formula>
    </cfRule>
  </conditionalFormatting>
  <conditionalFormatting sqref="B120:C120">
    <cfRule type="expression" dxfId="73" priority="30">
      <formula>OR(ReimbMethodType=121,NOT(COUNTIF($G$120:$Q$120,"&lt;&gt;"&amp;0)))</formula>
    </cfRule>
  </conditionalFormatting>
  <conditionalFormatting sqref="V213:X219">
    <cfRule type="expression" dxfId="72" priority="63">
      <formula>OR($I$195="",$I$195&lt;0,$I$195&gt;YrOfExit*12,$I$196&lt;=0)</formula>
    </cfRule>
  </conditionalFormatting>
  <conditionalFormatting sqref="Z194:AF203">
    <cfRule type="expression" dxfId="71" priority="24">
      <formula>OR($I$195="",$I$195&lt;0,$I$195&gt;YrOfExit*12,$I$196&lt;=0)</formula>
    </cfRule>
  </conditionalFormatting>
  <conditionalFormatting sqref="Z213:AB218">
    <cfRule type="expression" dxfId="70" priority="25">
      <formula>OR($K$195="",$K$195&lt;0,$K$195&gt;YrOfExit*12,$K$196&lt;=0)</formula>
    </cfRule>
  </conditionalFormatting>
  <conditionalFormatting sqref="S214:S218">
    <cfRule type="expression" dxfId="69" priority="23">
      <formula>AND($I$195="",$K$195="",$M$195="")</formula>
    </cfRule>
  </conditionalFormatting>
  <conditionalFormatting sqref="I196:M196">
    <cfRule type="expression" dxfId="68" priority="70">
      <formula>OR(I$195="",I$195&lt;0,I$195&gt;YrOfExit*12)</formula>
    </cfRule>
    <cfRule type="expression" dxfId="67" priority="173">
      <formula>I$196=""</formula>
    </cfRule>
  </conditionalFormatting>
  <conditionalFormatting sqref="I205:M205">
    <cfRule type="expression" dxfId="66" priority="155">
      <formula>AND(OR(I$205=0,I$196&lt;=I$206),ISEVEN(COLUMN()-COLUMN($I$205)))</formula>
    </cfRule>
    <cfRule type="expression" dxfId="65" priority="158">
      <formula>AND(I$205&lt;(I$196-I$206)/12,I$205&gt;0,ISEVEN(COLUMN()-COLUMN($I$205)))</formula>
    </cfRule>
  </conditionalFormatting>
  <conditionalFormatting sqref="I208:M208">
    <cfRule type="expression" dxfId="64" priority="118">
      <formula>AND(OR(I$205=0,I$196&lt;=I$206),I$207=FixedInterest)</formula>
    </cfRule>
    <cfRule type="expression" dxfId="63" priority="136">
      <formula>AND(OR(I$205=0,I$196&lt;=I$206),I$207&lt;&gt;FixedInterest)</formula>
    </cfRule>
    <cfRule type="expression" dxfId="62" priority="137">
      <formula>I$207=FixedInterest</formula>
    </cfRule>
  </conditionalFormatting>
  <conditionalFormatting sqref="B154:H154">
    <cfRule type="expression" dxfId="61" priority="114">
      <formula>$B$154=""</formula>
    </cfRule>
  </conditionalFormatting>
  <conditionalFormatting sqref="B152:P152">
    <cfRule type="expression" dxfId="60" priority="60">
      <formula>RealEstateTaxEGR=EGR</formula>
    </cfRule>
  </conditionalFormatting>
  <conditionalFormatting sqref="G236:M241">
    <cfRule type="expression" dxfId="59" priority="15">
      <formula>NOT(IsRenov)</formula>
    </cfRule>
  </conditionalFormatting>
  <conditionalFormatting sqref="G247:M252">
    <cfRule type="expression" dxfId="58" priority="17">
      <formula>NOT(IsRenov)</formula>
    </cfRule>
  </conditionalFormatting>
  <conditionalFormatting sqref="B242:E248">
    <cfRule type="expression" dxfId="57" priority="16">
      <formula>NOT(IsRenov)</formula>
    </cfRule>
  </conditionalFormatting>
  <conditionalFormatting sqref="F53:G54">
    <cfRule type="expression" dxfId="56" priority="56">
      <formula>AND(NOT(PrintFormat),$B53&lt;&gt;"",F53="",COUNTIF(F$53:F$54,"&lt;&gt;"&amp;""),ISEVEN(ROW()-ROW($F$52)))</formula>
    </cfRule>
    <cfRule type="expression" dxfId="55" priority="179">
      <formula>AND(NOT(PrintFormat),$B53&lt;&gt;"",F53="",COUNTIF(F$53:F$54,"&lt;&gt;"&amp;""))</formula>
    </cfRule>
  </conditionalFormatting>
  <conditionalFormatting sqref="J53:O54">
    <cfRule type="expression" dxfId="54" priority="45">
      <formula>AND(OR(PrintFormat,$B53=""),ISEVEN(ROW()-ROW($J$52)))</formula>
    </cfRule>
    <cfRule type="expression" dxfId="53" priority="189">
      <formula>AND(NOT(PrintFormat),$B53&lt;&gt;"",ISEVEN(ROW()-ROW($B$52)))</formula>
    </cfRule>
    <cfRule type="expression" dxfId="52" priority="190">
      <formula>AND(NOT(PrintFormat),$B53&lt;&gt;"")</formula>
    </cfRule>
  </conditionalFormatting>
  <conditionalFormatting sqref="J78:P79">
    <cfRule type="expression" dxfId="51" priority="46">
      <formula>AND(NOT(PrintFormat),$B78&lt;&gt;"",ISEVEN(ROW()-ROW($B$77)))</formula>
    </cfRule>
    <cfRule type="expression" dxfId="50" priority="47">
      <formula>AND(NOT(PrintFormat),$B78&lt;&gt;"")</formula>
    </cfRule>
  </conditionalFormatting>
  <conditionalFormatting sqref="D78:E79">
    <cfRule type="expression" dxfId="49" priority="48">
      <formula>AND(NOT(PrintFormat),$B78&lt;&gt;"",ISEVEN(ROW()-ROW($B$77)))</formula>
    </cfRule>
    <cfRule type="expression" dxfId="48" priority="49">
      <formula>AND(NOT(PrintFormat),$B78&lt;&gt;"")</formula>
    </cfRule>
  </conditionalFormatting>
  <conditionalFormatting sqref="G164">
    <cfRule type="containsBlanks" dxfId="47" priority="149">
      <formula>LEN(TRIM(G164))=0</formula>
    </cfRule>
  </conditionalFormatting>
  <conditionalFormatting sqref="E164">
    <cfRule type="containsBlanks" dxfId="46" priority="150">
      <formula>LEN(TRIM(E164))=0</formula>
    </cfRule>
  </conditionalFormatting>
  <conditionalFormatting sqref="E162">
    <cfRule type="containsBlanks" dxfId="45" priority="148">
      <formula>LEN(TRIM(E162))=0</formula>
    </cfRule>
  </conditionalFormatting>
  <conditionalFormatting sqref="B194:E219">
    <cfRule type="expression" dxfId="44" priority="11">
      <formula>IsMAL</formula>
    </cfRule>
  </conditionalFormatting>
  <dataValidations count="25">
    <dataValidation type="decimal" errorStyle="warning" operator="lessThan" allowBlank="1" showInputMessage="1" showErrorMessage="1" errorTitle="Please confirm your entry" error="You have entered greater than 100 YEARS as the amortization period. If this is what you intended then click YES." sqref="I205 K205 M205" xr:uid="{00000000-0002-0000-0E00-000000000000}">
      <formula1>100</formula1>
    </dataValidation>
    <dataValidation type="list" allowBlank="1" showInputMessage="1" showErrorMessage="1" sqref="V129:X146" xr:uid="{00000000-0002-0000-0E00-000001000000}">
      <formula1>RMMainCat</formula1>
    </dataValidation>
    <dataValidation type="list" allowBlank="1" showInputMessage="1" showErrorMessage="1" promptTitle="Unit Type Selection" prompt="Use this drop-down to change unit types for all expenses. Alternatively, use any drop-down below to select an individual unit type for any line item (i.e. $/unit, $/sf, % EGR, etc)." sqref="F128" xr:uid="{00000000-0002-0000-0E00-000002000000}">
      <formula1>ExpUnitType</formula1>
    </dataValidation>
    <dataValidation type="list" allowBlank="1" showInputMessage="1" showErrorMessage="1" sqref="F106:F115 F120" xr:uid="{00000000-0002-0000-0E00-000003000000}">
      <formula1>OIFreq</formula1>
    </dataValidation>
    <dataValidation type="list" allowBlank="1" showInputMessage="1" showErrorMessage="1" sqref="E106:E115 E120" xr:uid="{00000000-0002-0000-0E00-000004000000}">
      <formula1>OIUnitType</formula1>
    </dataValidation>
    <dataValidation type="list" allowBlank="1" showInputMessage="1" showErrorMessage="1" sqref="F129:F148" xr:uid="{00000000-0002-0000-0E00-000005000000}">
      <formula1>ExpUnitType</formula1>
    </dataValidation>
    <dataValidation type="decimal" allowBlank="1" showInputMessage="1" showErrorMessage="1" errorTitle="Incorrect Input" error="Please make sure you have entered a number." sqref="G69:BB70" xr:uid="{00000000-0002-0000-0E00-000006000000}">
      <formula1>-9999999</formula1>
      <formula2>9999999</formula2>
    </dataValidation>
    <dataValidation type="list" allowBlank="1" showInputMessage="1" showErrorMessage="1" prompt="Select which Main Expense Category to assign this line item" sqref="V147:V148" xr:uid="{00000000-0002-0000-0E00-000007000000}">
      <formula1>RMExpLinesExCustom</formula1>
    </dataValidation>
    <dataValidation type="whole" allowBlank="1" showInputMessage="1" showErrorMessage="1" errorTitle="Number of Bedrooms" error="Please enter an integer for the number of bedrooms (0 = Studio). Alternatively, this field may be left blank." sqref="G53:G54" xr:uid="{00000000-0002-0000-0E00-000008000000}">
      <formula1>0</formula1>
      <formula2>12</formula2>
    </dataValidation>
    <dataValidation type="decimal" errorStyle="warning" operator="notEqual" allowBlank="1" showInputMessage="1" showErrorMessage="1" errorTitle="Please confirm your entry" error="You have entered “1” for month of origination.  If you intended for the loan to be funded at acquisition, then please change the entry to “0” (At Closing)." promptTitle="Month of Origination" prompt="Enter 0 for deals with debt funded at close.  Enter 1 for deals that close all cash, with the debt funded shortly after close.  " sqref="I195 K195 M195" xr:uid="{00000000-0002-0000-0E00-000009000000}">
      <formula1>1</formula1>
    </dataValidation>
    <dataValidation type="list" allowBlank="1" showInputMessage="1" showErrorMessage="1" sqref="D75 D177" xr:uid="{00000000-0002-0000-0E00-00000A000000}">
      <formula1>AnnualOrMonthlyDetail</formula1>
    </dataValidation>
    <dataValidation type="list" allowBlank="1" showInputMessage="1" showErrorMessage="1" sqref="Z129:AA148" xr:uid="{00000000-0002-0000-0E00-00000B000000}">
      <formula1>ExpDistribution</formula1>
    </dataValidation>
    <dataValidation type="whole" allowBlank="1" showInputMessage="1" showErrorMessage="1" errorTitle="Invalid entry" error="Hold period must be a whole number between 1 and 10 years." sqref="M11" xr:uid="{00000000-0002-0000-0E00-00000C000000}">
      <formula1>1</formula1>
      <formula2>10</formula2>
    </dataValidation>
    <dataValidation type="list" showInputMessage="1" showErrorMessage="1" sqref="E208" xr:uid="{00000000-0002-0000-0E00-00000D000000}">
      <formula1>AssumPmntDropDown</formula1>
    </dataValidation>
    <dataValidation type="list" allowBlank="1" showInputMessage="1" showErrorMessage="1" sqref="M208" xr:uid="{00000000-0002-0000-0E00-00000E000000}">
      <formula1>Loan3PmntDropdown</formula1>
    </dataValidation>
    <dataValidation type="list" showInputMessage="1" showErrorMessage="1" sqref="K208" xr:uid="{00000000-0002-0000-0E00-00000F000000}">
      <formula1>Loan2PmntDropdown</formula1>
    </dataValidation>
    <dataValidation type="list" showInputMessage="1" showErrorMessage="1" sqref="I208" xr:uid="{00000000-0002-0000-0E00-000010000000}">
      <formula1>Loan1PmntDropdown</formula1>
    </dataValidation>
    <dataValidation type="list" allowBlank="1" showInputMessage="1" showErrorMessage="1" sqref="D211:E211 H211:M211" xr:uid="{00000000-0002-0000-0E00-000011000000}">
      <formula1>BaseRate</formula1>
    </dataValidation>
    <dataValidation type="list" allowBlank="1" showInputMessage="1" showErrorMessage="1" sqref="E207 I207 K207 M207" xr:uid="{00000000-0002-0000-0E00-000012000000}">
      <formula1>IntRateType</formula1>
    </dataValidation>
    <dataValidation type="list" allowBlank="1" showInputMessage="1" showErrorMessage="1" sqref="F31:G31" xr:uid="{00000000-0002-0000-0E00-000013000000}">
      <formula1>AcqPriceMethod</formula1>
    </dataValidation>
    <dataValidation type="list" allowBlank="1" showInputMessage="1" showErrorMessage="1" sqref="L31:M31" xr:uid="{00000000-0002-0000-0E00-000014000000}">
      <formula1>ExitPriceMethod</formula1>
    </dataValidation>
    <dataValidation type="list" allowBlank="1" showInputMessage="1" showErrorMessage="1" sqref="E160 G160 G41" xr:uid="{00000000-0002-0000-0E00-000015000000}">
      <formula1>YesOrNo</formula1>
    </dataValidation>
    <dataValidation type="list" allowBlank="1" showInputMessage="1" showErrorMessage="1" sqref="E171:F172 D83:E83" xr:uid="{00000000-0002-0000-0E00-000016000000}">
      <formula1>IsInflated</formula1>
    </dataValidation>
    <dataValidation type="list" allowBlank="1" showInputMessage="1" showErrorMessage="1" sqref="G154:H154" xr:uid="{00000000-0002-0000-0E00-000017000000}">
      <formula1>ReimbMethod</formula1>
    </dataValidation>
    <dataValidation type="list" showInputMessage="1" showErrorMessage="1" sqref="D69:D70" xr:uid="{00000000-0002-0000-0E00-000018000000}">
      <formula1>MktRentDist</formula1>
    </dataValidation>
  </dataValidations>
  <hyperlinks>
    <hyperlink ref="H56" location="TotalUnits" tooltip="Please make sure the number of units equals to Total Property Units" display="TotalUnits" xr:uid="{00000000-0004-0000-0E00-000000000000}"/>
    <hyperlink ref="A78:A79" location="SelectRenovatedFloorPlan" tooltip="All units in this pool have been marked as renovated in the rent roll." display="SelectRenovatedFloorPlan" xr:uid="{00000000-0004-0000-0E00-000001000000}"/>
    <hyperlink ref="N52" location="Input!N52" tooltip="Free text classification of lease type as Market, Affordable, Section 8, Rent Controlled, etc. Market rate units will be grown at one rate, all other units can be grown at another rate." display="Input!N52" xr:uid="{00000000-0004-0000-0E00-000002000000}"/>
    <hyperlink ref="D127:D128" location="AdjstedHistSelection" tooltip="Click here to change the base Historical year." display="AdjstedHistSelection" xr:uid="{00000000-0004-0000-0E00-000003000000}"/>
    <hyperlink ref="D33:E33" location="AdjstedHistSelection" tooltip="Click here to change the Historical NOI basis." display="AdjstedHistSelection" xr:uid="{00000000-0004-0000-0E00-000004000000}"/>
    <hyperlink ref="T127" location="ReimbColumnHeader" tooltip="Reimbursement assumptions are entered as % recovered from each expense. If a line item has no expense amount the reimbursement input cell will be greyed out." display="ReimbColumnHeader" xr:uid="{00000000-0004-0000-0E00-000005000000}"/>
    <hyperlink ref="D147" location="Input!D145" tooltip="Click here to allocate this custom expense to any Pro Forma Expense category." display="Input!D145" xr:uid="{00000000-0004-0000-0E00-000006000000}"/>
    <hyperlink ref="B120:C120" location="ExpReimbInOtherIncomeTable" tooltip="Click here to enter assumptions for tenant reimbursements." display="Expense Reimbursements " xr:uid="{00000000-0004-0000-0E00-000007000000}"/>
    <hyperlink ref="D148" location="Input!D146" tooltip="Click here to allocate this custom expense to any Pro Forma Expense category." display="Input!D146" xr:uid="{00000000-0004-0000-0E00-000008000000}"/>
    <hyperlink ref="D120" location="ReimbUnitTypeHelper" tooltip="Annual reimbursements are shown for information only. You can select different &quot;Unit Type&quot; and &quot;Frequency&quot; to view annual amounts. Assumptions are entered in Expense section in Tenant Reimb. % column. Click on the link to the left to go to Expense section" display="ReimbUnitTypeHelper" xr:uid="{00000000-0004-0000-0E00-000009000000}"/>
    <hyperlink ref="I200" location="Loan1DSCR" tooltip="DSCR test is applied to forward 12 month NOI after Replacement Reserves. In order to use correct loan payment amount please ensure Amortization period and Interest Rate are populated." display="Loan1DSCR" xr:uid="{00000000-0004-0000-0E00-00000A000000}"/>
    <hyperlink ref="K200" location="Loan2DSCR" tooltip="DSCR test is applied to forward 12 month NOI after Replacement Reserves. In order to use correct loan payment amount please ensure Amortization period and Interest Rate are populated." display="Loan2DSCR" xr:uid="{00000000-0004-0000-0E00-00000B000000}"/>
    <hyperlink ref="M200" location="Loan3DSCR" tooltip="DSCR test is applied to forward 12 month NOI after Replacement Reserves. In order to use correct loan payment amount please ensure Amortization period and Interest Rate are populated." display="Loan3DSCR" xr:uid="{00000000-0004-0000-0E00-00000C000000}"/>
    <hyperlink ref="G93" location="$G$93" tooltip="Please note that concessions are calculated as % of total In-Place income (i.e. Market net of LTL, Vacancy and Non-Rev. loss)." display="$G$93" xr:uid="{00000000-0004-0000-0E00-00000D000000}"/>
    <hyperlink ref="G94" location="CollectionLoss" tooltip="Please note that collection loss is calculated as % of Base Rental Revenue (i.e. Market net of LTL, Vacancy, Non-Rev. and concessions). However, in output reports it is presented as % of Market." display="CollectionLoss" xr:uid="{00000000-0004-0000-0E00-00000E000000}"/>
    <hyperlink ref="M61" location="LastMonthOfExpSchedule" tooltip="Includes leases expiring in this month and later" display="LastMonthOfExpSchedule" xr:uid="{00000000-0004-0000-0E00-00000F000000}"/>
    <hyperlink ref="B61" location="FirstMonthOfExpSchedule" tooltip="Includes leases expiring in this month and earlier" display="FirstMonthOfExpSchedule" xr:uid="{00000000-0004-0000-0E00-000010000000}"/>
    <hyperlink ref="A79" location="SelectRenovatedFloorPlan" tooltip="All units in this pool have been marked as renovated in the rent roll." display="SelectRenovatedFloorPlan" xr:uid="{00000000-0004-0000-0E00-000011000000}"/>
  </hyperlinks>
  <pageMargins left="0.28000000000000003" right="0.28000000000000003" top="0.51" bottom="0.32" header="0.2" footer="0.18"/>
  <pageSetup scale="75" orientation="portrait" r:id="rId1"/>
  <headerFooter scaleWithDoc="0">
    <oddHeader>&amp;C&amp;"+,Regular"&amp;9&amp;KFF0000STRICTLY CONFIDENTIAL&amp;R&amp;G</oddHeader>
    <oddFooter>&amp;L&amp;8&amp;F&amp;C&amp;8Page &amp;P of &amp;N&amp;R&amp;8&amp;D  &amp;T</oddFooter>
  </headerFooter>
  <rowBreaks count="3" manualBreakCount="3">
    <brk id="73" min="1" max="12" man="1"/>
    <brk id="123" min="1" max="12" man="1"/>
    <brk id="190" min="1" max="12" man="1"/>
  </rowBreaks>
  <legacyDrawingHF r:id="rId2"/>
  <extLst>
    <ext xmlns:x14="http://schemas.microsoft.com/office/spreadsheetml/2009/9/main" uri="{78C0D931-6437-407d-A8EE-F0AAD7539E65}">
      <x14:conditionalFormattings>
        <x14:conditionalFormatting xmlns:xm="http://schemas.microsoft.com/office/excel/2006/main">
          <x14:cfRule type="expression" priority="174" id="{00000000-000E-0000-0E00-0000AE000000}">
            <xm:f>GenValidation!$BF$6</xm:f>
            <x14:dxf>
              <numFmt numFmtId="165" formatCode=";;;"/>
              <fill>
                <patternFill>
                  <bgColor theme="0"/>
                </patternFill>
              </fill>
              <border>
                <left/>
                <right/>
                <top/>
                <bottom/>
                <vertical/>
                <horizontal/>
              </border>
            </x14:dxf>
          </x14:cfRule>
          <xm:sqref>J2:M2</xm:sqref>
        </x14:conditionalFormatting>
        <x14:conditionalFormatting xmlns:xm="http://schemas.microsoft.com/office/excel/2006/main">
          <x14:cfRule type="iconSet" priority="119" id="{240C5A2E-570B-406A-B394-30A9CEAC6B96}">
            <x14:iconSet iconSet="3Symbols" custom="1">
              <x14:cfvo type="percent">
                <xm:f>0</xm:f>
              </x14:cfvo>
              <x14:cfvo type="num">
                <xm:f>0</xm:f>
              </x14:cfvo>
              <x14:cfvo type="num">
                <xm:f>0</xm:f>
              </x14:cfvo>
              <x14:cfIcon iconSet="3Symbols" iconId="0"/>
              <x14:cfIcon iconSet="3Symbols" iconId="1"/>
              <x14:cfIcon iconSet="3Symbols" iconId="1"/>
            </x14:iconSet>
          </x14:cfRule>
          <xm:sqref>K200</xm:sqref>
        </x14:conditionalFormatting>
        <x14:conditionalFormatting xmlns:xm="http://schemas.microsoft.com/office/excel/2006/main">
          <x14:cfRule type="iconSet" priority="117" id="{015C8870-BDDE-4C6A-9000-19805175638F}">
            <x14:iconSet iconSet="3Symbols" custom="1">
              <x14:cfvo type="percent">
                <xm:f>0</xm:f>
              </x14:cfvo>
              <x14:cfvo type="num">
                <xm:f>0</xm:f>
              </x14:cfvo>
              <x14:cfvo type="num">
                <xm:f>0</xm:f>
              </x14:cfvo>
              <x14:cfIcon iconSet="3Symbols" iconId="0"/>
              <x14:cfIcon iconSet="3Symbols" iconId="1"/>
              <x14:cfIcon iconSet="3Symbols" iconId="1"/>
            </x14:iconSet>
          </x14:cfRule>
          <xm:sqref>M200</xm:sqref>
        </x14:conditionalFormatting>
        <x14:conditionalFormatting xmlns:xm="http://schemas.microsoft.com/office/excel/2006/main">
          <x14:cfRule type="iconSet" priority="123" id="{938E21FF-C707-45DD-B692-253304596887}">
            <x14:iconSet iconSet="3Symbols" custom="1">
              <x14:cfvo type="percent">
                <xm:f>0</xm:f>
              </x14:cfvo>
              <x14:cfvo type="num">
                <xm:f>0</xm:f>
              </x14:cfvo>
              <x14:cfvo type="num">
                <xm:f>0</xm:f>
              </x14:cfvo>
              <x14:cfIcon iconSet="3Symbols" iconId="0"/>
              <x14:cfIcon iconSet="3Symbols" iconId="1"/>
              <x14:cfIcon iconSet="3Symbols" iconId="1"/>
            </x14:iconSet>
          </x14:cfRule>
          <xm:sqref>I200</xm:sqref>
        </x14:conditionalFormatting>
        <x14:conditionalFormatting xmlns:xm="http://schemas.microsoft.com/office/excel/2006/main">
          <x14:cfRule type="iconSet" priority="59" id="{F84F6982-EA36-432C-9761-B9712F041FB4}">
            <x14:iconSet iconSet="3Symbols2" custom="1">
              <x14:cfvo type="percent">
                <xm:f>0</xm:f>
              </x14:cfvo>
              <x14:cfvo type="num">
                <xm:f>TotalDealUnits</xm:f>
              </x14:cfvo>
              <x14:cfvo type="num" gte="0">
                <xm:f>TotalDealUnits</xm:f>
              </x14:cfvo>
              <x14:cfIcon iconSet="3TrafficLights1" iconId="0"/>
              <x14:cfIcon iconSet="3Symbols2" iconId="2"/>
              <x14:cfIcon iconSet="3TrafficLights1" iconId="0"/>
            </x14:iconSet>
          </x14:cfRule>
          <xm:sqref>H56</xm:sqref>
        </x14:conditionalFormatting>
        <x14:conditionalFormatting xmlns:xm="http://schemas.microsoft.com/office/excel/2006/main">
          <x14:cfRule type="iconSet" priority="36" id="{10DF3D99-5403-4BDA-8F1D-ED98D940E921}">
            <x14:iconSet iconSet="3Symbols" custom="1">
              <x14:cfvo type="percent">
                <xm:f>0</xm:f>
              </x14:cfvo>
              <x14:cfvo type="num">
                <xm:f>0</xm:f>
              </x14:cfvo>
              <x14:cfvo type="num" gte="0">
                <xm:f>0</xm:f>
              </x14:cfvo>
              <x14:cfIcon iconSet="3Symbols" iconId="0"/>
              <x14:cfIcon iconSet="3Symbols" iconId="1"/>
              <x14:cfIcon iconSet="3Symbols" iconId="1"/>
            </x14:iconSet>
          </x14:cfRule>
          <xm:sqref>N52</xm:sqref>
        </x14:conditionalFormatting>
        <x14:conditionalFormatting xmlns:xm="http://schemas.microsoft.com/office/excel/2006/main">
          <x14:cfRule type="iconSet" priority="107" id="{57A396F8-EF1B-483C-803B-4CE0983D91B6}">
            <x14:iconSet custom="1">
              <x14:cfvo type="percent">
                <xm:f>0</xm:f>
              </x14:cfvo>
              <x14:cfvo type="num">
                <xm:f>0</xm:f>
              </x14:cfvo>
              <x14:cfvo type="num">
                <xm:f>0</xm:f>
              </x14:cfvo>
              <x14:cfIcon iconSet="3TrafficLights1" iconId="0"/>
              <x14:cfIcon iconSet="3Symbols" iconId="1"/>
              <x14:cfIcon iconSet="3Symbols" iconId="1"/>
            </x14:iconSet>
          </x14:cfRule>
          <xm:sqref>G93:G94</xm:sqref>
        </x14:conditionalFormatting>
        <x14:conditionalFormatting xmlns:xm="http://schemas.microsoft.com/office/excel/2006/main">
          <x14:cfRule type="iconSet" priority="29" id="{4823FF85-241D-4833-A03F-87D17FE32933}">
            <x14:iconSet iconSet="3Symbols" custom="1">
              <x14:cfvo type="percent">
                <xm:f>0</xm:f>
              </x14:cfvo>
              <x14:cfvo type="num">
                <xm:f>0</xm:f>
              </x14:cfvo>
              <x14:cfvo type="num">
                <xm:f>1</xm:f>
              </x14:cfvo>
              <x14:cfIcon iconSet="3Symbols" iconId="0"/>
              <x14:cfIcon iconSet="3Symbols" iconId="1"/>
              <x14:cfIcon iconSet="3Symbols" iconId="1"/>
            </x14:iconSet>
          </x14:cfRule>
          <xm:sqref>T127</xm:sqref>
        </x14:conditionalFormatting>
        <x14:conditionalFormatting xmlns:xm="http://schemas.microsoft.com/office/excel/2006/main">
          <x14:cfRule type="iconSet" priority="28" id="{CA7B7AE0-4BF9-4F2C-94FB-2CA031046C9A}">
            <x14:iconSet showValue="0" custom="1">
              <x14:cfvo type="percent">
                <xm:f>0</xm:f>
              </x14:cfvo>
              <x14:cfvo type="num">
                <xm:f>1</xm:f>
              </x14:cfvo>
              <x14:cfvo type="num">
                <xm:f>1</xm:f>
              </x14:cfvo>
              <x14:cfIcon iconSet="3Symbols" iconId="1"/>
              <x14:cfIcon iconSet="3Symbols" iconId="1"/>
              <x14:cfIcon iconSet="3Symbols" iconId="1"/>
            </x14:iconSet>
          </x14:cfRule>
          <xm:sqref>D147:D148</xm:sqref>
        </x14:conditionalFormatting>
        <x14:conditionalFormatting xmlns:xm="http://schemas.microsoft.com/office/excel/2006/main">
          <x14:cfRule type="iconSet" priority="27" id="{D60AAC31-0D2B-4A8D-ADD9-232477A70C11}">
            <x14:iconSet showValue="0" custom="1">
              <x14:cfvo type="percent">
                <xm:f>0</xm:f>
              </x14:cfvo>
              <x14:cfvo type="num">
                <xm:f>1</xm:f>
              </x14:cfvo>
              <x14:cfvo type="num">
                <xm:f>1</xm:f>
              </x14:cfvo>
              <x14:cfIcon iconSet="NoIcons" iconId="0"/>
              <x14:cfIcon iconSet="3Symbols" iconId="1"/>
              <x14:cfIcon iconSet="3Symbols" iconId="1"/>
            </x14:iconSet>
          </x14:cfRule>
          <xm:sqref>D120</xm:sqref>
        </x14:conditionalFormatting>
        <x14:conditionalFormatting xmlns:xm="http://schemas.microsoft.com/office/excel/2006/main">
          <x14:cfRule type="iconSet" priority="13" id="{B54ED6EB-9211-40DB-9B13-9DB83FCE4349}">
            <x14:iconSet iconSet="3Symbols" custom="1">
              <x14:cfvo type="percent">
                <xm:f>0</xm:f>
              </x14:cfvo>
              <x14:cfvo type="percent">
                <xm:f>33</xm:f>
              </x14:cfvo>
              <x14:cfvo type="percent">
                <xm:f>67</xm:f>
              </x14:cfvo>
              <x14:cfIcon iconSet="3Symbols" iconId="1"/>
              <x14:cfIcon iconSet="3Symbols" iconId="1"/>
              <x14:cfIcon iconSet="3Symbols" iconId="1"/>
            </x14:iconSet>
          </x14:cfRule>
          <xm:sqref>M61</xm:sqref>
        </x14:conditionalFormatting>
        <x14:conditionalFormatting xmlns:xm="http://schemas.microsoft.com/office/excel/2006/main">
          <x14:cfRule type="iconSet" priority="12" id="{8050D5F9-8A35-4397-A872-BBDBACA9203C}">
            <x14:iconSet iconSet="3Symbols" custom="1">
              <x14:cfvo type="percent">
                <xm:f>0</xm:f>
              </x14:cfvo>
              <x14:cfvo type="percent">
                <xm:f>33</xm:f>
              </x14:cfvo>
              <x14:cfvo type="percent">
                <xm:f>67</xm:f>
              </x14:cfvo>
              <x14:cfIcon iconSet="3Symbols" iconId="1"/>
              <x14:cfIcon iconSet="3Symbols" iconId="1"/>
              <x14:cfIcon iconSet="3Symbols" iconId="1"/>
            </x14:iconSet>
          </x14:cfRule>
          <xm:sqref>B61</xm:sqref>
        </x14:conditionalFormatting>
        <x14:conditionalFormatting xmlns:xm="http://schemas.microsoft.com/office/excel/2006/main">
          <x14:cfRule type="iconSet" priority="191" id="{FD1DE9F0-9269-40BE-B664-96A15F085094}">
            <x14:iconSet showValue="0" custom="1">
              <x14:cfvo type="percent">
                <xm:f>0</xm:f>
              </x14:cfvo>
              <x14:cfvo type="num">
                <xm:f>0</xm:f>
              </x14:cfvo>
              <x14:cfvo type="num" gte="0">
                <xm:f>0</xm:f>
              </x14:cfvo>
              <x14:cfIcon iconSet="3TrafficLights1" iconId="0"/>
              <x14:cfIcon iconSet="3Flags" iconId="0"/>
              <x14:cfIcon iconSet="3Flags" iconId="0"/>
            </x14:iconSet>
          </x14:cfRule>
          <xm:sqref>A78:A79</xm:sqref>
        </x14:conditionalFormatting>
      </x14:conditionalFormatting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FD506D-155B-44D9-BB68-251B908B4901}">
  <sheetPr codeName="InpHistoricals"/>
  <dimension ref="B1:AF63"/>
  <sheetViews>
    <sheetView showGridLines="0" zoomScale="90" zoomScaleNormal="90" zoomScaleSheetLayoutView="100" workbookViewId="0">
      <pane xSplit="3" ySplit="10" topLeftCell="D11" activePane="bottomRight" state="frozen"/>
      <selection activeCell="L26" sqref="L26"/>
      <selection pane="topRight" activeCell="L26" sqref="L26"/>
      <selection pane="bottomLeft" activeCell="L26" sqref="L26"/>
      <selection pane="bottomRight" activeCell="O24" sqref="O24"/>
    </sheetView>
  </sheetViews>
  <sheetFormatPr defaultColWidth="9.140625" defaultRowHeight="12.75" outlineLevelCol="1"/>
  <cols>
    <col min="1" max="1" width="1.7109375" style="192" customWidth="1"/>
    <col min="2" max="2" width="4" style="192" customWidth="1"/>
    <col min="3" max="3" width="32.7109375" style="192" customWidth="1"/>
    <col min="4" max="4" width="13.7109375" style="192" customWidth="1"/>
    <col min="5" max="5" width="10.28515625" style="192" customWidth="1"/>
    <col min="6" max="6" width="13.7109375" style="192" customWidth="1"/>
    <col min="7" max="7" width="10.28515625" style="192" customWidth="1"/>
    <col min="8" max="8" width="13.7109375" style="192" customWidth="1"/>
    <col min="9" max="9" width="10.28515625" style="192" customWidth="1"/>
    <col min="10" max="10" width="13.7109375" style="192" customWidth="1"/>
    <col min="11" max="11" width="10.28515625" style="192" customWidth="1"/>
    <col min="12" max="12" width="13.7109375" style="192" customWidth="1"/>
    <col min="13" max="13" width="10.28515625" style="192" customWidth="1"/>
    <col min="14" max="14" width="4.5703125" style="192" customWidth="1"/>
    <col min="15" max="26" width="11.28515625" style="192" customWidth="1" outlineLevel="1"/>
    <col min="27" max="27" width="4.5703125" style="192" customWidth="1" outlineLevel="1"/>
    <col min="28" max="32" width="14.7109375" style="192" customWidth="1" outlineLevel="1"/>
    <col min="33" max="34" width="9.140625" style="192" customWidth="1"/>
    <col min="35" max="16384" width="9.140625" style="192"/>
  </cols>
  <sheetData>
    <row r="1" spans="2:32" ht="3" customHeight="1"/>
    <row r="2" spans="2:32">
      <c r="B2" s="687" t="s">
        <v>0</v>
      </c>
    </row>
    <row r="3" spans="2:32" ht="3" customHeight="1">
      <c r="D3" s="688"/>
      <c r="E3" s="688"/>
      <c r="F3" s="688"/>
      <c r="G3" s="688"/>
      <c r="H3" s="688"/>
      <c r="I3" s="688"/>
      <c r="J3" s="688"/>
      <c r="K3" s="688"/>
      <c r="L3" s="688"/>
    </row>
    <row r="4" spans="2:32" ht="18.75">
      <c r="B4" s="1057" t="str">
        <f>Input!E10</f>
        <v>Chaney Place Townhomes</v>
      </c>
      <c r="C4" s="189"/>
      <c r="D4" s="190"/>
      <c r="E4" s="190"/>
      <c r="F4" s="1010" t="s">
        <v>516</v>
      </c>
      <c r="G4" s="190"/>
      <c r="H4" s="190"/>
      <c r="I4" s="190"/>
      <c r="J4" s="190"/>
      <c r="K4" s="190"/>
      <c r="L4" s="190"/>
      <c r="M4" s="1042" t="str">
        <f>Input!$M$4</f>
        <v>Huntsville, AL</v>
      </c>
      <c r="O4" s="1041" t="s">
        <v>517</v>
      </c>
      <c r="P4" s="189"/>
      <c r="Q4" s="189"/>
      <c r="R4" s="189"/>
      <c r="S4" s="189"/>
      <c r="T4" s="189"/>
      <c r="U4" s="189"/>
      <c r="V4" s="189"/>
      <c r="W4" s="189"/>
      <c r="X4" s="189"/>
      <c r="Y4" s="189"/>
      <c r="Z4" s="189"/>
      <c r="AA4" s="189"/>
      <c r="AB4" s="189"/>
      <c r="AC4" s="189"/>
      <c r="AD4" s="189"/>
      <c r="AE4" s="189"/>
      <c r="AF4" s="189"/>
    </row>
    <row r="5" spans="2:32">
      <c r="D5" s="688"/>
      <c r="E5" s="688"/>
      <c r="F5" s="688"/>
      <c r="G5" s="688"/>
      <c r="H5" s="688"/>
      <c r="I5" s="688"/>
      <c r="J5" s="688"/>
      <c r="K5" s="688"/>
      <c r="L5" s="688"/>
      <c r="M5" s="688"/>
      <c r="AB5" s="351"/>
    </row>
    <row r="6" spans="2:32">
      <c r="D6" s="688"/>
      <c r="E6" s="688"/>
      <c r="F6" s="688"/>
      <c r="G6" s="688"/>
      <c r="H6" s="688"/>
      <c r="I6" s="688"/>
      <c r="J6" s="688"/>
      <c r="K6" s="688"/>
      <c r="L6" s="688"/>
      <c r="M6" s="688"/>
      <c r="AB6" s="351"/>
    </row>
    <row r="7" spans="2:32" ht="15.75" customHeight="1">
      <c r="B7" s="1034" t="s">
        <v>518</v>
      </c>
      <c r="C7" s="1018"/>
      <c r="D7" s="1017"/>
      <c r="E7" s="1019"/>
      <c r="F7" s="1019"/>
      <c r="G7" s="1019"/>
      <c r="H7" s="1019"/>
      <c r="I7" s="1019"/>
      <c r="J7" s="1019"/>
      <c r="K7" s="1019"/>
      <c r="L7" s="1019"/>
      <c r="M7" s="1019"/>
      <c r="O7" s="1034" t="s">
        <v>519</v>
      </c>
      <c r="P7" s="1019"/>
      <c r="Q7" s="1019"/>
      <c r="R7" s="1019"/>
      <c r="S7" s="1019"/>
      <c r="T7" s="1019"/>
      <c r="U7" s="1019"/>
      <c r="V7" s="1019"/>
      <c r="W7" s="1019"/>
      <c r="X7" s="1019"/>
      <c r="Y7" s="1019"/>
      <c r="Z7" s="1019"/>
      <c r="AB7" s="1034" t="s">
        <v>520</v>
      </c>
      <c r="AC7" s="1019"/>
      <c r="AD7" s="1019"/>
      <c r="AE7" s="1019"/>
      <c r="AF7" s="1019"/>
    </row>
    <row r="8" spans="2:32">
      <c r="D8" s="688"/>
      <c r="E8" s="688"/>
      <c r="F8" s="688"/>
      <c r="G8" s="688"/>
      <c r="H8" s="688"/>
      <c r="I8" s="688"/>
      <c r="J8" s="688"/>
      <c r="K8" s="688"/>
      <c r="L8" s="688"/>
      <c r="M8" s="688"/>
      <c r="O8" s="688">
        <f t="shared" ref="O8:Z8" si="0">COUNTIF(O12:O60,"&gt;0")+COUNTIF(O12:O60,"&lt;0")</f>
        <v>23</v>
      </c>
      <c r="P8" s="688">
        <f t="shared" si="0"/>
        <v>22</v>
      </c>
      <c r="Q8" s="688">
        <f t="shared" si="0"/>
        <v>23</v>
      </c>
      <c r="R8" s="688">
        <f t="shared" si="0"/>
        <v>23</v>
      </c>
      <c r="S8" s="688">
        <f t="shared" si="0"/>
        <v>22</v>
      </c>
      <c r="T8" s="688">
        <f t="shared" si="0"/>
        <v>22</v>
      </c>
      <c r="U8" s="688">
        <f t="shared" si="0"/>
        <v>24</v>
      </c>
      <c r="V8" s="688">
        <f t="shared" si="0"/>
        <v>23</v>
      </c>
      <c r="W8" s="688">
        <f t="shared" si="0"/>
        <v>23</v>
      </c>
      <c r="X8" s="688">
        <f t="shared" si="0"/>
        <v>24</v>
      </c>
      <c r="Y8" s="688">
        <f t="shared" si="0"/>
        <v>24</v>
      </c>
      <c r="Z8" s="688">
        <f t="shared" si="0"/>
        <v>22</v>
      </c>
    </row>
    <row r="9" spans="2:32" ht="13.5" customHeight="1">
      <c r="C9" s="689"/>
      <c r="D9" s="1372">
        <v>12</v>
      </c>
      <c r="E9" s="1373"/>
      <c r="F9" s="1374">
        <v>9</v>
      </c>
      <c r="G9" s="1375"/>
      <c r="H9" s="1374">
        <v>6</v>
      </c>
      <c r="I9" s="1375"/>
      <c r="J9" s="1374">
        <v>3</v>
      </c>
      <c r="K9" s="1375"/>
      <c r="L9" s="1374">
        <v>1</v>
      </c>
      <c r="M9" s="1375"/>
      <c r="N9" s="690"/>
      <c r="O9" s="688">
        <f>SUMPRODUCT(AND($O$8:O8&gt;0)*1)</f>
        <v>1</v>
      </c>
      <c r="P9" s="688">
        <f>SUMPRODUCT(AND($O$8:P8&gt;0)*1)</f>
        <v>1</v>
      </c>
      <c r="Q9" s="688">
        <f>SUMPRODUCT(AND($O$8:Q8&gt;0)*1)</f>
        <v>1</v>
      </c>
      <c r="R9" s="688">
        <f>SUMPRODUCT(AND($O$8:R8&gt;0)*1)</f>
        <v>1</v>
      </c>
      <c r="S9" s="688">
        <f>SUMPRODUCT(AND($O$8:S8&gt;0)*1)</f>
        <v>1</v>
      </c>
      <c r="T9" s="688">
        <f>SUMPRODUCT(AND($O$8:T8&gt;0)*1)</f>
        <v>1</v>
      </c>
      <c r="U9" s="688">
        <f>SUMPRODUCT(AND($O$8:U8&gt;0)*1)</f>
        <v>1</v>
      </c>
      <c r="V9" s="688">
        <f>SUMPRODUCT(AND($O$8:V8&gt;0)*1)</f>
        <v>1</v>
      </c>
      <c r="W9" s="688">
        <f>SUMPRODUCT(AND($O$8:W8&gt;0)*1)</f>
        <v>1</v>
      </c>
      <c r="X9" s="688">
        <f>SUMPRODUCT(AND($O$8:X8&gt;0)*1)</f>
        <v>1</v>
      </c>
      <c r="Y9" s="688">
        <f>SUMPRODUCT(AND($O$8:Y8&gt;0)*1)</f>
        <v>1</v>
      </c>
      <c r="Z9" s="688">
        <f>SUMPRODUCT(AND($O$8:Z8&gt;0)*1)</f>
        <v>1</v>
      </c>
      <c r="AA9" s="690"/>
      <c r="AB9" s="1163" t="s">
        <v>446</v>
      </c>
      <c r="AC9" s="1163" t="s">
        <v>446</v>
      </c>
      <c r="AD9" s="1163" t="s">
        <v>446</v>
      </c>
      <c r="AE9" s="1163" t="s">
        <v>446</v>
      </c>
      <c r="AF9" s="1163" t="s">
        <v>446</v>
      </c>
    </row>
    <row r="10" spans="2:32">
      <c r="C10" s="691"/>
      <c r="D10" s="1153">
        <f>IF(AND(D9&gt;0,D9&lt;13),MAX($O$10:$Z$10),IF(AND(ColumnHeader&lt;&gt;-1,SUMPRODUCT(OR(D9=TrendRepoCol)*1)),RIGHT(D9,6),""))</f>
        <v>45962</v>
      </c>
      <c r="E10" s="1161" t="s">
        <v>521</v>
      </c>
      <c r="F10" s="1153">
        <f>IF(AND(F9&gt;0,F9&lt;13),MAX($O$10:$Z$10),IF(AND(F9&lt;&gt;-1,SUMPRODUCT(OR(F9=TrendRepoCol)*1)),RIGHT(F9,6),""))</f>
        <v>45962</v>
      </c>
      <c r="G10" s="1161" t="s">
        <v>521</v>
      </c>
      <c r="H10" s="1153">
        <f>IF(AND(H9&gt;0,H9&lt;13),MAX($O$10:$Z$10),IF(AND(H9&lt;&gt;-1,SUMPRODUCT(OR(H9=TrendRepoCol)*1)),RIGHT(H9,6),""))</f>
        <v>45962</v>
      </c>
      <c r="I10" s="1161" t="s">
        <v>521</v>
      </c>
      <c r="J10" s="1153">
        <f>IF(AND(J9&gt;0,J9&lt;13),MAX($O$10:$Z$10),IF(AND(J9&lt;&gt;-1,SUMPRODUCT(OR(J9=TrendRepoCol)*1)),RIGHT(J9,6),""))</f>
        <v>45962</v>
      </c>
      <c r="K10" s="1161" t="s">
        <v>521</v>
      </c>
      <c r="L10" s="1153">
        <f>IF(AND(L9&gt;0,L9&lt;13),MAX($O$10:$Z$10),IF(AND(L9&lt;&gt;-1,SUMPRODUCT(OR(L9=TrendRepoCol)*1)),RIGHT(L9,6),""))</f>
        <v>45962</v>
      </c>
      <c r="M10" s="1161" t="s">
        <v>521</v>
      </c>
      <c r="O10" s="1162">
        <v>45627</v>
      </c>
      <c r="P10" s="1162">
        <v>45658</v>
      </c>
      <c r="Q10" s="1162">
        <v>45689</v>
      </c>
      <c r="R10" s="1162">
        <v>45717</v>
      </c>
      <c r="S10" s="1162">
        <v>45748</v>
      </c>
      <c r="T10" s="1162">
        <v>45778</v>
      </c>
      <c r="U10" s="1162">
        <v>45809</v>
      </c>
      <c r="V10" s="1162">
        <v>45839</v>
      </c>
      <c r="W10" s="1162">
        <v>45870</v>
      </c>
      <c r="X10" s="1162">
        <v>45901</v>
      </c>
      <c r="Y10" s="1162">
        <v>45931</v>
      </c>
      <c r="Z10" s="1162">
        <v>45962</v>
      </c>
      <c r="AB10" s="1162"/>
      <c r="AC10" s="1162"/>
      <c r="AD10" s="1162"/>
      <c r="AE10" s="1162"/>
      <c r="AF10" s="1162"/>
    </row>
    <row r="11" spans="2:32" ht="14.25" customHeight="1">
      <c r="B11" s="1099" t="s">
        <v>115</v>
      </c>
      <c r="C11" s="390"/>
      <c r="D11" s="391"/>
      <c r="E11" s="391"/>
      <c r="F11" s="391"/>
      <c r="G11" s="391"/>
      <c r="H11" s="391"/>
      <c r="I11" s="391"/>
      <c r="J11" s="391"/>
      <c r="K11" s="391"/>
      <c r="L11" s="391"/>
      <c r="M11" s="391"/>
      <c r="O11" s="391"/>
      <c r="P11" s="391"/>
      <c r="Q11" s="391"/>
      <c r="R11" s="391"/>
      <c r="S11" s="391"/>
      <c r="T11" s="391"/>
      <c r="U11" s="391"/>
      <c r="V11" s="391"/>
      <c r="W11" s="391"/>
      <c r="X11" s="391"/>
      <c r="Y11" s="391"/>
      <c r="Z11" s="391"/>
      <c r="AB11" s="391"/>
      <c r="AC11" s="391"/>
      <c r="AD11" s="391"/>
      <c r="AE11" s="391"/>
      <c r="AF11" s="391"/>
    </row>
    <row r="12" spans="2:32">
      <c r="B12" s="32" t="s">
        <v>117</v>
      </c>
      <c r="C12" s="32"/>
      <c r="D12" s="67">
        <f>IF(AND(D$9&gt;0,D$9&lt;13),IF(D$9&lt;=SUM($O$9:$Z$9),SUMPRODUCT($O12:$Z12*($O$9:$Z$9&gt;0)*(COLUMN($O12)-COLUMN($O12:$Z12)&lt;=(D$9-SUM($O$9:$Z$9))))/D$9*12,),IF(AND(ISTEXT(D$9),D$10&lt;&gt;""),SUMPRODUCT($AB12:$AF12*(TEXT($AB$10:$AF$10,"mmm-yy")=D$10)),))</f>
        <v>1456424</v>
      </c>
      <c r="E12" s="295">
        <f>IF(D12="n/a","n/a",IF(TotalDealUnits,D12/TotalDealUnits,))</f>
        <v>18205.3</v>
      </c>
      <c r="F12" s="67">
        <f>IF(AND(F$9&gt;0,F$9&lt;13),IF(F$9&lt;=SUM($O$9:$Z$9),SUMPRODUCT($O12:$Z12*($O$9:$Z$9&gt;0)*(COLUMN($O12)-COLUMN($O12:$Z12)&lt;=(F$9-SUM($O$9:$Z$9))))/F$9*12,),IF(AND(ISTEXT(F$9),F$10&lt;&gt;""),SUMPRODUCT($AB12:$AF12*(TEXT($AB$10:$AF$10,"mmm-yy")=F$10)),))</f>
        <v>1461152</v>
      </c>
      <c r="G12" s="295">
        <f>IF(F12="n/a","n/a",IF(TotalDealUnits,F12/TotalDealUnits,))</f>
        <v>18264.400000000001</v>
      </c>
      <c r="H12" s="67">
        <f>IF(AND(H$9&gt;0,H$9&lt;13),IF(H$9&lt;=SUM($O$9:$Z$9),SUMPRODUCT($O12:$Z12*($O$9:$Z$9&gt;0)*(COLUMN($O12)-COLUMN($O12:$Z12)&lt;=(H$9-SUM($O$9:$Z$9))))/H$9*12,),IF(AND(ISTEXT(H$9),H$10&lt;&gt;""),SUMPRODUCT($AB12:$AF12*(TEXT($AB$10:$AF$10,"mmm-yy")=H$10)),))</f>
        <v>1438608</v>
      </c>
      <c r="I12" s="295">
        <f>IF(H12="n/a","n/a",IF(TotalDealUnits,H12/TotalDealUnits,))</f>
        <v>17982.599999999999</v>
      </c>
      <c r="J12" s="67">
        <f>IF(AND(J$9&gt;0,J$9&lt;13),IF(J$9&lt;=SUM($O$9:$Z$9),SUMPRODUCT($O12:$Z12*($O$9:$Z$9&gt;0)*(COLUMN($O12)-COLUMN($O12:$Z12)&lt;=(J$9-SUM($O$9:$Z$9))))/J$9*12,),IF(AND(ISTEXT(J$9),J$10&lt;&gt;""),SUMPRODUCT($AB12:$AF12*(TEXT($AB$10:$AF$10,"mmm-yy")=J$10)),))</f>
        <v>1494176</v>
      </c>
      <c r="K12" s="295">
        <f>IF(J12="n/a","n/a",IF(TotalDealUnits,J12/TotalDealUnits,))</f>
        <v>18677.2</v>
      </c>
      <c r="L12" s="67">
        <f>IF(AND(L$9&gt;0,L$9&lt;13),IF(L$9&lt;=SUM($O$9:$Z$9),SUMPRODUCT($O12:$Z12*($O$9:$Z$9&gt;0)*(COLUMN($O12)-COLUMN($O12:$Z12)&lt;=(L$9-SUM($O$9:$Z$9))))/L$9*12,),IF(AND(ISTEXT(L$9),L$10&lt;&gt;""),SUMPRODUCT($AB12:$AF12*(TEXT($AB$10:$AF$10,"mmm-yy")=L$10)),))</f>
        <v>1495944</v>
      </c>
      <c r="M12" s="295">
        <f>IF(L12="n/a","n/a",IF(TotalDealUnits,L12/TotalDealUnits,))</f>
        <v>18699.3</v>
      </c>
      <c r="N12"/>
      <c r="O12" s="78">
        <v>119620</v>
      </c>
      <c r="P12" s="78">
        <v>119620</v>
      </c>
      <c r="Q12" s="78">
        <v>121320</v>
      </c>
      <c r="R12" s="78">
        <v>121320</v>
      </c>
      <c r="S12" s="78">
        <v>127620</v>
      </c>
      <c r="T12" s="78">
        <v>127620</v>
      </c>
      <c r="U12" s="78">
        <v>117920</v>
      </c>
      <c r="V12" s="78">
        <v>117920</v>
      </c>
      <c r="W12" s="78">
        <v>109920</v>
      </c>
      <c r="X12" s="78">
        <v>124220</v>
      </c>
      <c r="Y12" s="78">
        <v>124662</v>
      </c>
      <c r="Z12" s="78">
        <v>124662</v>
      </c>
      <c r="AB12" s="78"/>
      <c r="AC12" s="78"/>
      <c r="AD12" s="78"/>
      <c r="AE12" s="78"/>
      <c r="AF12" s="78"/>
    </row>
    <row r="13" spans="2:32">
      <c r="B13" s="32" t="s">
        <v>118</v>
      </c>
      <c r="C13" s="32"/>
      <c r="D13" s="67">
        <f>IF(AND(D$9&gt;0,D$9&lt;13),IF(D$9&lt;=SUM($O$9:$Z$9),SUMPRODUCT($O13:$Z13*($O$9:$Z$9&gt;0)*(COLUMN($O13)-COLUMN($O13:$Z13)&lt;=(D$9-SUM($O$9:$Z$9))))/D$9*12,),IF(AND(ISTEXT(D$9),D$10&lt;&gt;""),SUMPRODUCT($AB13:$AF13*(TEXT($AB$10:$AF$10,"mmm-yy")=D$10)),))</f>
        <v>4891</v>
      </c>
      <c r="E13" s="295">
        <f>IF(D13="n/a","n/a",IF(TotalDealUnits,D13/TotalDealUnits,))</f>
        <v>61.137500000000003</v>
      </c>
      <c r="F13" s="67">
        <f>IF(AND(F$9&gt;0,F$9&lt;13),IF(F$9&lt;=SUM($O$9:$Z$9),SUMPRODUCT($O13:$Z13*($O$9:$Z$9&gt;0)*(COLUMN($O13)-COLUMN($O13:$Z13)&lt;=(F$9-SUM($O$9:$Z$9))))/F$9*12,),IF(AND(ISTEXT(F$9),F$10&lt;&gt;""),SUMPRODUCT($AB13:$AF13*(TEXT($AB$10:$AF$10,"mmm-yy")=F$10)),))</f>
        <v>-346.66666666666669</v>
      </c>
      <c r="G13" s="295">
        <f>IF(F13="n/a","n/a",IF(TotalDealUnits,F13/TotalDealUnits,))</f>
        <v>-4.3333333333333339</v>
      </c>
      <c r="H13" s="67">
        <f>IF(AND(H$9&gt;0,H$9&lt;13),IF(H$9&lt;=SUM($O$9:$Z$9),SUMPRODUCT($O13:$Z13*($O$9:$Z$9&gt;0)*(COLUMN($O13)-COLUMN($O13:$Z13)&lt;=(H$9-SUM($O$9:$Z$9))))/H$9*12,),IF(AND(ISTEXT(H$9),H$10&lt;&gt;""),SUMPRODUCT($AB13:$AF13*(TEXT($AB$10:$AF$10,"mmm-yy")=H$10)),))</f>
        <v>11934</v>
      </c>
      <c r="I13" s="295">
        <f>IF(H13="n/a","n/a",IF(TotalDealUnits,H13/TotalDealUnits,))</f>
        <v>149.17500000000001</v>
      </c>
      <c r="J13" s="67">
        <f>IF(AND(J$9&gt;0,J$9&lt;13),IF(J$9&lt;=SUM($O$9:$Z$9),SUMPRODUCT($O13:$Z13*($O$9:$Z$9&gt;0)*(COLUMN($O13)-COLUMN($O13:$Z13)&lt;=(J$9-SUM($O$9:$Z$9))))/J$9*12,),IF(AND(ISTEXT(J$9),J$10&lt;&gt;""),SUMPRODUCT($AB13:$AF13*(TEXT($AB$10:$AF$10,"mmm-yy")=J$10)),))</f>
        <v>-53036</v>
      </c>
      <c r="K13" s="295">
        <f>IF(J13="n/a","n/a",IF(TotalDealUnits,J13/TotalDealUnits,))</f>
        <v>-662.95</v>
      </c>
      <c r="L13" s="67">
        <f>IF(AND(L$9&gt;0,L$9&lt;13),IF(L$9&lt;=SUM($O$9:$Z$9),SUMPRODUCT($O13:$Z13*($O$9:$Z$9&gt;0)*(COLUMN($O13)-COLUMN($O13:$Z13)&lt;=(L$9-SUM($O$9:$Z$9))))/L$9*12,),IF(AND(ISTEXT(L$9),L$10&lt;&gt;""),SUMPRODUCT($AB13:$AF13*(TEXT($AB$10:$AF$10,"mmm-yy")=L$10)),))</f>
        <v>-65808</v>
      </c>
      <c r="M13" s="295">
        <f>IF(L13="n/a","n/a",IF(TotalDealUnits,L13/TotalDealUnits,))</f>
        <v>-822.6</v>
      </c>
      <c r="N13"/>
      <c r="O13" s="78">
        <v>3622</v>
      </c>
      <c r="P13" s="78">
        <v>3106</v>
      </c>
      <c r="Q13" s="78">
        <v>-1577</v>
      </c>
      <c r="R13" s="78">
        <v>3403</v>
      </c>
      <c r="S13" s="78">
        <v>-5067</v>
      </c>
      <c r="T13" s="78">
        <v>-4563</v>
      </c>
      <c r="U13" s="78">
        <v>5141</v>
      </c>
      <c r="V13" s="78">
        <v>4022</v>
      </c>
      <c r="W13" s="78">
        <v>10063</v>
      </c>
      <c r="X13" s="78">
        <v>-3422</v>
      </c>
      <c r="Y13" s="78">
        <v>-4353</v>
      </c>
      <c r="Z13" s="78">
        <v>-5484</v>
      </c>
      <c r="AB13" s="78"/>
      <c r="AC13" s="78"/>
      <c r="AD13" s="78"/>
      <c r="AE13" s="78"/>
      <c r="AF13" s="78"/>
    </row>
    <row r="14" spans="2:32">
      <c r="B14" s="46" t="s">
        <v>119</v>
      </c>
      <c r="C14" s="46"/>
      <c r="D14" s="692">
        <f t="shared" ref="D14:M14" si="1">SUBTOTAL(9,D12:D13)</f>
        <v>1461315</v>
      </c>
      <c r="E14" s="693">
        <f t="shared" si="1"/>
        <v>18266.4375</v>
      </c>
      <c r="F14" s="692">
        <f t="shared" si="1"/>
        <v>1460805.3333333333</v>
      </c>
      <c r="G14" s="693">
        <f t="shared" si="1"/>
        <v>18260.066666666669</v>
      </c>
      <c r="H14" s="692">
        <f t="shared" si="1"/>
        <v>1450542</v>
      </c>
      <c r="I14" s="693">
        <f t="shared" si="1"/>
        <v>18131.774999999998</v>
      </c>
      <c r="J14" s="692">
        <f t="shared" si="1"/>
        <v>1441140</v>
      </c>
      <c r="K14" s="693">
        <f t="shared" si="1"/>
        <v>18014.25</v>
      </c>
      <c r="L14" s="692">
        <f t="shared" si="1"/>
        <v>1430136</v>
      </c>
      <c r="M14" s="693">
        <f t="shared" si="1"/>
        <v>17876.7</v>
      </c>
      <c r="N14"/>
      <c r="O14" s="694">
        <f t="shared" ref="O14:X14" si="2">SUBTOTAL(9,O12:O13)</f>
        <v>123242</v>
      </c>
      <c r="P14" s="694">
        <f t="shared" si="2"/>
        <v>122726</v>
      </c>
      <c r="Q14" s="694">
        <f t="shared" si="2"/>
        <v>119743</v>
      </c>
      <c r="R14" s="694">
        <f t="shared" si="2"/>
        <v>124723</v>
      </c>
      <c r="S14" s="694">
        <f t="shared" si="2"/>
        <v>122553</v>
      </c>
      <c r="T14" s="694">
        <f t="shared" si="2"/>
        <v>123057</v>
      </c>
      <c r="U14" s="694">
        <f t="shared" si="2"/>
        <v>123061</v>
      </c>
      <c r="V14" s="694">
        <f t="shared" si="2"/>
        <v>121942</v>
      </c>
      <c r="W14" s="694">
        <f t="shared" si="2"/>
        <v>119983</v>
      </c>
      <c r="X14" s="694">
        <f t="shared" si="2"/>
        <v>120798</v>
      </c>
      <c r="Y14" s="694">
        <f>SUBTOTAL(9,Y12:Y13)</f>
        <v>120309</v>
      </c>
      <c r="Z14" s="694">
        <f>SUBTOTAL(9,Z12:Z13)</f>
        <v>119178</v>
      </c>
      <c r="AB14" s="694">
        <f>SUBTOTAL(9,AB12:AB13)</f>
        <v>0</v>
      </c>
      <c r="AC14" s="694">
        <f>SUBTOTAL(9,AC12:AC13)</f>
        <v>0</v>
      </c>
      <c r="AD14" s="694">
        <f>SUBTOTAL(9,AD12:AD13)</f>
        <v>0</v>
      </c>
      <c r="AE14" s="694">
        <f>SUBTOTAL(9,AE12:AE13)</f>
        <v>0</v>
      </c>
      <c r="AF14" s="694">
        <f>SUBTOTAL(9,AF12:AF13)</f>
        <v>0</v>
      </c>
    </row>
    <row r="15" spans="2:32">
      <c r="B15" s="32"/>
      <c r="C15" s="32"/>
      <c r="D15" s="67"/>
      <c r="E15" s="295"/>
      <c r="F15" s="67"/>
      <c r="G15" s="295"/>
      <c r="H15" s="67"/>
      <c r="I15" s="295"/>
      <c r="J15" s="67"/>
      <c r="K15" s="295"/>
      <c r="L15" s="67"/>
      <c r="M15" s="295"/>
      <c r="N15"/>
      <c r="O15" s="78"/>
      <c r="P15" s="78"/>
      <c r="Q15" s="78"/>
      <c r="R15" s="78"/>
      <c r="S15" s="78"/>
      <c r="T15" s="78"/>
      <c r="U15" s="78"/>
      <c r="V15" s="78"/>
      <c r="W15" s="78"/>
      <c r="X15" s="78"/>
      <c r="Y15" s="78"/>
      <c r="Z15" s="78"/>
      <c r="AB15" s="78"/>
      <c r="AC15" s="78"/>
      <c r="AD15" s="78"/>
      <c r="AE15" s="78"/>
      <c r="AF15" s="78"/>
    </row>
    <row r="16" spans="2:32">
      <c r="B16" s="41" t="str">
        <f>"Vacancy"&amp;IF(IsRenov," (incl. Renovation Downtime)","")</f>
        <v>Vacancy</v>
      </c>
      <c r="C16" s="41"/>
      <c r="D16" s="67">
        <f>IF(AND(D$9&gt;0,D$9&lt;13),IF(D$9&lt;=SUM($O$9:$Z$9),SUMPRODUCT($O16:$Z16*($O$9:$Z$9&gt;0)*(COLUMN($O16)-COLUMN($O16:$Z16)&lt;=(D$9-SUM($O$9:$Z$9))))/D$9*12,),IF(AND(ISTEXT(D$9),D$10&lt;&gt;""),SUMPRODUCT($AB16:$AF16*(TEXT($AB$10:$AF$10,"mmm-yy")=D$10)),))</f>
        <v>-168572</v>
      </c>
      <c r="E16" s="295">
        <f>IF(D16="n/a","n/a",IF(TotalDealUnits,D16/TotalDealUnits,))</f>
        <v>-2107.15</v>
      </c>
      <c r="F16" s="67">
        <f>IF(AND(F$9&gt;0,F$9&lt;13),IF(F$9&lt;=SUM($O$9:$Z$9),SUMPRODUCT($O16:$Z16*($O$9:$Z$9&gt;0)*(COLUMN($O16)-COLUMN($O16:$Z16)&lt;=(F$9-SUM($O$9:$Z$9))))/F$9*12,),IF(AND(ISTEXT(F$9),F$10&lt;&gt;""),SUMPRODUCT($AB16:$AF16*(TEXT($AB$10:$AF$10,"mmm-yy")=F$10)),))</f>
        <v>-155832</v>
      </c>
      <c r="G16" s="295">
        <f>IF(F16="n/a","n/a",IF(TotalDealUnits,F16/TotalDealUnits,))</f>
        <v>-1947.9</v>
      </c>
      <c r="H16" s="67">
        <f>IF(AND(H$9&gt;0,H$9&lt;13),IF(H$9&lt;=SUM($O$9:$Z$9),SUMPRODUCT($O16:$Z16*($O$9:$Z$9&gt;0)*(COLUMN($O16)-COLUMN($O16:$Z16)&lt;=(H$9-SUM($O$9:$Z$9))))/H$9*12,),IF(AND(ISTEXT(H$9),H$10&lt;&gt;""),SUMPRODUCT($AB16:$AF16*(TEXT($AB$10:$AF$10,"mmm-yy")=H$10)),))</f>
        <v>-162806</v>
      </c>
      <c r="I16" s="295">
        <f>IF(H16="n/a","n/a",IF(TotalDealUnits,H16/TotalDealUnits,))</f>
        <v>-2035.075</v>
      </c>
      <c r="J16" s="67">
        <f>IF(AND(J$9&gt;0,J$9&lt;13),IF(J$9&lt;=SUM($O$9:$Z$9),SUMPRODUCT($O16:$Z16*($O$9:$Z$9&gt;0)*(COLUMN($O16)-COLUMN($O16:$Z16)&lt;=(J$9-SUM($O$9:$Z$9))))/J$9*12,),IF(AND(ISTEXT(J$9),J$10&lt;&gt;""),SUMPRODUCT($AB16:$AF16*(TEXT($AB$10:$AF$10,"mmm-yy")=J$10)),))</f>
        <v>-145584</v>
      </c>
      <c r="K16" s="295">
        <f>IF(J16="n/a","n/a",IF(TotalDealUnits,J16/TotalDealUnits,))</f>
        <v>-1819.8</v>
      </c>
      <c r="L16" s="67">
        <f>IF(AND(L$9&gt;0,L$9&lt;13),IF(L$9&lt;=SUM($O$9:$Z$9),SUMPRODUCT($O16:$Z16*($O$9:$Z$9&gt;0)*(COLUMN($O16)-COLUMN($O16:$Z16)&lt;=(L$9-SUM($O$9:$Z$9))))/L$9*12,),IF(AND(ISTEXT(L$9),L$10&lt;&gt;""),SUMPRODUCT($AB16:$AF16*(TEXT($AB$10:$AF$10,"mmm-yy")=L$10)),))</f>
        <v>-138672</v>
      </c>
      <c r="M16" s="295">
        <f>IF(L16="n/a","n/a",IF(TotalDealUnits,L16/TotalDealUnits,))</f>
        <v>-1733.4</v>
      </c>
      <c r="N16"/>
      <c r="O16" s="78">
        <v>-19046</v>
      </c>
      <c r="P16" s="78">
        <v>-18517</v>
      </c>
      <c r="Q16" s="78">
        <v>-14135</v>
      </c>
      <c r="R16" s="78">
        <v>-12454</v>
      </c>
      <c r="S16" s="78">
        <v>-10863</v>
      </c>
      <c r="T16" s="78">
        <v>-12154</v>
      </c>
      <c r="U16" s="78">
        <v>-12664</v>
      </c>
      <c r="V16" s="78">
        <v>-16170</v>
      </c>
      <c r="W16" s="78">
        <v>-16173</v>
      </c>
      <c r="X16" s="78">
        <v>-11719</v>
      </c>
      <c r="Y16" s="78">
        <v>-13121</v>
      </c>
      <c r="Z16" s="78">
        <v>-11556</v>
      </c>
      <c r="AB16" s="78"/>
      <c r="AC16" s="78"/>
      <c r="AD16" s="78"/>
      <c r="AE16" s="78"/>
      <c r="AF16" s="78"/>
    </row>
    <row r="17" spans="2:32">
      <c r="B17" s="32" t="s">
        <v>120</v>
      </c>
      <c r="C17" s="32"/>
      <c r="D17" s="67">
        <f>IF(AND(D$9&gt;0,D$9&lt;13),IF(D$9&lt;=SUM($O$9:$Z$9),SUMPRODUCT($O17:$Z17*($O$9:$Z$9&gt;0)*(COLUMN($O17)-COLUMN($O17:$Z17)&lt;=(D$9-SUM($O$9:$Z$9))))/D$9*12,),IF(AND(ISTEXT(D$9),D$10&lt;&gt;""),SUMPRODUCT($AB17:$AF17*(TEXT($AB$10:$AF$10,"mmm-yy")=D$10)),))</f>
        <v>-39642</v>
      </c>
      <c r="E17" s="295">
        <f>IF(D17="n/a","n/a",IF(TotalDealUnits,D17/TotalDealUnits,))</f>
        <v>-495.52499999999998</v>
      </c>
      <c r="F17" s="67">
        <f>IF(AND(F$9&gt;0,F$9&lt;13),IF(F$9&lt;=SUM($O$9:$Z$9),SUMPRODUCT($O17:$Z17*($O$9:$Z$9&gt;0)*(COLUMN($O17)-COLUMN($O17:$Z17)&lt;=(F$9-SUM($O$9:$Z$9))))/F$9*12,),IF(AND(ISTEXT(F$9),F$10&lt;&gt;""),SUMPRODUCT($AB17:$AF17*(TEXT($AB$10:$AF$10,"mmm-yy")=F$10)),))</f>
        <v>-21796</v>
      </c>
      <c r="G17" s="295">
        <f>IF(F17="n/a","n/a",IF(TotalDealUnits,F17/TotalDealUnits,))</f>
        <v>-272.45</v>
      </c>
      <c r="H17" s="67">
        <f>IF(AND(H$9&gt;0,H$9&lt;13),IF(H$9&lt;=SUM($O$9:$Z$9),SUMPRODUCT($O17:$Z17*($O$9:$Z$9&gt;0)*(COLUMN($O17)-COLUMN($O17:$Z17)&lt;=(H$9-SUM($O$9:$Z$9))))/H$9*12,),IF(AND(ISTEXT(H$9),H$10&lt;&gt;""),SUMPRODUCT($AB17:$AF17*(TEXT($AB$10:$AF$10,"mmm-yy")=H$10)),))</f>
        <v>1532</v>
      </c>
      <c r="I17" s="295">
        <f>IF(H17="n/a","n/a",IF(TotalDealUnits,H17/TotalDealUnits,))</f>
        <v>19.149999999999999</v>
      </c>
      <c r="J17" s="67">
        <f>IF(AND(J$9&gt;0,J$9&lt;13),IF(J$9&lt;=SUM($O$9:$Z$9),SUMPRODUCT($O17:$Z17*($O$9:$Z$9&gt;0)*(COLUMN($O17)-COLUMN($O17:$Z17)&lt;=(J$9-SUM($O$9:$Z$9))))/J$9*12,),IF(AND(ISTEXT(J$9),J$10&lt;&gt;""),SUMPRODUCT($AB17:$AF17*(TEXT($AB$10:$AF$10,"mmm-yy")=J$10)),))</f>
        <v>-17820</v>
      </c>
      <c r="K17" s="295">
        <f>IF(J17="n/a","n/a",IF(TotalDealUnits,J17/TotalDealUnits,))</f>
        <v>-222.75</v>
      </c>
      <c r="L17" s="67">
        <f>IF(AND(L$9&gt;0,L$9&lt;13),IF(L$9&lt;=SUM($O$9:$Z$9),SUMPRODUCT($O17:$Z17*($O$9:$Z$9&gt;0)*(COLUMN($O17)-COLUMN($O17:$Z17)&lt;=(L$9-SUM($O$9:$Z$9))))/L$9*12,),IF(AND(ISTEXT(L$9),L$10&lt;&gt;""),SUMPRODUCT($AB17:$AF17*(TEXT($AB$10:$AF$10,"mmm-yy")=L$10)),))</f>
        <v>-4572</v>
      </c>
      <c r="M17" s="295">
        <f>IF(L17="n/a","n/a",IF(TotalDealUnits,L17/TotalDealUnits,))</f>
        <v>-57.15</v>
      </c>
      <c r="N17"/>
      <c r="O17" s="78">
        <v>-15051</v>
      </c>
      <c r="P17" s="78">
        <v>-2680</v>
      </c>
      <c r="Q17" s="78">
        <v>-5564</v>
      </c>
      <c r="R17" s="78">
        <v>-9268</v>
      </c>
      <c r="S17" s="78">
        <v>-4272</v>
      </c>
      <c r="T17" s="78">
        <v>-3573</v>
      </c>
      <c r="U17" s="78">
        <v>6759</v>
      </c>
      <c r="V17" s="78">
        <v>-1175</v>
      </c>
      <c r="W17" s="78">
        <v>-363</v>
      </c>
      <c r="X17" s="78">
        <v>-2224</v>
      </c>
      <c r="Y17" s="78">
        <v>-1850</v>
      </c>
      <c r="Z17" s="78">
        <v>-381</v>
      </c>
      <c r="AB17" s="78"/>
      <c r="AC17" s="78"/>
      <c r="AD17" s="78"/>
      <c r="AE17" s="78"/>
      <c r="AF17" s="78"/>
    </row>
    <row r="18" spans="2:32">
      <c r="B18" s="32" t="s">
        <v>11</v>
      </c>
      <c r="C18" s="32"/>
      <c r="D18" s="67">
        <f>IF(AND(D$9&gt;0,D$9&lt;13),IF(D$9&lt;=SUM($O$9:$Z$9),SUMPRODUCT($O18:$Z18*($O$9:$Z$9&gt;0)*(COLUMN($O18)-COLUMN($O18:$Z18)&lt;=(D$9-SUM($O$9:$Z$9))))/D$9*12,),IF(AND(ISTEXT(D$9),D$10&lt;&gt;""),SUMPRODUCT($AB18:$AF18*(TEXT($AB$10:$AF$10,"mmm-yy")=D$10)),))</f>
        <v>-4156</v>
      </c>
      <c r="E18" s="295">
        <f>IF(D18="n/a","n/a",IF(TotalDealUnits,D18/TotalDealUnits,))</f>
        <v>-51.95</v>
      </c>
      <c r="F18" s="67">
        <f>IF(AND(F$9&gt;0,F$9&lt;13),IF(F$9&lt;=SUM($O$9:$Z$9),SUMPRODUCT($O18:$Z18*($O$9:$Z$9&gt;0)*(COLUMN($O18)-COLUMN($O18:$Z18)&lt;=(F$9-SUM($O$9:$Z$9))))/F$9*12,),IF(AND(ISTEXT(F$9),F$10&lt;&gt;""),SUMPRODUCT($AB18:$AF18*(TEXT($AB$10:$AF$10,"mmm-yy")=F$10)),))</f>
        <v>-5541.333333333333</v>
      </c>
      <c r="G18" s="295">
        <f>IF(F18="n/a","n/a",IF(TotalDealUnits,F18/TotalDealUnits,))</f>
        <v>-69.266666666666666</v>
      </c>
      <c r="H18" s="67">
        <f>IF(AND(H$9&gt;0,H$9&lt;13),IF(H$9&lt;=SUM($O$9:$Z$9),SUMPRODUCT($O18:$Z18*($O$9:$Z$9&gt;0)*(COLUMN($O18)-COLUMN($O18:$Z18)&lt;=(H$9-SUM($O$9:$Z$9))))/H$9*12,),IF(AND(ISTEXT(H$9),H$10&lt;&gt;""),SUMPRODUCT($AB18:$AF18*(TEXT($AB$10:$AF$10,"mmm-yy")=H$10)),))</f>
        <v>-8312</v>
      </c>
      <c r="I18" s="295">
        <f>IF(H18="n/a","n/a",IF(TotalDealUnits,H18/TotalDealUnits,))</f>
        <v>-103.9</v>
      </c>
      <c r="J18" s="67">
        <f>IF(AND(J$9&gt;0,J$9&lt;13),IF(J$9&lt;=SUM($O$9:$Z$9),SUMPRODUCT($O18:$Z18*($O$9:$Z$9&gt;0)*(COLUMN($O18)-COLUMN($O18:$Z18)&lt;=(J$9-SUM($O$9:$Z$9))))/J$9*12,),IF(AND(ISTEXT(J$9),J$10&lt;&gt;""),SUMPRODUCT($AB18:$AF18*(TEXT($AB$10:$AF$10,"mmm-yy")=J$10)),))</f>
        <v>-9588</v>
      </c>
      <c r="K18" s="295">
        <f>IF(J18="n/a","n/a",IF(TotalDealUnits,J18/TotalDealUnits,))</f>
        <v>-119.85</v>
      </c>
      <c r="L18" s="67">
        <f>IF(AND(L$9&gt;0,L$9&lt;13),IF(L$9&lt;=SUM($O$9:$Z$9),SUMPRODUCT($O18:$Z18*($O$9:$Z$9&gt;0)*(COLUMN($O18)-COLUMN($O18:$Z18)&lt;=(L$9-SUM($O$9:$Z$9))))/L$9*12,),IF(AND(ISTEXT(L$9),L$10&lt;&gt;""),SUMPRODUCT($AB18:$AF18*(TEXT($AB$10:$AF$10,"mmm-yy")=L$10)),))</f>
        <v>-9588</v>
      </c>
      <c r="M18" s="295">
        <f>IF(L18="n/a","n/a",IF(TotalDealUnits,L18/TotalDealUnits,))</f>
        <v>-119.85</v>
      </c>
      <c r="N18"/>
      <c r="O18" s="78"/>
      <c r="P18" s="78"/>
      <c r="Q18" s="78"/>
      <c r="R18" s="78"/>
      <c r="S18" s="78"/>
      <c r="T18" s="78"/>
      <c r="U18" s="78">
        <v>-160</v>
      </c>
      <c r="V18" s="78">
        <v>-799</v>
      </c>
      <c r="W18" s="78">
        <v>-800</v>
      </c>
      <c r="X18" s="78">
        <v>-799</v>
      </c>
      <c r="Y18" s="78">
        <v>-799</v>
      </c>
      <c r="Z18" s="78">
        <v>-799</v>
      </c>
      <c r="AB18" s="78"/>
      <c r="AC18" s="78"/>
      <c r="AD18" s="78"/>
      <c r="AE18" s="78"/>
      <c r="AF18" s="78"/>
    </row>
    <row r="19" spans="2:32">
      <c r="B19" s="32" t="s">
        <v>121</v>
      </c>
      <c r="C19" s="32"/>
      <c r="D19" s="67">
        <f>IF(AND(D$9&gt;0,D$9&lt;13),IF(D$9&lt;=SUM($O$9:$Z$9),SUMPRODUCT($O19:$Z19*($O$9:$Z$9&gt;0)*(COLUMN($O19)-COLUMN($O19:$Z19)&lt;=(D$9-SUM($O$9:$Z$9))))/D$9*12,),IF(AND(ISTEXT(D$9),D$10&lt;&gt;""),SUMPRODUCT($AB19:$AF19*(TEXT($AB$10:$AF$10,"mmm-yy")=D$10)),))</f>
        <v>-137670</v>
      </c>
      <c r="E19" s="295">
        <f>IF(D19="n/a","n/a",IF(TotalDealUnits,D19/TotalDealUnits,))</f>
        <v>-1720.875</v>
      </c>
      <c r="F19" s="67">
        <f>IF(AND(F$9&gt;0,F$9&lt;13),IF(F$9&lt;=SUM($O$9:$Z$9),SUMPRODUCT($O19:$Z19*($O$9:$Z$9&gt;0)*(COLUMN($O19)-COLUMN($O19:$Z19)&lt;=(F$9-SUM($O$9:$Z$9))))/F$9*12,),IF(AND(ISTEXT(F$9),F$10&lt;&gt;""),SUMPRODUCT($AB19:$AF19*(TEXT($AB$10:$AF$10,"mmm-yy")=F$10)),))</f>
        <v>-147277.33333333334</v>
      </c>
      <c r="G19" s="295">
        <f>IF(F19="n/a","n/a",IF(TotalDealUnits,F19/TotalDealUnits,))</f>
        <v>-1840.9666666666667</v>
      </c>
      <c r="H19" s="67">
        <f>IF(AND(H$9&gt;0,H$9&lt;13),IF(H$9&lt;=SUM($O$9:$Z$9),SUMPRODUCT($O19:$Z19*($O$9:$Z$9&gt;0)*(COLUMN($O19)-COLUMN($O19:$Z19)&lt;=(H$9-SUM($O$9:$Z$9))))/H$9*12,),IF(AND(ISTEXT(H$9),H$10&lt;&gt;""),SUMPRODUCT($AB19:$AF19*(TEXT($AB$10:$AF$10,"mmm-yy")=H$10)),))</f>
        <v>-214332</v>
      </c>
      <c r="I19" s="295">
        <f>IF(H19="n/a","n/a",IF(TotalDealUnits,H19/TotalDealUnits,))</f>
        <v>-2679.15</v>
      </c>
      <c r="J19" s="67">
        <f>IF(AND(J$9&gt;0,J$9&lt;13),IF(J$9&lt;=SUM($O$9:$Z$9),SUMPRODUCT($O19:$Z19*($O$9:$Z$9&gt;0)*(COLUMN($O19)-COLUMN($O19:$Z19)&lt;=(J$9-SUM($O$9:$Z$9))))/J$9*12,),IF(AND(ISTEXT(J$9),J$10&lt;&gt;""),SUMPRODUCT($AB19:$AF19*(TEXT($AB$10:$AF$10,"mmm-yy")=J$10)),))</f>
        <v>-150548</v>
      </c>
      <c r="K19" s="295">
        <f>IF(J19="n/a","n/a",IF(TotalDealUnits,J19/TotalDealUnits,))</f>
        <v>-1881.85</v>
      </c>
      <c r="L19" s="67">
        <f>IF(AND(L$9&gt;0,L$9&lt;13),IF(L$9&lt;=SUM($O$9:$Z$9),SUMPRODUCT($O19:$Z19*($O$9:$Z$9&gt;0)*(COLUMN($O19)-COLUMN($O19:$Z19)&lt;=(L$9-SUM($O$9:$Z$9))))/L$9*12,),IF(AND(ISTEXT(L$9),L$10&lt;&gt;""),SUMPRODUCT($AB19:$AF19*(TEXT($AB$10:$AF$10,"mmm-yy")=L$10)),))</f>
        <v>0</v>
      </c>
      <c r="M19" s="295">
        <f>IF(L19="n/a","n/a",IF(TotalDealUnits,L19/TotalDealUnits,))</f>
        <v>0</v>
      </c>
      <c r="N19"/>
      <c r="O19" s="78">
        <v>-13310</v>
      </c>
      <c r="P19" s="78">
        <v>-9119</v>
      </c>
      <c r="Q19" s="78">
        <v>-4783</v>
      </c>
      <c r="R19" s="78">
        <v>-654</v>
      </c>
      <c r="S19" s="78">
        <v>-2413</v>
      </c>
      <c r="T19" s="78">
        <v>-225</v>
      </c>
      <c r="U19" s="78">
        <v>-36748</v>
      </c>
      <c r="V19" s="78">
        <v>-23095</v>
      </c>
      <c r="W19" s="78">
        <v>-9686</v>
      </c>
      <c r="X19" s="78">
        <v>-37402</v>
      </c>
      <c r="Y19" s="78">
        <v>-235</v>
      </c>
      <c r="Z19" s="78"/>
      <c r="AB19" s="78"/>
      <c r="AC19" s="78"/>
      <c r="AD19" s="78"/>
      <c r="AE19" s="78"/>
      <c r="AF19" s="78"/>
    </row>
    <row r="20" spans="2:32">
      <c r="B20" s="46" t="s">
        <v>122</v>
      </c>
      <c r="C20" s="46"/>
      <c r="D20" s="692">
        <f t="shared" ref="D20:M20" si="3">SUBTOTAL(9,D12:D19)</f>
        <v>1111275</v>
      </c>
      <c r="E20" s="693">
        <f t="shared" si="3"/>
        <v>13890.9375</v>
      </c>
      <c r="F20" s="692">
        <f t="shared" si="3"/>
        <v>1130358.6666666667</v>
      </c>
      <c r="G20" s="693">
        <f t="shared" si="3"/>
        <v>14129.483333333335</v>
      </c>
      <c r="H20" s="692">
        <f t="shared" si="3"/>
        <v>1066624</v>
      </c>
      <c r="I20" s="693">
        <f t="shared" si="3"/>
        <v>13332.799999999997</v>
      </c>
      <c r="J20" s="692">
        <f t="shared" si="3"/>
        <v>1117600</v>
      </c>
      <c r="K20" s="693">
        <f t="shared" si="3"/>
        <v>13970</v>
      </c>
      <c r="L20" s="692">
        <f t="shared" si="3"/>
        <v>1277304</v>
      </c>
      <c r="M20" s="693">
        <f t="shared" si="3"/>
        <v>15966.300000000001</v>
      </c>
      <c r="N20"/>
      <c r="O20" s="694">
        <f t="shared" ref="O20:X20" si="4">SUBTOTAL(9,O12:O19)</f>
        <v>75835</v>
      </c>
      <c r="P20" s="694">
        <f t="shared" si="4"/>
        <v>92410</v>
      </c>
      <c r="Q20" s="694">
        <f t="shared" si="4"/>
        <v>95261</v>
      </c>
      <c r="R20" s="694">
        <f t="shared" si="4"/>
        <v>102347</v>
      </c>
      <c r="S20" s="694">
        <f t="shared" si="4"/>
        <v>105005</v>
      </c>
      <c r="T20" s="694">
        <f t="shared" si="4"/>
        <v>107105</v>
      </c>
      <c r="U20" s="694">
        <f t="shared" si="4"/>
        <v>80248</v>
      </c>
      <c r="V20" s="694">
        <f t="shared" si="4"/>
        <v>80703</v>
      </c>
      <c r="W20" s="694">
        <f t="shared" si="4"/>
        <v>92961</v>
      </c>
      <c r="X20" s="694">
        <f t="shared" si="4"/>
        <v>68654</v>
      </c>
      <c r="Y20" s="694">
        <f>SUBTOTAL(9,Y12:Y19)</f>
        <v>104304</v>
      </c>
      <c r="Z20" s="694">
        <f>SUBTOTAL(9,Z12:Z19)</f>
        <v>106442</v>
      </c>
      <c r="AB20" s="694">
        <f>SUBTOTAL(9,AB12:AB19)</f>
        <v>0</v>
      </c>
      <c r="AC20" s="694">
        <f>SUBTOTAL(9,AC12:AC19)</f>
        <v>0</v>
      </c>
      <c r="AD20" s="694">
        <f>SUBTOTAL(9,AD12:AD19)</f>
        <v>0</v>
      </c>
      <c r="AE20" s="694">
        <f>SUBTOTAL(9,AE12:AE19)</f>
        <v>0</v>
      </c>
      <c r="AF20" s="694">
        <f>SUBTOTAL(9,AF12:AF19)</f>
        <v>0</v>
      </c>
    </row>
    <row r="21" spans="2:32">
      <c r="B21" s="32"/>
      <c r="C21" s="32"/>
      <c r="D21" s="83"/>
      <c r="E21" s="695"/>
      <c r="F21" s="83"/>
      <c r="G21" s="695"/>
      <c r="H21" s="83"/>
      <c r="I21" s="695"/>
      <c r="J21" s="83"/>
      <c r="K21" s="695"/>
      <c r="L21" s="83"/>
      <c r="M21" s="695"/>
      <c r="N21"/>
      <c r="O21" s="27"/>
      <c r="P21" s="27"/>
      <c r="Q21" s="27"/>
      <c r="R21" s="27"/>
      <c r="S21" s="27"/>
      <c r="T21" s="27"/>
      <c r="U21" s="27"/>
      <c r="V21" s="27"/>
      <c r="W21" s="27"/>
      <c r="X21" s="27"/>
      <c r="Y21" s="27"/>
      <c r="Z21" s="27"/>
      <c r="AB21" s="27"/>
      <c r="AC21" s="27"/>
      <c r="AD21" s="27"/>
      <c r="AE21" s="27"/>
      <c r="AF21" s="27"/>
    </row>
    <row r="22" spans="2:32">
      <c r="B22" s="32" t="str">
        <f>'Operating Calculations'!B78</f>
        <v>Garage / Parking</v>
      </c>
      <c r="C22" s="32"/>
      <c r="D22" s="67">
        <f>IF(AND(D$9&gt;0,D$9&lt;13),IF(D$9&lt;=SUM($O$9:$Z$9),SUMPRODUCT($O22:$Z22*($O$9:$Z$9&gt;0)*(COLUMN($O22)-COLUMN($O22:$Z22)&lt;=(D$9-SUM($O$9:$Z$9))))/D$9*12,),IF(AND(ISTEXT(D$9),D$10&lt;&gt;""),SUMPRODUCT($AB22:$AF22*(TEXT($AB$10:$AF$10,"mmm-yy")=D$10)),))</f>
        <v>0</v>
      </c>
      <c r="E22" s="295">
        <f>IF(D22="n/a","n/a",IF(TotalDealUnits,D22/TotalDealUnits,))</f>
        <v>0</v>
      </c>
      <c r="F22" s="67">
        <f>IF(AND(F$9&gt;0,F$9&lt;13),IF(F$9&lt;=SUM($O$9:$Z$9),SUMPRODUCT($O22:$Z22*($O$9:$Z$9&gt;0)*(COLUMN($O22)-COLUMN($O22:$Z22)&lt;=(F$9-SUM($O$9:$Z$9))))/F$9*12,),IF(AND(ISTEXT(F$9),F$10&lt;&gt;""),SUMPRODUCT($AB22:$AF22*(TEXT($AB$10:$AF$10,"mmm-yy")=F$10)),))</f>
        <v>0</v>
      </c>
      <c r="G22" s="295">
        <f>IF(F22="n/a","n/a",IF(TotalDealUnits,F22/TotalDealUnits,))</f>
        <v>0</v>
      </c>
      <c r="H22" s="67">
        <f>IF(AND(H$9&gt;0,H$9&lt;13),IF(H$9&lt;=SUM($O$9:$Z$9),SUMPRODUCT($O22:$Z22*($O$9:$Z$9&gt;0)*(COLUMN($O22)-COLUMN($O22:$Z22)&lt;=(H$9-SUM($O$9:$Z$9))))/H$9*12,),IF(AND(ISTEXT(H$9),H$10&lt;&gt;""),SUMPRODUCT($AB22:$AF22*(TEXT($AB$10:$AF$10,"mmm-yy")=H$10)),))</f>
        <v>0</v>
      </c>
      <c r="I22" s="295">
        <f>IF(H22="n/a","n/a",IF(TotalDealUnits,H22/TotalDealUnits,))</f>
        <v>0</v>
      </c>
      <c r="J22" s="67">
        <f>IF(AND(J$9&gt;0,J$9&lt;13),IF(J$9&lt;=SUM($O$9:$Z$9),SUMPRODUCT($O22:$Z22*($O$9:$Z$9&gt;0)*(COLUMN($O22)-COLUMN($O22:$Z22)&lt;=(J$9-SUM($O$9:$Z$9))))/J$9*12,),IF(AND(ISTEXT(J$9),J$10&lt;&gt;""),SUMPRODUCT($AB22:$AF22*(TEXT($AB$10:$AF$10,"mmm-yy")=J$10)),))</f>
        <v>0</v>
      </c>
      <c r="K22" s="295">
        <f>IF(J22="n/a","n/a",IF(TotalDealUnits,J22/TotalDealUnits,))</f>
        <v>0</v>
      </c>
      <c r="L22" s="67">
        <f>IF(AND(L$9&gt;0,L$9&lt;13),IF(L$9&lt;=SUM($O$9:$Z$9),SUMPRODUCT($O22:$Z22*($O$9:$Z$9&gt;0)*(COLUMN($O22)-COLUMN($O22:$Z22)&lt;=(L$9-SUM($O$9:$Z$9))))/L$9*12,),IF(AND(ISTEXT(L$9),L$10&lt;&gt;""),SUMPRODUCT($AB22:$AF22*(TEXT($AB$10:$AF$10,"mmm-yy")=L$10)),))</f>
        <v>0</v>
      </c>
      <c r="M22" s="295">
        <f>IF(L22="n/a","n/a",IF(TotalDealUnits,L22/TotalDealUnits,))</f>
        <v>0</v>
      </c>
      <c r="N22"/>
      <c r="O22" s="78"/>
      <c r="P22" s="78"/>
      <c r="Q22" s="78"/>
      <c r="R22" s="78"/>
      <c r="S22" s="78"/>
      <c r="T22" s="78"/>
      <c r="U22" s="78"/>
      <c r="V22" s="78"/>
      <c r="W22" s="78"/>
      <c r="X22" s="78"/>
      <c r="Y22" s="78"/>
      <c r="Z22" s="78"/>
      <c r="AB22" s="78"/>
      <c r="AC22" s="78"/>
      <c r="AD22" s="78"/>
      <c r="AE22" s="78"/>
      <c r="AF22" s="78"/>
    </row>
    <row r="23" spans="2:32">
      <c r="B23" s="32" t="str">
        <f>'Operating Calculations'!B79</f>
        <v>Storage</v>
      </c>
      <c r="C23" s="32"/>
      <c r="D23" s="67">
        <f>IF(AND(D$9&gt;0,D$9&lt;13),IF(D$9&lt;=SUM($O$9:$Z$9),SUMPRODUCT($O23:$Z23*($O$9:$Z$9&gt;0)*(COLUMN($O23)-COLUMN($O23:$Z23)&lt;=(D$9-SUM($O$9:$Z$9))))/D$9*12,),IF(AND(ISTEXT(D$9),D$10&lt;&gt;""),SUMPRODUCT($AB23:$AF23*(TEXT($AB$10:$AF$10,"mmm-yy")=D$10)),))</f>
        <v>0</v>
      </c>
      <c r="E23" s="295">
        <f>IF(D23="n/a","n/a",IF(TotalDealUnits,D23/TotalDealUnits,))</f>
        <v>0</v>
      </c>
      <c r="F23" s="67">
        <f>IF(AND(F$9&gt;0,F$9&lt;13),IF(F$9&lt;=SUM($O$9:$Z$9),SUMPRODUCT($O23:$Z23*($O$9:$Z$9&gt;0)*(COLUMN($O23)-COLUMN($O23:$Z23)&lt;=(F$9-SUM($O$9:$Z$9))))/F$9*12,),IF(AND(ISTEXT(F$9),F$10&lt;&gt;""),SUMPRODUCT($AB23:$AF23*(TEXT($AB$10:$AF$10,"mmm-yy")=F$10)),))</f>
        <v>0</v>
      </c>
      <c r="G23" s="295">
        <f>IF(F23="n/a","n/a",IF(TotalDealUnits,F23/TotalDealUnits,))</f>
        <v>0</v>
      </c>
      <c r="H23" s="67">
        <f>IF(AND(H$9&gt;0,H$9&lt;13),IF(H$9&lt;=SUM($O$9:$Z$9),SUMPRODUCT($O23:$Z23*($O$9:$Z$9&gt;0)*(COLUMN($O23)-COLUMN($O23:$Z23)&lt;=(H$9-SUM($O$9:$Z$9))))/H$9*12,),IF(AND(ISTEXT(H$9),H$10&lt;&gt;""),SUMPRODUCT($AB23:$AF23*(TEXT($AB$10:$AF$10,"mmm-yy")=H$10)),))</f>
        <v>0</v>
      </c>
      <c r="I23" s="295">
        <f>IF(H23="n/a","n/a",IF(TotalDealUnits,H23/TotalDealUnits,))</f>
        <v>0</v>
      </c>
      <c r="J23" s="67">
        <f>IF(AND(J$9&gt;0,J$9&lt;13),IF(J$9&lt;=SUM($O$9:$Z$9),SUMPRODUCT($O23:$Z23*($O$9:$Z$9&gt;0)*(COLUMN($O23)-COLUMN($O23:$Z23)&lt;=(J$9-SUM($O$9:$Z$9))))/J$9*12,),IF(AND(ISTEXT(J$9),J$10&lt;&gt;""),SUMPRODUCT($AB23:$AF23*(TEXT($AB$10:$AF$10,"mmm-yy")=J$10)),))</f>
        <v>0</v>
      </c>
      <c r="K23" s="295">
        <f>IF(J23="n/a","n/a",IF(TotalDealUnits,J23/TotalDealUnits,))</f>
        <v>0</v>
      </c>
      <c r="L23" s="67">
        <f>IF(AND(L$9&gt;0,L$9&lt;13),IF(L$9&lt;=SUM($O$9:$Z$9),SUMPRODUCT($O23:$Z23*($O$9:$Z$9&gt;0)*(COLUMN($O23)-COLUMN($O23:$Z23)&lt;=(L$9-SUM($O$9:$Z$9))))/L$9*12,),IF(AND(ISTEXT(L$9),L$10&lt;&gt;""),SUMPRODUCT($AB23:$AF23*(TEXT($AB$10:$AF$10,"mmm-yy")=L$10)),))</f>
        <v>0</v>
      </c>
      <c r="M23" s="295">
        <f>IF(L23="n/a","n/a",IF(TotalDealUnits,L23/TotalDealUnits,))</f>
        <v>0</v>
      </c>
      <c r="N23"/>
      <c r="O23" s="78"/>
      <c r="P23" s="78"/>
      <c r="Q23" s="78"/>
      <c r="R23" s="78"/>
      <c r="S23" s="78"/>
      <c r="T23" s="78"/>
      <c r="U23" s="78"/>
      <c r="V23" s="78"/>
      <c r="W23" s="78"/>
      <c r="X23" s="78"/>
      <c r="Y23" s="78"/>
      <c r="Z23" s="78"/>
      <c r="AB23" s="78"/>
      <c r="AC23" s="78"/>
      <c r="AD23" s="78"/>
      <c r="AE23" s="78"/>
      <c r="AF23" s="78"/>
    </row>
    <row r="24" spans="2:32">
      <c r="B24" s="32" t="s">
        <v>142</v>
      </c>
      <c r="C24" s="32"/>
      <c r="D24" s="67">
        <f>IF(AND(D$9&gt;0,D$9&lt;13),IF(D$9&lt;=SUM($O$9:$Z$9),SUMPRODUCT($O24:$Z24*($O$9:$Z$9&gt;0)*(COLUMN($O24)-COLUMN($O24:$Z24)&lt;=(D$9-SUM($O$9:$Z$9))))/D$9*12,),IF(AND(ISTEXT(D$9),D$10&lt;&gt;""),SUMPRODUCT($AB24:$AF24*(TEXT($AB$10:$AF$10,"mmm-yy")=D$10)),))</f>
        <v>93554</v>
      </c>
      <c r="E24" s="295">
        <f>IF(D24="n/a","n/a",IF(TotalDealUnits,D24/TotalDealUnits,))</f>
        <v>1169.425</v>
      </c>
      <c r="F24" s="67">
        <f>IF(AND(F$9&gt;0,F$9&lt;13),IF(F$9&lt;=SUM($O$9:$Z$9),SUMPRODUCT($O24:$Z24*($O$9:$Z$9&gt;0)*(COLUMN($O24)-COLUMN($O24:$Z24)&lt;=(F$9-SUM($O$9:$Z$9))))/F$9*12,),IF(AND(ISTEXT(F$9),F$10&lt;&gt;""),SUMPRODUCT($AB24:$AF24*(TEXT($AB$10:$AF$10,"mmm-yy")=F$10)),))</f>
        <v>94104</v>
      </c>
      <c r="G24" s="295">
        <f>IF(F24="n/a","n/a",IF(TotalDealUnits,F24/TotalDealUnits,))</f>
        <v>1176.3</v>
      </c>
      <c r="H24" s="67">
        <f>IF(AND(H$9&gt;0,H$9&lt;13),IF(H$9&lt;=SUM($O$9:$Z$9),SUMPRODUCT($O24:$Z24*($O$9:$Z$9&gt;0)*(COLUMN($O24)-COLUMN($O24:$Z24)&lt;=(H$9-SUM($O$9:$Z$9))))/H$9*12,),IF(AND(ISTEXT(H$9),H$10&lt;&gt;""),SUMPRODUCT($AB24:$AF24*(TEXT($AB$10:$AF$10,"mmm-yy")=H$10)),))</f>
        <v>93786</v>
      </c>
      <c r="I24" s="295">
        <f>IF(H24="n/a","n/a",IF(TotalDealUnits,H24/TotalDealUnits,))</f>
        <v>1172.325</v>
      </c>
      <c r="J24" s="67">
        <f>IF(AND(J$9&gt;0,J$9&lt;13),IF(J$9&lt;=SUM($O$9:$Z$9),SUMPRODUCT($O24:$Z24*($O$9:$Z$9&gt;0)*(COLUMN($O24)-COLUMN($O24:$Z24)&lt;=(J$9-SUM($O$9:$Z$9))))/J$9*12,),IF(AND(ISTEXT(J$9),J$10&lt;&gt;""),SUMPRODUCT($AB24:$AF24*(TEXT($AB$10:$AF$10,"mmm-yy")=J$10)),))</f>
        <v>95392</v>
      </c>
      <c r="K24" s="295">
        <f>IF(J24="n/a","n/a",IF(TotalDealUnits,J24/TotalDealUnits,))</f>
        <v>1192.4000000000001</v>
      </c>
      <c r="L24" s="67">
        <f>IF(AND(L$9&gt;0,L$9&lt;13),IF(L$9&lt;=SUM($O$9:$Z$9),SUMPRODUCT($O24:$Z24*($O$9:$Z$9&gt;0)*(COLUMN($O24)-COLUMN($O24:$Z24)&lt;=(L$9-SUM($O$9:$Z$9))))/L$9*12,),IF(AND(ISTEXT(L$9),L$10&lt;&gt;""),SUMPRODUCT($AB24:$AF24*(TEXT($AB$10:$AF$10,"mmm-yy")=L$10)),))</f>
        <v>96240</v>
      </c>
      <c r="M24" s="295">
        <f>IF(L24="n/a","n/a",IF(TotalDealUnits,L24/TotalDealUnits,))</f>
        <v>1203</v>
      </c>
      <c r="N24"/>
      <c r="O24" s="78">
        <v>7665</v>
      </c>
      <c r="P24" s="78">
        <v>7607</v>
      </c>
      <c r="Q24" s="78">
        <v>7704</v>
      </c>
      <c r="R24" s="78">
        <v>7853</v>
      </c>
      <c r="S24" s="78">
        <v>7952</v>
      </c>
      <c r="T24" s="78">
        <v>7880</v>
      </c>
      <c r="U24" s="78">
        <v>7837</v>
      </c>
      <c r="V24" s="78">
        <v>7613</v>
      </c>
      <c r="W24" s="78">
        <v>7595</v>
      </c>
      <c r="X24" s="78">
        <v>7918</v>
      </c>
      <c r="Y24" s="78">
        <v>7910</v>
      </c>
      <c r="Z24" s="78">
        <v>8020</v>
      </c>
      <c r="AB24" s="78"/>
      <c r="AC24" s="78"/>
      <c r="AD24" s="78"/>
      <c r="AE24" s="78"/>
      <c r="AF24" s="78"/>
    </row>
    <row r="25" spans="2:32">
      <c r="B25" s="32" t="s">
        <v>143</v>
      </c>
      <c r="C25" s="32"/>
      <c r="D25" s="67">
        <f>IF(AND(D$9&gt;0,D$9&lt;13),IF(D$9&lt;=SUM($O$9:$Z$9),SUMPRODUCT($O25:$Z25*($O$9:$Z$9&gt;0)*(COLUMN($O25)-COLUMN($O25:$Z25)&lt;=(D$9-SUM($O$9:$Z$9))))/D$9*12,),IF(AND(ISTEXT(D$9),D$10&lt;&gt;""),SUMPRODUCT($AB25:$AF25*(TEXT($AB$10:$AF$10,"mmm-yy")=D$10)),))</f>
        <v>102896</v>
      </c>
      <c r="E25" s="295">
        <f>IF(D25="n/a","n/a",IF(TotalDealUnits,D25/TotalDealUnits,))</f>
        <v>1286.2</v>
      </c>
      <c r="F25" s="67">
        <f>IF(AND(F$9&gt;0,F$9&lt;13),IF(F$9&lt;=SUM($O$9:$Z$9),SUMPRODUCT($O25:$Z25*($O$9:$Z$9&gt;0)*(COLUMN($O25)-COLUMN($O25:$Z25)&lt;=(F$9-SUM($O$9:$Z$9))))/F$9*12,),IF(AND(ISTEXT(F$9),F$10&lt;&gt;""),SUMPRODUCT($AB25:$AF25*(TEXT($AB$10:$AF$10,"mmm-yy")=F$10)),))</f>
        <v>118289.33333333334</v>
      </c>
      <c r="G25" s="295">
        <f>IF(F25="n/a","n/a",IF(TotalDealUnits,F25/TotalDealUnits,))</f>
        <v>1478.6166666666668</v>
      </c>
      <c r="H25" s="67">
        <f>IF(AND(H$9&gt;0,H$9&lt;13),IF(H$9&lt;=SUM($O$9:$Z$9),SUMPRODUCT($O25:$Z25*($O$9:$Z$9&gt;0)*(COLUMN($O25)-COLUMN($O25:$Z25)&lt;=(H$9-SUM($O$9:$Z$9))))/H$9*12,),IF(AND(ISTEXT(H$9),H$10&lt;&gt;""),SUMPRODUCT($AB25:$AF25*(TEXT($AB$10:$AF$10,"mmm-yy")=H$10)),))</f>
        <v>138798</v>
      </c>
      <c r="I25" s="295">
        <f>IF(H25="n/a","n/a",IF(TotalDealUnits,H25/TotalDealUnits,))</f>
        <v>1734.9749999999999</v>
      </c>
      <c r="J25" s="67">
        <f>IF(AND(J$9&gt;0,J$9&lt;13),IF(J$9&lt;=SUM($O$9:$Z$9),SUMPRODUCT($O25:$Z25*($O$9:$Z$9&gt;0)*(COLUMN($O25)-COLUMN($O25:$Z25)&lt;=(J$9-SUM($O$9:$Z$9))))/J$9*12,),IF(AND(ISTEXT(J$9),J$10&lt;&gt;""),SUMPRODUCT($AB25:$AF25*(TEXT($AB$10:$AF$10,"mmm-yy")=J$10)),))</f>
        <v>91200</v>
      </c>
      <c r="K25" s="295">
        <f>IF(J25="n/a","n/a",IF(TotalDealUnits,J25/TotalDealUnits,))</f>
        <v>1140</v>
      </c>
      <c r="L25" s="67">
        <f>IF(AND(L$9&gt;0,L$9&lt;13),IF(L$9&lt;=SUM($O$9:$Z$9),SUMPRODUCT($O25:$Z25*($O$9:$Z$9&gt;0)*(COLUMN($O25)-COLUMN($O25:$Z25)&lt;=(L$9-SUM($O$9:$Z$9))))/L$9*12,),IF(AND(ISTEXT(L$9),L$10&lt;&gt;""),SUMPRODUCT($AB25:$AF25*(TEXT($AB$10:$AF$10,"mmm-yy")=L$10)),))</f>
        <v>48792</v>
      </c>
      <c r="M25" s="295">
        <f>IF(L25="n/a","n/a",IF(TotalDealUnits,L25/TotalDealUnits,))</f>
        <v>609.9</v>
      </c>
      <c r="N25"/>
      <c r="O25" s="78">
        <v>6239</v>
      </c>
      <c r="P25" s="78">
        <v>3715</v>
      </c>
      <c r="Q25" s="78">
        <v>4225</v>
      </c>
      <c r="R25" s="78">
        <v>5465</v>
      </c>
      <c r="S25" s="78">
        <v>7668</v>
      </c>
      <c r="T25" s="78">
        <v>6185</v>
      </c>
      <c r="U25" s="78">
        <v>21057</v>
      </c>
      <c r="V25" s="78">
        <v>13196</v>
      </c>
      <c r="W25" s="78">
        <v>12346</v>
      </c>
      <c r="X25" s="78">
        <v>12187</v>
      </c>
      <c r="Y25" s="78">
        <v>6547</v>
      </c>
      <c r="Z25" s="78">
        <v>4066</v>
      </c>
      <c r="AB25" s="78"/>
      <c r="AC25" s="78"/>
      <c r="AD25" s="78"/>
      <c r="AE25" s="78"/>
      <c r="AF25" s="78"/>
    </row>
    <row r="26" spans="2:32" hidden="1">
      <c r="B26" s="32" t="s">
        <v>144</v>
      </c>
      <c r="C26" s="32"/>
      <c r="D26" s="67">
        <f>IF(AND(D$9&gt;0,D$9&lt;13),IF(D$9&lt;=SUM($O$9:$Z$9),SUMPRODUCT($O26:$Z26*($O$9:$Z$9&gt;0)*(COLUMN($O26)-COLUMN($O26:$Z26)&lt;=(D$9-SUM($O$9:$Z$9))))/D$9*12,),IF(AND(ISTEXT(D$9),D$10&lt;&gt;""),SUMPRODUCT($AB26:$AF26*(TEXT($AB$10:$AF$10,"mmm-yy")=D$10)),))</f>
        <v>0</v>
      </c>
      <c r="E26" s="295">
        <f>IF(D26="n/a","n/a",IF(TotalDealUnits,D26/TotalDealUnits,))</f>
        <v>0</v>
      </c>
      <c r="F26" s="67">
        <f>IF(AND(F$9&gt;0,F$9&lt;13),IF(F$9&lt;=SUM($O$9:$Z$9),SUMPRODUCT($O26:$Z26*($O$9:$Z$9&gt;0)*(COLUMN($O26)-COLUMN($O26:$Z26)&lt;=(F$9-SUM($O$9:$Z$9))))/F$9*12,),IF(AND(ISTEXT(F$9),F$10&lt;&gt;""),SUMPRODUCT($AB26:$AF26*(TEXT($AB$10:$AF$10,"mmm-yy")=F$10)),))</f>
        <v>0</v>
      </c>
      <c r="G26" s="295">
        <f>IF(F26="n/a","n/a",IF(TotalDealUnits,F26/TotalDealUnits,))</f>
        <v>0</v>
      </c>
      <c r="H26" s="67">
        <f>IF(AND(H$9&gt;0,H$9&lt;13),IF(H$9&lt;=SUM($O$9:$Z$9),SUMPRODUCT($O26:$Z26*($O$9:$Z$9&gt;0)*(COLUMN($O26)-COLUMN($O26:$Z26)&lt;=(H$9-SUM($O$9:$Z$9))))/H$9*12,),IF(AND(ISTEXT(H$9),H$10&lt;&gt;""),SUMPRODUCT($AB26:$AF26*(TEXT($AB$10:$AF$10,"mmm-yy")=H$10)),))</f>
        <v>0</v>
      </c>
      <c r="I26" s="295">
        <f>IF(H26="n/a","n/a",IF(TotalDealUnits,H26/TotalDealUnits,))</f>
        <v>0</v>
      </c>
      <c r="J26" s="67">
        <f>IF(AND(J$9&gt;0,J$9&lt;13),IF(J$9&lt;=SUM($O$9:$Z$9),SUMPRODUCT($O26:$Z26*($O$9:$Z$9&gt;0)*(COLUMN($O26)-COLUMN($O26:$Z26)&lt;=(J$9-SUM($O$9:$Z$9))))/J$9*12,),IF(AND(ISTEXT(J$9),J$10&lt;&gt;""),SUMPRODUCT($AB26:$AF26*(TEXT($AB$10:$AF$10,"mmm-yy")=J$10)),))</f>
        <v>0</v>
      </c>
      <c r="K26" s="295">
        <f>IF(J26="n/a","n/a",IF(TotalDealUnits,J26/TotalDealUnits,))</f>
        <v>0</v>
      </c>
      <c r="L26" s="67">
        <f>IF(AND(L$9&gt;0,L$9&lt;13),IF(L$9&lt;=SUM($O$9:$Z$9),SUMPRODUCT($O26:$Z26*($O$9:$Z$9&gt;0)*(COLUMN($O26)-COLUMN($O26:$Z26)&lt;=(L$9-SUM($O$9:$Z$9))))/L$9*12,),IF(AND(ISTEXT(L$9),L$10&lt;&gt;""),SUMPRODUCT($AB26:$AF26*(TEXT($AB$10:$AF$10,"mmm-yy")=L$10)),))</f>
        <v>0</v>
      </c>
      <c r="M26" s="295">
        <f>IF(L26="n/a","n/a",IF(TotalDealUnits,L26/TotalDealUnits,))</f>
        <v>0</v>
      </c>
      <c r="N26"/>
      <c r="O26" s="78"/>
      <c r="P26" s="78"/>
      <c r="Q26" s="78"/>
      <c r="R26" s="78"/>
      <c r="S26" s="78"/>
      <c r="T26" s="78"/>
      <c r="U26" s="78"/>
      <c r="V26" s="78"/>
      <c r="W26" s="78"/>
      <c r="X26" s="78"/>
      <c r="Y26" s="78"/>
      <c r="Z26" s="78"/>
      <c r="AB26" s="78"/>
      <c r="AC26" s="78"/>
      <c r="AD26" s="78"/>
      <c r="AE26" s="78"/>
      <c r="AF26" s="78"/>
    </row>
    <row r="27" spans="2:32">
      <c r="B27" s="46" t="s">
        <v>123</v>
      </c>
      <c r="C27" s="46"/>
      <c r="D27" s="692">
        <f t="shared" ref="D27:M27" si="5">SUBTOTAL(9,D22:D26)</f>
        <v>196450</v>
      </c>
      <c r="E27" s="693">
        <f t="shared" si="5"/>
        <v>2455.625</v>
      </c>
      <c r="F27" s="692">
        <f t="shared" si="5"/>
        <v>212393.33333333334</v>
      </c>
      <c r="G27" s="693">
        <f t="shared" si="5"/>
        <v>2654.916666666667</v>
      </c>
      <c r="H27" s="692">
        <f t="shared" si="5"/>
        <v>232584</v>
      </c>
      <c r="I27" s="693">
        <f t="shared" si="5"/>
        <v>2907.3</v>
      </c>
      <c r="J27" s="692">
        <f t="shared" si="5"/>
        <v>186592</v>
      </c>
      <c r="K27" s="693">
        <f t="shared" si="5"/>
        <v>2332.4</v>
      </c>
      <c r="L27" s="692">
        <f t="shared" si="5"/>
        <v>145032</v>
      </c>
      <c r="M27" s="693">
        <f t="shared" si="5"/>
        <v>1812.9</v>
      </c>
      <c r="N27"/>
      <c r="O27" s="694">
        <f t="shared" ref="O27:X27" si="6">SUBTOTAL(9,O22:O26)</f>
        <v>13904</v>
      </c>
      <c r="P27" s="694">
        <f t="shared" si="6"/>
        <v>11322</v>
      </c>
      <c r="Q27" s="694">
        <f t="shared" si="6"/>
        <v>11929</v>
      </c>
      <c r="R27" s="694">
        <f t="shared" si="6"/>
        <v>13318</v>
      </c>
      <c r="S27" s="694">
        <f t="shared" si="6"/>
        <v>15620</v>
      </c>
      <c r="T27" s="694">
        <f t="shared" si="6"/>
        <v>14065</v>
      </c>
      <c r="U27" s="694">
        <f t="shared" si="6"/>
        <v>28894</v>
      </c>
      <c r="V27" s="694">
        <f t="shared" si="6"/>
        <v>20809</v>
      </c>
      <c r="W27" s="694">
        <f t="shared" si="6"/>
        <v>19941</v>
      </c>
      <c r="X27" s="694">
        <f t="shared" si="6"/>
        <v>20105</v>
      </c>
      <c r="Y27" s="694">
        <f>SUBTOTAL(9,Y22:Y26)</f>
        <v>14457</v>
      </c>
      <c r="Z27" s="694">
        <f>SUBTOTAL(9,Z22:Z26)</f>
        <v>12086</v>
      </c>
      <c r="AB27" s="694">
        <f>SUBTOTAL(9,AB22:AB26)</f>
        <v>0</v>
      </c>
      <c r="AC27" s="694">
        <f>SUBTOTAL(9,AC22:AC26)</f>
        <v>0</v>
      </c>
      <c r="AD27" s="694">
        <f>SUBTOTAL(9,AD22:AD26)</f>
        <v>0</v>
      </c>
      <c r="AE27" s="694">
        <f>SUBTOTAL(9,AE22:AE26)</f>
        <v>0</v>
      </c>
      <c r="AF27" s="694">
        <f>SUBTOTAL(9,AF22:AF26)</f>
        <v>0</v>
      </c>
    </row>
    <row r="28" spans="2:32">
      <c r="B28" s="32"/>
      <c r="C28" s="32"/>
      <c r="D28" s="83"/>
      <c r="E28" s="695"/>
      <c r="F28" s="83"/>
      <c r="G28" s="695"/>
      <c r="H28" s="83"/>
      <c r="I28" s="695"/>
      <c r="J28" s="83"/>
      <c r="K28" s="695"/>
      <c r="L28" s="83"/>
      <c r="M28" s="695"/>
      <c r="N28"/>
      <c r="O28" s="27"/>
      <c r="P28" s="27"/>
      <c r="Q28" s="27"/>
      <c r="R28" s="27"/>
      <c r="S28" s="27"/>
      <c r="T28" s="27"/>
      <c r="U28" s="27"/>
      <c r="V28" s="27"/>
      <c r="W28" s="27"/>
      <c r="X28" s="27"/>
      <c r="Y28" s="27"/>
      <c r="Z28" s="27"/>
      <c r="AB28" s="27"/>
      <c r="AC28" s="27"/>
      <c r="AD28" s="27"/>
      <c r="AE28" s="27"/>
      <c r="AF28" s="27"/>
    </row>
    <row r="29" spans="2:32">
      <c r="B29" s="198" t="s">
        <v>124</v>
      </c>
      <c r="C29" s="198"/>
      <c r="D29" s="692">
        <f t="shared" ref="D29:M29" si="7">SUBTOTAL(9,D12:D28)</f>
        <v>1307725</v>
      </c>
      <c r="E29" s="693">
        <f t="shared" si="7"/>
        <v>16346.5625</v>
      </c>
      <c r="F29" s="692">
        <f t="shared" si="7"/>
        <v>1342752</v>
      </c>
      <c r="G29" s="693">
        <f t="shared" si="7"/>
        <v>16784.400000000001</v>
      </c>
      <c r="H29" s="692">
        <f t="shared" si="7"/>
        <v>1299208</v>
      </c>
      <c r="I29" s="693">
        <f t="shared" si="7"/>
        <v>16240.099999999999</v>
      </c>
      <c r="J29" s="692">
        <f t="shared" si="7"/>
        <v>1304192</v>
      </c>
      <c r="K29" s="693">
        <f t="shared" si="7"/>
        <v>16302.4</v>
      </c>
      <c r="L29" s="692">
        <f t="shared" si="7"/>
        <v>1422336</v>
      </c>
      <c r="M29" s="693">
        <f t="shared" si="7"/>
        <v>17779.200000000004</v>
      </c>
      <c r="N29"/>
      <c r="O29" s="694">
        <f t="shared" ref="O29:X29" si="8">SUBTOTAL(9,O12:O28)</f>
        <v>89739</v>
      </c>
      <c r="P29" s="694">
        <f t="shared" si="8"/>
        <v>103732</v>
      </c>
      <c r="Q29" s="694">
        <f t="shared" si="8"/>
        <v>107190</v>
      </c>
      <c r="R29" s="694">
        <f t="shared" si="8"/>
        <v>115665</v>
      </c>
      <c r="S29" s="694">
        <f t="shared" si="8"/>
        <v>120625</v>
      </c>
      <c r="T29" s="694">
        <f t="shared" si="8"/>
        <v>121170</v>
      </c>
      <c r="U29" s="694">
        <f t="shared" si="8"/>
        <v>109142</v>
      </c>
      <c r="V29" s="694">
        <f t="shared" si="8"/>
        <v>101512</v>
      </c>
      <c r="W29" s="694">
        <f t="shared" si="8"/>
        <v>112902</v>
      </c>
      <c r="X29" s="694">
        <f t="shared" si="8"/>
        <v>88759</v>
      </c>
      <c r="Y29" s="694">
        <f>SUBTOTAL(9,Y12:Y28)</f>
        <v>118761</v>
      </c>
      <c r="Z29" s="694">
        <f>SUBTOTAL(9,Z12:Z28)</f>
        <v>118528</v>
      </c>
      <c r="AB29" s="694">
        <f>SUBTOTAL(9,AB12:AB28)</f>
        <v>0</v>
      </c>
      <c r="AC29" s="694">
        <f>SUBTOTAL(9,AC12:AC28)</f>
        <v>0</v>
      </c>
      <c r="AD29" s="694">
        <f>SUBTOTAL(9,AD12:AD28)</f>
        <v>0</v>
      </c>
      <c r="AE29" s="694">
        <f>SUBTOTAL(9,AE12:AE28)</f>
        <v>0</v>
      </c>
      <c r="AF29" s="694">
        <f>SUBTOTAL(9,AF12:AF28)</f>
        <v>0</v>
      </c>
    </row>
    <row r="30" spans="2:32">
      <c r="B30" s="198"/>
      <c r="C30" s="198"/>
      <c r="D30" s="696"/>
      <c r="E30" s="697"/>
      <c r="F30" s="696"/>
      <c r="G30" s="697"/>
      <c r="H30" s="696"/>
      <c r="I30" s="697"/>
      <c r="J30" s="696"/>
      <c r="K30" s="697"/>
      <c r="L30" s="696"/>
      <c r="M30" s="697"/>
      <c r="N30"/>
      <c r="O30" s="169"/>
      <c r="P30" s="169"/>
      <c r="Q30" s="169"/>
      <c r="R30" s="169"/>
      <c r="S30" s="169"/>
      <c r="T30" s="169"/>
      <c r="U30" s="169"/>
      <c r="V30" s="169"/>
      <c r="W30" s="169"/>
      <c r="X30" s="169"/>
      <c r="Y30" s="169"/>
      <c r="Z30" s="169"/>
      <c r="AB30" s="169"/>
      <c r="AC30" s="169"/>
      <c r="AD30" s="169"/>
      <c r="AE30" s="169"/>
      <c r="AF30" s="169"/>
    </row>
    <row r="31" spans="2:32">
      <c r="D31" s="698"/>
      <c r="E31" s="698"/>
      <c r="F31" s="698"/>
      <c r="G31" s="698"/>
      <c r="H31" s="698"/>
      <c r="I31" s="698"/>
      <c r="J31" s="698"/>
      <c r="K31" s="698"/>
      <c r="L31" s="698"/>
      <c r="M31" s="698"/>
      <c r="N31"/>
    </row>
    <row r="32" spans="2:32" ht="12.75" customHeight="1">
      <c r="D32" s="699" t="str">
        <f>IF(IsHistoricalComponent,IF(ISNUMBER(D9),IF(SUM('Select Historicals'!$O$9:$Z$9)=12,"Trailing ","T")&amp;SUM('Select Historicals'!$O$9:$Z$9)&amp;IF(SUM('Select Historicals'!$O$9:$Z$9)&lt;12," Annualized ",""),"Year Ending"&amp;" "),"")</f>
        <v>Trailing 12</v>
      </c>
      <c r="E32" s="163"/>
      <c r="F32" s="699" t="str">
        <f>IF(IsHistoricalComponent,IF(ISNUMBER(F9),IF(SUM('Select Historicals'!$O$9:$Z$9)=12,"Trailing ","T")&amp;SUM('Select Historicals'!$O$9:$Z$9)&amp;IF(SUM('Select Historicals'!$O$9:$Z$9)&lt;12," Annualized ",""),"Year Ending"&amp;" "),"")</f>
        <v>Trailing 12</v>
      </c>
      <c r="G32" s="163"/>
      <c r="H32" s="699" t="str">
        <f>IF(IsHistoricalComponent,IF(ISNUMBER(H9),IF(SUM('Select Historicals'!$O$9:$Z$9)=12,"Trailing ","T")&amp;SUM('Select Historicals'!$O$9:$Z$9)&amp;IF(SUM('Select Historicals'!$O$9:$Z$9)&lt;12," Annualized ",""),"Year Ending"&amp;" "),"")</f>
        <v>Trailing 12</v>
      </c>
      <c r="I32" s="163"/>
      <c r="J32" s="699" t="str">
        <f>IF(IsHistoricalComponent,IF(ISNUMBER(J9),IF(SUM('Select Historicals'!$O$9:$Z$9)=12,"Trailing ","T")&amp;SUM('Select Historicals'!$O$9:$Z$9)&amp;IF(SUM('Select Historicals'!$O$9:$Z$9)&lt;12," Annualized ",""),"Year Ending"&amp;" "),"")</f>
        <v>Trailing 12</v>
      </c>
      <c r="K32" s="163"/>
      <c r="L32" s="699" t="str">
        <f>IF(IsHistoricalComponent,IF(ISNUMBER(L9),IF(SUM('Select Historicals'!$O$9:$Z$9)=12,"Trailing ","T")&amp;SUM('Select Historicals'!$O$9:$Z$9)&amp;IF(SUM('Select Historicals'!$O$9:$Z$9)&lt;12," Annualized ",""),"Year Ending"&amp;" "),"")</f>
        <v>Trailing 12</v>
      </c>
      <c r="M32" s="163"/>
      <c r="N32"/>
    </row>
    <row r="33" spans="2:32" ht="14.25" customHeight="1" collapsed="1">
      <c r="B33" s="1099" t="s">
        <v>125</v>
      </c>
      <c r="C33" s="390"/>
      <c r="D33" s="391"/>
      <c r="E33" s="391"/>
      <c r="F33" s="391"/>
      <c r="G33" s="391"/>
      <c r="H33" s="391"/>
      <c r="I33" s="391"/>
      <c r="J33" s="391"/>
      <c r="K33" s="391"/>
      <c r="L33" s="391"/>
      <c r="M33" s="391"/>
      <c r="N33"/>
      <c r="O33" s="391"/>
      <c r="P33" s="391"/>
      <c r="Q33" s="391"/>
      <c r="R33" s="391"/>
      <c r="S33" s="391"/>
      <c r="T33" s="391"/>
      <c r="U33" s="391"/>
      <c r="V33" s="391"/>
      <c r="W33" s="391"/>
      <c r="X33" s="391"/>
      <c r="Y33" s="391"/>
      <c r="Z33" s="391"/>
      <c r="AB33" s="390"/>
      <c r="AC33" s="390"/>
      <c r="AD33" s="390"/>
      <c r="AE33" s="390"/>
      <c r="AF33" s="390"/>
    </row>
    <row r="34" spans="2:32">
      <c r="B34" s="32" t="str">
        <f>Input!B129</f>
        <v>Repair &amp; Maintenance</v>
      </c>
      <c r="C34" s="32"/>
      <c r="D34" s="67">
        <f t="shared" ref="D34:D52" si="9">IF(AND(D$9&gt;0,D$9&lt;13),IF(D$9&lt;=SUM($O$9:$Z$9),SUMPRODUCT($O34:$Z34*($O$9:$Z$9&gt;0))/SUM($O$9:$Z$9)*12,),IF(AND(ISTEXT(D$9),D$10&lt;&gt;""),SUMPRODUCT($AB34:$AF34*(TEXT($AB$10:$AF$10,"mmm-yy")=D$10)),))</f>
        <v>90278</v>
      </c>
      <c r="E34" s="295">
        <f>IF(D34="n/a","n/a",IF(TotalDealUnits,D34/TotalDealUnits,))</f>
        <v>1128.4749999999999</v>
      </c>
      <c r="F34" s="67">
        <f t="shared" ref="F34:F52" si="10">IF(AND(F$9&gt;0,F$9&lt;13),IF(F$9&lt;=SUM($O$9:$Z$9),SUMPRODUCT($O34:$Z34*($O$9:$Z$9&gt;0))/SUM($O$9:$Z$9)*12,),IF(AND(ISTEXT(F$9),F$10&lt;&gt;""),SUMPRODUCT($AB34:$AF34*(TEXT($AB$10:$AF$10,"mmm-yy")=F$10)),))</f>
        <v>90278</v>
      </c>
      <c r="G34" s="295">
        <f>IF(F34="n/a","n/a",IF(TotalDealUnits,F34/TotalDealUnits,))</f>
        <v>1128.4749999999999</v>
      </c>
      <c r="H34" s="67">
        <f t="shared" ref="H34:H52" si="11">IF(AND(H$9&gt;0,H$9&lt;13),IF(H$9&lt;=SUM($O$9:$Z$9),SUMPRODUCT($O34:$Z34*($O$9:$Z$9&gt;0))/SUM($O$9:$Z$9)*12,),IF(AND(ISTEXT(H$9),H$10&lt;&gt;""),SUMPRODUCT($AB34:$AF34*(TEXT($AB$10:$AF$10,"mmm-yy")=H$10)),))</f>
        <v>90278</v>
      </c>
      <c r="I34" s="295">
        <f>IF(H34="n/a","n/a",IF(TotalDealUnits,H34/TotalDealUnits,))</f>
        <v>1128.4749999999999</v>
      </c>
      <c r="J34" s="67">
        <f t="shared" ref="J34:J52" si="12">IF(AND(J$9&gt;0,J$9&lt;13),IF(J$9&lt;=SUM($O$9:$Z$9),SUMPRODUCT($O34:$Z34*($O$9:$Z$9&gt;0))/SUM($O$9:$Z$9)*12,),IF(AND(ISTEXT(J$9),J$10&lt;&gt;""),SUMPRODUCT($AB34:$AF34*(TEXT($AB$10:$AF$10,"mmm-yy")=J$10)),))</f>
        <v>90278</v>
      </c>
      <c r="K34" s="295">
        <f t="shared" ref="K34:K52" si="13">IF(J34="n/a","n/a",IF(TotalDealUnits,J34/TotalDealUnits,))</f>
        <v>1128.4749999999999</v>
      </c>
      <c r="L34" s="67">
        <f t="shared" ref="L34:L52" si="14">IF(AND(L$9&gt;0,L$9&lt;13),IF(L$9&lt;=SUM($O$9:$Z$9),SUMPRODUCT($O34:$Z34*($O$9:$Z$9&gt;0))/SUM($O$9:$Z$9)*12,),IF(AND(ISTEXT(L$9),L$10&lt;&gt;""),SUMPRODUCT($AB34:$AF34*(TEXT($AB$10:$AF$10,"mmm-yy")=L$10)),))</f>
        <v>90278</v>
      </c>
      <c r="M34" s="295">
        <f t="shared" ref="M34:M52" si="15">IF(L34="n/a","n/a",IF(TotalDealUnits,L34/TotalDealUnits,))</f>
        <v>1128.4749999999999</v>
      </c>
      <c r="N34"/>
      <c r="O34" s="78">
        <v>1138</v>
      </c>
      <c r="P34" s="78">
        <v>140</v>
      </c>
      <c r="Q34" s="78">
        <v>25313</v>
      </c>
      <c r="R34" s="78">
        <v>813</v>
      </c>
      <c r="S34" s="78">
        <v>6293</v>
      </c>
      <c r="T34" s="78">
        <v>3270</v>
      </c>
      <c r="U34" s="78">
        <v>3369</v>
      </c>
      <c r="V34" s="78">
        <v>7244</v>
      </c>
      <c r="W34" s="78">
        <v>14569</v>
      </c>
      <c r="X34" s="78">
        <v>10963</v>
      </c>
      <c r="Y34" s="78">
        <v>12589</v>
      </c>
      <c r="Z34" s="78">
        <v>4577</v>
      </c>
      <c r="AB34" s="78"/>
      <c r="AC34" s="78"/>
      <c r="AD34" s="78"/>
      <c r="AE34" s="78"/>
      <c r="AF34" s="78"/>
    </row>
    <row r="35" spans="2:32">
      <c r="B35" s="32" t="str">
        <f>Input!B130</f>
        <v>Contract Services</v>
      </c>
      <c r="C35" s="32"/>
      <c r="D35" s="67">
        <f t="shared" si="9"/>
        <v>0</v>
      </c>
      <c r="E35" s="295">
        <f>IF(D35="n/a","n/a",IF(TotalDealUnits,D35/TotalDealUnits,))</f>
        <v>0</v>
      </c>
      <c r="F35" s="67">
        <f t="shared" si="10"/>
        <v>0</v>
      </c>
      <c r="G35" s="295">
        <f>IF(F35="n/a","n/a",IF(TotalDealUnits,F35/TotalDealUnits,))</f>
        <v>0</v>
      </c>
      <c r="H35" s="67">
        <f t="shared" si="11"/>
        <v>0</v>
      </c>
      <c r="I35" s="295">
        <f>IF(H35="n/a","n/a",IF(TotalDealUnits,H35/TotalDealUnits,))</f>
        <v>0</v>
      </c>
      <c r="J35" s="67">
        <f t="shared" si="12"/>
        <v>0</v>
      </c>
      <c r="K35" s="295">
        <f t="shared" si="13"/>
        <v>0</v>
      </c>
      <c r="L35" s="67">
        <f t="shared" si="14"/>
        <v>0</v>
      </c>
      <c r="M35" s="295">
        <f t="shared" si="15"/>
        <v>0</v>
      </c>
      <c r="N35"/>
      <c r="O35" s="78"/>
      <c r="P35" s="78"/>
      <c r="Q35" s="78"/>
      <c r="R35" s="78"/>
      <c r="S35" s="78"/>
      <c r="T35" s="78"/>
      <c r="U35" s="78"/>
      <c r="V35" s="78"/>
      <c r="W35" s="78"/>
      <c r="X35" s="78"/>
      <c r="Y35" s="78"/>
      <c r="Z35" s="78"/>
      <c r="AB35" s="78"/>
      <c r="AC35" s="78"/>
      <c r="AD35" s="78"/>
      <c r="AE35" s="78"/>
      <c r="AF35" s="78"/>
    </row>
    <row r="36" spans="2:32">
      <c r="B36" s="32" t="str">
        <f>Input!B131</f>
        <v>Security</v>
      </c>
      <c r="C36" s="32"/>
      <c r="D36" s="67">
        <f t="shared" si="9"/>
        <v>0</v>
      </c>
      <c r="E36" s="295">
        <f>IF(D36="n/a","n/a",IF(TotalDealUnits,D36/TotalDealUnits,))</f>
        <v>0</v>
      </c>
      <c r="F36" s="67">
        <f t="shared" si="10"/>
        <v>0</v>
      </c>
      <c r="G36" s="295">
        <f>IF(F36="n/a","n/a",IF(TotalDealUnits,F36/TotalDealUnits,))</f>
        <v>0</v>
      </c>
      <c r="H36" s="67">
        <f t="shared" si="11"/>
        <v>0</v>
      </c>
      <c r="I36" s="295">
        <f>IF(H36="n/a","n/a",IF(TotalDealUnits,H36/TotalDealUnits,))</f>
        <v>0</v>
      </c>
      <c r="J36" s="67">
        <f t="shared" si="12"/>
        <v>0</v>
      </c>
      <c r="K36" s="295">
        <f t="shared" si="13"/>
        <v>0</v>
      </c>
      <c r="L36" s="67">
        <f t="shared" si="14"/>
        <v>0</v>
      </c>
      <c r="M36" s="295">
        <f t="shared" si="15"/>
        <v>0</v>
      </c>
      <c r="N36"/>
      <c r="O36" s="78"/>
      <c r="P36" s="78"/>
      <c r="Q36" s="78"/>
      <c r="R36" s="78"/>
      <c r="S36" s="78"/>
      <c r="T36" s="78"/>
      <c r="U36" s="78"/>
      <c r="V36" s="78"/>
      <c r="W36" s="78"/>
      <c r="X36" s="78"/>
      <c r="Y36" s="78"/>
      <c r="Z36" s="78"/>
      <c r="AB36" s="78"/>
      <c r="AC36" s="78"/>
      <c r="AD36" s="78"/>
      <c r="AE36" s="78"/>
      <c r="AF36" s="78"/>
    </row>
    <row r="37" spans="2:32">
      <c r="B37" s="32" t="str">
        <f>Input!B132</f>
        <v>Landscaping / Grounds</v>
      </c>
      <c r="C37" s="32"/>
      <c r="D37" s="67">
        <f t="shared" si="9"/>
        <v>16274</v>
      </c>
      <c r="E37" s="295">
        <f>IF(D37="n/a","n/a",IF(TotalDealUnits,D37/TotalDealUnits,))</f>
        <v>203.42500000000001</v>
      </c>
      <c r="F37" s="67">
        <f t="shared" si="10"/>
        <v>16274</v>
      </c>
      <c r="G37" s="295">
        <f>IF(F37="n/a","n/a",IF(TotalDealUnits,F37/TotalDealUnits,))</f>
        <v>203.42500000000001</v>
      </c>
      <c r="H37" s="67">
        <f t="shared" si="11"/>
        <v>16274</v>
      </c>
      <c r="I37" s="295">
        <f>IF(H37="n/a","n/a",IF(TotalDealUnits,H37/TotalDealUnits,))</f>
        <v>203.42500000000001</v>
      </c>
      <c r="J37" s="67">
        <f t="shared" si="12"/>
        <v>16274</v>
      </c>
      <c r="K37" s="295">
        <f t="shared" si="13"/>
        <v>203.42500000000001</v>
      </c>
      <c r="L37" s="67">
        <f t="shared" si="14"/>
        <v>16274</v>
      </c>
      <c r="M37" s="295">
        <f t="shared" si="15"/>
        <v>203.42500000000001</v>
      </c>
      <c r="N37"/>
      <c r="O37" s="78">
        <v>2250</v>
      </c>
      <c r="P37" s="78">
        <v>2250</v>
      </c>
      <c r="Q37" s="78">
        <v>-270</v>
      </c>
      <c r="R37" s="78">
        <v>2000</v>
      </c>
      <c r="S37" s="78"/>
      <c r="T37" s="78"/>
      <c r="U37" s="78">
        <v>2044</v>
      </c>
      <c r="V37" s="78">
        <v>2000</v>
      </c>
      <c r="W37" s="78"/>
      <c r="X37" s="78">
        <v>2000</v>
      </c>
      <c r="Y37" s="78">
        <v>2000</v>
      </c>
      <c r="Z37" s="78">
        <v>2000</v>
      </c>
      <c r="AB37" s="78"/>
      <c r="AC37" s="78"/>
      <c r="AD37" s="78"/>
      <c r="AE37" s="78"/>
      <c r="AF37" s="78"/>
    </row>
    <row r="38" spans="2:32">
      <c r="B38" s="32" t="str">
        <f>Input!B133</f>
        <v>Personnel</v>
      </c>
      <c r="C38" s="32"/>
      <c r="D38" s="67">
        <f t="shared" si="9"/>
        <v>78724</v>
      </c>
      <c r="E38" s="295">
        <f>IF(D38="n/a","n/a",IF(TotalDealUnits,D38/TotalDealUnits,))</f>
        <v>984.05</v>
      </c>
      <c r="F38" s="67">
        <f t="shared" si="10"/>
        <v>78724</v>
      </c>
      <c r="G38" s="295">
        <f>IF(F38="n/a","n/a",IF(TotalDealUnits,F38/TotalDealUnits,))</f>
        <v>984.05</v>
      </c>
      <c r="H38" s="67">
        <f t="shared" si="11"/>
        <v>78724</v>
      </c>
      <c r="I38" s="295">
        <f>IF(H38="n/a","n/a",IF(TotalDealUnits,H38/TotalDealUnits,))</f>
        <v>984.05</v>
      </c>
      <c r="J38" s="67">
        <f t="shared" si="12"/>
        <v>78724</v>
      </c>
      <c r="K38" s="295">
        <f t="shared" si="13"/>
        <v>984.05</v>
      </c>
      <c r="L38" s="67">
        <f t="shared" si="14"/>
        <v>78724</v>
      </c>
      <c r="M38" s="295">
        <f t="shared" si="15"/>
        <v>984.05</v>
      </c>
      <c r="N38"/>
      <c r="O38" s="78">
        <v>7574</v>
      </c>
      <c r="P38" s="78">
        <v>9391</v>
      </c>
      <c r="Q38" s="78">
        <v>3653</v>
      </c>
      <c r="R38" s="78">
        <v>3975</v>
      </c>
      <c r="S38" s="78">
        <v>2472</v>
      </c>
      <c r="T38" s="78">
        <v>13319</v>
      </c>
      <c r="U38" s="78">
        <v>6380</v>
      </c>
      <c r="V38" s="78">
        <v>4095</v>
      </c>
      <c r="W38" s="78">
        <v>5334</v>
      </c>
      <c r="X38" s="78">
        <v>9223</v>
      </c>
      <c r="Y38" s="78">
        <v>9597</v>
      </c>
      <c r="Z38" s="78">
        <v>3711</v>
      </c>
      <c r="AB38" s="78"/>
      <c r="AC38" s="78"/>
      <c r="AD38" s="78"/>
      <c r="AE38" s="78"/>
      <c r="AF38" s="78"/>
    </row>
    <row r="39" spans="2:32">
      <c r="B39" s="32" t="str">
        <f>Input!B134</f>
        <v>Marketing / Advertising</v>
      </c>
      <c r="C39" s="32"/>
      <c r="D39" s="67">
        <f t="shared" si="9"/>
        <v>13451</v>
      </c>
      <c r="E39" s="295">
        <f>IF(D39="n/a","n/a",IF(TotalDealUnits,D39/TotalDealUnits,))</f>
        <v>168.13749999999999</v>
      </c>
      <c r="F39" s="67">
        <f t="shared" si="10"/>
        <v>13451</v>
      </c>
      <c r="G39" s="295">
        <f>IF(F39="n/a","n/a",IF(TotalDealUnits,F39/TotalDealUnits,))</f>
        <v>168.13749999999999</v>
      </c>
      <c r="H39" s="67">
        <f t="shared" si="11"/>
        <v>13451</v>
      </c>
      <c r="I39" s="295">
        <f>IF(H39="n/a","n/a",IF(TotalDealUnits,H39/TotalDealUnits,))</f>
        <v>168.13749999999999</v>
      </c>
      <c r="J39" s="67">
        <f t="shared" si="12"/>
        <v>13451</v>
      </c>
      <c r="K39" s="295">
        <f t="shared" si="13"/>
        <v>168.13749999999999</v>
      </c>
      <c r="L39" s="67">
        <f t="shared" si="14"/>
        <v>13451</v>
      </c>
      <c r="M39" s="295">
        <f t="shared" si="15"/>
        <v>168.13749999999999</v>
      </c>
      <c r="N39"/>
      <c r="O39" s="78">
        <v>1958</v>
      </c>
      <c r="P39" s="78">
        <v>5449</v>
      </c>
      <c r="Q39" s="78">
        <v>2296</v>
      </c>
      <c r="R39" s="78">
        <v>2663</v>
      </c>
      <c r="S39" s="78">
        <v>2159</v>
      </c>
      <c r="T39" s="78">
        <v>135</v>
      </c>
      <c r="U39" s="78">
        <v>964</v>
      </c>
      <c r="V39" s="78"/>
      <c r="W39" s="78">
        <v>194</v>
      </c>
      <c r="X39" s="78">
        <v>-3192</v>
      </c>
      <c r="Y39" s="78">
        <v>825</v>
      </c>
      <c r="Z39" s="78"/>
      <c r="AB39" s="78"/>
      <c r="AC39" s="78"/>
      <c r="AD39" s="78"/>
      <c r="AE39" s="78"/>
      <c r="AF39" s="78"/>
    </row>
    <row r="40" spans="2:32">
      <c r="B40" s="32" t="str">
        <f>Input!B135</f>
        <v>Leasing Commissions</v>
      </c>
      <c r="C40" s="32"/>
      <c r="D40" s="67">
        <f t="shared" si="9"/>
        <v>0</v>
      </c>
      <c r="E40" s="295">
        <f>IF(D40="n/a","n/a",IF(TotalDealUnits,D40/TotalDealUnits,))</f>
        <v>0</v>
      </c>
      <c r="F40" s="67">
        <f t="shared" si="10"/>
        <v>0</v>
      </c>
      <c r="G40" s="295">
        <f>IF(F40="n/a","n/a",IF(TotalDealUnits,F40/TotalDealUnits,))</f>
        <v>0</v>
      </c>
      <c r="H40" s="67">
        <f t="shared" si="11"/>
        <v>0</v>
      </c>
      <c r="I40" s="295">
        <f>IF(H40="n/a","n/a",IF(TotalDealUnits,H40/TotalDealUnits,))</f>
        <v>0</v>
      </c>
      <c r="J40" s="67">
        <f t="shared" si="12"/>
        <v>0</v>
      </c>
      <c r="K40" s="295">
        <f t="shared" si="13"/>
        <v>0</v>
      </c>
      <c r="L40" s="67">
        <f t="shared" si="14"/>
        <v>0</v>
      </c>
      <c r="M40" s="295">
        <f t="shared" si="15"/>
        <v>0</v>
      </c>
      <c r="N40"/>
      <c r="O40" s="78"/>
      <c r="P40" s="78"/>
      <c r="Q40" s="78"/>
      <c r="R40" s="78"/>
      <c r="S40" s="78"/>
      <c r="T40" s="78"/>
      <c r="U40" s="78"/>
      <c r="V40" s="78"/>
      <c r="W40" s="78"/>
      <c r="X40" s="78"/>
      <c r="Y40" s="78"/>
      <c r="Z40" s="78"/>
      <c r="AB40" s="78"/>
      <c r="AC40" s="78"/>
      <c r="AD40" s="78"/>
      <c r="AE40" s="78"/>
      <c r="AF40" s="78"/>
    </row>
    <row r="41" spans="2:32">
      <c r="B41" s="32" t="str">
        <f>Input!B136</f>
        <v>Administrative Expenses</v>
      </c>
      <c r="C41" s="32"/>
      <c r="D41" s="67">
        <f t="shared" si="9"/>
        <v>35119</v>
      </c>
      <c r="E41" s="295">
        <f>IF(D41="n/a","n/a",IF(TotalDealUnits,D41/TotalDealUnits,))</f>
        <v>438.98750000000001</v>
      </c>
      <c r="F41" s="67">
        <f t="shared" si="10"/>
        <v>35119</v>
      </c>
      <c r="G41" s="295">
        <f>IF(F41="n/a","n/a",IF(TotalDealUnits,F41/TotalDealUnits,))</f>
        <v>438.98750000000001</v>
      </c>
      <c r="H41" s="67">
        <f t="shared" si="11"/>
        <v>35119</v>
      </c>
      <c r="I41" s="295">
        <f>IF(H41="n/a","n/a",IF(TotalDealUnits,H41/TotalDealUnits,))</f>
        <v>438.98750000000001</v>
      </c>
      <c r="J41" s="67">
        <f t="shared" si="12"/>
        <v>35119</v>
      </c>
      <c r="K41" s="295">
        <f t="shared" si="13"/>
        <v>438.98750000000001</v>
      </c>
      <c r="L41" s="67">
        <f t="shared" si="14"/>
        <v>35119</v>
      </c>
      <c r="M41" s="295">
        <f t="shared" si="15"/>
        <v>438.98750000000001</v>
      </c>
      <c r="N41"/>
      <c r="O41" s="78">
        <v>8891</v>
      </c>
      <c r="P41" s="78">
        <v>1651</v>
      </c>
      <c r="Q41" s="78">
        <v>3856</v>
      </c>
      <c r="R41" s="78">
        <v>3018</v>
      </c>
      <c r="S41" s="78">
        <v>1708</v>
      </c>
      <c r="T41" s="78">
        <v>1806</v>
      </c>
      <c r="U41" s="78">
        <v>2157</v>
      </c>
      <c r="V41" s="78">
        <v>1335</v>
      </c>
      <c r="W41" s="78">
        <v>3103</v>
      </c>
      <c r="X41" s="78">
        <v>1941</v>
      </c>
      <c r="Y41" s="78">
        <v>4687</v>
      </c>
      <c r="Z41" s="78">
        <v>966</v>
      </c>
      <c r="AB41" s="78"/>
      <c r="AC41" s="78"/>
      <c r="AD41" s="78"/>
      <c r="AE41" s="78"/>
      <c r="AF41" s="78"/>
    </row>
    <row r="42" spans="2:32">
      <c r="B42" s="32" t="str">
        <f>Input!B137</f>
        <v>Turnover / Make-Ready</v>
      </c>
      <c r="C42" s="32"/>
      <c r="D42" s="67">
        <f t="shared" si="9"/>
        <v>0</v>
      </c>
      <c r="E42" s="295">
        <f>IF(D42="n/a","n/a",IF(TotalDealUnits,D42/TotalDealUnits,))</f>
        <v>0</v>
      </c>
      <c r="F42" s="67">
        <f t="shared" si="10"/>
        <v>0</v>
      </c>
      <c r="G42" s="295">
        <f>IF(F42="n/a","n/a",IF(TotalDealUnits,F42/TotalDealUnits,))</f>
        <v>0</v>
      </c>
      <c r="H42" s="67">
        <f t="shared" si="11"/>
        <v>0</v>
      </c>
      <c r="I42" s="295">
        <f>IF(H42="n/a","n/a",IF(TotalDealUnits,H42/TotalDealUnits,))</f>
        <v>0</v>
      </c>
      <c r="J42" s="67">
        <f t="shared" si="12"/>
        <v>0</v>
      </c>
      <c r="K42" s="295">
        <f t="shared" si="13"/>
        <v>0</v>
      </c>
      <c r="L42" s="67">
        <f t="shared" si="14"/>
        <v>0</v>
      </c>
      <c r="M42" s="295">
        <f t="shared" si="15"/>
        <v>0</v>
      </c>
      <c r="N42"/>
      <c r="O42" s="78"/>
      <c r="P42" s="78"/>
      <c r="Q42" s="78"/>
      <c r="R42" s="78"/>
      <c r="S42" s="78"/>
      <c r="T42" s="78"/>
      <c r="U42" s="78"/>
      <c r="V42" s="78"/>
      <c r="W42" s="78"/>
      <c r="X42" s="78"/>
      <c r="Y42" s="78"/>
      <c r="Z42" s="78"/>
      <c r="AB42" s="78"/>
      <c r="AC42" s="78"/>
      <c r="AD42" s="78"/>
      <c r="AE42" s="78"/>
      <c r="AF42" s="78"/>
    </row>
    <row r="43" spans="2:32">
      <c r="B43" s="32" t="str">
        <f>Input!B138</f>
        <v>Electricity</v>
      </c>
      <c r="C43" s="32"/>
      <c r="D43" s="67">
        <f t="shared" si="9"/>
        <v>26947</v>
      </c>
      <c r="E43" s="295">
        <f>IF(D43="n/a","n/a",IF(TotalDealUnits,D43/TotalDealUnits,))</f>
        <v>336.83749999999998</v>
      </c>
      <c r="F43" s="67">
        <f t="shared" si="10"/>
        <v>26947</v>
      </c>
      <c r="G43" s="295">
        <f>IF(F43="n/a","n/a",IF(TotalDealUnits,F43/TotalDealUnits,))</f>
        <v>336.83749999999998</v>
      </c>
      <c r="H43" s="67">
        <f t="shared" si="11"/>
        <v>26947</v>
      </c>
      <c r="I43" s="295">
        <f>IF(H43="n/a","n/a",IF(TotalDealUnits,H43/TotalDealUnits,))</f>
        <v>336.83749999999998</v>
      </c>
      <c r="J43" s="67">
        <f t="shared" si="12"/>
        <v>26947</v>
      </c>
      <c r="K43" s="295">
        <f t="shared" si="13"/>
        <v>336.83749999999998</v>
      </c>
      <c r="L43" s="67">
        <f t="shared" si="14"/>
        <v>26947</v>
      </c>
      <c r="M43" s="295">
        <f t="shared" si="15"/>
        <v>336.83749999999998</v>
      </c>
      <c r="N43"/>
      <c r="O43" s="78">
        <v>1676</v>
      </c>
      <c r="P43" s="78">
        <v>2049</v>
      </c>
      <c r="Q43" s="78">
        <v>2368</v>
      </c>
      <c r="R43" s="78">
        <v>2410</v>
      </c>
      <c r="S43" s="78">
        <v>2377</v>
      </c>
      <c r="T43" s="78">
        <v>1798</v>
      </c>
      <c r="U43" s="78">
        <v>1354</v>
      </c>
      <c r="V43" s="78">
        <v>1824</v>
      </c>
      <c r="W43" s="78">
        <v>2675</v>
      </c>
      <c r="X43" s="78">
        <v>3241</v>
      </c>
      <c r="Y43" s="78">
        <v>4758</v>
      </c>
      <c r="Z43" s="78">
        <v>417</v>
      </c>
      <c r="AB43" s="78"/>
      <c r="AC43" s="78"/>
      <c r="AD43" s="78"/>
      <c r="AE43" s="78"/>
      <c r="AF43" s="78"/>
    </row>
    <row r="44" spans="2:32">
      <c r="B44" s="32" t="str">
        <f>Input!B139</f>
        <v>Fuel (Gas &amp; Oil)</v>
      </c>
      <c r="C44" s="32"/>
      <c r="D44" s="67">
        <f t="shared" si="9"/>
        <v>0</v>
      </c>
      <c r="E44" s="295">
        <f>IF(D44="n/a","n/a",IF(TotalDealUnits,D44/TotalDealUnits,))</f>
        <v>0</v>
      </c>
      <c r="F44" s="67">
        <f t="shared" si="10"/>
        <v>0</v>
      </c>
      <c r="G44" s="295">
        <f>IF(F44="n/a","n/a",IF(TotalDealUnits,F44/TotalDealUnits,))</f>
        <v>0</v>
      </c>
      <c r="H44" s="67">
        <f t="shared" si="11"/>
        <v>0</v>
      </c>
      <c r="I44" s="295">
        <f>IF(H44="n/a","n/a",IF(TotalDealUnits,H44/TotalDealUnits,))</f>
        <v>0</v>
      </c>
      <c r="J44" s="67">
        <f t="shared" si="12"/>
        <v>0</v>
      </c>
      <c r="K44" s="295">
        <f t="shared" si="13"/>
        <v>0</v>
      </c>
      <c r="L44" s="67">
        <f t="shared" si="14"/>
        <v>0</v>
      </c>
      <c r="M44" s="295">
        <f t="shared" si="15"/>
        <v>0</v>
      </c>
      <c r="N44"/>
      <c r="O44" s="78"/>
      <c r="P44" s="78"/>
      <c r="Q44" s="78"/>
      <c r="R44" s="78"/>
      <c r="S44" s="78"/>
      <c r="T44" s="78"/>
      <c r="U44" s="78"/>
      <c r="V44" s="78"/>
      <c r="W44" s="78"/>
      <c r="X44" s="78"/>
      <c r="Y44" s="78"/>
      <c r="Z44" s="78"/>
      <c r="AB44" s="78"/>
      <c r="AC44" s="78"/>
      <c r="AD44" s="78"/>
      <c r="AE44" s="78"/>
      <c r="AF44" s="78"/>
    </row>
    <row r="45" spans="2:32">
      <c r="B45" s="32" t="str">
        <f>Input!B140</f>
        <v>Water &amp; Sewer</v>
      </c>
      <c r="C45" s="32"/>
      <c r="D45" s="67">
        <f t="shared" si="9"/>
        <v>0</v>
      </c>
      <c r="E45" s="295">
        <f>IF(D45="n/a","n/a",IF(TotalDealUnits,D45/TotalDealUnits,))</f>
        <v>0</v>
      </c>
      <c r="F45" s="67">
        <f t="shared" si="10"/>
        <v>0</v>
      </c>
      <c r="G45" s="295">
        <f>IF(F45="n/a","n/a",IF(TotalDealUnits,F45/TotalDealUnits,))</f>
        <v>0</v>
      </c>
      <c r="H45" s="67">
        <f t="shared" si="11"/>
        <v>0</v>
      </c>
      <c r="I45" s="295">
        <f>IF(H45="n/a","n/a",IF(TotalDealUnits,H45/TotalDealUnits,))</f>
        <v>0</v>
      </c>
      <c r="J45" s="67">
        <f t="shared" si="12"/>
        <v>0</v>
      </c>
      <c r="K45" s="295">
        <f t="shared" si="13"/>
        <v>0</v>
      </c>
      <c r="L45" s="67">
        <f t="shared" si="14"/>
        <v>0</v>
      </c>
      <c r="M45" s="295">
        <f t="shared" si="15"/>
        <v>0</v>
      </c>
      <c r="N45"/>
      <c r="O45" s="78"/>
      <c r="P45" s="78"/>
      <c r="Q45" s="78"/>
      <c r="R45" s="78"/>
      <c r="S45" s="78"/>
      <c r="T45" s="78"/>
      <c r="U45" s="78"/>
      <c r="V45" s="78"/>
      <c r="W45" s="78"/>
      <c r="X45" s="78"/>
      <c r="Y45" s="78"/>
      <c r="Z45" s="78"/>
      <c r="AB45" s="78"/>
      <c r="AC45" s="78"/>
      <c r="AD45" s="78"/>
      <c r="AE45" s="78"/>
      <c r="AF45" s="78"/>
    </row>
    <row r="46" spans="2:32">
      <c r="B46" s="32" t="str">
        <f>Input!B141</f>
        <v>Other Utilities</v>
      </c>
      <c r="C46" s="32"/>
      <c r="D46" s="67">
        <f t="shared" si="9"/>
        <v>61042</v>
      </c>
      <c r="E46" s="295">
        <f>IF(D46="n/a","n/a",IF(TotalDealUnits,D46/TotalDealUnits,))</f>
        <v>763.02499999999998</v>
      </c>
      <c r="F46" s="67">
        <f t="shared" si="10"/>
        <v>61042</v>
      </c>
      <c r="G46" s="295">
        <f>IF(F46="n/a","n/a",IF(TotalDealUnits,F46/TotalDealUnits,))</f>
        <v>763.02499999999998</v>
      </c>
      <c r="H46" s="67">
        <f t="shared" si="11"/>
        <v>61042</v>
      </c>
      <c r="I46" s="295">
        <f>IF(H46="n/a","n/a",IF(TotalDealUnits,H46/TotalDealUnits,))</f>
        <v>763.02499999999998</v>
      </c>
      <c r="J46" s="67">
        <f t="shared" si="12"/>
        <v>61042</v>
      </c>
      <c r="K46" s="295">
        <f t="shared" si="13"/>
        <v>763.02499999999998</v>
      </c>
      <c r="L46" s="67">
        <f t="shared" si="14"/>
        <v>61042</v>
      </c>
      <c r="M46" s="295">
        <f t="shared" si="15"/>
        <v>763.02499999999998</v>
      </c>
      <c r="N46"/>
      <c r="O46" s="78">
        <v>6376</v>
      </c>
      <c r="P46" s="78">
        <v>6376</v>
      </c>
      <c r="Q46" s="78">
        <v>-7396</v>
      </c>
      <c r="R46" s="78">
        <v>5632</v>
      </c>
      <c r="S46" s="78">
        <v>6408</v>
      </c>
      <c r="T46" s="78">
        <v>5632</v>
      </c>
      <c r="U46" s="78">
        <v>5167</v>
      </c>
      <c r="V46" s="78">
        <v>6518</v>
      </c>
      <c r="W46" s="78">
        <v>4923</v>
      </c>
      <c r="X46" s="78">
        <v>6168</v>
      </c>
      <c r="Y46" s="78">
        <v>9155</v>
      </c>
      <c r="Z46" s="78">
        <v>6083</v>
      </c>
      <c r="AB46" s="78"/>
      <c r="AC46" s="78"/>
      <c r="AD46" s="78"/>
      <c r="AE46" s="78"/>
      <c r="AF46" s="78"/>
    </row>
    <row r="47" spans="2:32">
      <c r="B47" s="32" t="str">
        <f>Input!B142</f>
        <v>Insurance</v>
      </c>
      <c r="C47" s="32"/>
      <c r="D47" s="67">
        <f t="shared" si="9"/>
        <v>41934</v>
      </c>
      <c r="E47" s="295">
        <f>IF(D47="n/a","n/a",IF(TotalDealUnits,D47/TotalDealUnits,))</f>
        <v>524.17499999999995</v>
      </c>
      <c r="F47" s="67">
        <f t="shared" si="10"/>
        <v>41934</v>
      </c>
      <c r="G47" s="295">
        <f>IF(F47="n/a","n/a",IF(TotalDealUnits,F47/TotalDealUnits,))</f>
        <v>524.17499999999995</v>
      </c>
      <c r="H47" s="67">
        <f t="shared" si="11"/>
        <v>41934</v>
      </c>
      <c r="I47" s="295">
        <f>IF(H47="n/a","n/a",IF(TotalDealUnits,H47/TotalDealUnits,))</f>
        <v>524.17499999999995</v>
      </c>
      <c r="J47" s="67">
        <f t="shared" si="12"/>
        <v>41934</v>
      </c>
      <c r="K47" s="295">
        <f t="shared" si="13"/>
        <v>524.17499999999995</v>
      </c>
      <c r="L47" s="67">
        <f t="shared" si="14"/>
        <v>41934</v>
      </c>
      <c r="M47" s="295">
        <f t="shared" si="15"/>
        <v>524.17499999999995</v>
      </c>
      <c r="N47"/>
      <c r="O47" s="78">
        <v>4463</v>
      </c>
      <c r="P47" s="78">
        <v>12017</v>
      </c>
      <c r="Q47" s="78">
        <v>-23079</v>
      </c>
      <c r="R47" s="78">
        <v>5239</v>
      </c>
      <c r="S47" s="78">
        <v>5238</v>
      </c>
      <c r="T47" s="78">
        <v>906</v>
      </c>
      <c r="U47" s="78">
        <v>5238</v>
      </c>
      <c r="V47" s="78">
        <v>5238</v>
      </c>
      <c r="W47" s="78">
        <v>5238</v>
      </c>
      <c r="X47" s="78">
        <v>5239</v>
      </c>
      <c r="Y47" s="78">
        <v>5238</v>
      </c>
      <c r="Z47" s="78">
        <v>10959</v>
      </c>
      <c r="AB47" s="78"/>
      <c r="AC47" s="78"/>
      <c r="AD47" s="78"/>
      <c r="AE47" s="78"/>
      <c r="AF47" s="78"/>
    </row>
    <row r="48" spans="2:32">
      <c r="B48" s="32" t="str">
        <f>Input!B143</f>
        <v>Real Estate Taxes</v>
      </c>
      <c r="C48" s="32"/>
      <c r="D48" s="67">
        <f t="shared" si="9"/>
        <v>182667</v>
      </c>
      <c r="E48" s="295">
        <f>IF(D48="n/a","n/a",IF(TotalDealUnits,D48/TotalDealUnits,))</f>
        <v>2283.3375000000001</v>
      </c>
      <c r="F48" s="67">
        <f t="shared" si="10"/>
        <v>182667</v>
      </c>
      <c r="G48" s="295">
        <f>IF(F48="n/a","n/a",IF(TotalDealUnits,F48/TotalDealUnits,))</f>
        <v>2283.3375000000001</v>
      </c>
      <c r="H48" s="67">
        <f t="shared" si="11"/>
        <v>182667</v>
      </c>
      <c r="I48" s="295">
        <f>IF(H48="n/a","n/a",IF(TotalDealUnits,H48/TotalDealUnits,))</f>
        <v>2283.3375000000001</v>
      </c>
      <c r="J48" s="67">
        <f t="shared" si="12"/>
        <v>182667</v>
      </c>
      <c r="K48" s="295">
        <f t="shared" si="13"/>
        <v>2283.3375000000001</v>
      </c>
      <c r="L48" s="67">
        <f t="shared" si="14"/>
        <v>182667</v>
      </c>
      <c r="M48" s="295">
        <f t="shared" si="15"/>
        <v>2283.3375000000001</v>
      </c>
      <c r="N48"/>
      <c r="O48" s="78">
        <v>45809</v>
      </c>
      <c r="P48" s="78"/>
      <c r="Q48" s="78">
        <v>13686</v>
      </c>
      <c r="R48" s="78">
        <v>13685</v>
      </c>
      <c r="S48" s="78">
        <v>13686</v>
      </c>
      <c r="T48" s="78">
        <v>13686</v>
      </c>
      <c r="U48" s="78">
        <v>13686</v>
      </c>
      <c r="V48" s="78">
        <v>13686</v>
      </c>
      <c r="W48" s="78">
        <v>13686</v>
      </c>
      <c r="X48" s="78">
        <v>13685</v>
      </c>
      <c r="Y48" s="78">
        <v>13686</v>
      </c>
      <c r="Z48" s="78">
        <v>13686</v>
      </c>
      <c r="AB48" s="78"/>
      <c r="AC48" s="78"/>
      <c r="AD48" s="78"/>
      <c r="AE48" s="78"/>
      <c r="AF48" s="78"/>
    </row>
    <row r="49" spans="2:32">
      <c r="B49" s="32" t="str">
        <f>Input!B144</f>
        <v>Other Property Taxes</v>
      </c>
      <c r="C49" s="32"/>
      <c r="D49" s="67">
        <f t="shared" si="9"/>
        <v>0</v>
      </c>
      <c r="E49" s="295">
        <f>IF(D49="n/a","n/a",IF(TotalDealUnits,D49/TotalDealUnits,))</f>
        <v>0</v>
      </c>
      <c r="F49" s="67">
        <f t="shared" si="10"/>
        <v>0</v>
      </c>
      <c r="G49" s="295">
        <f>IF(F49="n/a","n/a",IF(TotalDealUnits,F49/TotalDealUnits,))</f>
        <v>0</v>
      </c>
      <c r="H49" s="67">
        <f t="shared" si="11"/>
        <v>0</v>
      </c>
      <c r="I49" s="295">
        <f>IF(H49="n/a","n/a",IF(TotalDealUnits,H49/TotalDealUnits,))</f>
        <v>0</v>
      </c>
      <c r="J49" s="67">
        <f t="shared" si="12"/>
        <v>0</v>
      </c>
      <c r="K49" s="295">
        <f t="shared" si="13"/>
        <v>0</v>
      </c>
      <c r="L49" s="67">
        <f t="shared" si="14"/>
        <v>0</v>
      </c>
      <c r="M49" s="295">
        <f t="shared" si="15"/>
        <v>0</v>
      </c>
      <c r="N49"/>
      <c r="O49" s="78"/>
      <c r="P49" s="78"/>
      <c r="Q49" s="78"/>
      <c r="R49" s="78"/>
      <c r="S49" s="78"/>
      <c r="T49" s="78"/>
      <c r="U49" s="78"/>
      <c r="V49" s="78"/>
      <c r="W49" s="78"/>
      <c r="X49" s="78"/>
      <c r="Y49" s="78"/>
      <c r="Z49" s="78"/>
      <c r="AB49" s="78"/>
      <c r="AC49" s="78"/>
      <c r="AD49" s="78"/>
      <c r="AE49" s="78"/>
      <c r="AF49" s="78"/>
    </row>
    <row r="50" spans="2:32">
      <c r="B50" s="32" t="str">
        <f>Input!B145</f>
        <v>Property Management Fee</v>
      </c>
      <c r="C50" s="32"/>
      <c r="D50" s="67">
        <f t="shared" si="9"/>
        <v>45772</v>
      </c>
      <c r="E50" s="295">
        <f>IF(D50="n/a","n/a",IF(TotalDealUnits,D50/TotalDealUnits,))</f>
        <v>572.15</v>
      </c>
      <c r="F50" s="67">
        <f t="shared" si="10"/>
        <v>45772</v>
      </c>
      <c r="G50" s="295">
        <f>IF(F50="n/a","n/a",IF(TotalDealUnits,F50/TotalDealUnits,))</f>
        <v>572.15</v>
      </c>
      <c r="H50" s="67">
        <f t="shared" si="11"/>
        <v>45772</v>
      </c>
      <c r="I50" s="295">
        <f>IF(H50="n/a","n/a",IF(TotalDealUnits,H50/TotalDealUnits,))</f>
        <v>572.15</v>
      </c>
      <c r="J50" s="67">
        <f t="shared" si="12"/>
        <v>45772</v>
      </c>
      <c r="K50" s="295">
        <f t="shared" si="13"/>
        <v>572.15</v>
      </c>
      <c r="L50" s="67">
        <f t="shared" si="14"/>
        <v>45772</v>
      </c>
      <c r="M50" s="295">
        <f t="shared" si="15"/>
        <v>572.15</v>
      </c>
      <c r="N50"/>
      <c r="O50" s="78">
        <v>3141</v>
      </c>
      <c r="P50" s="78">
        <v>3631</v>
      </c>
      <c r="Q50" s="78">
        <v>3752</v>
      </c>
      <c r="R50" s="78">
        <v>4049</v>
      </c>
      <c r="S50" s="78">
        <v>4222</v>
      </c>
      <c r="T50" s="78">
        <v>4241</v>
      </c>
      <c r="U50" s="78">
        <v>3820</v>
      </c>
      <c r="V50" s="78">
        <v>3553</v>
      </c>
      <c r="W50" s="78">
        <v>3951</v>
      </c>
      <c r="X50" s="78">
        <v>3107</v>
      </c>
      <c r="Y50" s="78">
        <v>4157</v>
      </c>
      <c r="Z50" s="78">
        <v>4148</v>
      </c>
      <c r="AB50" s="78"/>
      <c r="AC50" s="78"/>
      <c r="AD50" s="78"/>
      <c r="AE50" s="78"/>
      <c r="AF50" s="78"/>
    </row>
    <row r="51" spans="2:32">
      <c r="B51" s="32" t="str">
        <f>Input!B146</f>
        <v>Other Operating Expenses</v>
      </c>
      <c r="C51" s="32"/>
      <c r="D51" s="67">
        <f t="shared" si="9"/>
        <v>0</v>
      </c>
      <c r="E51" s="295">
        <f>IF(D51="n/a","n/a",IF(TotalDealUnits,D51/TotalDealUnits,))</f>
        <v>0</v>
      </c>
      <c r="F51" s="67">
        <f t="shared" si="10"/>
        <v>0</v>
      </c>
      <c r="G51" s="295">
        <f>IF(F51="n/a","n/a",IF(TotalDealUnits,F51/TotalDealUnits,))</f>
        <v>0</v>
      </c>
      <c r="H51" s="67">
        <f t="shared" si="11"/>
        <v>0</v>
      </c>
      <c r="I51" s="295">
        <f>IF(H51="n/a","n/a",IF(TotalDealUnits,H51/TotalDealUnits,))</f>
        <v>0</v>
      </c>
      <c r="J51" s="67">
        <f t="shared" si="12"/>
        <v>0</v>
      </c>
      <c r="K51" s="295">
        <f t="shared" si="13"/>
        <v>0</v>
      </c>
      <c r="L51" s="67">
        <f t="shared" si="14"/>
        <v>0</v>
      </c>
      <c r="M51" s="295">
        <f t="shared" si="15"/>
        <v>0</v>
      </c>
      <c r="N51"/>
      <c r="O51" s="78"/>
      <c r="P51" s="78"/>
      <c r="Q51" s="78"/>
      <c r="R51" s="78"/>
      <c r="S51" s="78"/>
      <c r="T51" s="78"/>
      <c r="U51" s="78"/>
      <c r="V51" s="78"/>
      <c r="W51" s="78"/>
      <c r="X51" s="78"/>
      <c r="Y51" s="78"/>
      <c r="Z51" s="78"/>
      <c r="AB51" s="78"/>
      <c r="AC51" s="78"/>
      <c r="AD51" s="78"/>
      <c r="AE51" s="78"/>
      <c r="AF51" s="78"/>
    </row>
    <row r="52" spans="2:32">
      <c r="B52" s="32" t="str">
        <f>GenValidation!Q23</f>
        <v>Reimbursements</v>
      </c>
      <c r="C52" s="32"/>
      <c r="D52" s="67">
        <f t="shared" si="9"/>
        <v>0</v>
      </c>
      <c r="E52" s="295">
        <f>IF(D52="n/a","n/a",IF(TotalDealUnits,D52/TotalDealUnits,))</f>
        <v>0</v>
      </c>
      <c r="F52" s="67">
        <f t="shared" si="10"/>
        <v>0</v>
      </c>
      <c r="G52" s="295">
        <f>IF(F52="n/a","n/a",IF(TotalDealUnits,F52/TotalDealUnits,))</f>
        <v>0</v>
      </c>
      <c r="H52" s="67">
        <f t="shared" si="11"/>
        <v>0</v>
      </c>
      <c r="I52" s="295">
        <f>IF(H52="n/a","n/a",IF(TotalDealUnits,H52/TotalDealUnits,))</f>
        <v>0</v>
      </c>
      <c r="J52" s="67">
        <f t="shared" si="12"/>
        <v>0</v>
      </c>
      <c r="K52" s="295">
        <f t="shared" si="13"/>
        <v>0</v>
      </c>
      <c r="L52" s="67">
        <f t="shared" si="14"/>
        <v>0</v>
      </c>
      <c r="M52" s="295">
        <f t="shared" si="15"/>
        <v>0</v>
      </c>
      <c r="N52"/>
      <c r="O52" s="78"/>
      <c r="P52" s="78"/>
      <c r="Q52" s="78"/>
      <c r="R52" s="78"/>
      <c r="S52" s="78"/>
      <c r="T52" s="78"/>
      <c r="U52" s="78"/>
      <c r="V52" s="78"/>
      <c r="W52" s="78"/>
      <c r="X52" s="78"/>
      <c r="Y52" s="78"/>
      <c r="Z52" s="78"/>
      <c r="AB52" s="78"/>
      <c r="AC52" s="78"/>
      <c r="AD52" s="78"/>
      <c r="AE52" s="78"/>
      <c r="AF52" s="78"/>
    </row>
    <row r="53" spans="2:32">
      <c r="B53" s="32"/>
      <c r="C53" s="32"/>
      <c r="D53" s="67"/>
      <c r="E53" s="295"/>
      <c r="F53" s="67"/>
      <c r="G53" s="295"/>
      <c r="H53" s="67"/>
      <c r="I53" s="295"/>
      <c r="J53" s="67"/>
      <c r="K53" s="295"/>
      <c r="L53" s="67"/>
      <c r="M53" s="295"/>
      <c r="N53"/>
      <c r="O53" s="78"/>
      <c r="P53" s="78"/>
      <c r="Q53" s="78"/>
      <c r="R53" s="78"/>
      <c r="S53" s="78"/>
      <c r="T53" s="78"/>
      <c r="U53" s="78"/>
      <c r="V53" s="78"/>
      <c r="W53" s="78"/>
      <c r="X53" s="78"/>
      <c r="Y53" s="78"/>
      <c r="Z53" s="78"/>
      <c r="AB53" s="78"/>
      <c r="AC53" s="78"/>
      <c r="AD53" s="78"/>
      <c r="AE53" s="78"/>
      <c r="AF53" s="78"/>
    </row>
    <row r="54" spans="2:32">
      <c r="B54" s="198" t="s">
        <v>127</v>
      </c>
      <c r="C54" s="198"/>
      <c r="D54" s="692">
        <f t="shared" ref="D54:M54" si="16">SUBTOTAL(9,D34:D53)</f>
        <v>592208</v>
      </c>
      <c r="E54" s="693">
        <f t="shared" si="16"/>
        <v>7402.6</v>
      </c>
      <c r="F54" s="692">
        <f t="shared" si="16"/>
        <v>592208</v>
      </c>
      <c r="G54" s="693">
        <f t="shared" si="16"/>
        <v>7402.6</v>
      </c>
      <c r="H54" s="692">
        <f t="shared" si="16"/>
        <v>592208</v>
      </c>
      <c r="I54" s="693">
        <f t="shared" si="16"/>
        <v>7402.6</v>
      </c>
      <c r="J54" s="692">
        <f t="shared" si="16"/>
        <v>592208</v>
      </c>
      <c r="K54" s="693">
        <f t="shared" si="16"/>
        <v>7402.6</v>
      </c>
      <c r="L54" s="692">
        <f t="shared" si="16"/>
        <v>592208</v>
      </c>
      <c r="M54" s="693">
        <f t="shared" si="16"/>
        <v>7402.6</v>
      </c>
      <c r="N54"/>
      <c r="O54" s="694">
        <f>SUBTOTAL(9,O34:O53)</f>
        <v>83276</v>
      </c>
      <c r="P54" s="694">
        <f t="shared" ref="P54:X54" si="17">SUBTOTAL(9,P34:P53)</f>
        <v>42954</v>
      </c>
      <c r="Q54" s="694">
        <f t="shared" si="17"/>
        <v>24179</v>
      </c>
      <c r="R54" s="694">
        <f t="shared" si="17"/>
        <v>43484</v>
      </c>
      <c r="S54" s="694">
        <f t="shared" si="17"/>
        <v>44563</v>
      </c>
      <c r="T54" s="694">
        <f t="shared" si="17"/>
        <v>44793</v>
      </c>
      <c r="U54" s="694">
        <f t="shared" si="17"/>
        <v>44179</v>
      </c>
      <c r="V54" s="694">
        <f t="shared" si="17"/>
        <v>45493</v>
      </c>
      <c r="W54" s="694">
        <f t="shared" si="17"/>
        <v>53673</v>
      </c>
      <c r="X54" s="694">
        <f t="shared" si="17"/>
        <v>52375</v>
      </c>
      <c r="Y54" s="694">
        <f>SUBTOTAL(9,Y34:Y53)</f>
        <v>66692</v>
      </c>
      <c r="Z54" s="694">
        <f>SUBTOTAL(9,Z34:Z53)</f>
        <v>46547</v>
      </c>
      <c r="AB54" s="694">
        <f>SUBTOTAL(9,AB34:AB53)</f>
        <v>0</v>
      </c>
      <c r="AC54" s="694">
        <f>SUBTOTAL(9,AC34:AC53)</f>
        <v>0</v>
      </c>
      <c r="AD54" s="694">
        <f>SUBTOTAL(9,AD34:AD53)</f>
        <v>0</v>
      </c>
      <c r="AE54" s="694">
        <f>SUBTOTAL(9,AE34:AE53)</f>
        <v>0</v>
      </c>
      <c r="AF54" s="694">
        <f>SUBTOTAL(9,AF34:AF53)</f>
        <v>0</v>
      </c>
    </row>
    <row r="55" spans="2:32">
      <c r="B55" s="700"/>
      <c r="C55" s="700"/>
      <c r="D55" s="696"/>
      <c r="E55" s="697"/>
      <c r="F55" s="696"/>
      <c r="G55" s="697"/>
      <c r="H55" s="696"/>
      <c r="I55" s="697"/>
      <c r="J55" s="696"/>
      <c r="K55" s="697"/>
      <c r="L55" s="696"/>
      <c r="M55" s="697"/>
      <c r="N55"/>
      <c r="O55" s="169"/>
      <c r="P55" s="169"/>
      <c r="Q55" s="169"/>
      <c r="R55" s="169"/>
      <c r="S55" s="169"/>
      <c r="T55" s="169"/>
      <c r="U55" s="169"/>
      <c r="V55" s="169"/>
      <c r="W55" s="169"/>
      <c r="X55" s="169"/>
      <c r="Y55" s="169"/>
      <c r="Z55" s="169"/>
      <c r="AB55" s="169"/>
      <c r="AC55" s="169"/>
      <c r="AD55" s="169"/>
      <c r="AE55" s="169"/>
      <c r="AF55" s="169"/>
    </row>
    <row r="56" spans="2:32">
      <c r="N56"/>
    </row>
    <row r="57" spans="2:32">
      <c r="N57"/>
    </row>
    <row r="58" spans="2:32">
      <c r="B58" s="1099" t="s">
        <v>128</v>
      </c>
      <c r="C58" s="390"/>
      <c r="D58" s="701"/>
      <c r="E58" s="701"/>
      <c r="F58" s="701"/>
      <c r="G58" s="701"/>
      <c r="H58" s="701"/>
      <c r="I58" s="701"/>
      <c r="J58" s="701"/>
      <c r="K58" s="701"/>
      <c r="L58" s="701"/>
      <c r="M58" s="701"/>
      <c r="N58"/>
      <c r="O58" s="204"/>
      <c r="P58" s="204"/>
      <c r="Q58" s="204"/>
      <c r="R58" s="204"/>
      <c r="S58" s="204"/>
      <c r="T58" s="204"/>
      <c r="U58" s="204"/>
      <c r="V58" s="204"/>
      <c r="W58" s="204"/>
      <c r="X58" s="204"/>
      <c r="Y58" s="204"/>
      <c r="Z58" s="204"/>
      <c r="AB58" s="204"/>
      <c r="AC58" s="204"/>
      <c r="AD58" s="204"/>
      <c r="AE58" s="204"/>
      <c r="AF58" s="204"/>
    </row>
    <row r="59" spans="2:32">
      <c r="B59" s="32" t="s">
        <v>129</v>
      </c>
      <c r="C59" s="32"/>
      <c r="D59" s="696">
        <f t="shared" ref="D59:M59" si="18">IFERROR(D29-D54,)</f>
        <v>715517</v>
      </c>
      <c r="E59" s="697">
        <f t="shared" si="18"/>
        <v>8943.9624999999996</v>
      </c>
      <c r="F59" s="696">
        <f t="shared" si="18"/>
        <v>750544</v>
      </c>
      <c r="G59" s="697">
        <f t="shared" si="18"/>
        <v>9381.8000000000011</v>
      </c>
      <c r="H59" s="696">
        <f t="shared" si="18"/>
        <v>707000</v>
      </c>
      <c r="I59" s="697">
        <f t="shared" si="18"/>
        <v>8837.4999999999982</v>
      </c>
      <c r="J59" s="696">
        <f t="shared" si="18"/>
        <v>711984</v>
      </c>
      <c r="K59" s="697">
        <f t="shared" si="18"/>
        <v>8899.7999999999993</v>
      </c>
      <c r="L59" s="696">
        <f t="shared" si="18"/>
        <v>830128</v>
      </c>
      <c r="M59" s="697">
        <f t="shared" si="18"/>
        <v>10376.600000000004</v>
      </c>
      <c r="N59"/>
      <c r="O59" s="78">
        <f>IFERROR(SUBTOTAL(9,O12:O28)-O54,)</f>
        <v>6463</v>
      </c>
      <c r="P59" s="78">
        <f t="shared" ref="P59:Z59" si="19">IFERROR(SUBTOTAL(9,P12:P28)-P54,)</f>
        <v>60778</v>
      </c>
      <c r="Q59" s="78">
        <f t="shared" si="19"/>
        <v>83011</v>
      </c>
      <c r="R59" s="78">
        <f t="shared" si="19"/>
        <v>72181</v>
      </c>
      <c r="S59" s="78">
        <f t="shared" si="19"/>
        <v>76062</v>
      </c>
      <c r="T59" s="78">
        <f t="shared" si="19"/>
        <v>76377</v>
      </c>
      <c r="U59" s="78">
        <f t="shared" si="19"/>
        <v>64963</v>
      </c>
      <c r="V59" s="78">
        <f t="shared" si="19"/>
        <v>56019</v>
      </c>
      <c r="W59" s="78">
        <f t="shared" si="19"/>
        <v>59229</v>
      </c>
      <c r="X59" s="78">
        <f t="shared" si="19"/>
        <v>36384</v>
      </c>
      <c r="Y59" s="78">
        <f t="shared" si="19"/>
        <v>52069</v>
      </c>
      <c r="Z59" s="78">
        <f t="shared" si="19"/>
        <v>71981</v>
      </c>
      <c r="AB59" s="78">
        <f t="shared" ref="AB59:AF59" si="20">IFERROR(SUBTOTAL(9,AB12:AB28)-AB54,)</f>
        <v>0</v>
      </c>
      <c r="AC59" s="78">
        <f t="shared" si="20"/>
        <v>0</v>
      </c>
      <c r="AD59" s="78">
        <f t="shared" si="20"/>
        <v>0</v>
      </c>
      <c r="AE59" s="78">
        <f t="shared" si="20"/>
        <v>0</v>
      </c>
      <c r="AF59" s="78">
        <f t="shared" si="20"/>
        <v>0</v>
      </c>
    </row>
    <row r="60" spans="2:32">
      <c r="B60" s="32" t="s">
        <v>130</v>
      </c>
      <c r="C60" s="32"/>
      <c r="D60" s="67">
        <f>'Adjustments &amp; Notes'!$J$64*(NOT(OR(AND(ISNUMBER(D$9),OR(D$9&lt;0,D$9&gt;12,D$9&gt;SUM($O$9:$Z$9))),AND(ISTEXT(D$9),SUMPRODUCT(AND(D$9&lt;&gt;TrendRepoCol)*1)))))</f>
        <v>0</v>
      </c>
      <c r="E60" s="295">
        <f>IF(D60="n/a","n/a",IF(TotalDealUnits,D60/TotalDealUnits,))</f>
        <v>0</v>
      </c>
      <c r="F60" s="67">
        <f>'Adjustments &amp; Notes'!$J$64*(NOT(OR(AND(ISNUMBER(F$9),OR(F$9&lt;0,F$9&gt;12,F$9&gt;SUM($O$9:$Z$9))),AND(ISTEXT(F$9),SUMPRODUCT(AND(F$9&lt;&gt;TrendRepoCol)*1)))))</f>
        <v>0</v>
      </c>
      <c r="G60" s="295">
        <f>IF(F60="n/a","n/a",IF(TotalDealUnits,F60/TotalDealUnits,))</f>
        <v>0</v>
      </c>
      <c r="H60" s="67">
        <f>'Adjustments &amp; Notes'!$J$64*(NOT(OR(AND(ISNUMBER(H$9),OR(H$9&lt;0,H$9&gt;12,H$9&gt;SUM($O$9:$Z$9))),AND(ISTEXT(H$9),SUMPRODUCT(AND(H$9&lt;&gt;TrendRepoCol)*1)))))</f>
        <v>0</v>
      </c>
      <c r="I60" s="295">
        <f>IF(H60="n/a","n/a",IF(TotalDealUnits,H60/TotalDealUnits,))</f>
        <v>0</v>
      </c>
      <c r="J60" s="67">
        <f>'Adjustments &amp; Notes'!$J$64*(NOT(OR(AND(ISNUMBER(J$9),OR(J$9&lt;0,J$9&gt;12,J$9&gt;SUM($O$9:$Z$9))),AND(ISTEXT(J$9),SUMPRODUCT(AND(J$9&lt;&gt;TrendRepoCol)*1)))))</f>
        <v>0</v>
      </c>
      <c r="K60" s="295">
        <f>IF(J60="n/a","n/a",IF(TotalDealUnits,J60/TotalDealUnits,))</f>
        <v>0</v>
      </c>
      <c r="L60" s="67">
        <f>'Adjustments &amp; Notes'!$J$64*(NOT(OR(AND(ISNUMBER(L$9),OR(L$9&lt;0,L$9&gt;12,L$9&gt;SUM($O$9:$Z$9))),AND(ISTEXT(L$9),SUMPRODUCT(AND(L$9&lt;&gt;TrendRepoCol)*1)))))</f>
        <v>0</v>
      </c>
      <c r="M60" s="295">
        <f>IF(L60="n/a","n/a",IF(TotalDealUnits,L60/TotalDealUnits,))</f>
        <v>0</v>
      </c>
      <c r="N60"/>
      <c r="O60" s="78"/>
      <c r="P60" s="78"/>
      <c r="Q60" s="78"/>
      <c r="R60" s="78"/>
      <c r="S60" s="78"/>
      <c r="T60" s="78"/>
      <c r="U60" s="78"/>
      <c r="V60" s="78"/>
      <c r="W60" s="78"/>
      <c r="X60" s="78"/>
      <c r="Y60" s="78"/>
      <c r="Z60" s="78"/>
      <c r="AB60" s="78"/>
      <c r="AC60" s="78"/>
      <c r="AD60" s="78"/>
      <c r="AE60" s="78"/>
      <c r="AF60" s="78"/>
    </row>
    <row r="61" spans="2:32">
      <c r="B61" s="32"/>
      <c r="C61" s="32"/>
      <c r="D61" s="67"/>
      <c r="E61" s="295"/>
      <c r="F61" s="67"/>
      <c r="G61" s="295"/>
      <c r="H61" s="67"/>
      <c r="I61" s="295"/>
      <c r="J61" s="67"/>
      <c r="K61" s="295"/>
      <c r="L61" s="67"/>
      <c r="M61" s="295"/>
      <c r="N61"/>
      <c r="O61" s="78"/>
      <c r="P61" s="78"/>
      <c r="Q61" s="78"/>
      <c r="R61" s="78"/>
      <c r="S61" s="78"/>
      <c r="T61" s="78"/>
      <c r="U61" s="78"/>
      <c r="V61" s="78"/>
      <c r="W61" s="78"/>
      <c r="X61" s="78"/>
      <c r="Y61" s="78"/>
      <c r="Z61" s="78"/>
      <c r="AB61" s="78"/>
      <c r="AC61" s="78"/>
      <c r="AD61" s="78"/>
      <c r="AE61" s="78"/>
      <c r="AF61" s="78"/>
    </row>
    <row r="62" spans="2:32">
      <c r="B62" s="198" t="s">
        <v>131</v>
      </c>
      <c r="C62" s="198"/>
      <c r="D62" s="692">
        <f t="shared" ref="D62:M62" si="21">IFERROR(D29-D54-D60,)</f>
        <v>715517</v>
      </c>
      <c r="E62" s="693">
        <f t="shared" si="21"/>
        <v>8943.9624999999996</v>
      </c>
      <c r="F62" s="692">
        <f t="shared" si="21"/>
        <v>750544</v>
      </c>
      <c r="G62" s="693">
        <f t="shared" si="21"/>
        <v>9381.8000000000011</v>
      </c>
      <c r="H62" s="692">
        <f t="shared" si="21"/>
        <v>707000</v>
      </c>
      <c r="I62" s="693">
        <f t="shared" si="21"/>
        <v>8837.4999999999982</v>
      </c>
      <c r="J62" s="692">
        <f t="shared" si="21"/>
        <v>711984</v>
      </c>
      <c r="K62" s="693">
        <f t="shared" si="21"/>
        <v>8899.7999999999993</v>
      </c>
      <c r="L62" s="692">
        <f t="shared" si="21"/>
        <v>830128</v>
      </c>
      <c r="M62" s="693">
        <f t="shared" si="21"/>
        <v>10376.600000000004</v>
      </c>
      <c r="N62"/>
      <c r="O62" s="694">
        <f>O59+O60</f>
        <v>6463</v>
      </c>
      <c r="P62" s="694">
        <f t="shared" ref="P62:Z62" si="22">P59+P60</f>
        <v>60778</v>
      </c>
      <c r="Q62" s="694">
        <f t="shared" si="22"/>
        <v>83011</v>
      </c>
      <c r="R62" s="694">
        <f t="shared" si="22"/>
        <v>72181</v>
      </c>
      <c r="S62" s="694">
        <f t="shared" si="22"/>
        <v>76062</v>
      </c>
      <c r="T62" s="694">
        <f t="shared" si="22"/>
        <v>76377</v>
      </c>
      <c r="U62" s="694">
        <f t="shared" si="22"/>
        <v>64963</v>
      </c>
      <c r="V62" s="694">
        <f t="shared" si="22"/>
        <v>56019</v>
      </c>
      <c r="W62" s="694">
        <f t="shared" si="22"/>
        <v>59229</v>
      </c>
      <c r="X62" s="694">
        <f t="shared" si="22"/>
        <v>36384</v>
      </c>
      <c r="Y62" s="694">
        <f t="shared" si="22"/>
        <v>52069</v>
      </c>
      <c r="Z62" s="694">
        <f t="shared" si="22"/>
        <v>71981</v>
      </c>
      <c r="AB62" s="694">
        <f t="shared" ref="AB62:AF62" si="23">AB59+AB60</f>
        <v>0</v>
      </c>
      <c r="AC62" s="694">
        <f t="shared" si="23"/>
        <v>0</v>
      </c>
      <c r="AD62" s="694">
        <f t="shared" si="23"/>
        <v>0</v>
      </c>
      <c r="AE62" s="694">
        <f t="shared" si="23"/>
        <v>0</v>
      </c>
      <c r="AF62" s="694">
        <f t="shared" si="23"/>
        <v>0</v>
      </c>
    </row>
    <row r="63" spans="2:32">
      <c r="B63" s="198"/>
      <c r="C63" s="198"/>
      <c r="D63" s="696"/>
      <c r="E63" s="697"/>
      <c r="F63" s="696"/>
      <c r="G63" s="697"/>
      <c r="H63" s="696"/>
      <c r="I63" s="697"/>
      <c r="J63" s="696"/>
      <c r="K63" s="697"/>
      <c r="L63" s="696"/>
      <c r="M63" s="697"/>
      <c r="O63" s="169"/>
      <c r="P63" s="169"/>
      <c r="Q63" s="169"/>
      <c r="R63" s="169"/>
      <c r="S63" s="169"/>
      <c r="T63" s="169"/>
      <c r="U63" s="169"/>
      <c r="V63" s="169"/>
      <c r="W63" s="169"/>
      <c r="X63" s="169"/>
      <c r="Y63" s="169"/>
      <c r="Z63" s="169"/>
      <c r="AB63" s="169"/>
      <c r="AC63" s="169"/>
      <c r="AD63" s="169"/>
      <c r="AE63" s="169"/>
      <c r="AF63" s="169"/>
    </row>
  </sheetData>
  <sheetProtection sheet="1" scenarios="1" formatCells="0" formatColumns="0" formatRows="0" sort="0" autoFilter="0" pivotTables="0"/>
  <mergeCells count="5">
    <mergeCell ref="D9:E9"/>
    <mergeCell ref="F9:G9"/>
    <mergeCell ref="H9:I9"/>
    <mergeCell ref="J9:K9"/>
    <mergeCell ref="L9:M9"/>
  </mergeCells>
  <conditionalFormatting sqref="D9:M9">
    <cfRule type="expression" dxfId="42" priority="1">
      <formula>PrintFormat</formula>
    </cfRule>
  </conditionalFormatting>
  <conditionalFormatting sqref="D9:M9">
    <cfRule type="expression" dxfId="41" priority="2">
      <formula>OR(AND(ISNUMBER(D$9),OR(D$9&lt;0,D$9&gt;12,D$9&gt;SUM($O$9:$Z$9))),AND(ISTEXT(D$9),SUMPRODUCT(AND(D$9&lt;&gt;TrendRepoCol)*1)))</formula>
    </cfRule>
  </conditionalFormatting>
  <dataValidations count="1">
    <dataValidation type="list" allowBlank="1" showInputMessage="1" promptTitle="Select Column" prompt="Please enter the number of months (1 - 12) to annualize or choose a full year of historicals from the drop down list." sqref="D9:M9" xr:uid="{00000000-0002-0000-0F00-000000000000}">
      <formula1>TrendRepoCol</formula1>
    </dataValidation>
  </dataValidations>
  <pageMargins left="0.25" right="0.25" top="0.65" bottom="0.61" header="0.33" footer="0.4"/>
  <pageSetup scale="72" orientation="portrait" r:id="rId1"/>
  <headerFooter scaleWithDoc="0">
    <oddHeader>&amp;C&amp;"+,Regular"&amp;9&amp;KFF0000STRICTLY CONFIDENTIAL&amp;R&amp;G</oddHeader>
    <oddFooter>&amp;L&amp;8&amp;F&amp;C&amp;8Page &amp;P of &amp;N&amp;R&amp;8&amp;D  &amp;T</oddFooter>
  </headerFooter>
  <legacyDrawingHF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1371D4-0F13-4E2E-A1FD-B545F64B6EBC}">
  <sheetPr codeName="InpHstoricalAdjustments"/>
  <dimension ref="A1:P67"/>
  <sheetViews>
    <sheetView showGridLines="0" zoomScale="90" zoomScaleNormal="90" zoomScaleSheetLayoutView="100" workbookViewId="0">
      <pane xSplit="3" ySplit="10" topLeftCell="D28" activePane="bottomRight" state="frozen"/>
      <selection activeCell="L26" sqref="L26"/>
      <selection pane="topRight" activeCell="L26" sqref="L26"/>
      <selection pane="bottomLeft" activeCell="L26" sqref="L26"/>
      <selection pane="bottomRight" activeCell="J31" sqref="J31"/>
    </sheetView>
  </sheetViews>
  <sheetFormatPr defaultColWidth="9.140625" defaultRowHeight="12.75"/>
  <cols>
    <col min="1" max="1" width="1.7109375" style="192" customWidth="1"/>
    <col min="2" max="2" width="4" style="192" customWidth="1"/>
    <col min="3" max="3" width="33.7109375" style="192" customWidth="1"/>
    <col min="4" max="4" width="13.7109375" style="192" customWidth="1"/>
    <col min="5" max="5" width="10.28515625" style="192" customWidth="1"/>
    <col min="6" max="7" width="13.7109375" style="192" customWidth="1"/>
    <col min="8" max="9" width="10.28515625" style="192" customWidth="1"/>
    <col min="10" max="10" width="13.7109375" style="192" customWidth="1"/>
    <col min="11" max="13" width="10.28515625" style="192" customWidth="1"/>
    <col min="14" max="14" width="0.42578125" customWidth="1"/>
    <col min="15" max="15" width="121.7109375" style="192" customWidth="1"/>
  </cols>
  <sheetData>
    <row r="1" spans="2:16" s="192" customFormat="1" ht="3" customHeight="1"/>
    <row r="2" spans="2:16" s="192" customFormat="1">
      <c r="B2" s="687" t="s">
        <v>0</v>
      </c>
    </row>
    <row r="3" spans="2:16" s="192" customFormat="1" ht="3" customHeight="1">
      <c r="D3" s="688"/>
      <c r="E3" s="688"/>
      <c r="F3" s="688"/>
      <c r="G3" s="688"/>
      <c r="H3" s="688"/>
      <c r="I3" s="688"/>
      <c r="J3" s="688"/>
      <c r="K3" s="688"/>
      <c r="L3" s="688"/>
      <c r="M3" s="688"/>
    </row>
    <row r="4" spans="2:16" s="192" customFormat="1" ht="18.75">
      <c r="B4" s="1057" t="str">
        <f>Input!E10</f>
        <v>Chaney Place Townhomes</v>
      </c>
      <c r="C4" s="189"/>
      <c r="D4" s="190"/>
      <c r="E4" s="1009" t="s">
        <v>522</v>
      </c>
      <c r="F4" s="702"/>
      <c r="G4" s="703"/>
      <c r="H4" s="190"/>
      <c r="I4" s="190"/>
      <c r="J4" s="190"/>
      <c r="K4" s="191"/>
      <c r="L4" s="191"/>
      <c r="M4" s="1042" t="str">
        <f>IF(IsHistoricalComponent,Input!$M$4,"")</f>
        <v>Huntsville, AL</v>
      </c>
      <c r="N4" s="1008" t="str">
        <f>IF(IsHistoricalComponent,"","Pro Forma Notes")</f>
        <v/>
      </c>
      <c r="O4" s="191"/>
      <c r="P4" s="1152" t="str">
        <f>Input!$M$4</f>
        <v>Huntsville, AL</v>
      </c>
    </row>
    <row r="5" spans="2:16" s="192" customFormat="1">
      <c r="D5" s="688"/>
      <c r="E5" s="688"/>
      <c r="F5" s="688"/>
      <c r="G5" s="688"/>
      <c r="H5" s="688"/>
      <c r="I5" s="688"/>
      <c r="J5" s="688"/>
      <c r="K5" s="688"/>
      <c r="L5" s="688"/>
      <c r="M5" s="688"/>
      <c r="N5" s="688"/>
      <c r="O5" s="688"/>
    </row>
    <row r="6" spans="2:16" s="192" customFormat="1">
      <c r="D6" s="688"/>
      <c r="E6" s="688"/>
      <c r="F6" s="688"/>
      <c r="G6" s="688"/>
      <c r="H6" s="688"/>
      <c r="I6" s="688"/>
      <c r="J6" s="688"/>
      <c r="K6" s="688"/>
      <c r="L6" s="688"/>
      <c r="M6" s="688"/>
      <c r="N6" s="688"/>
      <c r="O6" s="688"/>
    </row>
    <row r="7" spans="2:16" s="192" customFormat="1" ht="15.75" customHeight="1">
      <c r="B7" s="1034" t="str">
        <f>IF(IsHistoricalComponent,"","YEAR 1 PRO FORMA")</f>
        <v/>
      </c>
      <c r="C7" s="1018"/>
      <c r="D7" s="1017"/>
      <c r="E7" s="1036" t="s">
        <v>523</v>
      </c>
      <c r="F7" s="1025"/>
      <c r="G7" s="1019"/>
      <c r="H7" s="1019"/>
      <c r="I7" s="1019"/>
      <c r="J7" s="1019"/>
      <c r="K7" s="1019"/>
      <c r="L7" s="1019"/>
      <c r="M7" s="1019"/>
      <c r="N7" s="688"/>
      <c r="O7" s="1037" t="s">
        <v>108</v>
      </c>
    </row>
    <row r="8" spans="2:16">
      <c r="D8" s="351"/>
      <c r="J8" s="704"/>
      <c r="K8" s="705"/>
      <c r="L8" s="705"/>
      <c r="M8" s="705"/>
    </row>
    <row r="9" spans="2:16" ht="15.75">
      <c r="C9" s="689"/>
      <c r="D9" s="1376">
        <v>12</v>
      </c>
      <c r="E9" s="1377"/>
      <c r="F9" s="1155" t="s">
        <v>524</v>
      </c>
      <c r="G9" s="1156" t="s">
        <v>525</v>
      </c>
      <c r="H9" s="1157"/>
      <c r="I9" s="1158" t="s">
        <v>526</v>
      </c>
      <c r="J9" s="1156" t="s">
        <v>527</v>
      </c>
      <c r="K9" s="1159"/>
      <c r="L9" s="1159"/>
      <c r="M9" s="1159"/>
      <c r="O9" s="706"/>
    </row>
    <row r="10" spans="2:16">
      <c r="C10" s="691"/>
      <c r="D10" s="1153">
        <f>IF(AND(D9&gt;0,D9&lt;13),MAX('Select Historicals'!$O$10:$Z$10),IF(AND(AdjstedHistSelection&lt;&gt;-1,SUMPRODUCT(OR(D9=TrendRepoCol)*1)),RIGHT(D9,6),""))</f>
        <v>45962</v>
      </c>
      <c r="E10" s="1154" t="s">
        <v>521</v>
      </c>
      <c r="F10" s="1160" t="s">
        <v>369</v>
      </c>
      <c r="G10" s="1160" t="s">
        <v>369</v>
      </c>
      <c r="H10" s="1160" t="s">
        <v>521</v>
      </c>
      <c r="I10" s="1160" t="s">
        <v>528</v>
      </c>
      <c r="J10" s="1160" t="s">
        <v>369</v>
      </c>
      <c r="K10" s="1160" t="s">
        <v>521</v>
      </c>
      <c r="L10" s="1160" t="s">
        <v>529</v>
      </c>
      <c r="M10" s="1160" t="s">
        <v>112</v>
      </c>
      <c r="O10" s="707"/>
    </row>
    <row r="11" spans="2:16" ht="14.25" customHeight="1">
      <c r="B11" s="1099" t="s">
        <v>115</v>
      </c>
      <c r="C11" s="390"/>
      <c r="D11" s="390"/>
      <c r="E11" s="391"/>
      <c r="F11" s="197"/>
      <c r="G11" s="197"/>
      <c r="H11" s="197"/>
      <c r="I11" s="564"/>
      <c r="J11" s="197"/>
      <c r="K11" s="197"/>
      <c r="L11" s="197"/>
      <c r="M11" s="144" t="s">
        <v>116</v>
      </c>
      <c r="O11" s="391"/>
    </row>
    <row r="12" spans="2:16">
      <c r="B12" s="32" t="s">
        <v>117</v>
      </c>
      <c r="C12" s="32"/>
      <c r="D12" s="67">
        <f>IF(AND(D$9&gt;0,D$9&lt;13),IF(D$9&lt;=SUM('Select Historicals'!$O$9:$Z$9),SUMPRODUCT('Select Historicals'!$O12:$Z12*('Select Historicals'!$O$9:$Z$9&gt;0)*(COLUMN('Select Historicals'!$O12)-COLUMN('Select Historicals'!$O12:$Z12)&lt;=(D$9-SUM('Select Historicals'!$O$9:$Z$9))))/D$9*12,),IF(AND(ISTEXT(D$9),D$10&lt;&gt;""),SUMPRODUCT('Select Historicals'!$AB12:$AF12*(TEXT('Select Historicals'!$AB$10:$AF$10,"mmm-yy")=D$10)),))</f>
        <v>1456424</v>
      </c>
      <c r="E12" s="145">
        <f>IF(TotalDealUnits,D12/TotalDealUnits,)</f>
        <v>18205.3</v>
      </c>
      <c r="F12" s="607"/>
      <c r="G12" s="67">
        <f>D12+F12</f>
        <v>1456424</v>
      </c>
      <c r="H12" s="145">
        <f>IF(TotalDealUnits,G12/TotalDealUnits,)</f>
        <v>18205.3</v>
      </c>
      <c r="I12" s="40">
        <f>IF(G12,J12/G12-1,)</f>
        <v>0.10095961066282921</v>
      </c>
      <c r="J12" s="78">
        <f>'Operating Calculations'!C71</f>
        <v>1603464.0000000002</v>
      </c>
      <c r="K12" s="708">
        <f>IF(TotalDealUnits,J12/TotalDealUnits,)</f>
        <v>20043.300000000003</v>
      </c>
      <c r="L12" s="709">
        <f>IF(Input!$F$56,K12/Input!$F$56,)</f>
        <v>14.847713761875662</v>
      </c>
      <c r="M12" s="710">
        <f>IF($L$12,L12/$L$12,)</f>
        <v>1</v>
      </c>
      <c r="O12" s="711"/>
    </row>
    <row r="13" spans="2:16">
      <c r="B13" s="32" t="s">
        <v>118</v>
      </c>
      <c r="C13" s="32"/>
      <c r="D13" s="67">
        <f>IF(AND(D$9&gt;0,D$9&lt;13),IF(D$9&lt;=SUM('Select Historicals'!$O$9:$Z$9),SUMPRODUCT('Select Historicals'!$O13:$Z13*('Select Historicals'!$O$9:$Z$9&gt;0)*(COLUMN('Select Historicals'!$O13)-COLUMN('Select Historicals'!$O13:$Z13)&lt;=(D$9-SUM('Select Historicals'!$O$9:$Z$9))))/D$9*12,),IF(AND(ISTEXT(D$9),D$10&lt;&gt;""),SUMPRODUCT('Select Historicals'!$AB13:$AF13*(TEXT('Select Historicals'!$AB$10:$AF$10,"mmm-yy")=D$10)),))</f>
        <v>4891</v>
      </c>
      <c r="E13" s="145">
        <f>IF(TotalDealUnits,D13/TotalDealUnits,)</f>
        <v>61.137500000000003</v>
      </c>
      <c r="F13" s="607"/>
      <c r="G13" s="67">
        <f>D13+F13</f>
        <v>4891</v>
      </c>
      <c r="H13" s="145">
        <f>IF(TotalDealUnits,G13/TotalDealUnits,)</f>
        <v>61.137500000000003</v>
      </c>
      <c r="I13" s="40">
        <f>IF(G13,J13/G13-1,)</f>
        <v>-19.031183806992448</v>
      </c>
      <c r="J13" s="78">
        <f>'Operating Calculations'!C75</f>
        <v>-88190.520000000062</v>
      </c>
      <c r="K13" s="708">
        <f>IF(TotalDealUnits,J13/TotalDealUnits,)</f>
        <v>-1102.3815000000009</v>
      </c>
      <c r="L13" s="709">
        <f>IF(Input!$F$56,K13/Input!$F$56,)</f>
        <v>-0.81662425690316198</v>
      </c>
      <c r="M13" s="710">
        <f t="shared" ref="M13:M14" si="0">IF($L$12,L13/$L$12,)</f>
        <v>-5.5000000000000042E-2</v>
      </c>
      <c r="O13" s="712"/>
    </row>
    <row r="14" spans="2:16">
      <c r="B14" s="46" t="s">
        <v>119</v>
      </c>
      <c r="C14" s="46"/>
      <c r="D14" s="692">
        <f>SUBTOTAL(9,D12:D13)</f>
        <v>1461315</v>
      </c>
      <c r="E14" s="713">
        <f>SUBTOTAL(9,E12:E13)</f>
        <v>18266.4375</v>
      </c>
      <c r="F14" s="692">
        <f>SUBTOTAL(9,F12:F13)</f>
        <v>0</v>
      </c>
      <c r="G14" s="692">
        <f>SUBTOTAL(9,G12:G13)</f>
        <v>1461315</v>
      </c>
      <c r="H14" s="713">
        <f>SUBTOTAL(9,H12:H13)</f>
        <v>18266.4375</v>
      </c>
      <c r="I14" s="714">
        <f>IF(G14,J14/G14-1,)</f>
        <v>3.6924605577852931E-2</v>
      </c>
      <c r="J14" s="694">
        <f>SUBTOTAL(9,J12:J13)</f>
        <v>1515273.4800000002</v>
      </c>
      <c r="K14" s="715">
        <f>SUBTOTAL(9,K12:K13)</f>
        <v>18940.918500000003</v>
      </c>
      <c r="L14" s="716">
        <f>IF(Input!$F$56,K14/Input!$F$56,)</f>
        <v>14.031089504972501</v>
      </c>
      <c r="M14" s="717">
        <f t="shared" si="0"/>
        <v>0.94500000000000006</v>
      </c>
      <c r="O14" s="712"/>
    </row>
    <row r="15" spans="2:16">
      <c r="B15" s="32"/>
      <c r="C15" s="32"/>
      <c r="D15" s="67"/>
      <c r="E15" s="145"/>
      <c r="F15" s="67"/>
      <c r="G15" s="67"/>
      <c r="H15" s="145"/>
      <c r="I15" s="40"/>
      <c r="J15" s="78"/>
      <c r="K15" s="708"/>
      <c r="L15" s="373"/>
      <c r="M15" s="373"/>
      <c r="O15" s="718"/>
    </row>
    <row r="16" spans="2:16">
      <c r="B16" s="41" t="str">
        <f>"Vacancy"&amp;IF(IsRenov," (incl. Renovation Downtime)","")</f>
        <v>Vacancy</v>
      </c>
      <c r="C16" s="41"/>
      <c r="D16" s="67">
        <f>IF(AND(D$9&gt;0,D$9&lt;13),IF(D$9&lt;=SUM('Select Historicals'!$O$9:$Z$9),SUMPRODUCT('Select Historicals'!$O16:$Z16*('Select Historicals'!$O$9:$Z$9&gt;0)*(COLUMN('Select Historicals'!$O16)-COLUMN('Select Historicals'!$O16:$Z16)&lt;=(D$9-SUM('Select Historicals'!$O$9:$Z$9))))/D$9*12,),IF(AND(ISTEXT(D$9),D$10&lt;&gt;""),SUMPRODUCT('Select Historicals'!$AB16:$AF16*(TEXT('Select Historicals'!$AB$10:$AF$10,"mmm-yy")=D$10)),))</f>
        <v>-168572</v>
      </c>
      <c r="E16" s="145">
        <f>IF(TotalDealUnits,D16/TotalDealUnits,)</f>
        <v>-2107.15</v>
      </c>
      <c r="F16" s="607"/>
      <c r="G16" s="67">
        <f>D16+F16</f>
        <v>-168572</v>
      </c>
      <c r="H16" s="145">
        <f>IF(TotalDealUnits,G16/TotalDealUnits,)</f>
        <v>-2107.15</v>
      </c>
      <c r="I16" s="40">
        <f>IF(G16,J16/G16-1,)</f>
        <v>-0.5243978833970051</v>
      </c>
      <c r="J16" s="78">
        <f>'Operating Calculations'!C73+'Operating Calculations'!C72</f>
        <v>-80173.200000000055</v>
      </c>
      <c r="K16" s="708">
        <f>IF(TotalDealUnits,J16/TotalDealUnits,)</f>
        <v>-1002.1650000000006</v>
      </c>
      <c r="L16" s="709">
        <f>IF(Input!$F$56,K16/Input!$F$56,)</f>
        <v>-0.74238568809378347</v>
      </c>
      <c r="M16" s="710">
        <f t="shared" ref="M16:M20" si="1">IF($L$12,L16/$L$12,)</f>
        <v>-5.0000000000000024E-2</v>
      </c>
      <c r="O16" s="712"/>
    </row>
    <row r="17" spans="2:15">
      <c r="B17" s="32" t="s">
        <v>120</v>
      </c>
      <c r="C17" s="32"/>
      <c r="D17" s="67">
        <f>IF(AND(D$9&gt;0,D$9&lt;13),IF(D$9&lt;=SUM('Select Historicals'!$O$9:$Z$9),SUMPRODUCT('Select Historicals'!$O17:$Z17*('Select Historicals'!$O$9:$Z$9&gt;0)*(COLUMN('Select Historicals'!$O17)-COLUMN('Select Historicals'!$O17:$Z17)&lt;=(D$9-SUM('Select Historicals'!$O$9:$Z$9))))/D$9*12,),IF(AND(ISTEXT(D$9),D$10&lt;&gt;""),SUMPRODUCT('Select Historicals'!$AB17:$AF17*(TEXT('Select Historicals'!$AB$10:$AF$10,"mmm-yy")=D$10)),))</f>
        <v>-39642</v>
      </c>
      <c r="E17" s="145">
        <f>IF(TotalDealUnits,D17/TotalDealUnits,)</f>
        <v>-495.52499999999998</v>
      </c>
      <c r="F17" s="607"/>
      <c r="G17" s="67">
        <f>D17+F17</f>
        <v>-39642</v>
      </c>
      <c r="H17" s="145">
        <f>IF(TotalDealUnits,G17/TotalDealUnits,)</f>
        <v>-495.52499999999998</v>
      </c>
      <c r="I17" s="40">
        <f>IF(G17,J17/G17-1,)</f>
        <v>-1</v>
      </c>
      <c r="J17" s="78">
        <f>'Operating Calculations'!C76</f>
        <v>0</v>
      </c>
      <c r="K17" s="708">
        <f>IF(TotalDealUnits,J17/TotalDealUnits,)</f>
        <v>0</v>
      </c>
      <c r="L17" s="709">
        <f>IF(Input!$F$56,K17/Input!$F$56,)</f>
        <v>0</v>
      </c>
      <c r="M17" s="710">
        <f t="shared" si="1"/>
        <v>0</v>
      </c>
      <c r="O17" s="712"/>
    </row>
    <row r="18" spans="2:15">
      <c r="B18" s="32" t="s">
        <v>11</v>
      </c>
      <c r="C18" s="32"/>
      <c r="D18" s="67">
        <f>IF(AND(D$9&gt;0,D$9&lt;13),IF(D$9&lt;=SUM('Select Historicals'!$O$9:$Z$9),SUMPRODUCT('Select Historicals'!$O18:$Z18*('Select Historicals'!$O$9:$Z$9&gt;0)*(COLUMN('Select Historicals'!$O18)-COLUMN('Select Historicals'!$O18:$Z18)&lt;=(D$9-SUM('Select Historicals'!$O$9:$Z$9))))/D$9*12,),IF(AND(ISTEXT(D$9),D$10&lt;&gt;""),SUMPRODUCT('Select Historicals'!$AB18:$AF18*(TEXT('Select Historicals'!$AB$10:$AF$10,"mmm-yy")=D$10)),))</f>
        <v>-4156</v>
      </c>
      <c r="E18" s="145">
        <f>IF(TotalDealUnits,D18/TotalDealUnits,)</f>
        <v>-51.95</v>
      </c>
      <c r="F18" s="607"/>
      <c r="G18" s="67">
        <f>D18+F18</f>
        <v>-4156</v>
      </c>
      <c r="H18" s="145">
        <f>IF(TotalDealUnits,G18/TotalDealUnits,)</f>
        <v>-51.95</v>
      </c>
      <c r="I18" s="40">
        <f>IF(G18,J18/G18-1,)</f>
        <v>3.7615839406022333</v>
      </c>
      <c r="J18" s="78">
        <f>'Operating Calculations'!C74</f>
        <v>-19789.142857142881</v>
      </c>
      <c r="K18" s="708">
        <f>IF(TotalDealUnits,J18/TotalDealUnits,)</f>
        <v>-247.36428571428601</v>
      </c>
      <c r="L18" s="709">
        <f>IF(Input!$F$56,K18/Input!$F$56,)</f>
        <v>-0.18324298439860437</v>
      </c>
      <c r="M18" s="710">
        <f t="shared" si="1"/>
        <v>-1.2341494949149391E-2</v>
      </c>
      <c r="O18" s="712"/>
    </row>
    <row r="19" spans="2:15">
      <c r="B19" s="32" t="s">
        <v>121</v>
      </c>
      <c r="C19" s="32"/>
      <c r="D19" s="67">
        <f>IF(AND(D$9&gt;0,D$9&lt;13),IF(D$9&lt;=SUM('Select Historicals'!$O$9:$Z$9),SUMPRODUCT('Select Historicals'!$O19:$Z19*('Select Historicals'!$O$9:$Z$9&gt;0)*(COLUMN('Select Historicals'!$O19)-COLUMN('Select Historicals'!$O19:$Z19)&lt;=(D$9-SUM('Select Historicals'!$O$9:$Z$9))))/D$9*12,),IF(AND(ISTEXT(D$9),D$10&lt;&gt;""),SUMPRODUCT('Select Historicals'!$AB19:$AF19*(TEXT('Select Historicals'!$AB$10:$AF$10,"mmm-yy")=D$10)),))</f>
        <v>-137670</v>
      </c>
      <c r="E19" s="145">
        <f>IF(TotalDealUnits,D19/TotalDealUnits,)</f>
        <v>-1720.875</v>
      </c>
      <c r="F19" s="607"/>
      <c r="G19" s="67">
        <f>D19+F19</f>
        <v>-137670</v>
      </c>
      <c r="H19" s="145">
        <f>IF(TotalDealUnits,G19/TotalDealUnits,)</f>
        <v>-1720.875</v>
      </c>
      <c r="I19" s="40">
        <f>IF(G19,J19/G19-1,)</f>
        <v>0.13320533501704102</v>
      </c>
      <c r="J19" s="78">
        <f>'Operating Calculations'!C77</f>
        <v>-156008.37847179602</v>
      </c>
      <c r="K19" s="708">
        <f>IF(TotalDealUnits,J19/TotalDealUnits,)</f>
        <v>-1950.1047308974503</v>
      </c>
      <c r="L19" s="709">
        <f>IF(Input!$F$56,K19/Input!$F$56,)</f>
        <v>-1.444602278569143</v>
      </c>
      <c r="M19" s="710">
        <f t="shared" si="1"/>
        <v>-9.7294593749405051E-2</v>
      </c>
      <c r="O19" s="712"/>
    </row>
    <row r="20" spans="2:15">
      <c r="B20" s="46" t="s">
        <v>122</v>
      </c>
      <c r="C20" s="46"/>
      <c r="D20" s="692">
        <f>SUBTOTAL(9,D12:D19)</f>
        <v>1111275</v>
      </c>
      <c r="E20" s="713">
        <f>SUBTOTAL(9,E12:E19)</f>
        <v>13890.9375</v>
      </c>
      <c r="F20" s="692">
        <f>SUBTOTAL(9,F12:F19)</f>
        <v>0</v>
      </c>
      <c r="G20" s="692">
        <f>SUBTOTAL(9,G12:G19)</f>
        <v>1111275</v>
      </c>
      <c r="H20" s="713">
        <f>SUBTOTAL(9,H12:H19)</f>
        <v>13890.9375</v>
      </c>
      <c r="I20" s="714">
        <f>IF(G20,J20/G20-1,)</f>
        <v>0.13320533501704013</v>
      </c>
      <c r="J20" s="694">
        <f>SUBTOTAL(9,J12:J19)</f>
        <v>1259302.7586710614</v>
      </c>
      <c r="K20" s="715">
        <f>SUBTOTAL(9,K12:K19)</f>
        <v>15741.284483388265</v>
      </c>
      <c r="L20" s="716">
        <f>IF(Input!$F$56,K20/Input!$F$56,)</f>
        <v>11.66085855391097</v>
      </c>
      <c r="M20" s="717">
        <f t="shared" si="1"/>
        <v>0.78536391130144556</v>
      </c>
      <c r="O20" s="712"/>
    </row>
    <row r="21" spans="2:15">
      <c r="B21" s="32"/>
      <c r="C21" s="32"/>
      <c r="D21" s="83"/>
      <c r="E21" s="90"/>
      <c r="F21" s="83"/>
      <c r="G21" s="83"/>
      <c r="H21" s="90"/>
      <c r="I21" s="40"/>
      <c r="J21" s="27"/>
      <c r="K21" s="719"/>
      <c r="L21" s="720"/>
      <c r="M21" s="720"/>
      <c r="O21" s="718"/>
    </row>
    <row r="22" spans="2:15">
      <c r="B22" s="32" t="str">
        <f>'Operating Calculations'!B78</f>
        <v>Garage / Parking</v>
      </c>
      <c r="C22" s="32"/>
      <c r="D22" s="67">
        <f>IF(AND(D$9&gt;0,D$9&lt;13),IF(D$9&lt;=SUM('Select Historicals'!$O$9:$Z$9),SUMPRODUCT('Select Historicals'!$O22:$Z22*('Select Historicals'!$O$9:$Z$9&gt;0)*(COLUMN('Select Historicals'!$O22)-COLUMN('Select Historicals'!$O22:$Z22)&lt;=(D$9-SUM('Select Historicals'!$O$9:$Z$9))))/D$9*12,),IF(AND(ISTEXT(D$9),D$10&lt;&gt;""),SUMPRODUCT('Select Historicals'!$AB22:$AF22*(TEXT('Select Historicals'!$AB$10:$AF$10,"mmm-yy")=D$10)),))</f>
        <v>0</v>
      </c>
      <c r="E22" s="145">
        <f>IF(TotalDealUnits,D22/TotalDealUnits,)</f>
        <v>0</v>
      </c>
      <c r="F22" s="607"/>
      <c r="G22" s="67">
        <f>D22+F22</f>
        <v>0</v>
      </c>
      <c r="H22" s="145">
        <f>IF(TotalDealUnits,G22/TotalDealUnits,)</f>
        <v>0</v>
      </c>
      <c r="I22" s="40">
        <f t="shared" ref="I22:I31" si="2">IF(G22,J22/G22-1,)</f>
        <v>0</v>
      </c>
      <c r="J22" s="78">
        <f>'Operating Calculations'!C141</f>
        <v>0</v>
      </c>
      <c r="K22" s="708">
        <f>IF(TotalDealUnits,J22/TotalDealUnits,)</f>
        <v>0</v>
      </c>
      <c r="L22" s="709">
        <f>IF(Input!$F$56,K22/Input!$F$56,)</f>
        <v>0</v>
      </c>
      <c r="M22" s="710">
        <f t="shared" ref="M22:M31" si="3">IF($L$12,L22/$L$12,)</f>
        <v>0</v>
      </c>
      <c r="O22" s="712"/>
    </row>
    <row r="23" spans="2:15">
      <c r="B23" s="32" t="str">
        <f>'Operating Calculations'!B79</f>
        <v>Storage</v>
      </c>
      <c r="C23" s="32"/>
      <c r="D23" s="67">
        <f>IF(AND(D$9&gt;0,D$9&lt;13),IF(D$9&lt;=SUM('Select Historicals'!$O$9:$Z$9),SUMPRODUCT('Select Historicals'!$O23:$Z23*('Select Historicals'!$O$9:$Z$9&gt;0)*(COLUMN('Select Historicals'!$O23)-COLUMN('Select Historicals'!$O23:$Z23)&lt;=(D$9-SUM('Select Historicals'!$O$9:$Z$9))))/D$9*12,),IF(AND(ISTEXT(D$9),D$10&lt;&gt;""),SUMPRODUCT('Select Historicals'!$AB23:$AF23*(TEXT('Select Historicals'!$AB$10:$AF$10,"mmm-yy")=D$10)),))</f>
        <v>0</v>
      </c>
      <c r="E23" s="145">
        <f>IF(TotalDealUnits,D23/TotalDealUnits,)</f>
        <v>0</v>
      </c>
      <c r="F23" s="363"/>
      <c r="G23" s="67">
        <f>D23+F23</f>
        <v>0</v>
      </c>
      <c r="H23" s="145">
        <f>IF(TotalDealUnits,G23/TotalDealUnits,)</f>
        <v>0</v>
      </c>
      <c r="I23" s="40">
        <f t="shared" si="2"/>
        <v>0</v>
      </c>
      <c r="J23" s="78">
        <f>'Operating Calculations'!C142</f>
        <v>0</v>
      </c>
      <c r="K23" s="708">
        <f>IF(TotalDealUnits,J23/TotalDealUnits,)</f>
        <v>0</v>
      </c>
      <c r="L23" s="709">
        <f>IF(Input!$F$56,K23/Input!$F$56,)</f>
        <v>0</v>
      </c>
      <c r="M23" s="710">
        <f t="shared" si="3"/>
        <v>0</v>
      </c>
      <c r="O23" s="712"/>
    </row>
    <row r="24" spans="2:15">
      <c r="B24" s="32" t="s">
        <v>1077</v>
      </c>
      <c r="C24" s="32"/>
      <c r="D24" s="67">
        <v>0</v>
      </c>
      <c r="E24" s="145">
        <f>IF(TotalDealUnits,D24/TotalDealUnits,)</f>
        <v>0</v>
      </c>
      <c r="F24" s="363"/>
      <c r="G24" s="67">
        <f>D24+F24</f>
        <v>0</v>
      </c>
      <c r="H24" s="145">
        <f>IF(TotalDealUnits,G24/TotalDealUnits,)</f>
        <v>0</v>
      </c>
      <c r="I24" s="40">
        <f t="shared" si="2"/>
        <v>0</v>
      </c>
      <c r="J24" s="78">
        <f>'Operating Calculations'!C143</f>
        <v>63840</v>
      </c>
      <c r="K24" s="708">
        <f>IF(TotalDealUnits,J24/TotalDealUnits,)</f>
        <v>798</v>
      </c>
      <c r="L24" s="709">
        <f>IF(Input!$F$56,K24/Input!$F$56,)</f>
        <v>0.59114395244180229</v>
      </c>
      <c r="M24" s="710">
        <f t="shared" si="3"/>
        <v>3.98138031162533E-2</v>
      </c>
      <c r="O24" s="712"/>
    </row>
    <row r="25" spans="2:15">
      <c r="B25" s="32" t="s">
        <v>1078</v>
      </c>
      <c r="C25" s="32"/>
      <c r="D25" s="67">
        <v>0</v>
      </c>
      <c r="E25" s="145">
        <f>IF(TotalDealUnits,D25/TotalDealUnits,)</f>
        <v>0</v>
      </c>
      <c r="F25" s="363"/>
      <c r="G25" s="67">
        <f>D25+F25</f>
        <v>0</v>
      </c>
      <c r="H25" s="145">
        <f>IF(TotalDealUnits,G25/TotalDealUnits,)</f>
        <v>0</v>
      </c>
      <c r="I25" s="40">
        <f t="shared" si="2"/>
        <v>0</v>
      </c>
      <c r="J25" s="78">
        <f>'Operating Calculations'!C144</f>
        <v>6384</v>
      </c>
      <c r="K25" s="708">
        <f>IF(TotalDealUnits,J25/TotalDealUnits,)</f>
        <v>79.8</v>
      </c>
      <c r="L25" s="709">
        <f>IF(Input!$F$56,K25/Input!$F$56,)</f>
        <v>5.9114395244180232E-2</v>
      </c>
      <c r="M25" s="710">
        <f t="shared" si="3"/>
        <v>3.9813803116253302E-3</v>
      </c>
      <c r="O25" s="712"/>
    </row>
    <row r="26" spans="2:15">
      <c r="B26" s="32" t="s">
        <v>1079</v>
      </c>
      <c r="C26" s="32"/>
      <c r="D26" s="67">
        <v>0</v>
      </c>
      <c r="E26" s="145">
        <f>IF(TotalDealUnits,D26/TotalDealUnits,)</f>
        <v>0</v>
      </c>
      <c r="F26" s="363"/>
      <c r="G26" s="67">
        <f t="shared" ref="G26:G29" si="4">D26+F26</f>
        <v>0</v>
      </c>
      <c r="H26" s="145">
        <f>IF(TotalDealUnits,G26/TotalDealUnits,)</f>
        <v>0</v>
      </c>
      <c r="I26" s="40">
        <f t="shared" ref="I26:I29" si="5">IF(G26,J26/G26-1,)</f>
        <v>0</v>
      </c>
      <c r="J26" s="78">
        <f>'Operating Calculations'!C145</f>
        <v>31920</v>
      </c>
      <c r="K26" s="708">
        <f>IF(TotalDealUnits,J26/TotalDealUnits,)</f>
        <v>399</v>
      </c>
      <c r="L26" s="709">
        <f>IF(Input!$F$56,K26/Input!$F$56,)</f>
        <v>0.29557197622090114</v>
      </c>
      <c r="M26" s="710">
        <f t="shared" ref="M26:M29" si="6">IF($L$12,L26/$L$12,)</f>
        <v>1.990690155812665E-2</v>
      </c>
      <c r="O26" s="712"/>
    </row>
    <row r="27" spans="2:15">
      <c r="B27" s="32" t="s">
        <v>1080</v>
      </c>
      <c r="C27" s="32"/>
      <c r="D27" s="67">
        <v>0</v>
      </c>
      <c r="E27" s="145">
        <f>IF(TotalDealUnits,D27/TotalDealUnits,)</f>
        <v>0</v>
      </c>
      <c r="F27" s="363"/>
      <c r="G27" s="67">
        <f t="shared" si="4"/>
        <v>0</v>
      </c>
      <c r="H27" s="145">
        <f>IF(TotalDealUnits,G27/TotalDealUnits,)</f>
        <v>0</v>
      </c>
      <c r="I27" s="40">
        <f t="shared" si="5"/>
        <v>0</v>
      </c>
      <c r="J27" s="78">
        <f>'Operating Calculations'!C146</f>
        <v>6840</v>
      </c>
      <c r="K27" s="708">
        <f>IF(TotalDealUnits,J27/TotalDealUnits,)</f>
        <v>85.5</v>
      </c>
      <c r="L27" s="709">
        <f>IF(Input!$F$56,K27/Input!$F$56,)</f>
        <v>6.3336852047335968E-2</v>
      </c>
      <c r="M27" s="710">
        <f t="shared" si="6"/>
        <v>4.2657646195985686E-3</v>
      </c>
      <c r="O27" s="712"/>
    </row>
    <row r="28" spans="2:15">
      <c r="B28" s="32" t="s">
        <v>123</v>
      </c>
      <c r="C28" s="32"/>
      <c r="D28" s="67" cm="1">
        <f t="array" ref="D28">IF(AND(D$9&gt;0,D$9&lt;13),IF(D$9&lt;=SUM('Select Historicals'!$O$9:$Z$9),SUMPRODUCT('Select Historicals'!$O25:$Z25*('Select Historicals'!$O$9:$Z$9&gt;0)*(COLUMN('Select Historicals'!$O25)-COLUMN('Select Historicals'!$O25:$Z25)&lt;=(D$9-SUM('Select Historicals'!$O$9:$Z$9))))/D$9*12,),IF(AND(ISTEXT(D$9),D$10&lt;&gt;""),SUMPRODUCT('Select Historicals'!$AB25:$AF25*(TEXT('Select Historicals'!$AB$10:$AF$10,"mmm-yy")=D$10)),))</f>
        <v>102896</v>
      </c>
      <c r="E28" s="145">
        <f>IF(TotalDealUnits,D28/TotalDealUnits,)</f>
        <v>1286.2</v>
      </c>
      <c r="F28" s="363"/>
      <c r="G28" s="67">
        <f t="shared" si="4"/>
        <v>102896</v>
      </c>
      <c r="H28" s="145">
        <f>IF(TotalDealUnits,G28/TotalDealUnits,)</f>
        <v>1286.2</v>
      </c>
      <c r="I28" s="40">
        <f t="shared" si="5"/>
        <v>-0.1757113979163426</v>
      </c>
      <c r="J28" s="78">
        <f>'Operating Calculations'!C147</f>
        <v>84816.000000000015</v>
      </c>
      <c r="K28" s="708">
        <f>IF(TotalDealUnits,J28/TotalDealUnits,)</f>
        <v>1060.2000000000003</v>
      </c>
      <c r="L28" s="709">
        <f>IF(Input!$F$56,K28/Input!$F$56,)</f>
        <v>0.78537696538696622</v>
      </c>
      <c r="M28" s="710">
        <f t="shared" si="6"/>
        <v>5.2895481283022266E-2</v>
      </c>
      <c r="O28" s="712"/>
    </row>
    <row r="29" spans="2:15">
      <c r="B29" s="32" t="s">
        <v>142</v>
      </c>
      <c r="C29" s="32"/>
      <c r="D29" s="67" cm="1">
        <f t="array" ref="D29">IF(AND(D$9&gt;0,D$9&lt;13),IF(D$9&lt;=SUM('Select Historicals'!$O$9:$Z$9),SUMPRODUCT('Select Historicals'!$O24:$Z24*('Select Historicals'!$O$9:$Z$9&gt;0)*(COLUMN('Select Historicals'!$O24)-COLUMN('Select Historicals'!$O24:$Z24)&lt;=(D$9-SUM('Select Historicals'!$O$9:$Z$9))))/D$9*12,),IF(AND(ISTEXT(D$9),D$10&lt;&gt;""),SUMPRODUCT('Select Historicals'!$AB24:$AF24*(TEXT('Select Historicals'!$AB$10:$AF$10,"mmm-yy")=D$10)),))</f>
        <v>93554</v>
      </c>
      <c r="E29" s="145">
        <f>IF(TotalDealUnits,D29/TotalDealUnits,)</f>
        <v>1169.425</v>
      </c>
      <c r="F29" s="363"/>
      <c r="G29" s="67">
        <f t="shared" si="4"/>
        <v>93554</v>
      </c>
      <c r="H29" s="145">
        <f>IF(TotalDealUnits,G29/TotalDealUnits,)</f>
        <v>1169.425</v>
      </c>
      <c r="I29" s="40">
        <f t="shared" si="5"/>
        <v>-1</v>
      </c>
      <c r="J29" s="78">
        <f>'Operating Calculations'!C80</f>
        <v>0</v>
      </c>
      <c r="K29" s="708">
        <f>IF(TotalDealUnits,J29/TotalDealUnits,)</f>
        <v>0</v>
      </c>
      <c r="L29" s="709">
        <f>IF(Input!$F$56,K29/Input!$F$56,)</f>
        <v>0</v>
      </c>
      <c r="M29" s="710">
        <f t="shared" si="6"/>
        <v>0</v>
      </c>
      <c r="O29" s="712"/>
    </row>
    <row r="30" spans="2:15">
      <c r="B30" s="32" t="s">
        <v>144</v>
      </c>
      <c r="C30" s="32"/>
      <c r="D30" s="67">
        <f>IF(AND(D$9&gt;0,D$9&lt;13),IF(D$9&lt;=SUM('Select Historicals'!$O$9:$Z$9),SUMPRODUCT('Select Historicals'!$O26:$Z26*('Select Historicals'!$O$9:$Z$9&gt;0)*(COLUMN('Select Historicals'!$O26)-COLUMN('Select Historicals'!$O26:$Z26)&lt;=(D$9-SUM('Select Historicals'!$O$9:$Z$9))))/D$9*12,),IF(AND(ISTEXT(D$9),D$10&lt;&gt;""),SUMPRODUCT('Select Historicals'!$AB26:$AF26*(TEXT('Select Historicals'!$AB$10:$AF$10,"mmm-yy")=D$10)),))</f>
        <v>0</v>
      </c>
      <c r="E30" s="145">
        <f>IF(TotalDealUnits,D30/TotalDealUnits,)</f>
        <v>0</v>
      </c>
      <c r="F30" s="721"/>
      <c r="G30" s="67">
        <f>D30+F30</f>
        <v>0</v>
      </c>
      <c r="H30" s="145">
        <f>IF(TotalDealUnits,G30/TotalDealUnits,)</f>
        <v>0</v>
      </c>
      <c r="I30" s="40">
        <f t="shared" si="2"/>
        <v>0</v>
      </c>
      <c r="J30" s="78">
        <f>'CF Calculations'!E31</f>
        <v>0</v>
      </c>
      <c r="K30" s="708">
        <f>IF(TotalDealUnits,J30/TotalDealUnits,)</f>
        <v>0</v>
      </c>
      <c r="L30" s="709">
        <f>IF(Input!$F$56,K30/Input!$F$56,)</f>
        <v>0</v>
      </c>
      <c r="M30" s="710">
        <f t="shared" si="3"/>
        <v>0</v>
      </c>
      <c r="O30" s="712"/>
    </row>
    <row r="31" spans="2:15">
      <c r="B31" s="46" t="s">
        <v>575</v>
      </c>
      <c r="C31" s="46"/>
      <c r="D31" s="692">
        <f>SUBTOTAL(9,D22:D30)</f>
        <v>196450</v>
      </c>
      <c r="E31" s="713">
        <f>SUBTOTAL(9,E22:E30)</f>
        <v>2455.625</v>
      </c>
      <c r="F31" s="692">
        <f>SUBTOTAL(9,F22:F30)</f>
        <v>0</v>
      </c>
      <c r="G31" s="692">
        <f>SUBTOTAL(9,G22:G30)</f>
        <v>196450</v>
      </c>
      <c r="H31" s="713">
        <f>SUBTOTAL(9,H22:H30)</f>
        <v>2455.625</v>
      </c>
      <c r="I31" s="714">
        <f t="shared" si="2"/>
        <v>-1.3489437515907365E-2</v>
      </c>
      <c r="J31" s="694">
        <f>SUBTOTAL(9,J22:J30)</f>
        <v>193800</v>
      </c>
      <c r="K31" s="715">
        <f>SUBTOTAL(9,K22:K30)</f>
        <v>2422.5</v>
      </c>
      <c r="L31" s="716">
        <f>IF(Input!$F$56,K31/Input!$F$56,)</f>
        <v>1.7945441413411858</v>
      </c>
      <c r="M31" s="717">
        <f t="shared" si="3"/>
        <v>0.12086333088862612</v>
      </c>
      <c r="O31" s="712"/>
    </row>
    <row r="32" spans="2:15">
      <c r="B32" s="32"/>
      <c r="C32" s="32"/>
      <c r="D32" s="83"/>
      <c r="E32" s="90"/>
      <c r="F32" s="722"/>
      <c r="G32" s="83"/>
      <c r="H32" s="90"/>
      <c r="I32" s="40"/>
      <c r="J32" s="27"/>
      <c r="K32" s="719"/>
      <c r="L32" s="720"/>
      <c r="M32" s="720"/>
      <c r="O32" s="718"/>
    </row>
    <row r="33" spans="2:15">
      <c r="B33" s="198" t="s">
        <v>124</v>
      </c>
      <c r="C33" s="198"/>
      <c r="D33" s="692">
        <f>SUBTOTAL(9,D12:D32)</f>
        <v>1307725</v>
      </c>
      <c r="E33" s="713">
        <f>SUBTOTAL(9,E12:E32)</f>
        <v>16346.5625</v>
      </c>
      <c r="F33" s="692">
        <f>SUBTOTAL(9,F12:F32)</f>
        <v>0</v>
      </c>
      <c r="G33" s="692">
        <f>SUBTOTAL(9,G12:G32)</f>
        <v>1307725</v>
      </c>
      <c r="H33" s="713">
        <f>SUBTOTAL(9,H12:H32)</f>
        <v>16346.5625</v>
      </c>
      <c r="I33" s="714">
        <f>IF(G33,J33/G33-1,)</f>
        <v>0.11116844800784675</v>
      </c>
      <c r="J33" s="694">
        <f>SUBTOTAL(9,J12:J32)</f>
        <v>1453102.7586710614</v>
      </c>
      <c r="K33" s="715">
        <f>SUBTOTAL(9,K12:K32)</f>
        <v>18163.784483388263</v>
      </c>
      <c r="L33" s="716">
        <f>IF(Input!$F$56,K33/Input!$F$56,)</f>
        <v>13.455402695252154</v>
      </c>
      <c r="M33" s="717">
        <f>IF($L$12,L33/$L$12,)</f>
        <v>0.90622724219007156</v>
      </c>
      <c r="O33" s="712"/>
    </row>
    <row r="34" spans="2:15">
      <c r="B34" s="198"/>
      <c r="C34" s="198"/>
      <c r="D34" s="169"/>
      <c r="E34" s="91"/>
      <c r="F34" s="27"/>
      <c r="G34" s="169"/>
      <c r="H34" s="91"/>
      <c r="I34" s="169"/>
      <c r="J34" s="169"/>
      <c r="K34" s="723"/>
      <c r="L34" s="724"/>
      <c r="M34" s="724"/>
      <c r="O34" s="718"/>
    </row>
    <row r="36" spans="2:15" ht="12.75" customHeight="1">
      <c r="D36" s="699" t="str">
        <f>IF(IsHistoricalComponent,IF(ISNUMBER(AdjstedHistSelection),IF(SUM('Select Historicals'!$O$9:$Z$9)=12,"Trailing ","T")&amp;SUM('Select Historicals'!$O$9:$Z$9)&amp;IF(SUM('Select Historicals'!$O$9:$Z$9)&lt;12," Annualized "," Months"),"Year Ending"&amp;" "),"")</f>
        <v>Trailing 12 Months</v>
      </c>
      <c r="E36" s="163"/>
      <c r="F36"/>
      <c r="G36" s="699" t="str">
        <f>D36</f>
        <v>Trailing 12 Months</v>
      </c>
      <c r="H36" s="163"/>
      <c r="I36"/>
      <c r="J36"/>
      <c r="K36" s="699" t="s">
        <v>527</v>
      </c>
      <c r="L36" s="163"/>
    </row>
    <row r="37" spans="2:15" ht="14.25" customHeight="1">
      <c r="B37" s="1099" t="s">
        <v>125</v>
      </c>
      <c r="C37" s="390"/>
      <c r="D37" s="391"/>
      <c r="E37" s="391"/>
      <c r="F37" s="391"/>
      <c r="G37" s="391"/>
      <c r="H37" s="391"/>
      <c r="I37" s="391"/>
      <c r="J37" s="391"/>
      <c r="K37" s="391"/>
      <c r="L37" s="391"/>
      <c r="M37" s="144" t="s">
        <v>126</v>
      </c>
      <c r="O37" s="391"/>
    </row>
    <row r="38" spans="2:15">
      <c r="B38" s="32" t="str">
        <f>Input!B129</f>
        <v>Repair &amp; Maintenance</v>
      </c>
      <c r="C38" s="32"/>
      <c r="D38" s="67">
        <f>IF(AND(D$9&gt;0,D$9&lt;13),IF(D$9&lt;=SUM('Select Historicals'!$O$9:$Z$9),SUMPRODUCT('Select Historicals'!$O34:$Z34*('Select Historicals'!$O$9:$Z$9&gt;0))/SUM('Select Historicals'!$O$9:$Z$9)*12,),IF(AND(ISTEXT(D$9),D$10&lt;&gt;""),SUMPRODUCT('Select Historicals'!$AB34:$AF34*(TEXT('Select Historicals'!$AB$10:$AF$10,"mmm-yy")=D$10)),))</f>
        <v>90278</v>
      </c>
      <c r="E38" s="145">
        <f>IF(TotalDealUnits,D38/TotalDealUnits,)</f>
        <v>1128.4749999999999</v>
      </c>
      <c r="F38" s="607"/>
      <c r="G38" s="78">
        <f t="shared" ref="G38:G56" si="7">D38+F38</f>
        <v>90278</v>
      </c>
      <c r="H38" s="145">
        <f t="shared" ref="H38:H56" si="8">IF(TotalDealUnits,G38/TotalDealUnits,)</f>
        <v>1128.4749999999999</v>
      </c>
      <c r="I38" s="40">
        <f t="shared" ref="I38:I56" si="9">IF(G38,J38/G38-1,)</f>
        <v>4.1228206207492457E-2</v>
      </c>
      <c r="J38" s="78">
        <f>'Historical CF'!T31</f>
        <v>94000</v>
      </c>
      <c r="K38" s="708">
        <f>IF(TotalDealUnits,J38/TotalDealUnits,)</f>
        <v>1175</v>
      </c>
      <c r="L38" s="709">
        <f>IF(Input!$F$56,K38/Input!$F$56,)</f>
        <v>0.87041872696631295</v>
      </c>
      <c r="M38" s="710">
        <f>IF($L$33,L38/$L$33,)</f>
        <v>6.4689162166320535E-2</v>
      </c>
      <c r="O38" s="711"/>
    </row>
    <row r="39" spans="2:15">
      <c r="B39" s="32" t="str">
        <f>Input!B130</f>
        <v>Contract Services</v>
      </c>
      <c r="C39" s="32"/>
      <c r="D39" s="67">
        <f>IF(AND(D$9&gt;0,D$9&lt;13),IF(D$9&lt;=SUM('Select Historicals'!$O$9:$Z$9),SUMPRODUCT('Select Historicals'!$O35:$Z35*('Select Historicals'!$O$9:$Z$9&gt;0))/SUM('Select Historicals'!$O$9:$Z$9)*12,),IF(AND(ISTEXT(D$9),D$10&lt;&gt;""),SUMPRODUCT('Select Historicals'!$AB35:$AF35*(TEXT('Select Historicals'!$AB$10:$AF$10,"mmm-yy")=D$10)),))</f>
        <v>0</v>
      </c>
      <c r="E39" s="145">
        <f>IF(TotalDealUnits,D39/TotalDealUnits,)</f>
        <v>0</v>
      </c>
      <c r="F39" s="363"/>
      <c r="G39" s="78">
        <f t="shared" si="7"/>
        <v>0</v>
      </c>
      <c r="H39" s="145">
        <f t="shared" si="8"/>
        <v>0</v>
      </c>
      <c r="I39" s="40">
        <f t="shared" si="9"/>
        <v>0</v>
      </c>
      <c r="J39" s="78">
        <f>'Historical CF'!T32</f>
        <v>0</v>
      </c>
      <c r="K39" s="708">
        <f>IF(TotalDealUnits,J39/TotalDealUnits,)</f>
        <v>0</v>
      </c>
      <c r="L39" s="709">
        <f>IF(Input!$F$56,K39/Input!$F$56,)</f>
        <v>0</v>
      </c>
      <c r="M39" s="710">
        <f t="shared" ref="M39:M56" si="10">IF($L$33,L39/$L$33,)</f>
        <v>0</v>
      </c>
      <c r="O39" s="712"/>
    </row>
    <row r="40" spans="2:15">
      <c r="B40" s="32" t="str">
        <f>Input!B131</f>
        <v>Security</v>
      </c>
      <c r="C40" s="32"/>
      <c r="D40" s="67">
        <f>IF(AND(D$9&gt;0,D$9&lt;13),IF(D$9&lt;=SUM('Select Historicals'!$O$9:$Z$9),SUMPRODUCT('Select Historicals'!$O36:$Z36*('Select Historicals'!$O$9:$Z$9&gt;0))/SUM('Select Historicals'!$O$9:$Z$9)*12,),IF(AND(ISTEXT(D$9),D$10&lt;&gt;""),SUMPRODUCT('Select Historicals'!$AB36:$AF36*(TEXT('Select Historicals'!$AB$10:$AF$10,"mmm-yy")=D$10)),))</f>
        <v>0</v>
      </c>
      <c r="E40" s="145">
        <f>IF(TotalDealUnits,D40/TotalDealUnits,)</f>
        <v>0</v>
      </c>
      <c r="F40" s="363"/>
      <c r="G40" s="78">
        <f t="shared" si="7"/>
        <v>0</v>
      </c>
      <c r="H40" s="145">
        <f t="shared" si="8"/>
        <v>0</v>
      </c>
      <c r="I40" s="40">
        <f t="shared" si="9"/>
        <v>0</v>
      </c>
      <c r="J40" s="78">
        <f>'Historical CF'!T33</f>
        <v>0</v>
      </c>
      <c r="K40" s="708">
        <f>IF(TotalDealUnits,J40/TotalDealUnits,)</f>
        <v>0</v>
      </c>
      <c r="L40" s="709">
        <f>IF(Input!$F$56,K40/Input!$F$56,)</f>
        <v>0</v>
      </c>
      <c r="M40" s="710">
        <f t="shared" si="10"/>
        <v>0</v>
      </c>
      <c r="O40" s="712"/>
    </row>
    <row r="41" spans="2:15">
      <c r="B41" s="32" t="str">
        <f>Input!B132</f>
        <v>Landscaping / Grounds</v>
      </c>
      <c r="C41" s="32"/>
      <c r="D41" s="67">
        <f>IF(AND(D$9&gt;0,D$9&lt;13),IF(D$9&lt;=SUM('Select Historicals'!$O$9:$Z$9),SUMPRODUCT('Select Historicals'!$O37:$Z37*('Select Historicals'!$O$9:$Z$9&gt;0))/SUM('Select Historicals'!$O$9:$Z$9)*12,),IF(AND(ISTEXT(D$9),D$10&lt;&gt;""),SUMPRODUCT('Select Historicals'!$AB37:$AF37*(TEXT('Select Historicals'!$AB$10:$AF$10,"mmm-yy")=D$10)),))</f>
        <v>16274</v>
      </c>
      <c r="E41" s="145">
        <f>IF(TotalDealUnits,D41/TotalDealUnits,)</f>
        <v>203.42500000000001</v>
      </c>
      <c r="F41" s="363"/>
      <c r="G41" s="78">
        <f t="shared" si="7"/>
        <v>16274</v>
      </c>
      <c r="H41" s="145">
        <f t="shared" si="8"/>
        <v>203.42500000000001</v>
      </c>
      <c r="I41" s="40">
        <f t="shared" si="9"/>
        <v>-1.6836671992134677E-2</v>
      </c>
      <c r="J41" s="78">
        <f>'Historical CF'!T34</f>
        <v>16000</v>
      </c>
      <c r="K41" s="708">
        <f>IF(TotalDealUnits,J41/TotalDealUnits,)</f>
        <v>200</v>
      </c>
      <c r="L41" s="709">
        <f>IF(Input!$F$56,K41/Input!$F$56,)</f>
        <v>0.14815637905809584</v>
      </c>
      <c r="M41" s="710">
        <f t="shared" si="10"/>
        <v>1.1010921219799241E-2</v>
      </c>
      <c r="O41" s="712"/>
    </row>
    <row r="42" spans="2:15">
      <c r="B42" s="32" t="str">
        <f>Input!B133</f>
        <v>Personnel</v>
      </c>
      <c r="C42" s="32"/>
      <c r="D42" s="67">
        <f>IF(AND(D$9&gt;0,D$9&lt;13),IF(D$9&lt;=SUM('Select Historicals'!$O$9:$Z$9),SUMPRODUCT('Select Historicals'!$O38:$Z38*('Select Historicals'!$O$9:$Z$9&gt;0))/SUM('Select Historicals'!$O$9:$Z$9)*12,),IF(AND(ISTEXT(D$9),D$10&lt;&gt;""),SUMPRODUCT('Select Historicals'!$AB38:$AF38*(TEXT('Select Historicals'!$AB$10:$AF$10,"mmm-yy")=D$10)),))</f>
        <v>78724</v>
      </c>
      <c r="E42" s="145">
        <f>IF(TotalDealUnits,D42/TotalDealUnits,)</f>
        <v>984.05</v>
      </c>
      <c r="F42" s="363"/>
      <c r="G42" s="78">
        <f t="shared" si="7"/>
        <v>78724</v>
      </c>
      <c r="H42" s="145">
        <f t="shared" si="8"/>
        <v>984.05</v>
      </c>
      <c r="I42" s="40">
        <f t="shared" si="9"/>
        <v>0.86347238453330633</v>
      </c>
      <c r="J42" s="78">
        <f>'Historical CF'!T35</f>
        <v>146700</v>
      </c>
      <c r="K42" s="708">
        <f>IF(TotalDealUnits,J42/TotalDealUnits,)</f>
        <v>1833.75</v>
      </c>
      <c r="L42" s="709">
        <f>IF(Input!$F$56,K42/Input!$F$56,)</f>
        <v>1.3584088004889161</v>
      </c>
      <c r="M42" s="710">
        <f t="shared" si="10"/>
        <v>0.10095638393403428</v>
      </c>
      <c r="O42" s="712"/>
    </row>
    <row r="43" spans="2:15">
      <c r="B43" s="32" t="str">
        <f>Input!B134</f>
        <v>Marketing / Advertising</v>
      </c>
      <c r="C43" s="32"/>
      <c r="D43" s="67">
        <f>IF(AND(D$9&gt;0,D$9&lt;13),IF(D$9&lt;=SUM('Select Historicals'!$O$9:$Z$9),SUMPRODUCT('Select Historicals'!$O39:$Z39*('Select Historicals'!$O$9:$Z$9&gt;0))/SUM('Select Historicals'!$O$9:$Z$9)*12,),IF(AND(ISTEXT(D$9),D$10&lt;&gt;""),SUMPRODUCT('Select Historicals'!$AB39:$AF39*(TEXT('Select Historicals'!$AB$10:$AF$10,"mmm-yy")=D$10)),))</f>
        <v>13451</v>
      </c>
      <c r="E43" s="145">
        <f>IF(TotalDealUnits,D43/TotalDealUnits,)</f>
        <v>168.13749999999999</v>
      </c>
      <c r="F43" s="363"/>
      <c r="G43" s="78">
        <f t="shared" si="7"/>
        <v>13451</v>
      </c>
      <c r="H43" s="145">
        <f t="shared" si="8"/>
        <v>168.13749999999999</v>
      </c>
      <c r="I43" s="40">
        <f t="shared" si="9"/>
        <v>-1</v>
      </c>
      <c r="J43" s="78">
        <f>'Historical CF'!T36</f>
        <v>0</v>
      </c>
      <c r="K43" s="708">
        <f>IF(TotalDealUnits,J43/TotalDealUnits,)</f>
        <v>0</v>
      </c>
      <c r="L43" s="709">
        <f>IF(Input!$F$56,K43/Input!$F$56,)</f>
        <v>0</v>
      </c>
      <c r="M43" s="710">
        <f t="shared" si="10"/>
        <v>0</v>
      </c>
      <c r="O43" s="712"/>
    </row>
    <row r="44" spans="2:15">
      <c r="B44" s="32" t="str">
        <f>Input!B135</f>
        <v>Leasing Commissions</v>
      </c>
      <c r="C44" s="32"/>
      <c r="D44" s="67">
        <f>IF(AND(D$9&gt;0,D$9&lt;13),IF(D$9&lt;=SUM('Select Historicals'!$O$9:$Z$9),SUMPRODUCT('Select Historicals'!$O40:$Z40*('Select Historicals'!$O$9:$Z$9&gt;0))/SUM('Select Historicals'!$O$9:$Z$9)*12,),IF(AND(ISTEXT(D$9),D$10&lt;&gt;""),SUMPRODUCT('Select Historicals'!$AB40:$AF40*(TEXT('Select Historicals'!$AB$10:$AF$10,"mmm-yy")=D$10)),))</f>
        <v>0</v>
      </c>
      <c r="E44" s="145">
        <f>IF(TotalDealUnits,D44/TotalDealUnits,)</f>
        <v>0</v>
      </c>
      <c r="F44" s="363"/>
      <c r="G44" s="78">
        <f t="shared" si="7"/>
        <v>0</v>
      </c>
      <c r="H44" s="145">
        <f t="shared" si="8"/>
        <v>0</v>
      </c>
      <c r="I44" s="40">
        <f t="shared" si="9"/>
        <v>0</v>
      </c>
      <c r="J44" s="78">
        <f>'Historical CF'!T37</f>
        <v>0</v>
      </c>
      <c r="K44" s="708">
        <f>IF(TotalDealUnits,J44/TotalDealUnits,)</f>
        <v>0</v>
      </c>
      <c r="L44" s="709">
        <f>IF(Input!$F$56,K44/Input!$F$56,)</f>
        <v>0</v>
      </c>
      <c r="M44" s="710">
        <f t="shared" si="10"/>
        <v>0</v>
      </c>
      <c r="O44" s="712"/>
    </row>
    <row r="45" spans="2:15">
      <c r="B45" s="32" t="str">
        <f>Input!B136</f>
        <v>Administrative Expenses</v>
      </c>
      <c r="C45" s="32"/>
      <c r="D45" s="67">
        <f>IF(AND(D$9&gt;0,D$9&lt;13),IF(D$9&lt;=SUM('Select Historicals'!$O$9:$Z$9),SUMPRODUCT('Select Historicals'!$O41:$Z41*('Select Historicals'!$O$9:$Z$9&gt;0))/SUM('Select Historicals'!$O$9:$Z$9)*12,),IF(AND(ISTEXT(D$9),D$10&lt;&gt;""),SUMPRODUCT('Select Historicals'!$AB41:$AF41*(TEXT('Select Historicals'!$AB$10:$AF$10,"mmm-yy")=D$10)),))</f>
        <v>35119</v>
      </c>
      <c r="E45" s="145">
        <f>IF(TotalDealUnits,D45/TotalDealUnits,)</f>
        <v>438.98750000000001</v>
      </c>
      <c r="F45" s="363"/>
      <c r="G45" s="78">
        <f t="shared" si="7"/>
        <v>35119</v>
      </c>
      <c r="H45" s="145">
        <f t="shared" si="8"/>
        <v>438.98750000000001</v>
      </c>
      <c r="I45" s="40">
        <f t="shared" si="9"/>
        <v>-1</v>
      </c>
      <c r="J45" s="78">
        <f>'Historical CF'!T38</f>
        <v>0</v>
      </c>
      <c r="K45" s="708">
        <f>IF(TotalDealUnits,J45/TotalDealUnits,)</f>
        <v>0</v>
      </c>
      <c r="L45" s="709">
        <f>IF(Input!$F$56,K45/Input!$F$56,)</f>
        <v>0</v>
      </c>
      <c r="M45" s="710">
        <f t="shared" si="10"/>
        <v>0</v>
      </c>
      <c r="O45" s="712"/>
    </row>
    <row r="46" spans="2:15">
      <c r="B46" s="32" t="str">
        <f>Input!B137</f>
        <v>Turnover / Make-Ready</v>
      </c>
      <c r="C46" s="32"/>
      <c r="D46" s="67">
        <f>IF(AND(D$9&gt;0,D$9&lt;13),IF(D$9&lt;=SUM('Select Historicals'!$O$9:$Z$9),SUMPRODUCT('Select Historicals'!$O42:$Z42*('Select Historicals'!$O$9:$Z$9&gt;0))/SUM('Select Historicals'!$O$9:$Z$9)*12,),IF(AND(ISTEXT(D$9),D$10&lt;&gt;""),SUMPRODUCT('Select Historicals'!$AB42:$AF42*(TEXT('Select Historicals'!$AB$10:$AF$10,"mmm-yy")=D$10)),))</f>
        <v>0</v>
      </c>
      <c r="E46" s="145">
        <f>IF(TotalDealUnits,D46/TotalDealUnits,)</f>
        <v>0</v>
      </c>
      <c r="F46" s="363"/>
      <c r="G46" s="78">
        <f t="shared" si="7"/>
        <v>0</v>
      </c>
      <c r="H46" s="145">
        <f t="shared" si="8"/>
        <v>0</v>
      </c>
      <c r="I46" s="40">
        <f t="shared" si="9"/>
        <v>0</v>
      </c>
      <c r="J46" s="78">
        <f>'Historical CF'!T39</f>
        <v>0</v>
      </c>
      <c r="K46" s="708">
        <f>IF(TotalDealUnits,J46/TotalDealUnits,)</f>
        <v>0</v>
      </c>
      <c r="L46" s="709">
        <f>IF(Input!$F$56,K46/Input!$F$56,)</f>
        <v>0</v>
      </c>
      <c r="M46" s="710">
        <f t="shared" si="10"/>
        <v>0</v>
      </c>
      <c r="O46" s="712"/>
    </row>
    <row r="47" spans="2:15">
      <c r="B47" s="32" t="str">
        <f>Input!B138</f>
        <v>Electricity</v>
      </c>
      <c r="C47" s="32"/>
      <c r="D47" s="67">
        <f>IF(AND(D$9&gt;0,D$9&lt;13),IF(D$9&lt;=SUM('Select Historicals'!$O$9:$Z$9),SUMPRODUCT('Select Historicals'!$O43:$Z43*('Select Historicals'!$O$9:$Z$9&gt;0))/SUM('Select Historicals'!$O$9:$Z$9)*12,),IF(AND(ISTEXT(D$9),D$10&lt;&gt;""),SUMPRODUCT('Select Historicals'!$AB43:$AF43*(TEXT('Select Historicals'!$AB$10:$AF$10,"mmm-yy")=D$10)),))</f>
        <v>26947</v>
      </c>
      <c r="E47" s="145">
        <f>IF(TotalDealUnits,D47/TotalDealUnits,)</f>
        <v>336.83749999999998</v>
      </c>
      <c r="F47" s="363"/>
      <c r="G47" s="78">
        <f t="shared" si="7"/>
        <v>26947</v>
      </c>
      <c r="H47" s="145">
        <f t="shared" si="8"/>
        <v>336.83749999999998</v>
      </c>
      <c r="I47" s="40">
        <f t="shared" si="9"/>
        <v>-1</v>
      </c>
      <c r="J47" s="78">
        <f>'Historical CF'!T40</f>
        <v>0</v>
      </c>
      <c r="K47" s="708">
        <f>IF(TotalDealUnits,J47/TotalDealUnits,)</f>
        <v>0</v>
      </c>
      <c r="L47" s="709">
        <f>IF(Input!$F$56,K47/Input!$F$56,)</f>
        <v>0</v>
      </c>
      <c r="M47" s="710">
        <f t="shared" si="10"/>
        <v>0</v>
      </c>
      <c r="O47" s="712"/>
    </row>
    <row r="48" spans="2:15">
      <c r="B48" s="32" t="str">
        <f>Input!B139</f>
        <v>Fuel (Gas &amp; Oil)</v>
      </c>
      <c r="C48" s="32"/>
      <c r="D48" s="67">
        <f>IF(AND(D$9&gt;0,D$9&lt;13),IF(D$9&lt;=SUM('Select Historicals'!$O$9:$Z$9),SUMPRODUCT('Select Historicals'!$O44:$Z44*('Select Historicals'!$O$9:$Z$9&gt;0))/SUM('Select Historicals'!$O$9:$Z$9)*12,),IF(AND(ISTEXT(D$9),D$10&lt;&gt;""),SUMPRODUCT('Select Historicals'!$AB44:$AF44*(TEXT('Select Historicals'!$AB$10:$AF$10,"mmm-yy")=D$10)),))</f>
        <v>0</v>
      </c>
      <c r="E48" s="145">
        <f>IF(TotalDealUnits,D48/TotalDealUnits,)</f>
        <v>0</v>
      </c>
      <c r="F48" s="363"/>
      <c r="G48" s="78">
        <f t="shared" si="7"/>
        <v>0</v>
      </c>
      <c r="H48" s="145">
        <f t="shared" si="8"/>
        <v>0</v>
      </c>
      <c r="I48" s="40">
        <f t="shared" si="9"/>
        <v>0</v>
      </c>
      <c r="J48" s="78">
        <f>'Historical CF'!T41</f>
        <v>0</v>
      </c>
      <c r="K48" s="708">
        <f>IF(TotalDealUnits,J48/TotalDealUnits,)</f>
        <v>0</v>
      </c>
      <c r="L48" s="709">
        <f>IF(Input!$F$56,K48/Input!$F$56,)</f>
        <v>0</v>
      </c>
      <c r="M48" s="710">
        <f t="shared" si="10"/>
        <v>0</v>
      </c>
      <c r="O48" s="712"/>
    </row>
    <row r="49" spans="2:15">
      <c r="B49" s="32" t="str">
        <f>Input!B140</f>
        <v>Water &amp; Sewer</v>
      </c>
      <c r="C49" s="32"/>
      <c r="D49" s="67">
        <f>IF(AND(D$9&gt;0,D$9&lt;13),IF(D$9&lt;=SUM('Select Historicals'!$O$9:$Z$9),SUMPRODUCT('Select Historicals'!$O45:$Z45*('Select Historicals'!$O$9:$Z$9&gt;0))/SUM('Select Historicals'!$O$9:$Z$9)*12,),IF(AND(ISTEXT(D$9),D$10&lt;&gt;""),SUMPRODUCT('Select Historicals'!$AB45:$AF45*(TEXT('Select Historicals'!$AB$10:$AF$10,"mmm-yy")=D$10)),))</f>
        <v>0</v>
      </c>
      <c r="E49" s="145">
        <f>IF(TotalDealUnits,D49/TotalDealUnits,)</f>
        <v>0</v>
      </c>
      <c r="F49" s="363"/>
      <c r="G49" s="78">
        <f t="shared" si="7"/>
        <v>0</v>
      </c>
      <c r="H49" s="145">
        <f t="shared" si="8"/>
        <v>0</v>
      </c>
      <c r="I49" s="40">
        <f t="shared" si="9"/>
        <v>0</v>
      </c>
      <c r="J49" s="78">
        <f>'Historical CF'!T42</f>
        <v>0</v>
      </c>
      <c r="K49" s="708">
        <f>IF(TotalDealUnits,J49/TotalDealUnits,)</f>
        <v>0</v>
      </c>
      <c r="L49" s="709">
        <f>IF(Input!$F$56,K49/Input!$F$56,)</f>
        <v>0</v>
      </c>
      <c r="M49" s="710">
        <f t="shared" si="10"/>
        <v>0</v>
      </c>
      <c r="O49" s="712"/>
    </row>
    <row r="50" spans="2:15">
      <c r="B50" s="32" t="str">
        <f>Input!B141</f>
        <v>Other Utilities</v>
      </c>
      <c r="C50" s="32"/>
      <c r="D50" s="67">
        <f>IF(AND(D$9&gt;0,D$9&lt;13),IF(D$9&lt;=SUM('Select Historicals'!$O$9:$Z$9),SUMPRODUCT('Select Historicals'!$O46:$Z46*('Select Historicals'!$O$9:$Z$9&gt;0))/SUM('Select Historicals'!$O$9:$Z$9)*12,),IF(AND(ISTEXT(D$9),D$10&lt;&gt;""),SUMPRODUCT('Select Historicals'!$AB46:$AF46*(TEXT('Select Historicals'!$AB$10:$AF$10,"mmm-yy")=D$10)),))</f>
        <v>61042</v>
      </c>
      <c r="E50" s="145">
        <f>IF(TotalDealUnits,D50/TotalDealUnits,)</f>
        <v>763.02499999999998</v>
      </c>
      <c r="F50" s="363"/>
      <c r="G50" s="78">
        <f t="shared" si="7"/>
        <v>61042</v>
      </c>
      <c r="H50" s="145">
        <f t="shared" si="8"/>
        <v>763.02499999999998</v>
      </c>
      <c r="I50" s="40">
        <f t="shared" si="9"/>
        <v>-1</v>
      </c>
      <c r="J50" s="78">
        <f>'Historical CF'!T43</f>
        <v>0</v>
      </c>
      <c r="K50" s="708">
        <f>IF(TotalDealUnits,J50/TotalDealUnits,)</f>
        <v>0</v>
      </c>
      <c r="L50" s="709">
        <f>IF(Input!$F$56,K50/Input!$F$56,)</f>
        <v>0</v>
      </c>
      <c r="M50" s="710">
        <f t="shared" si="10"/>
        <v>0</v>
      </c>
      <c r="O50" s="712"/>
    </row>
    <row r="51" spans="2:15">
      <c r="B51" s="32" t="str">
        <f>Input!B142</f>
        <v>Insurance</v>
      </c>
      <c r="C51" s="32"/>
      <c r="D51" s="67">
        <f>IF(AND(D$9&gt;0,D$9&lt;13),IF(D$9&lt;=SUM('Select Historicals'!$O$9:$Z$9),SUMPRODUCT('Select Historicals'!$O47:$Z47*('Select Historicals'!$O$9:$Z$9&gt;0))/SUM('Select Historicals'!$O$9:$Z$9)*12,),IF(AND(ISTEXT(D$9),D$10&lt;&gt;""),SUMPRODUCT('Select Historicals'!$AB47:$AF47*(TEXT('Select Historicals'!$AB$10:$AF$10,"mmm-yy")=D$10)),))</f>
        <v>41934</v>
      </c>
      <c r="E51" s="145">
        <f>IF(TotalDealUnits,D51/TotalDealUnits,)</f>
        <v>524.17499999999995</v>
      </c>
      <c r="F51" s="363"/>
      <c r="G51" s="78">
        <f t="shared" si="7"/>
        <v>41934</v>
      </c>
      <c r="H51" s="145">
        <f t="shared" si="8"/>
        <v>524.17499999999995</v>
      </c>
      <c r="I51" s="40">
        <f t="shared" si="9"/>
        <v>-1</v>
      </c>
      <c r="J51" s="78">
        <f>'Historical CF'!T44</f>
        <v>0</v>
      </c>
      <c r="K51" s="708">
        <f>IF(TotalDealUnits,J51/TotalDealUnits,)</f>
        <v>0</v>
      </c>
      <c r="L51" s="709">
        <f>IF(Input!$F$56,K51/Input!$F$56,)</f>
        <v>0</v>
      </c>
      <c r="M51" s="710">
        <f t="shared" si="10"/>
        <v>0</v>
      </c>
      <c r="O51" s="712"/>
    </row>
    <row r="52" spans="2:15">
      <c r="B52" s="32" t="str">
        <f>Input!B143</f>
        <v>Real Estate Taxes</v>
      </c>
      <c r="C52" s="32"/>
      <c r="D52" s="67">
        <f>IF(AND(D$9&gt;0,D$9&lt;13),IF(D$9&lt;=SUM('Select Historicals'!$O$9:$Z$9),SUMPRODUCT('Select Historicals'!$O48:$Z48*('Select Historicals'!$O$9:$Z$9&gt;0))/SUM('Select Historicals'!$O$9:$Z$9)*12,),IF(AND(ISTEXT(D$9),D$10&lt;&gt;""),SUMPRODUCT('Select Historicals'!$AB48:$AF48*(TEXT('Select Historicals'!$AB$10:$AF$10,"mmm-yy")=D$10)),))</f>
        <v>182667</v>
      </c>
      <c r="E52" s="145">
        <f>IF(TotalDealUnits,D52/TotalDealUnits,)</f>
        <v>2283.3375000000001</v>
      </c>
      <c r="F52" s="363">
        <f>IF(IsReassAtClosing,YearOfReassessment,IF(RealEstateTaxEGR=PercentOverHist,BaseHistoricalRETaxes,Yr1TaxExpInput))-BaseHistoricalRETaxes</f>
        <v>0</v>
      </c>
      <c r="G52" s="78">
        <f t="shared" si="7"/>
        <v>182667</v>
      </c>
      <c r="H52" s="145">
        <f t="shared" si="8"/>
        <v>2283.3375000000001</v>
      </c>
      <c r="I52" s="40">
        <f t="shared" si="9"/>
        <v>0</v>
      </c>
      <c r="J52" s="78">
        <f>'Historical CF'!T45</f>
        <v>182667</v>
      </c>
      <c r="K52" s="708">
        <f>IF(TotalDealUnits,J52/TotalDealUnits,)</f>
        <v>2283.3375000000001</v>
      </c>
      <c r="L52" s="709">
        <f>IF(Input!$F$56,K52/Input!$F$56,)</f>
        <v>1.6914550808378244</v>
      </c>
      <c r="M52" s="710">
        <f t="shared" si="10"/>
        <v>0.12570824665356672</v>
      </c>
      <c r="O52" s="712"/>
    </row>
    <row r="53" spans="2:15">
      <c r="B53" s="32" t="str">
        <f>Input!B144</f>
        <v>Other Property Taxes</v>
      </c>
      <c r="C53" s="32"/>
      <c r="D53" s="67">
        <f>IF(AND(D$9&gt;0,D$9&lt;13),IF(D$9&lt;=SUM('Select Historicals'!$O$9:$Z$9),SUMPRODUCT('Select Historicals'!$O49:$Z49*('Select Historicals'!$O$9:$Z$9&gt;0))/SUM('Select Historicals'!$O$9:$Z$9)*12,),IF(AND(ISTEXT(D$9),D$10&lt;&gt;""),SUMPRODUCT('Select Historicals'!$AB49:$AF49*(TEXT('Select Historicals'!$AB$10:$AF$10,"mmm-yy")=D$10)),))</f>
        <v>0</v>
      </c>
      <c r="E53" s="145">
        <f>IF(TotalDealUnits,D53/TotalDealUnits,)</f>
        <v>0</v>
      </c>
      <c r="F53" s="363"/>
      <c r="G53" s="78">
        <f t="shared" si="7"/>
        <v>0</v>
      </c>
      <c r="H53" s="145">
        <f t="shared" si="8"/>
        <v>0</v>
      </c>
      <c r="I53" s="40">
        <f t="shared" si="9"/>
        <v>0</v>
      </c>
      <c r="J53" s="78">
        <f>'Historical CF'!T46</f>
        <v>0</v>
      </c>
      <c r="K53" s="708">
        <f>IF(TotalDealUnits,J53/TotalDealUnits,)</f>
        <v>0</v>
      </c>
      <c r="L53" s="709">
        <f>IF(Input!$F$56,K53/Input!$F$56,)</f>
        <v>0</v>
      </c>
      <c r="M53" s="710">
        <f t="shared" si="10"/>
        <v>0</v>
      </c>
      <c r="O53" s="712"/>
    </row>
    <row r="54" spans="2:15">
      <c r="B54" s="32" t="str">
        <f>Input!B145</f>
        <v>Property Management Fee</v>
      </c>
      <c r="C54" s="32"/>
      <c r="D54" s="67">
        <f>IF(AND(D$9&gt;0,D$9&lt;13),IF(D$9&lt;=SUM('Select Historicals'!$O$9:$Z$9),SUMPRODUCT('Select Historicals'!$O50:$Z50*('Select Historicals'!$O$9:$Z$9&gt;0))/SUM('Select Historicals'!$O$9:$Z$9)*12,),IF(AND(ISTEXT(D$9),D$10&lt;&gt;""),SUMPRODUCT('Select Historicals'!$AB50:$AF50*(TEXT('Select Historicals'!$AB$10:$AF$10,"mmm-yy")=D$10)),))</f>
        <v>45772</v>
      </c>
      <c r="E54" s="145">
        <f>IF(TotalDealUnits,D54/TotalDealUnits,)</f>
        <v>572.15</v>
      </c>
      <c r="F54" s="363"/>
      <c r="G54" s="78">
        <f t="shared" si="7"/>
        <v>45772</v>
      </c>
      <c r="H54" s="145">
        <f t="shared" si="8"/>
        <v>572.15</v>
      </c>
      <c r="I54" s="40">
        <f t="shared" si="9"/>
        <v>-1</v>
      </c>
      <c r="J54" s="78">
        <f>'Historical CF'!T47</f>
        <v>0</v>
      </c>
      <c r="K54" s="708">
        <f>IF(TotalDealUnits,J54/TotalDealUnits,)</f>
        <v>0</v>
      </c>
      <c r="L54" s="709">
        <f>IF(Input!$F$56,K54/Input!$F$56,)</f>
        <v>0</v>
      </c>
      <c r="M54" s="710">
        <f t="shared" si="10"/>
        <v>0</v>
      </c>
      <c r="O54" s="712"/>
    </row>
    <row r="55" spans="2:15">
      <c r="B55" s="32" t="str">
        <f>Input!B146</f>
        <v>Other Operating Expenses</v>
      </c>
      <c r="C55" s="32"/>
      <c r="D55" s="67">
        <f>IF(AND(D$9&gt;0,D$9&lt;13),IF(D$9&lt;=SUM('Select Historicals'!$O$9:$Z$9),SUMPRODUCT('Select Historicals'!$O51:$Z51*('Select Historicals'!$O$9:$Z$9&gt;0))/SUM('Select Historicals'!$O$9:$Z$9)*12,),IF(AND(ISTEXT(D$9),D$10&lt;&gt;""),SUMPRODUCT('Select Historicals'!$AB51:$AF51*(TEXT('Select Historicals'!$AB$10:$AF$10,"mmm-yy")=D$10)),))</f>
        <v>0</v>
      </c>
      <c r="E55" s="145">
        <f>IF(TotalDealUnits,D55/TotalDealUnits,)</f>
        <v>0</v>
      </c>
      <c r="F55" s="363"/>
      <c r="G55" s="78">
        <f t="shared" si="7"/>
        <v>0</v>
      </c>
      <c r="H55" s="145">
        <f t="shared" si="8"/>
        <v>0</v>
      </c>
      <c r="I55" s="40">
        <f t="shared" si="9"/>
        <v>0</v>
      </c>
      <c r="J55" s="78">
        <f>'Historical CF'!T48</f>
        <v>0</v>
      </c>
      <c r="K55" s="708">
        <f>IF(TotalDealUnits,J55/TotalDealUnits,)</f>
        <v>0</v>
      </c>
      <c r="L55" s="709">
        <f>IF(Input!$F$56,K55/Input!$F$56,)</f>
        <v>0</v>
      </c>
      <c r="M55" s="710">
        <f t="shared" si="10"/>
        <v>0</v>
      </c>
      <c r="O55" s="712"/>
    </row>
    <row r="56" spans="2:15">
      <c r="B56" s="32" t="str">
        <f>GenValidation!Q23</f>
        <v>Reimbursements</v>
      </c>
      <c r="C56" s="32"/>
      <c r="D56" s="67">
        <f>IF(AND(D$9&gt;0,D$9&lt;13),IF(D$9&lt;=SUM('Select Historicals'!$O$9:$Z$9),SUMPRODUCT('Select Historicals'!$O52:$Z52*('Select Historicals'!$O$9:$Z$9&gt;0))/SUM('Select Historicals'!$O$9:$Z$9)*12,),IF(AND(ISTEXT(D$9),D$10&lt;&gt;""),SUMPRODUCT('Select Historicals'!$AB52:$AF52*(TEXT('Select Historicals'!$AB$10:$AF$10,"mmm-yy")=D$10)),))</f>
        <v>0</v>
      </c>
      <c r="E56" s="145">
        <f>IF(TotalDealUnits,D56/TotalDealUnits,)</f>
        <v>0</v>
      </c>
      <c r="F56" s="362"/>
      <c r="G56" s="78">
        <f t="shared" si="7"/>
        <v>0</v>
      </c>
      <c r="H56" s="145">
        <f t="shared" si="8"/>
        <v>0</v>
      </c>
      <c r="I56" s="40">
        <f t="shared" si="9"/>
        <v>0</v>
      </c>
      <c r="J56" s="78">
        <f>'Historical CF'!T49</f>
        <v>0</v>
      </c>
      <c r="K56" s="708">
        <f>IF(TotalDealUnits,J56/TotalDealUnits,)</f>
        <v>0</v>
      </c>
      <c r="L56" s="709">
        <f>IF(Input!$F$56,K56/Input!$F$56,)</f>
        <v>0</v>
      </c>
      <c r="M56" s="710">
        <f t="shared" si="10"/>
        <v>0</v>
      </c>
      <c r="O56" s="712"/>
    </row>
    <row r="57" spans="2:15">
      <c r="B57" s="32"/>
      <c r="C57" s="32"/>
      <c r="D57" s="78"/>
      <c r="E57" s="145"/>
      <c r="F57" s="635"/>
      <c r="G57" s="78"/>
      <c r="H57" s="145"/>
      <c r="I57" s="78"/>
      <c r="J57" s="78"/>
      <c r="K57" s="708"/>
      <c r="L57" s="373"/>
      <c r="M57" s="373"/>
      <c r="O57" s="718"/>
    </row>
    <row r="58" spans="2:15">
      <c r="B58" s="198" t="s">
        <v>127</v>
      </c>
      <c r="C58" s="198"/>
      <c r="D58" s="694">
        <f>SUBTOTAL(9,D38:D57)</f>
        <v>592208</v>
      </c>
      <c r="E58" s="713">
        <f>SUBTOTAL(9,E38:E57)</f>
        <v>7402.6</v>
      </c>
      <c r="F58" s="694">
        <f>SUBTOTAL(9,F38:F57)</f>
        <v>0</v>
      </c>
      <c r="G58" s="694">
        <f>SUBTOTAL(9,G38:G57)</f>
        <v>592208</v>
      </c>
      <c r="H58" s="713">
        <f>SUBTOTAL(9,H38:H57)</f>
        <v>7402.6</v>
      </c>
      <c r="I58" s="714">
        <f>IF(G58,J58/G58-1,)</f>
        <v>-0.25808668575905758</v>
      </c>
      <c r="J58" s="694">
        <f>SUBTOTAL(9,J38:J57)</f>
        <v>439367</v>
      </c>
      <c r="K58" s="715">
        <f>SUBTOTAL(9,K38:K57)</f>
        <v>5492.0874999999996</v>
      </c>
      <c r="L58" s="716">
        <f>IF(Input!$F$56,K58/Input!$F$56,)</f>
        <v>4.0684389873511488</v>
      </c>
      <c r="M58" s="717">
        <f>IF($L$33,L58/$L$33,)</f>
        <v>0.30236471397372078</v>
      </c>
      <c r="O58" s="712"/>
    </row>
    <row r="59" spans="2:15">
      <c r="B59" s="700"/>
      <c r="C59" s="700"/>
      <c r="D59" s="169"/>
      <c r="E59" s="91"/>
      <c r="F59" s="169"/>
      <c r="G59" s="169"/>
      <c r="H59" s="91"/>
      <c r="I59" s="169"/>
      <c r="J59" s="169"/>
      <c r="K59" s="723"/>
      <c r="L59" s="724"/>
      <c r="M59" s="724"/>
      <c r="O59" s="718"/>
    </row>
    <row r="62" spans="2:15" ht="14.25" customHeight="1">
      <c r="B62" s="1099" t="s">
        <v>128</v>
      </c>
      <c r="C62" s="390"/>
      <c r="D62" s="204"/>
      <c r="E62" s="204"/>
      <c r="F62" s="204"/>
      <c r="G62" s="204"/>
      <c r="H62" s="204"/>
      <c r="I62" s="725"/>
      <c r="J62" s="204"/>
      <c r="K62" s="204"/>
      <c r="L62" s="204"/>
      <c r="M62" s="204"/>
      <c r="O62" s="391"/>
    </row>
    <row r="63" spans="2:15">
      <c r="B63" s="32" t="s">
        <v>129</v>
      </c>
      <c r="C63" s="32"/>
      <c r="D63" s="696">
        <f>IFERROR(D33-D58,)</f>
        <v>715517</v>
      </c>
      <c r="E63" s="697">
        <f>IFERROR(E33-E58,)</f>
        <v>8943.9624999999996</v>
      </c>
      <c r="F63" s="696">
        <f>IFERROR(F33-F58,)</f>
        <v>0</v>
      </c>
      <c r="G63" s="696">
        <f>IFERROR(G33-G58,)</f>
        <v>715517</v>
      </c>
      <c r="H63" s="697">
        <f>IFERROR(H33-H58,)</f>
        <v>8943.9624999999996</v>
      </c>
      <c r="I63" s="40">
        <f t="shared" ref="I63:I64" si="11">IF(G63,J63/G63-1,)</f>
        <v>0.41678780332411591</v>
      </c>
      <c r="J63" s="726">
        <f>IFERROR(J33-J58,)</f>
        <v>1013735.7586710614</v>
      </c>
      <c r="K63" s="727">
        <f>IFERROR(K33-K58,)</f>
        <v>12671.696983388263</v>
      </c>
      <c r="L63" s="728">
        <f>IF(Input!$F$56,K63/Input!$F$56,)</f>
        <v>9.3869637079010051</v>
      </c>
      <c r="M63" s="729">
        <f t="shared" ref="M63:M64" si="12">IF($L$33,L63/$L$33,)</f>
        <v>0.69763528602627922</v>
      </c>
      <c r="O63" s="718"/>
    </row>
    <row r="64" spans="2:15">
      <c r="B64" s="32" t="s">
        <v>130</v>
      </c>
      <c r="C64" s="32"/>
      <c r="D64" s="67">
        <f>$J$64*(NOT(OR(AND(ISNUMBER(D$9),OR(D$9&lt;0,D$9&gt;12,D$9&gt;SUM('Select Historicals'!$O$9:$Z$9))),AND(ISTEXT(D$9),SUMPRODUCT(AND(D$9&lt;&gt;TrendRepoCol)*1)))))</f>
        <v>0</v>
      </c>
      <c r="E64" s="145">
        <f>IF(TotalDealUnits,D64/TotalDealUnits,)</f>
        <v>0</v>
      </c>
      <c r="F64" s="483"/>
      <c r="G64" s="78">
        <f>$J$64*(NOT(OR(AND(ISNUMBER(D$9),OR(D$9&lt;0,D$9&gt;12,D$9&gt;SUM('Select Historicals'!$O$9:$Z$9))),AND(ISTEXT(D$9),SUMPRODUCT(AND(D$9&lt;&gt;TrendRepoCol)*1)))))</f>
        <v>0</v>
      </c>
      <c r="H64" s="145">
        <f>IF(TotalDealUnits,G64/TotalDealUnits,)</f>
        <v>0</v>
      </c>
      <c r="I64" s="40">
        <f t="shared" si="11"/>
        <v>0</v>
      </c>
      <c r="J64" s="635">
        <f>-'CF Calculations'!E60</f>
        <v>0</v>
      </c>
      <c r="K64" s="730">
        <f>IF(TotalDealUnits,J64/TotalDealUnits,)</f>
        <v>0</v>
      </c>
      <c r="L64" s="728">
        <f>IF(Input!$F$56,K64/Input!$F$56,)</f>
        <v>0</v>
      </c>
      <c r="M64" s="729">
        <f t="shared" si="12"/>
        <v>0</v>
      </c>
      <c r="O64" s="712"/>
    </row>
    <row r="65" spans="2:15">
      <c r="B65" s="32"/>
      <c r="C65" s="32"/>
      <c r="D65" s="78"/>
      <c r="E65" s="145"/>
      <c r="F65" s="635"/>
      <c r="G65" s="78"/>
      <c r="H65" s="145"/>
      <c r="I65" s="635"/>
      <c r="J65" s="635"/>
      <c r="K65" s="730"/>
      <c r="L65" s="731"/>
      <c r="M65" s="731"/>
      <c r="O65" s="718"/>
    </row>
    <row r="66" spans="2:15">
      <c r="B66" s="198" t="s">
        <v>131</v>
      </c>
      <c r="C66" s="198"/>
      <c r="D66" s="694">
        <f>D33-D58-D64</f>
        <v>715517</v>
      </c>
      <c r="E66" s="713">
        <f>E33-E58-E64</f>
        <v>8943.9624999999996</v>
      </c>
      <c r="F66" s="694">
        <f>F33-F58-F64</f>
        <v>0</v>
      </c>
      <c r="G66" s="694">
        <f>G33-G58-G64</f>
        <v>715517</v>
      </c>
      <c r="H66" s="713">
        <f>H33-H58-H64</f>
        <v>8943.9624999999996</v>
      </c>
      <c r="I66" s="714">
        <f>IF(G66,J66/G66-1,)</f>
        <v>0.41678780332411591</v>
      </c>
      <c r="J66" s="694">
        <f>J33-J58-J64</f>
        <v>1013735.7586710614</v>
      </c>
      <c r="K66" s="715">
        <f>K33-K58-K64</f>
        <v>12671.696983388263</v>
      </c>
      <c r="L66" s="716">
        <f>IF(Input!$F$56,K66/Input!$F$56,)</f>
        <v>9.3869637079010051</v>
      </c>
      <c r="M66" s="717">
        <f>IF($L$33,L66/$L$33,)</f>
        <v>0.69763528602627922</v>
      </c>
      <c r="O66" s="712"/>
    </row>
    <row r="67" spans="2:15">
      <c r="B67" s="198"/>
      <c r="C67" s="198"/>
      <c r="D67" s="169"/>
      <c r="E67" s="91"/>
      <c r="F67" s="169"/>
      <c r="G67" s="169"/>
      <c r="H67" s="91"/>
      <c r="I67" s="638"/>
      <c r="J67" s="169"/>
      <c r="K67" s="723"/>
      <c r="L67" s="724"/>
      <c r="M67" s="724"/>
      <c r="O67" s="718"/>
    </row>
  </sheetData>
  <mergeCells count="1">
    <mergeCell ref="D9:E9"/>
  </mergeCells>
  <conditionalFormatting sqref="F38:F59 O12:O33 O38:O59 O63:O67 F12:F13 F16:F19 F22:F30">
    <cfRule type="expression" dxfId="40" priority="1">
      <formula>PrintFormat</formula>
    </cfRule>
  </conditionalFormatting>
  <conditionalFormatting sqref="D9">
    <cfRule type="expression" dxfId="39" priority="3">
      <formula>PrintFormat</formula>
    </cfRule>
    <cfRule type="expression" dxfId="38" priority="4">
      <formula>NOT(IsHistoricalComponent)</formula>
    </cfRule>
  </conditionalFormatting>
  <conditionalFormatting sqref="F52">
    <cfRule type="expression" dxfId="37" priority="2">
      <formula>AND(IsAdjustedHistoricalNOIWithReassessedTaxes,NOT(IsReassAtClosing))</formula>
    </cfRule>
    <cfRule type="expression" dxfId="36" priority="5">
      <formula>AND(IsAdjustedHistoricalNOIWithReassessedTaxes,IsReassAtClosing)</formula>
    </cfRule>
  </conditionalFormatting>
  <dataValidations count="1">
    <dataValidation type="list" allowBlank="1" showInputMessage="1" promptTitle="Select Column" prompt="Please enter the number of months (1 - 12) to annualize or choose a full year of historicals from the drop down list." sqref="D9:E9" xr:uid="{00000000-0002-0000-1000-000000000000}">
      <formula1>TrendRepoCol</formula1>
    </dataValidation>
  </dataValidations>
  <pageMargins left="0.43" right="0.43" top="0.43" bottom="0.3" header="0.16" footer="0.14000000000000001"/>
  <pageSetup scale="70" orientation="portrait" r:id="rId1"/>
  <headerFooter scaleWithDoc="0">
    <oddHeader>&amp;C&amp;"+,Regular"&amp;9&amp;KFF0000STRICTLY CONFIDENTIAL&amp;R&amp;G</oddHeader>
    <oddFooter>&amp;L&amp;8&amp;F&amp;C&amp;8Page &amp;P of &amp;N&amp;R&amp;8&amp;D &amp;T</oddFooter>
  </headerFooter>
  <legacyDrawingHF r:id="rId2"/>
  <extLst>
    <ext xmlns:x14="http://schemas.microsoft.com/office/spreadsheetml/2009/9/main" uri="{78C0D931-6437-407d-A8EE-F0AAD7539E65}">
      <x14:conditionalFormattings>
        <x14:conditionalFormatting xmlns:xm="http://schemas.microsoft.com/office/excel/2006/main">
          <x14:cfRule type="expression" priority="6" id="{00000000-000E-0000-1000-000006000000}">
            <xm:f>OR(AND(ISNUMBER(AdjstedHistSelection),OR(AdjstedHistSelection&lt;0,AdjstedHistSelection&gt;12,AdjstedHistSelection&gt;SUM('Select Historicals'!$O$9:$Z$9))),AND(ISTEXT(AdjstedHistSelection),SUMPRODUCT(AND(AdjstedHistSelection&lt;&gt;TrendRepoCol)*1)))</xm:f>
            <x14:dxf>
              <font>
                <b/>
                <i val="0"/>
                <color auto="1"/>
              </font>
              <numFmt numFmtId="235" formatCode="&quot;[Insufficient # of Months]&quot;;&quot;[Invalid Input]&quot;;&quot;[Invalid Input]&quot;;&quot;[Invalid Input]&quot;"/>
              <fill>
                <patternFill>
                  <bgColor rgb="FFECC7CE"/>
                </patternFill>
              </fill>
            </x14:dxf>
          </x14:cfRule>
          <xm:sqref>D9</xm:sqref>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61E4ED-2930-4648-B4AA-F8C3B9831E3F}">
  <sheetPr codeName="InpMultiAssumLoan"/>
  <dimension ref="B1:M40"/>
  <sheetViews>
    <sheetView showGridLines="0" topLeftCell="A10" zoomScaleSheetLayoutView="100" workbookViewId="0">
      <selection activeCell="K29" sqref="K29"/>
    </sheetView>
  </sheetViews>
  <sheetFormatPr defaultColWidth="8.85546875" defaultRowHeight="12.75"/>
  <cols>
    <col min="1" max="1" width="1.5703125" customWidth="1"/>
    <col min="2" max="4" width="12.42578125" customWidth="1"/>
    <col min="5" max="7" width="12.5703125" customWidth="1"/>
    <col min="8" max="8" width="12.42578125" customWidth="1"/>
    <col min="9" max="9" width="15.28515625" customWidth="1"/>
    <col min="10" max="10" width="13" customWidth="1"/>
    <col min="11" max="13" width="12.42578125" customWidth="1"/>
    <col min="14" max="14" width="1.28515625" customWidth="1"/>
  </cols>
  <sheetData>
    <row r="1" spans="2:13" s="192" customFormat="1" ht="3" customHeight="1"/>
    <row r="2" spans="2:13" s="192" customFormat="1">
      <c r="B2" s="333" t="s">
        <v>0</v>
      </c>
      <c r="E2" s="334"/>
      <c r="F2" s="334"/>
      <c r="G2" s="334"/>
      <c r="H2" s="334"/>
      <c r="I2" s="334"/>
      <c r="J2" s="335" t="s">
        <v>255</v>
      </c>
      <c r="K2" s="336" t="s">
        <v>256</v>
      </c>
      <c r="L2" s="337" t="s">
        <v>257</v>
      </c>
      <c r="M2" s="338" t="s">
        <v>258</v>
      </c>
    </row>
    <row r="3" spans="2:13" s="192" customFormat="1" ht="3" customHeight="1"/>
    <row r="4" spans="2:13" s="192" customFormat="1" ht="19.5">
      <c r="B4" s="1057" t="str">
        <f>Input!$E$10</f>
        <v>Chaney Place Townhomes</v>
      </c>
      <c r="C4" s="339"/>
      <c r="D4" s="340"/>
      <c r="E4" s="340"/>
      <c r="F4" s="340"/>
      <c r="G4" s="1007" t="s">
        <v>1028</v>
      </c>
      <c r="H4" s="341"/>
      <c r="I4" s="340"/>
      <c r="J4" s="340"/>
      <c r="K4" s="340"/>
      <c r="L4" s="340"/>
      <c r="M4" s="1042" t="str">
        <f>Input!$M$4</f>
        <v>Huntsville, AL</v>
      </c>
    </row>
    <row r="5" spans="2:13" s="192" customFormat="1"/>
    <row r="6" spans="2:13" ht="14.25">
      <c r="B6" s="1034" t="s">
        <v>530</v>
      </c>
      <c r="C6" s="1019"/>
      <c r="D6" s="1019"/>
      <c r="E6" s="1019"/>
      <c r="F6" s="1019"/>
      <c r="G6" s="1019"/>
      <c r="H6" s="1019"/>
      <c r="I6" s="1019"/>
      <c r="J6" s="1019"/>
      <c r="K6" s="1019"/>
      <c r="L6" s="1019"/>
      <c r="M6" s="1019"/>
    </row>
    <row r="8" spans="2:13">
      <c r="B8" s="1043" t="s">
        <v>262</v>
      </c>
      <c r="C8" s="196"/>
      <c r="D8" s="196"/>
      <c r="E8" s="196"/>
      <c r="F8" s="196"/>
      <c r="G8" s="196"/>
    </row>
    <row r="9" spans="2:13">
      <c r="B9" s="36" t="s">
        <v>265</v>
      </c>
      <c r="C9" s="37"/>
      <c r="D9" s="37"/>
      <c r="E9" s="37"/>
      <c r="F9" s="37"/>
      <c r="G9" s="732">
        <f>AnalysisStartDate</f>
        <v>46113</v>
      </c>
    </row>
    <row r="10" spans="2:13">
      <c r="B10" s="36" t="s">
        <v>267</v>
      </c>
      <c r="C10" s="37"/>
      <c r="D10" s="37"/>
      <c r="E10" s="37"/>
      <c r="F10" s="37"/>
      <c r="G10" s="733">
        <f>YrOfExit</f>
        <v>7</v>
      </c>
    </row>
    <row r="11" spans="2:13">
      <c r="B11" s="36" t="s">
        <v>269</v>
      </c>
      <c r="C11" s="37"/>
      <c r="D11" s="37"/>
      <c r="E11" s="37"/>
      <c r="F11" s="37"/>
      <c r="G11" s="732">
        <f>DateOfExit</f>
        <v>48669</v>
      </c>
    </row>
    <row r="12" spans="2:13">
      <c r="B12" s="37"/>
      <c r="C12" s="37"/>
      <c r="D12" s="37"/>
      <c r="E12" s="37"/>
      <c r="F12" s="37"/>
      <c r="G12" s="37"/>
    </row>
    <row r="14" spans="2:13">
      <c r="B14" s="1043" t="s">
        <v>531</v>
      </c>
      <c r="C14" s="196"/>
      <c r="D14" s="196"/>
      <c r="E14" s="1058" t="s">
        <v>228</v>
      </c>
      <c r="F14" s="1058" t="s">
        <v>438</v>
      </c>
      <c r="G14" s="1058" t="s">
        <v>439</v>
      </c>
      <c r="I14" s="1043" t="s">
        <v>531</v>
      </c>
      <c r="J14" s="196"/>
      <c r="K14" s="1058" t="s">
        <v>228</v>
      </c>
      <c r="L14" s="1058" t="s">
        <v>438</v>
      </c>
      <c r="M14" s="1058" t="s">
        <v>439</v>
      </c>
    </row>
    <row r="15" spans="2:13">
      <c r="B15" s="1164" t="s">
        <v>443</v>
      </c>
      <c r="C15" s="734"/>
      <c r="D15" s="734"/>
      <c r="E15" s="734"/>
      <c r="F15" s="734"/>
      <c r="G15" s="734"/>
      <c r="I15" s="734"/>
      <c r="J15" s="734"/>
      <c r="K15" s="1378" t="str">
        <f>IF(OR(Assum1BseIndx="",Assum1BseIndx=0),"",Assum1BseIndx)</f>
        <v/>
      </c>
      <c r="L15" s="1378" t="str">
        <f>IF(Assum2BseIndx="","",Assum2BseIndx)</f>
        <v/>
      </c>
      <c r="M15" s="1378" t="str">
        <f>IF(Assum3BseIndx="","",Assum3BseIndx)</f>
        <v/>
      </c>
    </row>
    <row r="16" spans="2:13">
      <c r="B16" s="735" t="s">
        <v>444</v>
      </c>
      <c r="C16" s="734"/>
      <c r="D16" s="734"/>
      <c r="E16" s="736">
        <f>AssumLoanTerm</f>
        <v>0</v>
      </c>
      <c r="F16" s="737"/>
      <c r="G16" s="738"/>
      <c r="I16" s="1165" t="s">
        <v>446</v>
      </c>
      <c r="J16" s="739"/>
      <c r="K16" s="1379"/>
      <c r="L16" s="1379"/>
      <c r="M16" s="1379"/>
    </row>
    <row r="17" spans="2:13">
      <c r="B17" s="735" t="s">
        <v>448</v>
      </c>
      <c r="C17" s="734"/>
      <c r="D17" s="734"/>
      <c r="E17" s="740">
        <f>AssumRemainTerm</f>
        <v>0</v>
      </c>
      <c r="F17" s="741"/>
      <c r="G17" s="742"/>
      <c r="I17" s="743">
        <f>Input!S196</f>
        <v>46477</v>
      </c>
      <c r="J17" s="734"/>
      <c r="K17" s="603">
        <f>Input!$U$196</f>
        <v>0</v>
      </c>
      <c r="L17" s="603">
        <f>Assum2BseRate</f>
        <v>0</v>
      </c>
      <c r="M17" s="603">
        <f>Assum3BseRate</f>
        <v>0</v>
      </c>
    </row>
    <row r="18" spans="2:13">
      <c r="B18" s="735" t="s">
        <v>451</v>
      </c>
      <c r="C18" s="734"/>
      <c r="D18" s="734"/>
      <c r="E18" s="744">
        <f>AssumPydwnMnth</f>
        <v>0</v>
      </c>
      <c r="F18" s="745">
        <f>MIN(Assum2RemainTerm*1,YrOfExit*12)</f>
        <v>0</v>
      </c>
      <c r="G18" s="745">
        <f>MIN(Assum3RemainTerm*1,YrOfExit*12)</f>
        <v>0</v>
      </c>
      <c r="I18" s="605">
        <f>Input!S197</f>
        <v>46843</v>
      </c>
      <c r="J18" s="90"/>
      <c r="K18" s="606">
        <f>Input!$U$197</f>
        <v>0</v>
      </c>
      <c r="L18" s="606">
        <f t="shared" ref="L18:M26" si="0">L17</f>
        <v>0</v>
      </c>
      <c r="M18" s="606">
        <f t="shared" si="0"/>
        <v>0</v>
      </c>
    </row>
    <row r="19" spans="2:13">
      <c r="B19" s="734"/>
      <c r="C19" s="734"/>
      <c r="D19" s="734"/>
      <c r="E19" s="734"/>
      <c r="F19" s="734"/>
      <c r="G19" s="734"/>
      <c r="I19" s="743">
        <f>Input!S198</f>
        <v>47208</v>
      </c>
      <c r="J19" s="734"/>
      <c r="K19" s="603">
        <f>Input!$U$198</f>
        <v>0</v>
      </c>
      <c r="L19" s="603">
        <f t="shared" si="0"/>
        <v>0</v>
      </c>
      <c r="M19" s="603">
        <f t="shared" si="0"/>
        <v>0</v>
      </c>
    </row>
    <row r="20" spans="2:13">
      <c r="B20" s="1164" t="s">
        <v>43</v>
      </c>
      <c r="C20" s="734"/>
      <c r="D20" s="734"/>
      <c r="E20" s="734"/>
      <c r="F20" s="734"/>
      <c r="G20" s="734"/>
      <c r="I20" s="605">
        <f>Input!S199</f>
        <v>47573</v>
      </c>
      <c r="J20" s="90"/>
      <c r="K20" s="606">
        <f>Input!$U$199</f>
        <v>0</v>
      </c>
      <c r="L20" s="606">
        <f t="shared" si="0"/>
        <v>0</v>
      </c>
      <c r="M20" s="606">
        <f t="shared" si="0"/>
        <v>0</v>
      </c>
    </row>
    <row r="21" spans="2:13">
      <c r="B21" s="735" t="s">
        <v>455</v>
      </c>
      <c r="C21" s="734"/>
      <c r="D21" s="734"/>
      <c r="E21" s="746">
        <f>AssumOrigBal</f>
        <v>0</v>
      </c>
      <c r="F21" s="747"/>
      <c r="G21" s="748"/>
      <c r="I21" s="743">
        <f>Input!S200</f>
        <v>47938</v>
      </c>
      <c r="J21" s="734"/>
      <c r="K21" s="603">
        <f>Input!$U$200</f>
        <v>0</v>
      </c>
      <c r="L21" s="603">
        <f t="shared" si="0"/>
        <v>0</v>
      </c>
      <c r="M21" s="603">
        <f t="shared" si="0"/>
        <v>0</v>
      </c>
    </row>
    <row r="22" spans="2:13">
      <c r="B22" s="735" t="str">
        <f>"Cur. Balance ("&amp;IF(PurchasePrice,TEXT(SUM(E22:G22)/PurchasePrice,"0.00%"),"0%")&amp;" LTV)"</f>
        <v>Cur. Balance (0.00% LTV)</v>
      </c>
      <c r="C22" s="734"/>
      <c r="D22" s="734"/>
      <c r="E22" s="749">
        <f>AssumCurrBal</f>
        <v>0</v>
      </c>
      <c r="F22" s="750">
        <f>IF(Assum2AmortPer,ROUNDDOWN(FV(Assum2IntRate/12,MAX(AssumLoan2Term-Assume2IOPer-Assum2RemainTerm,0),PMT(Assum2IntRate/12,Assum2AmortPer*12,-Assum2OrigBal),-Assum2OrigBal),2),Assum2OrigBal)</f>
        <v>0</v>
      </c>
      <c r="G22" s="751">
        <f>IF(Assum3AmortPer,ROUNDDOWN(FV(Assum3IntRate/12,MAX(AssumLoan3Term-Assume3IOPer-Assum3RemainTerm,0),PMT(Assum3IntRate/12,Assum3AmortPer*12,-Assum3OrigBal),-Assum3OrigBal),2),Assum3OrigBal)</f>
        <v>0</v>
      </c>
      <c r="H22" s="752"/>
      <c r="I22" s="605">
        <f>Input!S201</f>
        <v>48304</v>
      </c>
      <c r="J22" s="90"/>
      <c r="K22" s="606">
        <f>Input!$U$201</f>
        <v>0</v>
      </c>
      <c r="L22" s="606">
        <f t="shared" si="0"/>
        <v>0</v>
      </c>
      <c r="M22" s="606">
        <f t="shared" si="0"/>
        <v>0</v>
      </c>
    </row>
    <row r="23" spans="2:13">
      <c r="B23" s="753" t="s">
        <v>459</v>
      </c>
      <c r="C23" s="754"/>
      <c r="D23" s="754"/>
      <c r="E23" s="755">
        <f>-'CF Calculations'!O140+Assum1PrpyFee</f>
        <v>0</v>
      </c>
      <c r="F23" s="756">
        <f>-'CF Calculations'!O163+Assum2PrpyFee</f>
        <v>0</v>
      </c>
      <c r="G23" s="757">
        <f>-'CF Calculations'!O186+Assum3PrpyFee</f>
        <v>0</v>
      </c>
      <c r="I23" s="743">
        <f>Input!S202</f>
        <v>48669</v>
      </c>
      <c r="J23" s="734"/>
      <c r="K23" s="603">
        <f>Input!$U$202</f>
        <v>0</v>
      </c>
      <c r="L23" s="603">
        <f t="shared" si="0"/>
        <v>0</v>
      </c>
      <c r="M23" s="603">
        <f t="shared" si="0"/>
        <v>0</v>
      </c>
    </row>
    <row r="24" spans="2:13">
      <c r="B24" s="734"/>
      <c r="C24" s="734"/>
      <c r="D24" s="734"/>
      <c r="E24" s="734"/>
      <c r="F24" s="734"/>
      <c r="G24" s="734"/>
      <c r="I24" s="605">
        <f>Input!S203</f>
        <v>49034</v>
      </c>
      <c r="J24" s="90"/>
      <c r="K24" s="606">
        <f>Input!$U$203</f>
        <v>0</v>
      </c>
      <c r="L24" s="606">
        <f t="shared" si="0"/>
        <v>0</v>
      </c>
      <c r="M24" s="606">
        <f t="shared" si="0"/>
        <v>0</v>
      </c>
    </row>
    <row r="25" spans="2:13">
      <c r="B25" s="1164" t="s">
        <v>462</v>
      </c>
      <c r="C25" s="734"/>
      <c r="D25" s="734"/>
      <c r="E25" s="734"/>
      <c r="F25" s="734"/>
      <c r="G25" s="734"/>
      <c r="I25" s="743">
        <f>Input!S204</f>
        <v>49399</v>
      </c>
      <c r="J25" s="734"/>
      <c r="K25" s="603">
        <f>Input!$U$204</f>
        <v>0</v>
      </c>
      <c r="L25" s="603">
        <f t="shared" si="0"/>
        <v>0</v>
      </c>
      <c r="M25" s="603">
        <f t="shared" si="0"/>
        <v>0</v>
      </c>
    </row>
    <row r="26" spans="2:13">
      <c r="B26" s="735" t="s">
        <v>464</v>
      </c>
      <c r="C26" s="734"/>
      <c r="D26" s="734"/>
      <c r="E26" s="758">
        <f>AssumAmortPer</f>
        <v>0</v>
      </c>
      <c r="F26" s="759"/>
      <c r="G26" s="760"/>
      <c r="I26" s="605">
        <f>Input!S205</f>
        <v>49765</v>
      </c>
      <c r="J26" s="90"/>
      <c r="K26" s="606">
        <f>Input!$U$205</f>
        <v>0</v>
      </c>
      <c r="L26" s="606">
        <f t="shared" si="0"/>
        <v>0</v>
      </c>
      <c r="M26" s="606">
        <f t="shared" si="0"/>
        <v>0</v>
      </c>
    </row>
    <row r="27" spans="2:13">
      <c r="B27" s="735" t="s">
        <v>465</v>
      </c>
      <c r="C27" s="734"/>
      <c r="D27" s="734"/>
      <c r="E27" s="761">
        <f>AssumeIOPer</f>
        <v>0</v>
      </c>
      <c r="F27" s="762"/>
      <c r="G27" s="763"/>
      <c r="I27" s="764"/>
      <c r="J27" s="764"/>
      <c r="K27" s="764"/>
      <c r="L27" s="764"/>
      <c r="M27" s="764"/>
    </row>
    <row r="28" spans="2:13">
      <c r="B28" s="735" t="s">
        <v>466</v>
      </c>
      <c r="C28" s="734"/>
      <c r="D28" s="734"/>
      <c r="E28" s="765" t="str">
        <f>AssumIntType</f>
        <v>Fixed</v>
      </c>
      <c r="F28" s="766" t="s">
        <v>467</v>
      </c>
      <c r="G28" s="767" t="s">
        <v>467</v>
      </c>
      <c r="I28" s="735" t="s">
        <v>468</v>
      </c>
      <c r="J28" s="734"/>
      <c r="K28" s="768" t="str">
        <f>IF(AssumOrigFloor="","",AssumOrigFloor)</f>
        <v/>
      </c>
      <c r="L28" s="769"/>
      <c r="M28" s="770"/>
    </row>
    <row r="29" spans="2:13">
      <c r="B29" s="735" t="s">
        <v>469</v>
      </c>
      <c r="C29" s="734"/>
      <c r="D29" s="734"/>
      <c r="E29" s="771" t="str">
        <f>AssumPmtType</f>
        <v>Fixed</v>
      </c>
      <c r="F29" s="772" t="s">
        <v>467</v>
      </c>
      <c r="G29" s="773" t="s">
        <v>467</v>
      </c>
      <c r="I29" s="735" t="s">
        <v>470</v>
      </c>
      <c r="J29" s="734"/>
      <c r="K29" s="774" t="str">
        <f>IF(AssumOrigCap="","",AssumOrigCap)</f>
        <v/>
      </c>
      <c r="L29" s="775"/>
      <c r="M29" s="776"/>
    </row>
    <row r="30" spans="2:13">
      <c r="B30" s="734"/>
      <c r="C30" s="734"/>
      <c r="D30" s="734"/>
      <c r="E30" s="734"/>
      <c r="F30" s="734"/>
      <c r="G30" s="734"/>
      <c r="I30" s="734"/>
      <c r="J30" s="734"/>
      <c r="K30" s="734"/>
      <c r="L30" s="734"/>
      <c r="M30" s="734"/>
    </row>
    <row r="31" spans="2:13">
      <c r="B31" s="1164" t="s">
        <v>471</v>
      </c>
      <c r="C31" s="734"/>
      <c r="D31" s="734"/>
      <c r="E31" s="734"/>
      <c r="F31" s="734"/>
      <c r="G31" s="734"/>
    </row>
    <row r="32" spans="2:13">
      <c r="B32" s="735" t="s">
        <v>472</v>
      </c>
      <c r="C32" s="734"/>
      <c r="D32" s="734"/>
      <c r="E32" s="777">
        <f>AssumBseIndx</f>
        <v>0</v>
      </c>
      <c r="F32" s="778"/>
      <c r="G32" s="779"/>
    </row>
    <row r="33" spans="2:7">
      <c r="B33" s="735" t="s">
        <v>532</v>
      </c>
      <c r="C33" s="734"/>
      <c r="D33" s="734"/>
      <c r="E33" s="780">
        <f>AssumBseRate</f>
        <v>0</v>
      </c>
      <c r="F33" s="781"/>
      <c r="G33" s="782"/>
    </row>
    <row r="34" spans="2:7">
      <c r="B34" s="735" t="s">
        <v>473</v>
      </c>
      <c r="C34" s="734"/>
      <c r="D34" s="734"/>
      <c r="E34" s="783">
        <f>AssumIntSprd</f>
        <v>0</v>
      </c>
      <c r="F34" s="784"/>
      <c r="G34" s="785"/>
    </row>
    <row r="35" spans="2:7">
      <c r="B35" s="735" t="s">
        <v>48</v>
      </c>
      <c r="C35" s="734"/>
      <c r="D35" s="734"/>
      <c r="E35" s="786">
        <f>E33+E34/10000</f>
        <v>0</v>
      </c>
      <c r="F35" s="786">
        <f>F33+F34/10000</f>
        <v>0</v>
      </c>
      <c r="G35" s="786">
        <f>G33+G34/10000</f>
        <v>0</v>
      </c>
    </row>
    <row r="36" spans="2:7">
      <c r="B36" s="734"/>
      <c r="C36" s="734"/>
      <c r="D36" s="734"/>
      <c r="E36" s="734"/>
      <c r="F36" s="734"/>
      <c r="G36" s="734"/>
    </row>
    <row r="37" spans="2:7">
      <c r="B37" s="1164" t="s">
        <v>476</v>
      </c>
      <c r="C37" s="734"/>
      <c r="D37" s="734"/>
      <c r="E37" s="734"/>
      <c r="F37" s="734"/>
      <c r="G37" s="734"/>
    </row>
    <row r="38" spans="2:7">
      <c r="B38" s="735" t="s">
        <v>478</v>
      </c>
      <c r="C38" s="734"/>
      <c r="D38" s="734"/>
      <c r="E38" s="787">
        <f>AssumFee</f>
        <v>0</v>
      </c>
      <c r="F38" s="788"/>
      <c r="G38" s="789"/>
    </row>
    <row r="39" spans="2:7">
      <c r="B39" s="735" t="s">
        <v>481</v>
      </c>
      <c r="C39" s="734"/>
      <c r="D39" s="734"/>
      <c r="E39" s="790">
        <f>AssumPrpyFee</f>
        <v>0</v>
      </c>
      <c r="F39" s="791"/>
      <c r="G39" s="792"/>
    </row>
    <row r="40" spans="2:7">
      <c r="B40" s="734"/>
      <c r="C40" s="734"/>
      <c r="D40" s="734"/>
      <c r="E40" s="734"/>
      <c r="F40" s="734"/>
      <c r="G40" s="734"/>
    </row>
  </sheetData>
  <sheetProtection sheet="1" scenarios="1" formatCells="0" formatColumns="0" formatRows="0" sort="0" autoFilter="0" pivotTables="0"/>
  <mergeCells count="3">
    <mergeCell ref="K15:K16"/>
    <mergeCell ref="L15:L16"/>
    <mergeCell ref="M15:M16"/>
  </mergeCells>
  <conditionalFormatting sqref="K28:M29">
    <cfRule type="expression" dxfId="34" priority="2">
      <formula>AND(K28&lt;&gt;0,K28&lt;&gt;"")</formula>
    </cfRule>
  </conditionalFormatting>
  <conditionalFormatting sqref="E21:G23 E26:G29 E38:G39 E32:G35 E16:G18">
    <cfRule type="expression" dxfId="33" priority="3">
      <formula>PrintFormat</formula>
    </cfRule>
  </conditionalFormatting>
  <conditionalFormatting sqref="K17:M26">
    <cfRule type="expression" dxfId="32" priority="4">
      <formula>AND(OR(PrintFormat,E$16=0,E$28=FixedInterest),ISEVEN(ROW()-ROW($I$16)))</formula>
    </cfRule>
  </conditionalFormatting>
  <conditionalFormatting sqref="K17:M26 K28:M29">
    <cfRule type="expression" dxfId="31" priority="5">
      <formula>OR(PrintFormat,E$16=0,E$28=FixedInterest)</formula>
    </cfRule>
  </conditionalFormatting>
  <conditionalFormatting sqref="E18:G18">
    <cfRule type="expression" dxfId="30" priority="6">
      <formula>OR(E$16="",E$16&lt;=0,E$17&lt;=0)</formula>
    </cfRule>
    <cfRule type="expression" dxfId="29" priority="24">
      <formula>AND(E$17&lt;&gt;"",YrOfExit*1,E$18&gt;=YrOfExit*12)</formula>
    </cfRule>
  </conditionalFormatting>
  <conditionalFormatting sqref="K18:M26">
    <cfRule type="expression" dxfId="28" priority="7">
      <formula>AND(K18&lt;&gt;K17,ISEVEN(ROW()-ROW($I$16)))</formula>
    </cfRule>
    <cfRule type="expression" dxfId="27" priority="8">
      <formula>K18&lt;&gt;K17</formula>
    </cfRule>
  </conditionalFormatting>
  <conditionalFormatting sqref="K17:M17">
    <cfRule type="expression" dxfId="26" priority="9">
      <formula>K$17&lt;&gt;E$33</formula>
    </cfRule>
  </conditionalFormatting>
  <conditionalFormatting sqref="E39:G39">
    <cfRule type="expression" dxfId="25" priority="10">
      <formula>OR(E$16="",E$16&lt;=0,E$17&lt;=0)</formula>
    </cfRule>
    <cfRule type="expression" dxfId="24" priority="11">
      <formula>E$18&gt;=E$17</formula>
    </cfRule>
  </conditionalFormatting>
  <conditionalFormatting sqref="E34:G34">
    <cfRule type="expression" dxfId="23" priority="12">
      <formula>AND(E$28=FixedInterest,E$29=FixedPmt)</formula>
    </cfRule>
  </conditionalFormatting>
  <conditionalFormatting sqref="G21 G26 G32:G34 G38">
    <cfRule type="expression" dxfId="22" priority="13">
      <formula>AND($G$16="",$G$17="")</formula>
    </cfRule>
  </conditionalFormatting>
  <conditionalFormatting sqref="E28:G29">
    <cfRule type="expression" dxfId="21" priority="14">
      <formula>OR(E$16="",E$16&lt;=0,E$17&lt;=0)</formula>
    </cfRule>
  </conditionalFormatting>
  <conditionalFormatting sqref="E29:G29">
    <cfRule type="expression" dxfId="20" priority="15">
      <formula>AND(OR(E$26=0,E$16&lt;=E$27),E$28=FixedInterest)</formula>
    </cfRule>
    <cfRule type="expression" dxfId="19" priority="16">
      <formula>AND(OR(E$26=0,E$16&lt;=E$27),E$28&lt;&gt;FixedInterest)</formula>
    </cfRule>
    <cfRule type="expression" dxfId="18" priority="17">
      <formula>E$28=FixedInterest</formula>
    </cfRule>
  </conditionalFormatting>
  <conditionalFormatting sqref="E27:G27">
    <cfRule type="expression" dxfId="17" priority="18">
      <formula>AND(E$16&lt;&gt;"",E$26="")</formula>
    </cfRule>
  </conditionalFormatting>
  <conditionalFormatting sqref="E26:G26">
    <cfRule type="expression" dxfId="16" priority="19">
      <formula>OR(E$26=0,E$16&lt;=E$27)</formula>
    </cfRule>
  </conditionalFormatting>
  <conditionalFormatting sqref="E22:G23 E35:G35">
    <cfRule type="expression" dxfId="15" priority="21">
      <formula>E$16=""</formula>
    </cfRule>
  </conditionalFormatting>
  <conditionalFormatting sqref="E33:G33">
    <cfRule type="expression" dxfId="14" priority="22">
      <formula>AND(E$16&lt;&gt;"",E$33="")</formula>
    </cfRule>
  </conditionalFormatting>
  <conditionalFormatting sqref="E21:G21">
    <cfRule type="expression" dxfId="13" priority="23">
      <formula>AND(E$16&lt;&gt;"",E$21="")</formula>
    </cfRule>
  </conditionalFormatting>
  <conditionalFormatting sqref="E18">
    <cfRule type="expression" dxfId="12" priority="25">
      <formula>AND(Assum1PydwnMnth&lt;&gt;"",Assum1PydwnMnth&lt;Assum1RemainTerm,Assum1PydwnMnth&lt;YrOfExit*12)</formula>
    </cfRule>
  </conditionalFormatting>
  <conditionalFormatting sqref="F18">
    <cfRule type="expression" dxfId="11" priority="26">
      <formula>AND(Assum2PydwnMnth&lt;&gt;"",Assum2PydwnMnth&lt;Assum2RemainTerm,Assum2PydwnMnth&lt;YrOfExit*12)</formula>
    </cfRule>
  </conditionalFormatting>
  <conditionalFormatting sqref="G18">
    <cfRule type="expression" dxfId="10" priority="27">
      <formula>AND(Assum3PydwnMnth&lt;&gt;"",Assum3PydwnMnth&lt;Assum3RemainTerm,Assum3PydwnMnth&lt;YrOfExit*12)</formula>
    </cfRule>
  </conditionalFormatting>
  <conditionalFormatting sqref="G17">
    <cfRule type="expression" dxfId="9" priority="28">
      <formula>G$16=""</formula>
    </cfRule>
  </conditionalFormatting>
  <conditionalFormatting sqref="E17:G17">
    <cfRule type="expression" dxfId="8" priority="29">
      <formula>AND(E$16&lt;&gt;"",E$17="")</formula>
    </cfRule>
  </conditionalFormatting>
  <conditionalFormatting sqref="E22:G22">
    <cfRule type="cellIs" dxfId="7" priority="20" operator="equal">
      <formula>""</formula>
    </cfRule>
  </conditionalFormatting>
  <dataValidations count="5">
    <dataValidation type="list" allowBlank="1" showInputMessage="1" showErrorMessage="1" sqref="E32:G32" xr:uid="{00000000-0002-0000-1100-000000000000}">
      <formula1>BaseRate</formula1>
    </dataValidation>
    <dataValidation type="list" showInputMessage="1" showErrorMessage="1" sqref="G29" xr:uid="{00000000-0002-0000-1100-000001000000}">
      <formula1>Assum3PmntDropDown</formula1>
    </dataValidation>
    <dataValidation type="list" showInputMessage="1" showErrorMessage="1" sqref="F29" xr:uid="{00000000-0002-0000-1100-000002000000}">
      <formula1>Assum2PmntDropDown</formula1>
    </dataValidation>
    <dataValidation type="list" showInputMessage="1" showErrorMessage="1" sqref="E29" xr:uid="{00000000-0002-0000-1100-000003000000}">
      <formula1>Assum1PmntDropDown</formula1>
    </dataValidation>
    <dataValidation type="list" allowBlank="1" showInputMessage="1" showErrorMessage="1" sqref="E28:G28" xr:uid="{00000000-0002-0000-1100-000004000000}">
      <formula1>IntRateType</formula1>
    </dataValidation>
  </dataValidations>
  <pageMargins left="0.35" right="0.35" top="0.75" bottom="0.75" header="0.4" footer="0.4"/>
  <pageSetup scale="72" orientation="portrait" r:id="rId1"/>
  <headerFooter scaleWithDoc="0">
    <oddHeader>&amp;C&amp;"+,Regular"&amp;9&amp;KFF0000STRICTLY CONFIDENTIAL&amp;R&amp;8&amp;G</oddHeader>
    <oddFooter>&amp;L&amp;8&amp;F&amp;C&amp;8Page &amp;P of &amp;N&amp;R&amp;8&amp;D &amp;T</oddFooter>
  </headerFooter>
  <legacyDrawingHF r:id="rId2"/>
  <extLst>
    <ext xmlns:x14="http://schemas.microsoft.com/office/spreadsheetml/2009/9/main" uri="{78C0D931-6437-407d-A8EE-F0AAD7539E65}">
      <x14:conditionalFormattings>
        <x14:conditionalFormatting xmlns:xm="http://schemas.microsoft.com/office/excel/2006/main">
          <x14:cfRule type="expression" priority="1" id="{00000000-000E-0000-1100-000001000000}">
            <xm:f>GenValidation!$BF$6</xm:f>
            <x14:dxf>
              <numFmt numFmtId="165" formatCode=";;;"/>
              <fill>
                <patternFill>
                  <bgColor theme="0"/>
                </patternFill>
              </fill>
            </x14:dxf>
          </x14:cfRule>
          <xm:sqref>J2:M2</xm:sqref>
        </x14:conditionalFormatting>
      </x14:conditionalFormatting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FDC934-007D-45C4-9028-7B09363881FC}">
  <sheetPr codeName="InpCommercialCF"/>
  <dimension ref="B1:EE22"/>
  <sheetViews>
    <sheetView showGridLines="0" zoomScale="90" zoomScaleNormal="90" zoomScaleSheetLayoutView="100" workbookViewId="0">
      <pane xSplit="3" topLeftCell="D1" activePane="topRight" state="frozen"/>
      <selection activeCell="L26" sqref="L26"/>
      <selection pane="topRight" activeCell="H4" sqref="H4"/>
    </sheetView>
  </sheetViews>
  <sheetFormatPr defaultColWidth="9.140625" defaultRowHeight="12.75"/>
  <cols>
    <col min="1" max="1" width="1.7109375" style="192" customWidth="1"/>
    <col min="2" max="2" width="11.42578125" style="192" customWidth="1"/>
    <col min="3" max="3" width="22.7109375" style="192" customWidth="1"/>
    <col min="4" max="135" width="11.42578125" style="192" customWidth="1"/>
    <col min="136" max="136" width="9.140625" style="192" customWidth="1"/>
    <col min="137" max="16384" width="9.140625" style="192"/>
  </cols>
  <sheetData>
    <row r="1" spans="2:135" ht="3" customHeight="1"/>
    <row r="2" spans="2:135">
      <c r="B2" s="687" t="s">
        <v>0</v>
      </c>
      <c r="N2" s="336" t="s">
        <v>256</v>
      </c>
      <c r="O2" s="793" t="s">
        <v>258</v>
      </c>
    </row>
    <row r="3" spans="2:135" ht="3" customHeight="1"/>
    <row r="4" spans="2:135" ht="18.75">
      <c r="B4" s="1057" t="str">
        <f>Input!E10</f>
        <v>Chaney Place Townhomes</v>
      </c>
      <c r="C4" s="189"/>
      <c r="D4" s="190"/>
      <c r="E4" s="190"/>
      <c r="F4" s="208"/>
      <c r="G4" s="208"/>
      <c r="H4" s="1006" t="s">
        <v>533</v>
      </c>
      <c r="I4" s="190"/>
      <c r="J4" s="190"/>
      <c r="K4" s="190"/>
      <c r="L4" s="190"/>
      <c r="M4" s="190"/>
      <c r="N4" s="190"/>
      <c r="O4" s="1042" t="str">
        <f>Input!$M$4</f>
        <v>Huntsville, AL</v>
      </c>
    </row>
    <row r="7" spans="2:135" ht="15.75" customHeight="1">
      <c r="B7" s="1034" t="s">
        <v>534</v>
      </c>
      <c r="C7" s="1018"/>
      <c r="D7" s="1019"/>
      <c r="E7" s="1019"/>
      <c r="F7" s="1019"/>
    </row>
    <row r="9" spans="2:135" ht="14.25" customHeight="1">
      <c r="B9" s="1043" t="s">
        <v>535</v>
      </c>
      <c r="C9" s="196"/>
      <c r="D9" s="1058" t="s">
        <v>536</v>
      </c>
      <c r="E9" s="564"/>
      <c r="F9" s="1058" t="s">
        <v>537</v>
      </c>
    </row>
    <row r="10" spans="2:135">
      <c r="B10" s="387" t="s">
        <v>538</v>
      </c>
      <c r="C10" s="635"/>
      <c r="D10" s="794"/>
      <c r="E10" s="795"/>
      <c r="F10" s="794">
        <f>CommGrossInp</f>
        <v>0</v>
      </c>
    </row>
    <row r="11" spans="2:135">
      <c r="B11" s="378"/>
      <c r="C11" s="796"/>
      <c r="D11" s="797"/>
      <c r="E11" s="37"/>
      <c r="F11" s="37"/>
    </row>
    <row r="14" spans="2:135" ht="15.75" customHeight="1">
      <c r="B14" s="1034" t="s">
        <v>539</v>
      </c>
      <c r="C14" s="1018"/>
      <c r="D14" s="1019"/>
      <c r="E14" s="1019"/>
      <c r="F14" s="1019"/>
      <c r="G14" s="1019"/>
      <c r="H14" s="1019"/>
      <c r="I14" s="1019"/>
      <c r="J14" s="1019"/>
      <c r="K14" s="1019"/>
      <c r="L14" s="1019"/>
      <c r="M14" s="1019"/>
      <c r="N14" s="1019"/>
      <c r="O14" s="1019"/>
      <c r="P14" s="1019"/>
      <c r="Q14" s="1019"/>
      <c r="R14" s="1019"/>
      <c r="S14" s="1019"/>
      <c r="T14" s="1019"/>
      <c r="U14" s="1019"/>
      <c r="V14" s="1019"/>
      <c r="W14" s="1019"/>
      <c r="X14" s="1019"/>
      <c r="Y14" s="1019"/>
      <c r="Z14" s="1019"/>
      <c r="AA14" s="1019"/>
      <c r="AB14" s="1019"/>
      <c r="AC14" s="1019"/>
      <c r="AD14" s="1019"/>
      <c r="AE14" s="1019"/>
      <c r="AF14" s="1019"/>
      <c r="AG14" s="1019"/>
      <c r="AH14" s="1019"/>
      <c r="AI14" s="1019"/>
      <c r="AJ14" s="1019"/>
      <c r="AK14" s="1019"/>
      <c r="AL14" s="1019"/>
      <c r="AM14" s="1019"/>
      <c r="AN14" s="1019"/>
      <c r="AO14" s="1019"/>
      <c r="AP14" s="1019"/>
      <c r="AQ14" s="1019"/>
      <c r="AR14" s="1019"/>
      <c r="AS14" s="1019"/>
      <c r="AT14" s="1019"/>
      <c r="AU14" s="1019"/>
      <c r="AV14" s="1019"/>
      <c r="AW14" s="1019"/>
      <c r="AX14" s="1019"/>
      <c r="AY14" s="1019"/>
      <c r="AZ14" s="1019"/>
      <c r="BA14" s="1019"/>
      <c r="BB14" s="1019"/>
      <c r="BC14" s="1019"/>
      <c r="BD14" s="1019"/>
      <c r="BE14" s="1019"/>
      <c r="BF14" s="1019"/>
      <c r="BG14" s="1019"/>
      <c r="BH14" s="1019"/>
      <c r="BI14" s="1019"/>
      <c r="BJ14" s="1019"/>
      <c r="BK14" s="1019"/>
      <c r="BL14" s="1019"/>
      <c r="BM14" s="1019"/>
      <c r="BN14" s="1019"/>
      <c r="BO14" s="1019"/>
      <c r="BP14" s="1019"/>
      <c r="BQ14" s="1019"/>
      <c r="BR14" s="1019"/>
      <c r="BS14" s="1019"/>
      <c r="BT14" s="1019"/>
      <c r="BU14" s="1019"/>
      <c r="BV14" s="1019"/>
      <c r="BW14" s="1019"/>
      <c r="BX14" s="1019"/>
      <c r="BY14" s="1019"/>
      <c r="BZ14" s="1019"/>
      <c r="CA14" s="1019"/>
      <c r="CB14" s="1019"/>
      <c r="CC14" s="1019"/>
      <c r="CD14" s="1019"/>
      <c r="CE14" s="1019"/>
      <c r="CF14" s="1019"/>
      <c r="CG14" s="1019"/>
      <c r="CH14" s="1019"/>
      <c r="CI14" s="1019"/>
      <c r="CJ14" s="1019"/>
      <c r="CK14" s="1019"/>
      <c r="CL14" s="1019"/>
      <c r="CM14" s="1019"/>
      <c r="CN14" s="1019"/>
      <c r="CO14" s="1019"/>
      <c r="CP14" s="1019"/>
      <c r="CQ14" s="1019"/>
      <c r="CR14" s="1019"/>
      <c r="CS14" s="1019"/>
      <c r="CT14" s="1019"/>
      <c r="CU14" s="1019"/>
      <c r="CV14" s="1019"/>
      <c r="CW14" s="1019"/>
      <c r="CX14" s="1019"/>
      <c r="CY14" s="1019"/>
      <c r="CZ14" s="1019"/>
      <c r="DA14" s="1019"/>
      <c r="DB14" s="1019"/>
      <c r="DC14" s="1019"/>
      <c r="DD14" s="1019"/>
      <c r="DE14" s="1019"/>
      <c r="DF14" s="1019"/>
      <c r="DG14" s="1019"/>
      <c r="DH14" s="1019"/>
      <c r="DI14" s="1019"/>
      <c r="DJ14" s="1019"/>
      <c r="DK14" s="1019"/>
      <c r="DL14" s="1019"/>
      <c r="DM14" s="1019"/>
      <c r="DN14" s="1019"/>
      <c r="DO14" s="1019"/>
      <c r="DP14" s="1019"/>
      <c r="DQ14" s="1019"/>
      <c r="DR14" s="1019"/>
      <c r="DS14" s="1019"/>
      <c r="DT14" s="1019"/>
      <c r="DU14" s="1019"/>
      <c r="DV14" s="1019"/>
      <c r="DW14" s="1019"/>
      <c r="DX14" s="1019"/>
      <c r="DY14" s="1019"/>
      <c r="DZ14" s="1019"/>
      <c r="EA14" s="1019"/>
      <c r="EB14" s="1019"/>
      <c r="EC14" s="1019"/>
      <c r="ED14" s="1019"/>
      <c r="EE14" s="1019"/>
    </row>
    <row r="16" spans="2:135" ht="14.25" customHeight="1">
      <c r="B16" s="1043" t="s">
        <v>540</v>
      </c>
      <c r="C16" s="196"/>
      <c r="D16" s="798"/>
      <c r="E16" s="798"/>
      <c r="F16" s="798"/>
      <c r="G16" s="798"/>
      <c r="H16" s="798"/>
      <c r="I16" s="798"/>
      <c r="J16" s="798"/>
      <c r="K16" s="798"/>
      <c r="L16" s="798"/>
      <c r="M16" s="798"/>
      <c r="N16" s="798"/>
      <c r="O16" s="798"/>
      <c r="P16" s="798"/>
      <c r="Q16" s="798"/>
      <c r="R16" s="798"/>
      <c r="S16" s="798"/>
      <c r="T16" s="798"/>
      <c r="U16" s="798"/>
      <c r="V16" s="798"/>
      <c r="W16" s="798"/>
      <c r="X16" s="798"/>
      <c r="Y16" s="798"/>
      <c r="Z16" s="798"/>
      <c r="AA16" s="798"/>
      <c r="AB16" s="798"/>
      <c r="AC16" s="798"/>
      <c r="AD16" s="798"/>
      <c r="AE16" s="798"/>
      <c r="AF16" s="798"/>
      <c r="AG16" s="798"/>
      <c r="AH16" s="798"/>
      <c r="AI16" s="798"/>
      <c r="AJ16" s="798"/>
      <c r="AK16" s="798"/>
      <c r="AL16" s="798"/>
      <c r="AM16" s="798"/>
      <c r="AN16" s="798"/>
      <c r="AO16" s="798"/>
      <c r="AP16" s="798"/>
      <c r="AQ16" s="798"/>
      <c r="AR16" s="798"/>
      <c r="AS16" s="798"/>
      <c r="AT16" s="798"/>
      <c r="AU16" s="798"/>
      <c r="AV16" s="798"/>
      <c r="AW16" s="798"/>
      <c r="AX16" s="798"/>
      <c r="AY16" s="798"/>
      <c r="AZ16" s="798"/>
      <c r="BA16" s="798"/>
      <c r="BB16" s="798"/>
      <c r="BC16" s="798"/>
      <c r="BD16" s="798"/>
      <c r="BE16" s="798"/>
      <c r="BF16" s="798"/>
      <c r="BG16" s="798"/>
      <c r="BH16" s="798"/>
      <c r="BI16" s="798"/>
      <c r="BJ16" s="798"/>
      <c r="BK16" s="798"/>
      <c r="BL16" s="798"/>
      <c r="BM16" s="798"/>
      <c r="BN16" s="798"/>
      <c r="BO16" s="798"/>
      <c r="BP16" s="798"/>
      <c r="BQ16" s="798"/>
      <c r="BR16" s="798"/>
      <c r="BS16" s="798"/>
      <c r="BT16" s="798"/>
      <c r="BU16" s="798"/>
      <c r="BV16" s="798"/>
      <c r="BW16" s="798"/>
      <c r="BX16" s="798"/>
      <c r="BY16" s="798"/>
      <c r="BZ16" s="798"/>
      <c r="CA16" s="798"/>
      <c r="CB16" s="798"/>
      <c r="CC16" s="798"/>
      <c r="CD16" s="798"/>
      <c r="CE16" s="798"/>
      <c r="CF16" s="798"/>
      <c r="CG16" s="798"/>
      <c r="CH16" s="798"/>
      <c r="CI16" s="798"/>
      <c r="CJ16" s="798"/>
      <c r="CK16" s="798"/>
      <c r="CL16" s="798"/>
      <c r="CM16" s="798"/>
      <c r="CN16" s="798"/>
      <c r="CO16" s="798"/>
      <c r="CP16" s="798"/>
      <c r="CQ16" s="798"/>
      <c r="CR16" s="798"/>
      <c r="CS16" s="798"/>
      <c r="CT16" s="798"/>
      <c r="CU16" s="798"/>
      <c r="CV16" s="798"/>
      <c r="CW16" s="798"/>
      <c r="CX16" s="798"/>
      <c r="CY16" s="798"/>
      <c r="CZ16" s="798"/>
      <c r="DA16" s="798"/>
      <c r="DB16" s="798"/>
      <c r="DC16" s="798"/>
      <c r="DD16" s="798"/>
      <c r="DE16" s="798"/>
      <c r="DF16" s="798"/>
      <c r="DG16" s="798"/>
      <c r="DH16" s="798"/>
      <c r="DI16" s="798"/>
      <c r="DJ16" s="798"/>
      <c r="DK16" s="798"/>
      <c r="DL16" s="798"/>
      <c r="DM16" s="798"/>
      <c r="DN16" s="798"/>
      <c r="DO16" s="798"/>
      <c r="DP16" s="798"/>
      <c r="DQ16" s="798"/>
      <c r="DR16" s="798"/>
      <c r="DS16" s="798"/>
      <c r="DT16" s="798"/>
      <c r="DU16" s="798"/>
      <c r="DV16" s="798"/>
      <c r="DW16" s="798"/>
      <c r="DX16" s="798"/>
      <c r="DY16" s="798"/>
      <c r="DZ16" s="798"/>
      <c r="EA16" s="798"/>
      <c r="EB16" s="798"/>
      <c r="EC16" s="798"/>
      <c r="ED16" s="798"/>
      <c r="EE16" s="798"/>
    </row>
    <row r="17" spans="2:135">
      <c r="B17" s="1059" t="s">
        <v>361</v>
      </c>
      <c r="C17" s="799"/>
      <c r="D17" s="1060">
        <v>1</v>
      </c>
      <c r="E17" s="1060">
        <f>D17+1</f>
        <v>2</v>
      </c>
      <c r="F17" s="1060">
        <f t="shared" ref="F17:BQ17" si="0">E17+1</f>
        <v>3</v>
      </c>
      <c r="G17" s="1060">
        <f t="shared" si="0"/>
        <v>4</v>
      </c>
      <c r="H17" s="1060">
        <f t="shared" si="0"/>
        <v>5</v>
      </c>
      <c r="I17" s="1060">
        <f t="shared" si="0"/>
        <v>6</v>
      </c>
      <c r="J17" s="1060">
        <f t="shared" si="0"/>
        <v>7</v>
      </c>
      <c r="K17" s="1060">
        <f t="shared" si="0"/>
        <v>8</v>
      </c>
      <c r="L17" s="1060">
        <f t="shared" si="0"/>
        <v>9</v>
      </c>
      <c r="M17" s="1060">
        <f t="shared" si="0"/>
        <v>10</v>
      </c>
      <c r="N17" s="1060">
        <f t="shared" si="0"/>
        <v>11</v>
      </c>
      <c r="O17" s="1060">
        <f t="shared" si="0"/>
        <v>12</v>
      </c>
      <c r="P17" s="1060">
        <f t="shared" si="0"/>
        <v>13</v>
      </c>
      <c r="Q17" s="1060">
        <f t="shared" si="0"/>
        <v>14</v>
      </c>
      <c r="R17" s="1060">
        <f t="shared" si="0"/>
        <v>15</v>
      </c>
      <c r="S17" s="1060">
        <f t="shared" si="0"/>
        <v>16</v>
      </c>
      <c r="T17" s="1060">
        <f t="shared" si="0"/>
        <v>17</v>
      </c>
      <c r="U17" s="1060">
        <f t="shared" si="0"/>
        <v>18</v>
      </c>
      <c r="V17" s="1060">
        <f t="shared" si="0"/>
        <v>19</v>
      </c>
      <c r="W17" s="1060">
        <f t="shared" si="0"/>
        <v>20</v>
      </c>
      <c r="X17" s="1060">
        <f t="shared" si="0"/>
        <v>21</v>
      </c>
      <c r="Y17" s="1060">
        <f t="shared" si="0"/>
        <v>22</v>
      </c>
      <c r="Z17" s="1060">
        <f t="shared" si="0"/>
        <v>23</v>
      </c>
      <c r="AA17" s="1060">
        <f t="shared" si="0"/>
        <v>24</v>
      </c>
      <c r="AB17" s="1060">
        <f t="shared" si="0"/>
        <v>25</v>
      </c>
      <c r="AC17" s="1060">
        <f t="shared" si="0"/>
        <v>26</v>
      </c>
      <c r="AD17" s="1060">
        <f t="shared" si="0"/>
        <v>27</v>
      </c>
      <c r="AE17" s="1060">
        <f t="shared" si="0"/>
        <v>28</v>
      </c>
      <c r="AF17" s="1060">
        <f t="shared" si="0"/>
        <v>29</v>
      </c>
      <c r="AG17" s="1060">
        <f t="shared" si="0"/>
        <v>30</v>
      </c>
      <c r="AH17" s="1060">
        <f t="shared" si="0"/>
        <v>31</v>
      </c>
      <c r="AI17" s="1060">
        <f t="shared" si="0"/>
        <v>32</v>
      </c>
      <c r="AJ17" s="1060">
        <f t="shared" si="0"/>
        <v>33</v>
      </c>
      <c r="AK17" s="1060">
        <f t="shared" si="0"/>
        <v>34</v>
      </c>
      <c r="AL17" s="1060">
        <f t="shared" si="0"/>
        <v>35</v>
      </c>
      <c r="AM17" s="1060">
        <f t="shared" si="0"/>
        <v>36</v>
      </c>
      <c r="AN17" s="1060">
        <f t="shared" si="0"/>
        <v>37</v>
      </c>
      <c r="AO17" s="1060">
        <f t="shared" si="0"/>
        <v>38</v>
      </c>
      <c r="AP17" s="1060">
        <f t="shared" si="0"/>
        <v>39</v>
      </c>
      <c r="AQ17" s="1060">
        <f t="shared" si="0"/>
        <v>40</v>
      </c>
      <c r="AR17" s="1060">
        <f t="shared" si="0"/>
        <v>41</v>
      </c>
      <c r="AS17" s="1060">
        <f t="shared" si="0"/>
        <v>42</v>
      </c>
      <c r="AT17" s="1060">
        <f t="shared" si="0"/>
        <v>43</v>
      </c>
      <c r="AU17" s="1060">
        <f t="shared" si="0"/>
        <v>44</v>
      </c>
      <c r="AV17" s="1060">
        <f t="shared" si="0"/>
        <v>45</v>
      </c>
      <c r="AW17" s="1060">
        <f t="shared" si="0"/>
        <v>46</v>
      </c>
      <c r="AX17" s="1060">
        <f t="shared" si="0"/>
        <v>47</v>
      </c>
      <c r="AY17" s="1060">
        <f t="shared" si="0"/>
        <v>48</v>
      </c>
      <c r="AZ17" s="1060">
        <f t="shared" si="0"/>
        <v>49</v>
      </c>
      <c r="BA17" s="1060">
        <f t="shared" si="0"/>
        <v>50</v>
      </c>
      <c r="BB17" s="1060">
        <f t="shared" si="0"/>
        <v>51</v>
      </c>
      <c r="BC17" s="1060">
        <f t="shared" si="0"/>
        <v>52</v>
      </c>
      <c r="BD17" s="1060">
        <f t="shared" si="0"/>
        <v>53</v>
      </c>
      <c r="BE17" s="1060">
        <f t="shared" si="0"/>
        <v>54</v>
      </c>
      <c r="BF17" s="1060">
        <f t="shared" si="0"/>
        <v>55</v>
      </c>
      <c r="BG17" s="1060">
        <f t="shared" si="0"/>
        <v>56</v>
      </c>
      <c r="BH17" s="1060">
        <f t="shared" si="0"/>
        <v>57</v>
      </c>
      <c r="BI17" s="1060">
        <f t="shared" si="0"/>
        <v>58</v>
      </c>
      <c r="BJ17" s="1060">
        <f t="shared" si="0"/>
        <v>59</v>
      </c>
      <c r="BK17" s="1060">
        <f t="shared" si="0"/>
        <v>60</v>
      </c>
      <c r="BL17" s="1060">
        <f t="shared" si="0"/>
        <v>61</v>
      </c>
      <c r="BM17" s="1060">
        <f t="shared" si="0"/>
        <v>62</v>
      </c>
      <c r="BN17" s="1060">
        <f t="shared" si="0"/>
        <v>63</v>
      </c>
      <c r="BO17" s="1060">
        <f t="shared" si="0"/>
        <v>64</v>
      </c>
      <c r="BP17" s="1060">
        <f t="shared" si="0"/>
        <v>65</v>
      </c>
      <c r="BQ17" s="1060">
        <f t="shared" si="0"/>
        <v>66</v>
      </c>
      <c r="BR17" s="1060">
        <f t="shared" ref="BR17:EC17" si="1">BQ17+1</f>
        <v>67</v>
      </c>
      <c r="BS17" s="1060">
        <f t="shared" si="1"/>
        <v>68</v>
      </c>
      <c r="BT17" s="1060">
        <f t="shared" si="1"/>
        <v>69</v>
      </c>
      <c r="BU17" s="1060">
        <f t="shared" si="1"/>
        <v>70</v>
      </c>
      <c r="BV17" s="1060">
        <f t="shared" si="1"/>
        <v>71</v>
      </c>
      <c r="BW17" s="1060">
        <f t="shared" si="1"/>
        <v>72</v>
      </c>
      <c r="BX17" s="1060">
        <f t="shared" si="1"/>
        <v>73</v>
      </c>
      <c r="BY17" s="1060">
        <f t="shared" si="1"/>
        <v>74</v>
      </c>
      <c r="BZ17" s="1060">
        <f t="shared" si="1"/>
        <v>75</v>
      </c>
      <c r="CA17" s="1060">
        <f t="shared" si="1"/>
        <v>76</v>
      </c>
      <c r="CB17" s="1060">
        <f t="shared" si="1"/>
        <v>77</v>
      </c>
      <c r="CC17" s="1060">
        <f t="shared" si="1"/>
        <v>78</v>
      </c>
      <c r="CD17" s="1060">
        <f t="shared" si="1"/>
        <v>79</v>
      </c>
      <c r="CE17" s="1060">
        <f t="shared" si="1"/>
        <v>80</v>
      </c>
      <c r="CF17" s="1060">
        <f t="shared" si="1"/>
        <v>81</v>
      </c>
      <c r="CG17" s="1060">
        <f t="shared" si="1"/>
        <v>82</v>
      </c>
      <c r="CH17" s="1060">
        <f t="shared" si="1"/>
        <v>83</v>
      </c>
      <c r="CI17" s="1060">
        <f t="shared" si="1"/>
        <v>84</v>
      </c>
      <c r="CJ17" s="1060">
        <f t="shared" si="1"/>
        <v>85</v>
      </c>
      <c r="CK17" s="1060">
        <f t="shared" si="1"/>
        <v>86</v>
      </c>
      <c r="CL17" s="1060">
        <f t="shared" si="1"/>
        <v>87</v>
      </c>
      <c r="CM17" s="1060">
        <f t="shared" si="1"/>
        <v>88</v>
      </c>
      <c r="CN17" s="1060">
        <f t="shared" si="1"/>
        <v>89</v>
      </c>
      <c r="CO17" s="1060">
        <f t="shared" si="1"/>
        <v>90</v>
      </c>
      <c r="CP17" s="1060">
        <f t="shared" si="1"/>
        <v>91</v>
      </c>
      <c r="CQ17" s="1060">
        <f t="shared" si="1"/>
        <v>92</v>
      </c>
      <c r="CR17" s="1060">
        <f t="shared" si="1"/>
        <v>93</v>
      </c>
      <c r="CS17" s="1060">
        <f t="shared" si="1"/>
        <v>94</v>
      </c>
      <c r="CT17" s="1060">
        <f t="shared" si="1"/>
        <v>95</v>
      </c>
      <c r="CU17" s="1060">
        <f t="shared" si="1"/>
        <v>96</v>
      </c>
      <c r="CV17" s="1060">
        <f t="shared" si="1"/>
        <v>97</v>
      </c>
      <c r="CW17" s="1060">
        <f t="shared" si="1"/>
        <v>98</v>
      </c>
      <c r="CX17" s="1060">
        <f t="shared" si="1"/>
        <v>99</v>
      </c>
      <c r="CY17" s="1060">
        <f t="shared" si="1"/>
        <v>100</v>
      </c>
      <c r="CZ17" s="1060">
        <f t="shared" si="1"/>
        <v>101</v>
      </c>
      <c r="DA17" s="1060">
        <f t="shared" si="1"/>
        <v>102</v>
      </c>
      <c r="DB17" s="1060">
        <f t="shared" si="1"/>
        <v>103</v>
      </c>
      <c r="DC17" s="1060">
        <f t="shared" si="1"/>
        <v>104</v>
      </c>
      <c r="DD17" s="1060">
        <f t="shared" si="1"/>
        <v>105</v>
      </c>
      <c r="DE17" s="1060">
        <f t="shared" si="1"/>
        <v>106</v>
      </c>
      <c r="DF17" s="1060">
        <f t="shared" si="1"/>
        <v>107</v>
      </c>
      <c r="DG17" s="1060">
        <f t="shared" si="1"/>
        <v>108</v>
      </c>
      <c r="DH17" s="1060">
        <f t="shared" si="1"/>
        <v>109</v>
      </c>
      <c r="DI17" s="1060">
        <f t="shared" si="1"/>
        <v>110</v>
      </c>
      <c r="DJ17" s="1060">
        <f t="shared" si="1"/>
        <v>111</v>
      </c>
      <c r="DK17" s="1060">
        <f t="shared" si="1"/>
        <v>112</v>
      </c>
      <c r="DL17" s="1060">
        <f t="shared" si="1"/>
        <v>113</v>
      </c>
      <c r="DM17" s="1060">
        <f t="shared" si="1"/>
        <v>114</v>
      </c>
      <c r="DN17" s="1060">
        <f t="shared" si="1"/>
        <v>115</v>
      </c>
      <c r="DO17" s="1060">
        <f t="shared" si="1"/>
        <v>116</v>
      </c>
      <c r="DP17" s="1060">
        <f t="shared" si="1"/>
        <v>117</v>
      </c>
      <c r="DQ17" s="1060">
        <f t="shared" si="1"/>
        <v>118</v>
      </c>
      <c r="DR17" s="1060">
        <f t="shared" si="1"/>
        <v>119</v>
      </c>
      <c r="DS17" s="1060">
        <f t="shared" si="1"/>
        <v>120</v>
      </c>
      <c r="DT17" s="1060">
        <f t="shared" si="1"/>
        <v>121</v>
      </c>
      <c r="DU17" s="1060">
        <f t="shared" si="1"/>
        <v>122</v>
      </c>
      <c r="DV17" s="1060">
        <f t="shared" si="1"/>
        <v>123</v>
      </c>
      <c r="DW17" s="1060">
        <f t="shared" si="1"/>
        <v>124</v>
      </c>
      <c r="DX17" s="1060">
        <f t="shared" si="1"/>
        <v>125</v>
      </c>
      <c r="DY17" s="1060">
        <f t="shared" si="1"/>
        <v>126</v>
      </c>
      <c r="DZ17" s="1060">
        <f t="shared" si="1"/>
        <v>127</v>
      </c>
      <c r="EA17" s="1060">
        <f t="shared" si="1"/>
        <v>128</v>
      </c>
      <c r="EB17" s="1060">
        <f t="shared" si="1"/>
        <v>129</v>
      </c>
      <c r="EC17" s="1060">
        <f t="shared" si="1"/>
        <v>130</v>
      </c>
      <c r="ED17" s="1060">
        <f>EC17+1</f>
        <v>131</v>
      </c>
      <c r="EE17" s="1060">
        <f>ED17+1</f>
        <v>132</v>
      </c>
    </row>
    <row r="18" spans="2:135">
      <c r="B18" s="387" t="s">
        <v>36</v>
      </c>
      <c r="C18" s="37"/>
      <c r="D18" s="518">
        <v>0</v>
      </c>
      <c r="E18" s="518">
        <v>0</v>
      </c>
      <c r="F18" s="518">
        <v>0</v>
      </c>
      <c r="G18" s="518">
        <v>0</v>
      </c>
      <c r="H18" s="518">
        <v>0</v>
      </c>
      <c r="I18" s="518">
        <v>0</v>
      </c>
      <c r="J18" s="518">
        <v>0</v>
      </c>
      <c r="K18" s="518">
        <v>0</v>
      </c>
      <c r="L18" s="518">
        <v>0</v>
      </c>
      <c r="M18" s="518">
        <v>0</v>
      </c>
      <c r="N18" s="518">
        <v>0</v>
      </c>
      <c r="O18" s="518">
        <v>0</v>
      </c>
      <c r="P18" s="518">
        <v>0</v>
      </c>
      <c r="Q18" s="518">
        <v>0</v>
      </c>
      <c r="R18" s="518">
        <v>0</v>
      </c>
      <c r="S18" s="518">
        <v>0</v>
      </c>
      <c r="T18" s="518">
        <v>0</v>
      </c>
      <c r="U18" s="518">
        <v>0</v>
      </c>
      <c r="V18" s="518">
        <v>0</v>
      </c>
      <c r="W18" s="518">
        <v>0</v>
      </c>
      <c r="X18" s="518">
        <v>0</v>
      </c>
      <c r="Y18" s="518">
        <v>0</v>
      </c>
      <c r="Z18" s="518">
        <v>0</v>
      </c>
      <c r="AA18" s="518">
        <v>0</v>
      </c>
      <c r="AB18" s="518">
        <v>0</v>
      </c>
      <c r="AC18" s="518">
        <v>0</v>
      </c>
      <c r="AD18" s="518">
        <v>0</v>
      </c>
      <c r="AE18" s="518">
        <v>0</v>
      </c>
      <c r="AF18" s="518">
        <v>0</v>
      </c>
      <c r="AG18" s="518">
        <v>0</v>
      </c>
      <c r="AH18" s="518">
        <v>0</v>
      </c>
      <c r="AI18" s="518">
        <v>0</v>
      </c>
      <c r="AJ18" s="518">
        <v>0</v>
      </c>
      <c r="AK18" s="518">
        <v>0</v>
      </c>
      <c r="AL18" s="518">
        <v>0</v>
      </c>
      <c r="AM18" s="518">
        <v>0</v>
      </c>
      <c r="AN18" s="518">
        <v>0</v>
      </c>
      <c r="AO18" s="518">
        <v>0</v>
      </c>
      <c r="AP18" s="518">
        <v>0</v>
      </c>
      <c r="AQ18" s="518">
        <v>0</v>
      </c>
      <c r="AR18" s="518">
        <v>0</v>
      </c>
      <c r="AS18" s="518">
        <v>0</v>
      </c>
      <c r="AT18" s="518">
        <v>0</v>
      </c>
      <c r="AU18" s="518">
        <v>0</v>
      </c>
      <c r="AV18" s="518">
        <v>0</v>
      </c>
      <c r="AW18" s="518">
        <v>0</v>
      </c>
      <c r="AX18" s="518">
        <v>0</v>
      </c>
      <c r="AY18" s="518">
        <v>0</v>
      </c>
      <c r="AZ18" s="518">
        <v>0</v>
      </c>
      <c r="BA18" s="518">
        <v>0</v>
      </c>
      <c r="BB18" s="518">
        <v>0</v>
      </c>
      <c r="BC18" s="518">
        <v>0</v>
      </c>
      <c r="BD18" s="518">
        <v>0</v>
      </c>
      <c r="BE18" s="518">
        <v>0</v>
      </c>
      <c r="BF18" s="518">
        <v>0</v>
      </c>
      <c r="BG18" s="518">
        <v>0</v>
      </c>
      <c r="BH18" s="518">
        <v>0</v>
      </c>
      <c r="BI18" s="518">
        <v>0</v>
      </c>
      <c r="BJ18" s="518">
        <v>0</v>
      </c>
      <c r="BK18" s="518">
        <v>0</v>
      </c>
      <c r="BL18" s="518">
        <v>0</v>
      </c>
      <c r="BM18" s="518">
        <v>0</v>
      </c>
      <c r="BN18" s="518">
        <v>0</v>
      </c>
      <c r="BO18" s="518">
        <v>0</v>
      </c>
      <c r="BP18" s="518">
        <v>0</v>
      </c>
      <c r="BQ18" s="518">
        <v>0</v>
      </c>
      <c r="BR18" s="518">
        <v>0</v>
      </c>
      <c r="BS18" s="518">
        <v>0</v>
      </c>
      <c r="BT18" s="518">
        <v>0</v>
      </c>
      <c r="BU18" s="518">
        <v>0</v>
      </c>
      <c r="BV18" s="518">
        <v>0</v>
      </c>
      <c r="BW18" s="518">
        <v>0</v>
      </c>
      <c r="BX18" s="518">
        <v>0</v>
      </c>
      <c r="BY18" s="518">
        <v>0</v>
      </c>
      <c r="BZ18" s="518">
        <v>0</v>
      </c>
      <c r="CA18" s="518">
        <v>0</v>
      </c>
      <c r="CB18" s="518">
        <v>0</v>
      </c>
      <c r="CC18" s="518">
        <v>0</v>
      </c>
      <c r="CD18" s="518">
        <v>0</v>
      </c>
      <c r="CE18" s="518">
        <v>0</v>
      </c>
      <c r="CF18" s="518">
        <v>0</v>
      </c>
      <c r="CG18" s="518">
        <v>0</v>
      </c>
      <c r="CH18" s="518">
        <v>0</v>
      </c>
      <c r="CI18" s="518">
        <v>0</v>
      </c>
      <c r="CJ18" s="518">
        <v>0</v>
      </c>
      <c r="CK18" s="518">
        <v>0</v>
      </c>
      <c r="CL18" s="518">
        <v>0</v>
      </c>
      <c r="CM18" s="518">
        <v>0</v>
      </c>
      <c r="CN18" s="518">
        <v>0</v>
      </c>
      <c r="CO18" s="518">
        <v>0</v>
      </c>
      <c r="CP18" s="518">
        <v>0</v>
      </c>
      <c r="CQ18" s="518">
        <v>0</v>
      </c>
      <c r="CR18" s="518">
        <v>0</v>
      </c>
      <c r="CS18" s="518">
        <v>0</v>
      </c>
      <c r="CT18" s="518">
        <v>0</v>
      </c>
      <c r="CU18" s="518">
        <v>0</v>
      </c>
      <c r="CV18" s="518">
        <v>0</v>
      </c>
      <c r="CW18" s="518">
        <v>0</v>
      </c>
      <c r="CX18" s="518">
        <v>0</v>
      </c>
      <c r="CY18" s="518">
        <v>0</v>
      </c>
      <c r="CZ18" s="518">
        <v>0</v>
      </c>
      <c r="DA18" s="518">
        <v>0</v>
      </c>
      <c r="DB18" s="518">
        <v>0</v>
      </c>
      <c r="DC18" s="518">
        <v>0</v>
      </c>
      <c r="DD18" s="518">
        <v>0</v>
      </c>
      <c r="DE18" s="518">
        <v>0</v>
      </c>
      <c r="DF18" s="518">
        <v>0</v>
      </c>
      <c r="DG18" s="518">
        <v>0</v>
      </c>
      <c r="DH18" s="518">
        <v>0</v>
      </c>
      <c r="DI18" s="518">
        <v>0</v>
      </c>
      <c r="DJ18" s="518">
        <v>0</v>
      </c>
      <c r="DK18" s="518">
        <v>0</v>
      </c>
      <c r="DL18" s="518">
        <v>0</v>
      </c>
      <c r="DM18" s="518">
        <v>0</v>
      </c>
      <c r="DN18" s="518">
        <v>0</v>
      </c>
      <c r="DO18" s="518">
        <v>0</v>
      </c>
      <c r="DP18" s="518">
        <v>0</v>
      </c>
      <c r="DQ18" s="518">
        <v>0</v>
      </c>
      <c r="DR18" s="518">
        <v>0</v>
      </c>
      <c r="DS18" s="518">
        <v>0</v>
      </c>
      <c r="DT18" s="518">
        <v>0</v>
      </c>
      <c r="DU18" s="518">
        <v>0</v>
      </c>
      <c r="DV18" s="518">
        <v>0</v>
      </c>
      <c r="DW18" s="518">
        <v>0</v>
      </c>
      <c r="DX18" s="518">
        <v>0</v>
      </c>
      <c r="DY18" s="518">
        <v>0</v>
      </c>
      <c r="DZ18" s="518">
        <v>0</v>
      </c>
      <c r="EA18" s="518">
        <v>0</v>
      </c>
      <c r="EB18" s="518">
        <v>0</v>
      </c>
      <c r="EC18" s="518">
        <v>0</v>
      </c>
      <c r="ED18" s="518">
        <v>0</v>
      </c>
      <c r="EE18" s="518">
        <v>0</v>
      </c>
    </row>
    <row r="19" spans="2:135">
      <c r="B19" s="800" t="s">
        <v>541</v>
      </c>
      <c r="C19" s="521"/>
      <c r="D19" s="524">
        <v>0</v>
      </c>
      <c r="E19" s="524">
        <v>0</v>
      </c>
      <c r="F19" s="524">
        <v>0</v>
      </c>
      <c r="G19" s="524">
        <v>0</v>
      </c>
      <c r="H19" s="524">
        <v>0</v>
      </c>
      <c r="I19" s="524">
        <v>0</v>
      </c>
      <c r="J19" s="524">
        <v>0</v>
      </c>
      <c r="K19" s="524">
        <v>0</v>
      </c>
      <c r="L19" s="524">
        <v>0</v>
      </c>
      <c r="M19" s="524">
        <v>0</v>
      </c>
      <c r="N19" s="524">
        <v>0</v>
      </c>
      <c r="O19" s="524">
        <v>0</v>
      </c>
      <c r="P19" s="524">
        <v>0</v>
      </c>
      <c r="Q19" s="524">
        <v>0</v>
      </c>
      <c r="R19" s="524">
        <v>0</v>
      </c>
      <c r="S19" s="524">
        <v>0</v>
      </c>
      <c r="T19" s="524">
        <v>0</v>
      </c>
      <c r="U19" s="524">
        <v>0</v>
      </c>
      <c r="V19" s="524">
        <v>0</v>
      </c>
      <c r="W19" s="524">
        <v>0</v>
      </c>
      <c r="X19" s="524">
        <v>0</v>
      </c>
      <c r="Y19" s="524">
        <v>0</v>
      </c>
      <c r="Z19" s="524">
        <v>0</v>
      </c>
      <c r="AA19" s="524">
        <v>0</v>
      </c>
      <c r="AB19" s="524">
        <v>0</v>
      </c>
      <c r="AC19" s="524">
        <v>0</v>
      </c>
      <c r="AD19" s="524">
        <v>0</v>
      </c>
      <c r="AE19" s="524">
        <v>0</v>
      </c>
      <c r="AF19" s="524">
        <v>0</v>
      </c>
      <c r="AG19" s="524">
        <v>0</v>
      </c>
      <c r="AH19" s="524">
        <v>0</v>
      </c>
      <c r="AI19" s="524">
        <v>0</v>
      </c>
      <c r="AJ19" s="524">
        <v>0</v>
      </c>
      <c r="AK19" s="524">
        <v>0</v>
      </c>
      <c r="AL19" s="524">
        <v>0</v>
      </c>
      <c r="AM19" s="524">
        <v>0</v>
      </c>
      <c r="AN19" s="524">
        <v>0</v>
      </c>
      <c r="AO19" s="524">
        <v>0</v>
      </c>
      <c r="AP19" s="524">
        <v>0</v>
      </c>
      <c r="AQ19" s="524">
        <v>0</v>
      </c>
      <c r="AR19" s="524">
        <v>0</v>
      </c>
      <c r="AS19" s="524">
        <v>0</v>
      </c>
      <c r="AT19" s="524">
        <v>0</v>
      </c>
      <c r="AU19" s="524">
        <v>0</v>
      </c>
      <c r="AV19" s="524">
        <v>0</v>
      </c>
      <c r="AW19" s="524">
        <v>0</v>
      </c>
      <c r="AX19" s="524">
        <v>0</v>
      </c>
      <c r="AY19" s="524">
        <v>0</v>
      </c>
      <c r="AZ19" s="524">
        <v>0</v>
      </c>
      <c r="BA19" s="524">
        <v>0</v>
      </c>
      <c r="BB19" s="524">
        <v>0</v>
      </c>
      <c r="BC19" s="524">
        <v>0</v>
      </c>
      <c r="BD19" s="524">
        <v>0</v>
      </c>
      <c r="BE19" s="524">
        <v>0</v>
      </c>
      <c r="BF19" s="524">
        <v>0</v>
      </c>
      <c r="BG19" s="524">
        <v>0</v>
      </c>
      <c r="BH19" s="524">
        <v>0</v>
      </c>
      <c r="BI19" s="524">
        <v>0</v>
      </c>
      <c r="BJ19" s="524">
        <v>0</v>
      </c>
      <c r="BK19" s="524">
        <v>0</v>
      </c>
      <c r="BL19" s="524">
        <v>0</v>
      </c>
      <c r="BM19" s="524">
        <v>0</v>
      </c>
      <c r="BN19" s="524">
        <v>0</v>
      </c>
      <c r="BO19" s="524">
        <v>0</v>
      </c>
      <c r="BP19" s="524">
        <v>0</v>
      </c>
      <c r="BQ19" s="524">
        <v>0</v>
      </c>
      <c r="BR19" s="524">
        <v>0</v>
      </c>
      <c r="BS19" s="524">
        <v>0</v>
      </c>
      <c r="BT19" s="524">
        <v>0</v>
      </c>
      <c r="BU19" s="524">
        <v>0</v>
      </c>
      <c r="BV19" s="524">
        <v>0</v>
      </c>
      <c r="BW19" s="524">
        <v>0</v>
      </c>
      <c r="BX19" s="524">
        <v>0</v>
      </c>
      <c r="BY19" s="524">
        <v>0</v>
      </c>
      <c r="BZ19" s="524">
        <v>0</v>
      </c>
      <c r="CA19" s="524">
        <v>0</v>
      </c>
      <c r="CB19" s="524">
        <v>0</v>
      </c>
      <c r="CC19" s="524">
        <v>0</v>
      </c>
      <c r="CD19" s="524">
        <v>0</v>
      </c>
      <c r="CE19" s="524">
        <v>0</v>
      </c>
      <c r="CF19" s="524">
        <v>0</v>
      </c>
      <c r="CG19" s="524">
        <v>0</v>
      </c>
      <c r="CH19" s="524">
        <v>0</v>
      </c>
      <c r="CI19" s="524">
        <v>0</v>
      </c>
      <c r="CJ19" s="524">
        <v>0</v>
      </c>
      <c r="CK19" s="524">
        <v>0</v>
      </c>
      <c r="CL19" s="524">
        <v>0</v>
      </c>
      <c r="CM19" s="524">
        <v>0</v>
      </c>
      <c r="CN19" s="524">
        <v>0</v>
      </c>
      <c r="CO19" s="524">
        <v>0</v>
      </c>
      <c r="CP19" s="524">
        <v>0</v>
      </c>
      <c r="CQ19" s="524">
        <v>0</v>
      </c>
      <c r="CR19" s="524">
        <v>0</v>
      </c>
      <c r="CS19" s="524">
        <v>0</v>
      </c>
      <c r="CT19" s="524">
        <v>0</v>
      </c>
      <c r="CU19" s="524">
        <v>0</v>
      </c>
      <c r="CV19" s="524">
        <v>0</v>
      </c>
      <c r="CW19" s="524">
        <v>0</v>
      </c>
      <c r="CX19" s="524">
        <v>0</v>
      </c>
      <c r="CY19" s="524">
        <v>0</v>
      </c>
      <c r="CZ19" s="524">
        <v>0</v>
      </c>
      <c r="DA19" s="524">
        <v>0</v>
      </c>
      <c r="DB19" s="524">
        <v>0</v>
      </c>
      <c r="DC19" s="524">
        <v>0</v>
      </c>
      <c r="DD19" s="524">
        <v>0</v>
      </c>
      <c r="DE19" s="524">
        <v>0</v>
      </c>
      <c r="DF19" s="524">
        <v>0</v>
      </c>
      <c r="DG19" s="524">
        <v>0</v>
      </c>
      <c r="DH19" s="524">
        <v>0</v>
      </c>
      <c r="DI19" s="524">
        <v>0</v>
      </c>
      <c r="DJ19" s="524">
        <v>0</v>
      </c>
      <c r="DK19" s="524">
        <v>0</v>
      </c>
      <c r="DL19" s="524">
        <v>0</v>
      </c>
      <c r="DM19" s="524">
        <v>0</v>
      </c>
      <c r="DN19" s="524">
        <v>0</v>
      </c>
      <c r="DO19" s="524">
        <v>0</v>
      </c>
      <c r="DP19" s="524">
        <v>0</v>
      </c>
      <c r="DQ19" s="524">
        <v>0</v>
      </c>
      <c r="DR19" s="524">
        <v>0</v>
      </c>
      <c r="DS19" s="524">
        <v>0</v>
      </c>
      <c r="DT19" s="524">
        <v>0</v>
      </c>
      <c r="DU19" s="524">
        <v>0</v>
      </c>
      <c r="DV19" s="524">
        <v>0</v>
      </c>
      <c r="DW19" s="524">
        <v>0</v>
      </c>
      <c r="DX19" s="524">
        <v>0</v>
      </c>
      <c r="DY19" s="524">
        <v>0</v>
      </c>
      <c r="DZ19" s="524">
        <v>0</v>
      </c>
      <c r="EA19" s="524">
        <v>0</v>
      </c>
      <c r="EB19" s="524">
        <v>0</v>
      </c>
      <c r="EC19" s="524">
        <v>0</v>
      </c>
      <c r="ED19" s="524">
        <v>0</v>
      </c>
      <c r="EE19" s="524">
        <v>0</v>
      </c>
    </row>
    <row r="20" spans="2:135">
      <c r="B20" s="387" t="s">
        <v>392</v>
      </c>
      <c r="C20" s="37"/>
      <c r="D20" s="518">
        <v>0</v>
      </c>
      <c r="E20" s="518">
        <v>0</v>
      </c>
      <c r="F20" s="518">
        <v>0</v>
      </c>
      <c r="G20" s="518">
        <v>0</v>
      </c>
      <c r="H20" s="518">
        <v>0</v>
      </c>
      <c r="I20" s="518">
        <v>0</v>
      </c>
      <c r="J20" s="518">
        <v>0</v>
      </c>
      <c r="K20" s="518">
        <v>0</v>
      </c>
      <c r="L20" s="518">
        <v>0</v>
      </c>
      <c r="M20" s="518">
        <v>0</v>
      </c>
      <c r="N20" s="518">
        <v>0</v>
      </c>
      <c r="O20" s="518">
        <v>0</v>
      </c>
      <c r="P20" s="518">
        <v>0</v>
      </c>
      <c r="Q20" s="518">
        <v>0</v>
      </c>
      <c r="R20" s="518">
        <v>0</v>
      </c>
      <c r="S20" s="518">
        <v>0</v>
      </c>
      <c r="T20" s="518">
        <v>0</v>
      </c>
      <c r="U20" s="518">
        <v>0</v>
      </c>
      <c r="V20" s="518">
        <v>0</v>
      </c>
      <c r="W20" s="518">
        <v>0</v>
      </c>
      <c r="X20" s="518">
        <v>0</v>
      </c>
      <c r="Y20" s="518">
        <v>0</v>
      </c>
      <c r="Z20" s="518">
        <v>0</v>
      </c>
      <c r="AA20" s="518">
        <v>0</v>
      </c>
      <c r="AB20" s="518">
        <v>0</v>
      </c>
      <c r="AC20" s="518">
        <v>0</v>
      </c>
      <c r="AD20" s="518">
        <v>0</v>
      </c>
      <c r="AE20" s="518">
        <v>0</v>
      </c>
      <c r="AF20" s="518">
        <v>0</v>
      </c>
      <c r="AG20" s="518">
        <v>0</v>
      </c>
      <c r="AH20" s="518">
        <v>0</v>
      </c>
      <c r="AI20" s="518">
        <v>0</v>
      </c>
      <c r="AJ20" s="518">
        <v>0</v>
      </c>
      <c r="AK20" s="518">
        <v>0</v>
      </c>
      <c r="AL20" s="518">
        <v>0</v>
      </c>
      <c r="AM20" s="518">
        <v>0</v>
      </c>
      <c r="AN20" s="518">
        <v>0</v>
      </c>
      <c r="AO20" s="518">
        <v>0</v>
      </c>
      <c r="AP20" s="518">
        <v>0</v>
      </c>
      <c r="AQ20" s="518">
        <v>0</v>
      </c>
      <c r="AR20" s="518">
        <v>0</v>
      </c>
      <c r="AS20" s="518">
        <v>0</v>
      </c>
      <c r="AT20" s="518">
        <v>0</v>
      </c>
      <c r="AU20" s="518">
        <v>0</v>
      </c>
      <c r="AV20" s="518">
        <v>0</v>
      </c>
      <c r="AW20" s="518">
        <v>0</v>
      </c>
      <c r="AX20" s="518">
        <v>0</v>
      </c>
      <c r="AY20" s="518">
        <v>0</v>
      </c>
      <c r="AZ20" s="518">
        <v>0</v>
      </c>
      <c r="BA20" s="518">
        <v>0</v>
      </c>
      <c r="BB20" s="518">
        <v>0</v>
      </c>
      <c r="BC20" s="518">
        <v>0</v>
      </c>
      <c r="BD20" s="518">
        <v>0</v>
      </c>
      <c r="BE20" s="518">
        <v>0</v>
      </c>
      <c r="BF20" s="518">
        <v>0</v>
      </c>
      <c r="BG20" s="518">
        <v>0</v>
      </c>
      <c r="BH20" s="518">
        <v>0</v>
      </c>
      <c r="BI20" s="518">
        <v>0</v>
      </c>
      <c r="BJ20" s="518">
        <v>0</v>
      </c>
      <c r="BK20" s="518">
        <v>0</v>
      </c>
      <c r="BL20" s="518">
        <v>0</v>
      </c>
      <c r="BM20" s="518">
        <v>0</v>
      </c>
      <c r="BN20" s="518">
        <v>0</v>
      </c>
      <c r="BO20" s="518">
        <v>0</v>
      </c>
      <c r="BP20" s="518">
        <v>0</v>
      </c>
      <c r="BQ20" s="518">
        <v>0</v>
      </c>
      <c r="BR20" s="518">
        <v>0</v>
      </c>
      <c r="BS20" s="518">
        <v>0</v>
      </c>
      <c r="BT20" s="518">
        <v>0</v>
      </c>
      <c r="BU20" s="518">
        <v>0</v>
      </c>
      <c r="BV20" s="518">
        <v>0</v>
      </c>
      <c r="BW20" s="518">
        <v>0</v>
      </c>
      <c r="BX20" s="518">
        <v>0</v>
      </c>
      <c r="BY20" s="518">
        <v>0</v>
      </c>
      <c r="BZ20" s="518">
        <v>0</v>
      </c>
      <c r="CA20" s="518">
        <v>0</v>
      </c>
      <c r="CB20" s="518">
        <v>0</v>
      </c>
      <c r="CC20" s="518">
        <v>0</v>
      </c>
      <c r="CD20" s="518">
        <v>0</v>
      </c>
      <c r="CE20" s="518">
        <v>0</v>
      </c>
      <c r="CF20" s="518">
        <v>0</v>
      </c>
      <c r="CG20" s="518">
        <v>0</v>
      </c>
      <c r="CH20" s="518">
        <v>0</v>
      </c>
      <c r="CI20" s="518">
        <v>0</v>
      </c>
      <c r="CJ20" s="518">
        <v>0</v>
      </c>
      <c r="CK20" s="518">
        <v>0</v>
      </c>
      <c r="CL20" s="518">
        <v>0</v>
      </c>
      <c r="CM20" s="518">
        <v>0</v>
      </c>
      <c r="CN20" s="518">
        <v>0</v>
      </c>
      <c r="CO20" s="518">
        <v>0</v>
      </c>
      <c r="CP20" s="518">
        <v>0</v>
      </c>
      <c r="CQ20" s="518">
        <v>0</v>
      </c>
      <c r="CR20" s="518">
        <v>0</v>
      </c>
      <c r="CS20" s="518">
        <v>0</v>
      </c>
      <c r="CT20" s="518">
        <v>0</v>
      </c>
      <c r="CU20" s="518">
        <v>0</v>
      </c>
      <c r="CV20" s="518">
        <v>0</v>
      </c>
      <c r="CW20" s="518">
        <v>0</v>
      </c>
      <c r="CX20" s="518">
        <v>0</v>
      </c>
      <c r="CY20" s="518">
        <v>0</v>
      </c>
      <c r="CZ20" s="518">
        <v>0</v>
      </c>
      <c r="DA20" s="518">
        <v>0</v>
      </c>
      <c r="DB20" s="518">
        <v>0</v>
      </c>
      <c r="DC20" s="518">
        <v>0</v>
      </c>
      <c r="DD20" s="518">
        <v>0</v>
      </c>
      <c r="DE20" s="518">
        <v>0</v>
      </c>
      <c r="DF20" s="518">
        <v>0</v>
      </c>
      <c r="DG20" s="518">
        <v>0</v>
      </c>
      <c r="DH20" s="518">
        <v>0</v>
      </c>
      <c r="DI20" s="518">
        <v>0</v>
      </c>
      <c r="DJ20" s="518">
        <v>0</v>
      </c>
      <c r="DK20" s="518">
        <v>0</v>
      </c>
      <c r="DL20" s="518">
        <v>0</v>
      </c>
      <c r="DM20" s="518">
        <v>0</v>
      </c>
      <c r="DN20" s="518">
        <v>0</v>
      </c>
      <c r="DO20" s="518">
        <v>0</v>
      </c>
      <c r="DP20" s="518">
        <v>0</v>
      </c>
      <c r="DQ20" s="518">
        <v>0</v>
      </c>
      <c r="DR20" s="518">
        <v>0</v>
      </c>
      <c r="DS20" s="518">
        <v>0</v>
      </c>
      <c r="DT20" s="518">
        <v>0</v>
      </c>
      <c r="DU20" s="518">
        <v>0</v>
      </c>
      <c r="DV20" s="518">
        <v>0</v>
      </c>
      <c r="DW20" s="518">
        <v>0</v>
      </c>
      <c r="DX20" s="518">
        <v>0</v>
      </c>
      <c r="DY20" s="518">
        <v>0</v>
      </c>
      <c r="DZ20" s="518">
        <v>0</v>
      </c>
      <c r="EA20" s="518">
        <v>0</v>
      </c>
      <c r="EB20" s="518">
        <v>0</v>
      </c>
      <c r="EC20" s="518">
        <v>0</v>
      </c>
      <c r="ED20" s="518">
        <v>0</v>
      </c>
      <c r="EE20" s="518">
        <v>0</v>
      </c>
    </row>
    <row r="21" spans="2:135">
      <c r="B21" s="378" t="s">
        <v>542</v>
      </c>
      <c r="C21" s="797"/>
      <c r="D21" s="380">
        <f>IFERROR(D18-SUM(D19:D20),)</f>
        <v>0</v>
      </c>
      <c r="E21" s="380">
        <f>IFERROR(E18-SUM(E19:E20),)</f>
        <v>0</v>
      </c>
      <c r="F21" s="380">
        <f t="shared" ref="F21:BQ21" si="2">IFERROR(F18-SUM(F19:F20),)</f>
        <v>0</v>
      </c>
      <c r="G21" s="380">
        <f t="shared" si="2"/>
        <v>0</v>
      </c>
      <c r="H21" s="380">
        <f t="shared" si="2"/>
        <v>0</v>
      </c>
      <c r="I21" s="380">
        <f t="shared" si="2"/>
        <v>0</v>
      </c>
      <c r="J21" s="380">
        <f t="shared" si="2"/>
        <v>0</v>
      </c>
      <c r="K21" s="380">
        <f t="shared" si="2"/>
        <v>0</v>
      </c>
      <c r="L21" s="380">
        <f t="shared" si="2"/>
        <v>0</v>
      </c>
      <c r="M21" s="380">
        <f t="shared" si="2"/>
        <v>0</v>
      </c>
      <c r="N21" s="380">
        <f t="shared" si="2"/>
        <v>0</v>
      </c>
      <c r="O21" s="380">
        <f t="shared" si="2"/>
        <v>0</v>
      </c>
      <c r="P21" s="380">
        <f t="shared" si="2"/>
        <v>0</v>
      </c>
      <c r="Q21" s="380">
        <f t="shared" si="2"/>
        <v>0</v>
      </c>
      <c r="R21" s="380">
        <f t="shared" si="2"/>
        <v>0</v>
      </c>
      <c r="S21" s="380">
        <f t="shared" si="2"/>
        <v>0</v>
      </c>
      <c r="T21" s="380">
        <f t="shared" si="2"/>
        <v>0</v>
      </c>
      <c r="U21" s="380">
        <f t="shared" si="2"/>
        <v>0</v>
      </c>
      <c r="V21" s="380">
        <f t="shared" si="2"/>
        <v>0</v>
      </c>
      <c r="W21" s="380">
        <f t="shared" si="2"/>
        <v>0</v>
      </c>
      <c r="X21" s="380">
        <f t="shared" si="2"/>
        <v>0</v>
      </c>
      <c r="Y21" s="380">
        <f t="shared" si="2"/>
        <v>0</v>
      </c>
      <c r="Z21" s="380">
        <f t="shared" si="2"/>
        <v>0</v>
      </c>
      <c r="AA21" s="380">
        <f t="shared" si="2"/>
        <v>0</v>
      </c>
      <c r="AB21" s="380">
        <f t="shared" si="2"/>
        <v>0</v>
      </c>
      <c r="AC21" s="380">
        <f t="shared" si="2"/>
        <v>0</v>
      </c>
      <c r="AD21" s="380">
        <f t="shared" si="2"/>
        <v>0</v>
      </c>
      <c r="AE21" s="380">
        <f t="shared" si="2"/>
        <v>0</v>
      </c>
      <c r="AF21" s="380">
        <f t="shared" si="2"/>
        <v>0</v>
      </c>
      <c r="AG21" s="380">
        <f t="shared" si="2"/>
        <v>0</v>
      </c>
      <c r="AH21" s="380">
        <f t="shared" si="2"/>
        <v>0</v>
      </c>
      <c r="AI21" s="380">
        <f t="shared" si="2"/>
        <v>0</v>
      </c>
      <c r="AJ21" s="380">
        <f t="shared" si="2"/>
        <v>0</v>
      </c>
      <c r="AK21" s="380">
        <f t="shared" si="2"/>
        <v>0</v>
      </c>
      <c r="AL21" s="380">
        <f t="shared" si="2"/>
        <v>0</v>
      </c>
      <c r="AM21" s="380">
        <f t="shared" si="2"/>
        <v>0</v>
      </c>
      <c r="AN21" s="380">
        <f t="shared" si="2"/>
        <v>0</v>
      </c>
      <c r="AO21" s="380">
        <f t="shared" si="2"/>
        <v>0</v>
      </c>
      <c r="AP21" s="380">
        <f t="shared" si="2"/>
        <v>0</v>
      </c>
      <c r="AQ21" s="380">
        <f t="shared" si="2"/>
        <v>0</v>
      </c>
      <c r="AR21" s="380">
        <f t="shared" si="2"/>
        <v>0</v>
      </c>
      <c r="AS21" s="380">
        <f t="shared" si="2"/>
        <v>0</v>
      </c>
      <c r="AT21" s="380">
        <f t="shared" si="2"/>
        <v>0</v>
      </c>
      <c r="AU21" s="380">
        <f t="shared" si="2"/>
        <v>0</v>
      </c>
      <c r="AV21" s="380">
        <f t="shared" si="2"/>
        <v>0</v>
      </c>
      <c r="AW21" s="380">
        <f t="shared" si="2"/>
        <v>0</v>
      </c>
      <c r="AX21" s="380">
        <f t="shared" si="2"/>
        <v>0</v>
      </c>
      <c r="AY21" s="380">
        <f t="shared" si="2"/>
        <v>0</v>
      </c>
      <c r="AZ21" s="380">
        <f t="shared" si="2"/>
        <v>0</v>
      </c>
      <c r="BA21" s="380">
        <f t="shared" si="2"/>
        <v>0</v>
      </c>
      <c r="BB21" s="380">
        <f t="shared" si="2"/>
        <v>0</v>
      </c>
      <c r="BC21" s="380">
        <f t="shared" si="2"/>
        <v>0</v>
      </c>
      <c r="BD21" s="380">
        <f t="shared" si="2"/>
        <v>0</v>
      </c>
      <c r="BE21" s="380">
        <f t="shared" si="2"/>
        <v>0</v>
      </c>
      <c r="BF21" s="380">
        <f t="shared" si="2"/>
        <v>0</v>
      </c>
      <c r="BG21" s="380">
        <f t="shared" si="2"/>
        <v>0</v>
      </c>
      <c r="BH21" s="380">
        <f t="shared" si="2"/>
        <v>0</v>
      </c>
      <c r="BI21" s="380">
        <f t="shared" si="2"/>
        <v>0</v>
      </c>
      <c r="BJ21" s="380">
        <f t="shared" si="2"/>
        <v>0</v>
      </c>
      <c r="BK21" s="380">
        <f t="shared" si="2"/>
        <v>0</v>
      </c>
      <c r="BL21" s="380">
        <f t="shared" si="2"/>
        <v>0</v>
      </c>
      <c r="BM21" s="380">
        <f t="shared" si="2"/>
        <v>0</v>
      </c>
      <c r="BN21" s="380">
        <f t="shared" si="2"/>
        <v>0</v>
      </c>
      <c r="BO21" s="380">
        <f t="shared" si="2"/>
        <v>0</v>
      </c>
      <c r="BP21" s="380">
        <f t="shared" si="2"/>
        <v>0</v>
      </c>
      <c r="BQ21" s="380">
        <f t="shared" si="2"/>
        <v>0</v>
      </c>
      <c r="BR21" s="380">
        <f t="shared" ref="BR21:EC21" si="3">IFERROR(BR18-SUM(BR19:BR20),)</f>
        <v>0</v>
      </c>
      <c r="BS21" s="380">
        <f t="shared" si="3"/>
        <v>0</v>
      </c>
      <c r="BT21" s="380">
        <f t="shared" si="3"/>
        <v>0</v>
      </c>
      <c r="BU21" s="380">
        <f t="shared" si="3"/>
        <v>0</v>
      </c>
      <c r="BV21" s="380">
        <f t="shared" si="3"/>
        <v>0</v>
      </c>
      <c r="BW21" s="380">
        <f t="shared" si="3"/>
        <v>0</v>
      </c>
      <c r="BX21" s="380">
        <f t="shared" si="3"/>
        <v>0</v>
      </c>
      <c r="BY21" s="380">
        <f t="shared" si="3"/>
        <v>0</v>
      </c>
      <c r="BZ21" s="380">
        <f t="shared" si="3"/>
        <v>0</v>
      </c>
      <c r="CA21" s="380">
        <f t="shared" si="3"/>
        <v>0</v>
      </c>
      <c r="CB21" s="380">
        <f t="shared" si="3"/>
        <v>0</v>
      </c>
      <c r="CC21" s="380">
        <f t="shared" si="3"/>
        <v>0</v>
      </c>
      <c r="CD21" s="380">
        <f t="shared" si="3"/>
        <v>0</v>
      </c>
      <c r="CE21" s="380">
        <f t="shared" si="3"/>
        <v>0</v>
      </c>
      <c r="CF21" s="380">
        <f t="shared" si="3"/>
        <v>0</v>
      </c>
      <c r="CG21" s="380">
        <f t="shared" si="3"/>
        <v>0</v>
      </c>
      <c r="CH21" s="380">
        <f t="shared" si="3"/>
        <v>0</v>
      </c>
      <c r="CI21" s="380">
        <f t="shared" si="3"/>
        <v>0</v>
      </c>
      <c r="CJ21" s="380">
        <f t="shared" si="3"/>
        <v>0</v>
      </c>
      <c r="CK21" s="380">
        <f t="shared" si="3"/>
        <v>0</v>
      </c>
      <c r="CL21" s="380">
        <f t="shared" si="3"/>
        <v>0</v>
      </c>
      <c r="CM21" s="380">
        <f t="shared" si="3"/>
        <v>0</v>
      </c>
      <c r="CN21" s="380">
        <f t="shared" si="3"/>
        <v>0</v>
      </c>
      <c r="CO21" s="380">
        <f t="shared" si="3"/>
        <v>0</v>
      </c>
      <c r="CP21" s="380">
        <f t="shared" si="3"/>
        <v>0</v>
      </c>
      <c r="CQ21" s="380">
        <f t="shared" si="3"/>
        <v>0</v>
      </c>
      <c r="CR21" s="380">
        <f t="shared" si="3"/>
        <v>0</v>
      </c>
      <c r="CS21" s="380">
        <f t="shared" si="3"/>
        <v>0</v>
      </c>
      <c r="CT21" s="380">
        <f t="shared" si="3"/>
        <v>0</v>
      </c>
      <c r="CU21" s="380">
        <f t="shared" si="3"/>
        <v>0</v>
      </c>
      <c r="CV21" s="380">
        <f t="shared" si="3"/>
        <v>0</v>
      </c>
      <c r="CW21" s="380">
        <f t="shared" si="3"/>
        <v>0</v>
      </c>
      <c r="CX21" s="380">
        <f t="shared" si="3"/>
        <v>0</v>
      </c>
      <c r="CY21" s="380">
        <f t="shared" si="3"/>
        <v>0</v>
      </c>
      <c r="CZ21" s="380">
        <f t="shared" si="3"/>
        <v>0</v>
      </c>
      <c r="DA21" s="380">
        <f t="shared" si="3"/>
        <v>0</v>
      </c>
      <c r="DB21" s="380">
        <f t="shared" si="3"/>
        <v>0</v>
      </c>
      <c r="DC21" s="380">
        <f t="shared" si="3"/>
        <v>0</v>
      </c>
      <c r="DD21" s="380">
        <f t="shared" si="3"/>
        <v>0</v>
      </c>
      <c r="DE21" s="380">
        <f t="shared" si="3"/>
        <v>0</v>
      </c>
      <c r="DF21" s="380">
        <f t="shared" si="3"/>
        <v>0</v>
      </c>
      <c r="DG21" s="380">
        <f t="shared" si="3"/>
        <v>0</v>
      </c>
      <c r="DH21" s="380">
        <f t="shared" si="3"/>
        <v>0</v>
      </c>
      <c r="DI21" s="380">
        <f t="shared" si="3"/>
        <v>0</v>
      </c>
      <c r="DJ21" s="380">
        <f t="shared" si="3"/>
        <v>0</v>
      </c>
      <c r="DK21" s="380">
        <f t="shared" si="3"/>
        <v>0</v>
      </c>
      <c r="DL21" s="380">
        <f t="shared" si="3"/>
        <v>0</v>
      </c>
      <c r="DM21" s="380">
        <f t="shared" si="3"/>
        <v>0</v>
      </c>
      <c r="DN21" s="380">
        <f t="shared" si="3"/>
        <v>0</v>
      </c>
      <c r="DO21" s="380">
        <f t="shared" si="3"/>
        <v>0</v>
      </c>
      <c r="DP21" s="380">
        <f t="shared" si="3"/>
        <v>0</v>
      </c>
      <c r="DQ21" s="380">
        <f t="shared" si="3"/>
        <v>0</v>
      </c>
      <c r="DR21" s="380">
        <f t="shared" si="3"/>
        <v>0</v>
      </c>
      <c r="DS21" s="380">
        <f t="shared" si="3"/>
        <v>0</v>
      </c>
      <c r="DT21" s="380">
        <f t="shared" si="3"/>
        <v>0</v>
      </c>
      <c r="DU21" s="380">
        <f t="shared" si="3"/>
        <v>0</v>
      </c>
      <c r="DV21" s="380">
        <f t="shared" si="3"/>
        <v>0</v>
      </c>
      <c r="DW21" s="380">
        <f t="shared" si="3"/>
        <v>0</v>
      </c>
      <c r="DX21" s="380">
        <f t="shared" si="3"/>
        <v>0</v>
      </c>
      <c r="DY21" s="380">
        <f t="shared" si="3"/>
        <v>0</v>
      </c>
      <c r="DZ21" s="380">
        <f t="shared" si="3"/>
        <v>0</v>
      </c>
      <c r="EA21" s="380">
        <f t="shared" si="3"/>
        <v>0</v>
      </c>
      <c r="EB21" s="380">
        <f t="shared" si="3"/>
        <v>0</v>
      </c>
      <c r="EC21" s="380">
        <f t="shared" si="3"/>
        <v>0</v>
      </c>
      <c r="ED21" s="380">
        <f>IFERROR(ED18-SUM(ED19:ED20),)</f>
        <v>0</v>
      </c>
      <c r="EE21" s="380">
        <f>IFERROR(EE18-SUM(EE19:EE20),)</f>
        <v>0</v>
      </c>
    </row>
    <row r="22" spans="2:135">
      <c r="B22" s="378"/>
      <c r="C22" s="797"/>
      <c r="D22" s="797"/>
      <c r="E22" s="797"/>
      <c r="F22" s="797"/>
      <c r="G22" s="797"/>
      <c r="H22" s="797"/>
      <c r="I22" s="797"/>
      <c r="J22" s="797"/>
      <c r="K22" s="797"/>
      <c r="L22" s="797"/>
      <c r="M22" s="797"/>
      <c r="N22" s="797"/>
      <c r="O22" s="797"/>
      <c r="P22" s="797"/>
      <c r="Q22" s="797"/>
      <c r="R22" s="797"/>
      <c r="S22" s="797"/>
      <c r="T22" s="797"/>
      <c r="U22" s="797"/>
      <c r="V22" s="797"/>
      <c r="W22" s="797"/>
      <c r="X22" s="797"/>
      <c r="Y22" s="797"/>
      <c r="Z22" s="797"/>
      <c r="AA22" s="797"/>
      <c r="AB22" s="797"/>
      <c r="AC22" s="797"/>
      <c r="AD22" s="797"/>
      <c r="AE22" s="797"/>
      <c r="AF22" s="797"/>
      <c r="AG22" s="797"/>
      <c r="AH22" s="797"/>
      <c r="AI22" s="797"/>
      <c r="AJ22" s="797"/>
      <c r="AK22" s="797"/>
      <c r="AL22" s="797"/>
      <c r="AM22" s="797"/>
      <c r="AN22" s="797"/>
      <c r="AO22" s="797"/>
      <c r="AP22" s="797"/>
      <c r="AQ22" s="797"/>
      <c r="AR22" s="797"/>
      <c r="AS22" s="797"/>
      <c r="AT22" s="797"/>
      <c r="AU22" s="797"/>
      <c r="AV22" s="797"/>
      <c r="AW22" s="797"/>
      <c r="AX22" s="797"/>
      <c r="AY22" s="797"/>
      <c r="AZ22" s="797"/>
      <c r="BA22" s="797"/>
      <c r="BB22" s="797"/>
      <c r="BC22" s="797"/>
      <c r="BD22" s="797"/>
      <c r="BE22" s="797"/>
      <c r="BF22" s="797"/>
      <c r="BG22" s="797"/>
      <c r="BH22" s="797"/>
      <c r="BI22" s="797"/>
      <c r="BJ22" s="797"/>
      <c r="BK22" s="797"/>
      <c r="BL22" s="797"/>
      <c r="BM22" s="797"/>
      <c r="BN22" s="797"/>
      <c r="BO22" s="797"/>
      <c r="BP22" s="797"/>
      <c r="BQ22" s="797"/>
      <c r="BR22" s="797"/>
      <c r="BS22" s="797"/>
      <c r="BT22" s="797"/>
      <c r="BU22" s="797"/>
      <c r="BV22" s="797"/>
      <c r="BW22" s="797"/>
      <c r="BX22" s="797"/>
      <c r="BY22" s="797"/>
      <c r="BZ22" s="797"/>
      <c r="CA22" s="797"/>
      <c r="CB22" s="797"/>
      <c r="CC22" s="797"/>
      <c r="CD22" s="797"/>
      <c r="CE22" s="797"/>
      <c r="CF22" s="797"/>
      <c r="CG22" s="797"/>
      <c r="CH22" s="797"/>
      <c r="CI22" s="797"/>
      <c r="CJ22" s="797"/>
      <c r="CK22" s="797"/>
      <c r="CL22" s="797"/>
      <c r="CM22" s="797"/>
      <c r="CN22" s="797"/>
      <c r="CO22" s="797"/>
      <c r="CP22" s="797"/>
      <c r="CQ22" s="797"/>
      <c r="CR22" s="797"/>
      <c r="CS22" s="797"/>
      <c r="CT22" s="797"/>
      <c r="CU22" s="797"/>
      <c r="CV22" s="797"/>
      <c r="CW22" s="797"/>
      <c r="CX22" s="797"/>
      <c r="CY22" s="797"/>
      <c r="CZ22" s="797"/>
      <c r="DA22" s="797"/>
      <c r="DB22" s="797"/>
      <c r="DC22" s="797"/>
      <c r="DD22" s="797"/>
      <c r="DE22" s="797"/>
      <c r="DF22" s="797"/>
      <c r="DG22" s="797"/>
      <c r="DH22" s="797"/>
      <c r="DI22" s="797"/>
      <c r="DJ22" s="797"/>
      <c r="DK22" s="797"/>
      <c r="DL22" s="797"/>
      <c r="DM22" s="797"/>
      <c r="DN22" s="797"/>
      <c r="DO22" s="797"/>
      <c r="DP22" s="797"/>
      <c r="DQ22" s="797"/>
      <c r="DR22" s="797"/>
      <c r="DS22" s="797"/>
      <c r="DT22" s="797"/>
      <c r="DU22" s="797"/>
      <c r="DV22" s="797"/>
      <c r="DW22" s="797"/>
      <c r="DX22" s="797"/>
      <c r="DY22" s="797"/>
      <c r="DZ22" s="797"/>
      <c r="EA22" s="797"/>
      <c r="EB22" s="797"/>
      <c r="EC22" s="797"/>
      <c r="ED22" s="797"/>
      <c r="EE22" s="797"/>
    </row>
  </sheetData>
  <conditionalFormatting sqref="D10 F10 D18:EE20">
    <cfRule type="expression" dxfId="5" priority="3">
      <formula>PrintFormat</formula>
    </cfRule>
  </conditionalFormatting>
  <conditionalFormatting sqref="D19:EE19">
    <cfRule type="expression" dxfId="4" priority="2">
      <formula>PrintFormat</formula>
    </cfRule>
  </conditionalFormatting>
  <conditionalFormatting sqref="N2:O2">
    <cfRule type="expression" dxfId="3" priority="1">
      <formula>PrintFormat</formula>
    </cfRule>
  </conditionalFormatting>
  <pageMargins left="0.35" right="0.35" top="0.75" bottom="0.75" header="0.4" footer="0.4"/>
  <pageSetup scale="64" orientation="portrait" r:id="rId1"/>
  <headerFooter>
    <oddHeader>&amp;C&amp;"+,Regular"&amp;9&amp;KFF0000STRICTLY CONFIDENTIAL&amp;R&amp;G</oddHeader>
    <oddFooter>&amp;L&amp;8&amp;F&amp;C&amp;8Page &amp;P of &amp;N&amp;R&amp;8&amp;D  &amp;T</oddFooter>
  </headerFooter>
  <legacyDrawingHF r:id="rId2"/>
  <extLst>
    <ext xmlns:x14="http://schemas.microsoft.com/office/spreadsheetml/2009/9/main" uri="{78C0D931-6437-407d-A8EE-F0AAD7539E65}">
      <x14:conditionalFormattings>
        <x14:conditionalFormatting xmlns:xm="http://schemas.microsoft.com/office/excel/2006/main">
          <x14:cfRule type="expression" priority="4" id="{00000000-000E-0000-1200-000004000000}">
            <xm:f>GenValidation!$BF$6</xm:f>
            <x14:dxf>
              <fill>
                <patternFill>
                  <bgColor theme="0" tint="-4.9958800012207406E-2"/>
                </patternFill>
              </fill>
            </x14:dxf>
          </x14:cfRule>
          <xm:sqref>B17:EE17</xm:sqref>
        </x14:conditionalFormatting>
      </x14:conditionalFormatting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9ED506-0B98-4C1E-A3A9-10530A394C54}">
  <sheetPr codeName="Divider3">
    <tabColor theme="1"/>
  </sheetPr>
  <dimension ref="B1:K22"/>
  <sheetViews>
    <sheetView showGridLines="0" zoomScale="80" zoomScaleNormal="80" zoomScaleSheetLayoutView="100" workbookViewId="0">
      <selection activeCell="U18" sqref="U18"/>
    </sheetView>
  </sheetViews>
  <sheetFormatPr defaultColWidth="9.140625" defaultRowHeight="13.5"/>
  <cols>
    <col min="1" max="1" width="1.28515625" style="17" customWidth="1"/>
    <col min="2" max="11" width="13.28515625" style="17" customWidth="1"/>
    <col min="12" max="12" width="9.140625" style="17" customWidth="1"/>
    <col min="13" max="16384" width="9.140625" style="17"/>
  </cols>
  <sheetData>
    <row r="1" spans="2:11" ht="15" customHeight="1">
      <c r="B1" s="16" t="s">
        <v>0</v>
      </c>
    </row>
    <row r="2" spans="2:11" ht="15" customHeight="1"/>
    <row r="3" spans="2:11" ht="15" customHeight="1"/>
    <row r="4" spans="2:11" ht="38.25" customHeight="1">
      <c r="B4" s="1035" t="s">
        <v>1</v>
      </c>
      <c r="C4" s="1022"/>
      <c r="D4" s="1022"/>
      <c r="E4" s="1022"/>
      <c r="F4" s="1022"/>
      <c r="G4" s="1022"/>
      <c r="H4" s="1022"/>
      <c r="I4" s="1022"/>
      <c r="J4" s="1022"/>
      <c r="K4" s="1022"/>
    </row>
    <row r="5" spans="2:11" ht="15" customHeight="1"/>
    <row r="6" spans="2:11" ht="15" customHeight="1"/>
    <row r="7" spans="2:11" ht="50.25" customHeight="1">
      <c r="B7" s="801" t="str">
        <f>Input!E10</f>
        <v>Chaney Place Townhomes</v>
      </c>
      <c r="C7" s="802"/>
      <c r="D7" s="802"/>
      <c r="E7" s="802"/>
      <c r="F7" s="802"/>
      <c r="G7" s="802"/>
      <c r="H7" s="802"/>
      <c r="I7" s="802"/>
      <c r="J7" s="802"/>
      <c r="K7" s="802"/>
    </row>
    <row r="8" spans="2:11" ht="39" customHeight="1">
      <c r="B8" s="803" t="str">
        <f>Input!$M$4</f>
        <v>Huntsville, AL</v>
      </c>
      <c r="C8" s="802"/>
      <c r="D8" s="802"/>
      <c r="E8" s="802"/>
      <c r="F8" s="802"/>
      <c r="G8" s="802"/>
      <c r="H8" s="802"/>
      <c r="I8" s="802"/>
      <c r="J8" s="802"/>
      <c r="K8" s="802"/>
    </row>
    <row r="9" spans="2:11" ht="15" customHeight="1"/>
    <row r="10" spans="2:11" ht="15" customHeight="1"/>
    <row r="11" spans="2:11" ht="35.25" customHeight="1">
      <c r="B11" s="21" t="s">
        <v>543</v>
      </c>
      <c r="C11" s="22"/>
      <c r="D11" s="22"/>
      <c r="E11" s="22"/>
      <c r="F11" s="23"/>
      <c r="G11" s="23"/>
      <c r="H11" s="23"/>
      <c r="I11" s="23"/>
      <c r="J11" s="23"/>
      <c r="K11" s="23"/>
    </row>
    <row r="12" spans="2:11" ht="15" customHeight="1">
      <c r="B12" s="24"/>
      <c r="C12" s="24"/>
      <c r="D12" s="24"/>
      <c r="E12" s="24"/>
      <c r="F12" s="24"/>
      <c r="G12" s="24"/>
      <c r="H12" s="24"/>
      <c r="I12" s="24"/>
      <c r="J12" s="24"/>
      <c r="K12" s="24"/>
    </row>
    <row r="13" spans="2:11" ht="15" customHeight="1">
      <c r="B13" s="24"/>
      <c r="C13" s="24"/>
      <c r="D13" s="24"/>
      <c r="E13" s="24"/>
      <c r="F13" s="24"/>
      <c r="G13" s="24"/>
      <c r="H13" s="24"/>
      <c r="I13" s="24"/>
      <c r="J13" s="24"/>
      <c r="K13" s="24"/>
    </row>
    <row r="14" spans="2:11" ht="26.25" customHeight="1">
      <c r="B14" s="24"/>
      <c r="C14" s="24"/>
      <c r="D14" s="24"/>
      <c r="E14" s="25" t="str">
        <f>(ROW()-ROW($E$12))/2&amp;". "&amp;'Operating Calculations'!$E$2</f>
        <v>1. Operating Cash Flow</v>
      </c>
      <c r="F14" s="24"/>
      <c r="G14" s="24"/>
      <c r="H14" s="24"/>
      <c r="I14" s="24"/>
      <c r="J14" s="24"/>
      <c r="K14" s="24"/>
    </row>
    <row r="15" spans="2:11" ht="26.25" customHeight="1">
      <c r="B15" s="24"/>
      <c r="C15" s="24"/>
      <c r="D15" s="24"/>
      <c r="E15" s="25"/>
      <c r="F15" s="24"/>
      <c r="G15" s="24"/>
      <c r="H15" s="24"/>
      <c r="I15" s="24"/>
      <c r="J15" s="24"/>
      <c r="K15" s="24"/>
    </row>
    <row r="16" spans="2:11" ht="26.25" customHeight="1">
      <c r="B16" s="24"/>
      <c r="C16" s="24"/>
      <c r="D16" s="24"/>
      <c r="E16" s="25" t="str">
        <f>(ROW()-ROW($E$12))/2&amp;". "&amp;'CF Calculations'!$E$2</f>
        <v>2. Leveraged Cash Flow</v>
      </c>
      <c r="F16" s="24"/>
      <c r="G16" s="24"/>
      <c r="H16" s="24"/>
      <c r="I16" s="24"/>
      <c r="J16" s="24"/>
      <c r="K16" s="24"/>
    </row>
    <row r="17" spans="2:11" ht="26.25" customHeight="1">
      <c r="B17" s="24"/>
      <c r="C17" s="24"/>
      <c r="D17" s="24"/>
      <c r="E17" s="26"/>
      <c r="F17" s="24"/>
      <c r="G17" s="24"/>
      <c r="H17" s="24"/>
      <c r="I17" s="24"/>
      <c r="J17" s="24"/>
      <c r="K17" s="24"/>
    </row>
    <row r="18" spans="2:11" ht="26.25" customHeight="1">
      <c r="B18" s="24"/>
      <c r="C18" s="24"/>
      <c r="D18" s="24"/>
      <c r="E18" s="25"/>
      <c r="F18" s="24"/>
      <c r="G18" s="24"/>
      <c r="H18" s="24"/>
      <c r="I18" s="24"/>
      <c r="J18" s="24"/>
      <c r="K18" s="24"/>
    </row>
    <row r="19" spans="2:11" ht="26.25" customHeight="1">
      <c r="B19" s="24"/>
      <c r="C19" s="24"/>
      <c r="D19" s="24"/>
      <c r="E19" s="26"/>
      <c r="F19" s="24"/>
      <c r="G19" s="24"/>
      <c r="H19" s="24"/>
      <c r="I19" s="24"/>
      <c r="J19" s="24"/>
      <c r="K19" s="24"/>
    </row>
    <row r="20" spans="2:11" ht="26.25" customHeight="1">
      <c r="B20" s="24"/>
      <c r="C20" s="24"/>
      <c r="D20" s="24"/>
      <c r="E20" s="25"/>
      <c r="F20" s="24"/>
      <c r="G20" s="24"/>
      <c r="H20" s="24"/>
      <c r="I20" s="24"/>
      <c r="J20" s="24"/>
      <c r="K20" s="24"/>
    </row>
    <row r="21" spans="2:11" ht="26.25" customHeight="1">
      <c r="B21" s="24"/>
      <c r="C21" s="24"/>
      <c r="D21" s="24"/>
      <c r="E21" s="27"/>
      <c r="F21" s="24"/>
      <c r="G21" s="24"/>
      <c r="H21" s="24"/>
      <c r="I21" s="24"/>
      <c r="J21" s="24"/>
      <c r="K21" s="24"/>
    </row>
    <row r="22" spans="2:11">
      <c r="B22" s="24"/>
      <c r="C22" s="24"/>
      <c r="D22" s="24"/>
      <c r="E22" s="24"/>
      <c r="F22" s="24"/>
      <c r="G22" s="24"/>
      <c r="H22" s="24"/>
      <c r="I22" s="24"/>
      <c r="J22" s="24"/>
      <c r="K22" s="24"/>
    </row>
  </sheetData>
  <pageMargins left="0.45" right="0.45" top="0.7" bottom="0.5" header="0.25" footer="0.31"/>
  <pageSetup scale="80" orientation="portrait" r:id="rId1"/>
  <headerFooter scaleWithDoc="0">
    <oddHeader>&amp;C&amp;"Gill Sans for CW,Regular"&amp;8&amp;KFF0000STRICTLY CONFIDENTIAL</oddHeader>
    <oddFooter>&amp;L&amp;8&amp;F&amp;C&amp;8Page &amp;P of &amp;N&amp;R&amp;8&amp;D  &amp;T</odd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1FE2CD-CD75-4ABA-9B64-7BDCCC7F7605}">
  <sheetPr codeName="CalcResidCF"/>
  <dimension ref="A1:ET163"/>
  <sheetViews>
    <sheetView showGridLines="0" zoomScale="90" zoomScaleNormal="90" zoomScaleSheetLayoutView="100" workbookViewId="0">
      <pane xSplit="2" ySplit="6" topLeftCell="C64" activePane="bottomRight" state="frozen"/>
      <selection activeCell="L26" sqref="L26"/>
      <selection pane="topRight" activeCell="L26" sqref="L26"/>
      <selection pane="bottomLeft" activeCell="L26" sqref="L26"/>
      <selection pane="bottomRight" activeCell="E2" sqref="E2"/>
    </sheetView>
  </sheetViews>
  <sheetFormatPr defaultColWidth="9.140625" defaultRowHeight="12.75" outlineLevelRow="1" outlineLevelCol="1"/>
  <cols>
    <col min="1" max="1" width="1.7109375" customWidth="1"/>
    <col min="2" max="2" width="41.85546875" customWidth="1"/>
    <col min="3" max="5" width="12.7109375" customWidth="1"/>
    <col min="6" max="6" width="13" customWidth="1"/>
    <col min="7" max="12" width="12.7109375" customWidth="1"/>
    <col min="13" max="13" width="12.7109375" hidden="1" customWidth="1" outlineLevel="1"/>
    <col min="14" max="14" width="2" hidden="1" customWidth="1" outlineLevel="1"/>
    <col min="15" max="15" width="12.7109375" hidden="1" customWidth="1" outlineLevel="1"/>
    <col min="16" max="16" width="4.85546875" customWidth="1" collapsed="1"/>
    <col min="17" max="53" width="11.28515625" customWidth="1"/>
    <col min="54" max="149" width="11.28515625" hidden="1" customWidth="1" outlineLevel="1"/>
    <col min="150" max="150" width="8.85546875" customWidth="1" collapsed="1"/>
  </cols>
  <sheetData>
    <row r="1" spans="1:150">
      <c r="A1" s="192"/>
      <c r="B1" s="687" t="s">
        <v>0</v>
      </c>
      <c r="C1" s="192"/>
      <c r="D1" s="192"/>
      <c r="E1" s="192"/>
      <c r="F1" s="192"/>
      <c r="G1" s="192"/>
      <c r="H1" s="192"/>
      <c r="I1" s="192"/>
      <c r="J1" s="192"/>
      <c r="K1" s="192"/>
      <c r="L1" s="192"/>
      <c r="M1" s="192"/>
      <c r="N1" s="192"/>
      <c r="O1" s="192"/>
      <c r="P1" s="192"/>
      <c r="Q1" s="192"/>
      <c r="R1" s="192"/>
      <c r="S1" s="192"/>
      <c r="T1" s="192"/>
      <c r="U1" s="192"/>
      <c r="V1" s="192"/>
      <c r="W1" s="192"/>
      <c r="X1" s="192"/>
      <c r="Y1" s="192"/>
      <c r="Z1" s="192"/>
      <c r="AA1" s="192"/>
      <c r="AB1" s="192"/>
      <c r="AC1" s="192"/>
      <c r="AD1" s="192"/>
      <c r="AE1" s="192"/>
      <c r="AF1" s="192"/>
      <c r="AG1" s="192"/>
      <c r="AH1" s="192"/>
      <c r="AI1" s="192"/>
      <c r="AJ1" s="192"/>
      <c r="AK1" s="192"/>
      <c r="AL1" s="192"/>
      <c r="AM1" s="192"/>
      <c r="AN1" s="192"/>
      <c r="AO1" s="192"/>
      <c r="AP1" s="192"/>
      <c r="AQ1" s="192"/>
      <c r="AR1" s="192"/>
      <c r="AS1" s="192"/>
      <c r="AT1" s="192"/>
      <c r="AU1" s="192"/>
      <c r="AV1" s="192"/>
      <c r="AW1" s="192"/>
      <c r="AX1" s="192"/>
      <c r="AY1" s="192"/>
      <c r="AZ1" s="192"/>
      <c r="BA1" s="192"/>
      <c r="BB1" s="192"/>
      <c r="BC1" s="192"/>
      <c r="BD1" s="192"/>
      <c r="BE1" s="192"/>
      <c r="BF1" s="192"/>
      <c r="BG1" s="192"/>
      <c r="BH1" s="192"/>
      <c r="BI1" s="192"/>
      <c r="BJ1" s="192"/>
      <c r="BK1" s="192"/>
      <c r="BL1" s="192"/>
      <c r="BM1" s="192"/>
      <c r="BN1" s="192"/>
      <c r="BO1" s="192"/>
      <c r="BP1" s="192"/>
      <c r="BQ1" s="192"/>
      <c r="BR1" s="192"/>
      <c r="BS1" s="192"/>
      <c r="BT1" s="192"/>
      <c r="BU1" s="192"/>
      <c r="BV1" s="192"/>
      <c r="BW1" s="192"/>
      <c r="BX1" s="192"/>
      <c r="BY1" s="192"/>
      <c r="BZ1" s="192"/>
      <c r="CA1" s="192"/>
      <c r="CB1" s="192"/>
      <c r="CC1" s="192"/>
      <c r="CD1" s="192"/>
      <c r="CE1" s="192"/>
      <c r="CF1" s="192"/>
      <c r="CG1" s="192"/>
      <c r="CH1" s="192"/>
      <c r="CI1" s="192"/>
      <c r="CJ1" s="192"/>
      <c r="CK1" s="192"/>
      <c r="CL1" s="192"/>
      <c r="CM1" s="192"/>
      <c r="CN1" s="192"/>
      <c r="CO1" s="192"/>
      <c r="CP1" s="192"/>
      <c r="CQ1" s="192"/>
      <c r="CR1" s="192"/>
      <c r="CS1" s="192"/>
      <c r="CT1" s="192"/>
      <c r="CU1" s="192"/>
      <c r="CV1" s="192"/>
      <c r="CW1" s="192"/>
      <c r="CX1" s="192"/>
      <c r="CY1" s="192"/>
      <c r="CZ1" s="192"/>
      <c r="DA1" s="192"/>
      <c r="DB1" s="192"/>
      <c r="DC1" s="192"/>
      <c r="DD1" s="192"/>
      <c r="DE1" s="192"/>
      <c r="DF1" s="192"/>
      <c r="DG1" s="192"/>
      <c r="DH1" s="192"/>
      <c r="DI1" s="192"/>
      <c r="DJ1" s="192"/>
      <c r="DK1" s="192"/>
      <c r="DL1" s="192"/>
      <c r="DM1" s="192"/>
      <c r="DN1" s="192"/>
      <c r="DO1" s="192"/>
      <c r="DP1" s="192"/>
      <c r="DQ1" s="192"/>
      <c r="DR1" s="192"/>
      <c r="DS1" s="192"/>
      <c r="DT1" s="192"/>
      <c r="DU1" s="192"/>
      <c r="DV1" s="192"/>
      <c r="DW1" s="192"/>
      <c r="DX1" s="192"/>
      <c r="DY1" s="192"/>
      <c r="DZ1" s="192"/>
      <c r="EA1" s="192"/>
      <c r="EB1" s="192"/>
      <c r="EC1" s="192"/>
      <c r="ED1" s="192"/>
      <c r="EE1" s="192"/>
      <c r="EF1" s="192"/>
      <c r="EG1" s="192"/>
      <c r="EH1" s="192"/>
      <c r="EI1" s="192"/>
      <c r="EJ1" s="192"/>
      <c r="EK1" s="192"/>
      <c r="EL1" s="192"/>
      <c r="EM1" s="192"/>
      <c r="EN1" s="192"/>
      <c r="EO1" s="192"/>
      <c r="EP1" s="192"/>
      <c r="EQ1" s="192"/>
      <c r="ER1" s="192"/>
      <c r="ES1" s="192"/>
      <c r="ET1" s="192"/>
    </row>
    <row r="2" spans="1:150" s="192" customFormat="1" ht="18.75">
      <c r="B2" s="1041" t="str">
        <f>Input!E10</f>
        <v>Chaney Place Townhomes</v>
      </c>
      <c r="C2" s="190"/>
      <c r="D2" s="208"/>
      <c r="E2" s="1005" t="s">
        <v>544</v>
      </c>
      <c r="F2" s="190"/>
      <c r="G2" s="190"/>
      <c r="H2" s="190"/>
      <c r="I2" s="190"/>
      <c r="J2" s="190"/>
      <c r="K2" s="190"/>
      <c r="L2" s="1053" t="str">
        <f>Input!M4</f>
        <v>Huntsville, AL</v>
      </c>
    </row>
    <row r="3" spans="1:150">
      <c r="A3" s="192"/>
      <c r="B3" s="192"/>
      <c r="C3" s="192"/>
      <c r="D3" s="192"/>
      <c r="E3" s="192"/>
      <c r="F3" s="192"/>
      <c r="G3" s="192"/>
      <c r="H3" s="192"/>
      <c r="I3" s="192"/>
      <c r="J3" s="192"/>
      <c r="K3" s="192"/>
      <c r="L3" s="192"/>
      <c r="M3" s="192"/>
      <c r="N3" s="192"/>
      <c r="O3" s="192"/>
      <c r="P3" s="192"/>
      <c r="Q3" s="192"/>
      <c r="R3" s="192"/>
      <c r="S3" s="192"/>
      <c r="T3" s="192"/>
      <c r="U3" s="192"/>
      <c r="V3" s="192"/>
      <c r="W3" s="192"/>
      <c r="X3" s="192"/>
      <c r="Y3" s="192"/>
      <c r="Z3" s="192"/>
      <c r="AA3" s="192"/>
      <c r="AB3" s="192"/>
      <c r="AC3" s="192"/>
      <c r="AD3" s="192"/>
      <c r="AE3" s="192"/>
      <c r="AF3" s="192"/>
      <c r="AG3" s="192"/>
      <c r="AH3" s="192"/>
      <c r="AI3" s="192"/>
      <c r="AJ3" s="192"/>
      <c r="AK3" s="192"/>
      <c r="AL3" s="192"/>
      <c r="AM3" s="192"/>
      <c r="AN3" s="192"/>
      <c r="AO3" s="192"/>
      <c r="AP3" s="192"/>
      <c r="AQ3" s="192"/>
      <c r="AR3" s="192"/>
      <c r="AS3" s="192"/>
      <c r="AT3" s="192"/>
      <c r="AU3" s="192"/>
      <c r="AV3" s="192"/>
      <c r="AW3" s="192"/>
      <c r="AX3" s="192"/>
      <c r="AY3" s="192"/>
      <c r="AZ3" s="192"/>
      <c r="BA3" s="192"/>
      <c r="BB3" s="192"/>
      <c r="BC3" s="192"/>
      <c r="BD3" s="192"/>
      <c r="BE3" s="192"/>
      <c r="BF3" s="192"/>
      <c r="BG3" s="192"/>
      <c r="BH3" s="192"/>
      <c r="BI3" s="192"/>
      <c r="BJ3" s="192"/>
      <c r="BK3" s="192"/>
      <c r="BL3" s="192"/>
      <c r="BM3" s="192"/>
      <c r="BN3" s="192"/>
      <c r="BO3" s="192"/>
      <c r="BP3" s="192"/>
      <c r="BQ3" s="192"/>
      <c r="BR3" s="192"/>
      <c r="BS3" s="192"/>
      <c r="BT3" s="192"/>
      <c r="BU3" s="192"/>
      <c r="BV3" s="192"/>
      <c r="BW3" s="192"/>
      <c r="BX3" s="192"/>
      <c r="BY3" s="192"/>
      <c r="BZ3" s="192"/>
      <c r="CA3" s="192"/>
      <c r="CB3" s="192"/>
      <c r="CC3" s="192"/>
      <c r="CD3" s="192"/>
      <c r="CE3" s="192"/>
      <c r="CF3" s="192"/>
      <c r="CG3" s="192"/>
      <c r="CH3" s="192"/>
      <c r="CI3" s="192"/>
      <c r="CJ3" s="192"/>
      <c r="CK3" s="192"/>
      <c r="CL3" s="192"/>
      <c r="CM3" s="192"/>
      <c r="CN3" s="192"/>
      <c r="CO3" s="192"/>
      <c r="CP3" s="192"/>
      <c r="CQ3" s="192"/>
      <c r="CR3" s="192"/>
      <c r="CS3" s="192"/>
      <c r="CT3" s="192"/>
      <c r="CU3" s="192"/>
      <c r="CV3" s="192"/>
      <c r="CW3" s="192"/>
      <c r="CX3" s="192"/>
      <c r="CY3" s="192"/>
      <c r="CZ3" s="192"/>
      <c r="DA3" s="192"/>
      <c r="DB3" s="192"/>
      <c r="DC3" s="192"/>
      <c r="DD3" s="192"/>
      <c r="DE3" s="192"/>
      <c r="DF3" s="192"/>
      <c r="DG3" s="192"/>
      <c r="DH3" s="192"/>
      <c r="DI3" s="192"/>
      <c r="DJ3" s="192"/>
      <c r="DK3" s="192"/>
      <c r="DL3" s="192"/>
      <c r="DM3" s="192"/>
      <c r="DN3" s="192"/>
      <c r="DO3" s="192"/>
      <c r="DP3" s="192"/>
      <c r="DQ3" s="192"/>
      <c r="DR3" s="192"/>
      <c r="DS3" s="192"/>
      <c r="DT3" s="192"/>
      <c r="DU3" s="192"/>
      <c r="DV3" s="192"/>
      <c r="DW3" s="192"/>
      <c r="DX3" s="192"/>
      <c r="DY3" s="192"/>
      <c r="DZ3" s="192"/>
      <c r="EA3" s="192"/>
      <c r="EB3" s="192"/>
      <c r="EC3" s="192"/>
      <c r="ED3" s="192"/>
      <c r="EE3" s="192"/>
      <c r="EF3" s="192"/>
      <c r="EG3" s="192"/>
      <c r="EH3" s="192"/>
      <c r="EI3" s="192"/>
      <c r="EJ3" s="192"/>
      <c r="EK3" s="192"/>
      <c r="EL3" s="192"/>
      <c r="EM3" s="192"/>
      <c r="EN3" s="192"/>
      <c r="EO3" s="192"/>
      <c r="EP3" s="192"/>
      <c r="EQ3" s="192"/>
      <c r="ER3" s="192"/>
      <c r="ES3" s="192"/>
      <c r="ET3" s="192"/>
    </row>
    <row r="4" spans="1:150" ht="13.5">
      <c r="A4" s="192"/>
      <c r="B4" s="192"/>
      <c r="C4" s="804">
        <f>EOMONTH(ClosingDate,12)</f>
        <v>46477</v>
      </c>
      <c r="D4" s="804">
        <f t="shared" ref="D4:M4" si="0">EOMONTH(C4,12)</f>
        <v>46843</v>
      </c>
      <c r="E4" s="804">
        <f t="shared" si="0"/>
        <v>47208</v>
      </c>
      <c r="F4" s="804">
        <f t="shared" si="0"/>
        <v>47573</v>
      </c>
      <c r="G4" s="804">
        <f t="shared" si="0"/>
        <v>47938</v>
      </c>
      <c r="H4" s="804">
        <f t="shared" si="0"/>
        <v>48304</v>
      </c>
      <c r="I4" s="804">
        <f t="shared" si="0"/>
        <v>48669</v>
      </c>
      <c r="J4" s="804">
        <f t="shared" si="0"/>
        <v>49034</v>
      </c>
      <c r="K4" s="804">
        <f t="shared" si="0"/>
        <v>49399</v>
      </c>
      <c r="L4" s="804">
        <f t="shared" si="0"/>
        <v>49765</v>
      </c>
      <c r="M4" s="804">
        <f t="shared" si="0"/>
        <v>50130</v>
      </c>
      <c r="N4" s="192"/>
      <c r="O4" s="1054" t="s">
        <v>139</v>
      </c>
      <c r="P4" s="192"/>
      <c r="Q4" s="804"/>
      <c r="R4" s="804">
        <f>EOMONTH(ClosingDate,1)</f>
        <v>46142</v>
      </c>
      <c r="S4" s="804">
        <f t="shared" ref="S4:AX4" si="1">EOMONTH(R4,1)</f>
        <v>46173</v>
      </c>
      <c r="T4" s="804">
        <f t="shared" si="1"/>
        <v>46203</v>
      </c>
      <c r="U4" s="804">
        <f t="shared" si="1"/>
        <v>46234</v>
      </c>
      <c r="V4" s="804">
        <f t="shared" si="1"/>
        <v>46265</v>
      </c>
      <c r="W4" s="804">
        <f t="shared" si="1"/>
        <v>46295</v>
      </c>
      <c r="X4" s="804">
        <f t="shared" si="1"/>
        <v>46326</v>
      </c>
      <c r="Y4" s="804">
        <f t="shared" si="1"/>
        <v>46356</v>
      </c>
      <c r="Z4" s="804">
        <f t="shared" si="1"/>
        <v>46387</v>
      </c>
      <c r="AA4" s="804">
        <f t="shared" si="1"/>
        <v>46418</v>
      </c>
      <c r="AB4" s="804">
        <f t="shared" si="1"/>
        <v>46446</v>
      </c>
      <c r="AC4" s="804">
        <f t="shared" si="1"/>
        <v>46477</v>
      </c>
      <c r="AD4" s="804">
        <f t="shared" si="1"/>
        <v>46507</v>
      </c>
      <c r="AE4" s="804">
        <f t="shared" si="1"/>
        <v>46538</v>
      </c>
      <c r="AF4" s="804">
        <f t="shared" si="1"/>
        <v>46568</v>
      </c>
      <c r="AG4" s="804">
        <f t="shared" si="1"/>
        <v>46599</v>
      </c>
      <c r="AH4" s="804">
        <f t="shared" si="1"/>
        <v>46630</v>
      </c>
      <c r="AI4" s="804">
        <f t="shared" si="1"/>
        <v>46660</v>
      </c>
      <c r="AJ4" s="804">
        <f t="shared" si="1"/>
        <v>46691</v>
      </c>
      <c r="AK4" s="804">
        <f t="shared" si="1"/>
        <v>46721</v>
      </c>
      <c r="AL4" s="804">
        <f t="shared" si="1"/>
        <v>46752</v>
      </c>
      <c r="AM4" s="804">
        <f t="shared" si="1"/>
        <v>46783</v>
      </c>
      <c r="AN4" s="804">
        <f t="shared" si="1"/>
        <v>46812</v>
      </c>
      <c r="AO4" s="804">
        <f t="shared" si="1"/>
        <v>46843</v>
      </c>
      <c r="AP4" s="804">
        <f t="shared" si="1"/>
        <v>46873</v>
      </c>
      <c r="AQ4" s="804">
        <f t="shared" si="1"/>
        <v>46904</v>
      </c>
      <c r="AR4" s="804">
        <f t="shared" si="1"/>
        <v>46934</v>
      </c>
      <c r="AS4" s="804">
        <f t="shared" si="1"/>
        <v>46965</v>
      </c>
      <c r="AT4" s="804">
        <f t="shared" si="1"/>
        <v>46996</v>
      </c>
      <c r="AU4" s="804">
        <f t="shared" si="1"/>
        <v>47026</v>
      </c>
      <c r="AV4" s="804">
        <f t="shared" si="1"/>
        <v>47057</v>
      </c>
      <c r="AW4" s="804">
        <f t="shared" si="1"/>
        <v>47087</v>
      </c>
      <c r="AX4" s="804">
        <f t="shared" si="1"/>
        <v>47118</v>
      </c>
      <c r="AY4" s="804">
        <f t="shared" ref="AY4:CD4" si="2">EOMONTH(AX4,1)</f>
        <v>47149</v>
      </c>
      <c r="AZ4" s="804">
        <f t="shared" si="2"/>
        <v>47177</v>
      </c>
      <c r="BA4" s="804">
        <f t="shared" si="2"/>
        <v>47208</v>
      </c>
      <c r="BB4" s="804">
        <f t="shared" si="2"/>
        <v>47238</v>
      </c>
      <c r="BC4" s="804">
        <f t="shared" si="2"/>
        <v>47269</v>
      </c>
      <c r="BD4" s="804">
        <f t="shared" si="2"/>
        <v>47299</v>
      </c>
      <c r="BE4" s="804">
        <f t="shared" si="2"/>
        <v>47330</v>
      </c>
      <c r="BF4" s="804">
        <f t="shared" si="2"/>
        <v>47361</v>
      </c>
      <c r="BG4" s="804">
        <f t="shared" si="2"/>
        <v>47391</v>
      </c>
      <c r="BH4" s="804">
        <f t="shared" si="2"/>
        <v>47422</v>
      </c>
      <c r="BI4" s="804">
        <f t="shared" si="2"/>
        <v>47452</v>
      </c>
      <c r="BJ4" s="804">
        <f t="shared" si="2"/>
        <v>47483</v>
      </c>
      <c r="BK4" s="804">
        <f t="shared" si="2"/>
        <v>47514</v>
      </c>
      <c r="BL4" s="804">
        <f t="shared" si="2"/>
        <v>47542</v>
      </c>
      <c r="BM4" s="804">
        <f t="shared" si="2"/>
        <v>47573</v>
      </c>
      <c r="BN4" s="804">
        <f t="shared" si="2"/>
        <v>47603</v>
      </c>
      <c r="BO4" s="804">
        <f t="shared" si="2"/>
        <v>47634</v>
      </c>
      <c r="BP4" s="804">
        <f t="shared" si="2"/>
        <v>47664</v>
      </c>
      <c r="BQ4" s="804">
        <f t="shared" si="2"/>
        <v>47695</v>
      </c>
      <c r="BR4" s="804">
        <f t="shared" si="2"/>
        <v>47726</v>
      </c>
      <c r="BS4" s="804">
        <f t="shared" si="2"/>
        <v>47756</v>
      </c>
      <c r="BT4" s="804">
        <f t="shared" si="2"/>
        <v>47787</v>
      </c>
      <c r="BU4" s="804">
        <f t="shared" si="2"/>
        <v>47817</v>
      </c>
      <c r="BV4" s="804">
        <f t="shared" si="2"/>
        <v>47848</v>
      </c>
      <c r="BW4" s="804">
        <f t="shared" si="2"/>
        <v>47879</v>
      </c>
      <c r="BX4" s="804">
        <f t="shared" si="2"/>
        <v>47907</v>
      </c>
      <c r="BY4" s="804">
        <f t="shared" si="2"/>
        <v>47938</v>
      </c>
      <c r="BZ4" s="804">
        <f t="shared" si="2"/>
        <v>47968</v>
      </c>
      <c r="CA4" s="804">
        <f t="shared" si="2"/>
        <v>47999</v>
      </c>
      <c r="CB4" s="804">
        <f t="shared" si="2"/>
        <v>48029</v>
      </c>
      <c r="CC4" s="804">
        <f t="shared" si="2"/>
        <v>48060</v>
      </c>
      <c r="CD4" s="804">
        <f t="shared" si="2"/>
        <v>48091</v>
      </c>
      <c r="CE4" s="804">
        <f t="shared" ref="CE4:DJ4" si="3">EOMONTH(CD4,1)</f>
        <v>48121</v>
      </c>
      <c r="CF4" s="804">
        <f t="shared" si="3"/>
        <v>48152</v>
      </c>
      <c r="CG4" s="804">
        <f t="shared" si="3"/>
        <v>48182</v>
      </c>
      <c r="CH4" s="804">
        <f t="shared" si="3"/>
        <v>48213</v>
      </c>
      <c r="CI4" s="804">
        <f t="shared" si="3"/>
        <v>48244</v>
      </c>
      <c r="CJ4" s="804">
        <f t="shared" si="3"/>
        <v>48273</v>
      </c>
      <c r="CK4" s="804">
        <f t="shared" si="3"/>
        <v>48304</v>
      </c>
      <c r="CL4" s="804">
        <f t="shared" si="3"/>
        <v>48334</v>
      </c>
      <c r="CM4" s="804">
        <f t="shared" si="3"/>
        <v>48365</v>
      </c>
      <c r="CN4" s="804">
        <f t="shared" si="3"/>
        <v>48395</v>
      </c>
      <c r="CO4" s="804">
        <f t="shared" si="3"/>
        <v>48426</v>
      </c>
      <c r="CP4" s="804">
        <f t="shared" si="3"/>
        <v>48457</v>
      </c>
      <c r="CQ4" s="804">
        <f t="shared" si="3"/>
        <v>48487</v>
      </c>
      <c r="CR4" s="804">
        <f t="shared" si="3"/>
        <v>48518</v>
      </c>
      <c r="CS4" s="804">
        <f t="shared" si="3"/>
        <v>48548</v>
      </c>
      <c r="CT4" s="804">
        <f t="shared" si="3"/>
        <v>48579</v>
      </c>
      <c r="CU4" s="804">
        <f t="shared" si="3"/>
        <v>48610</v>
      </c>
      <c r="CV4" s="804">
        <f t="shared" si="3"/>
        <v>48638</v>
      </c>
      <c r="CW4" s="804">
        <f t="shared" si="3"/>
        <v>48669</v>
      </c>
      <c r="CX4" s="804">
        <f t="shared" si="3"/>
        <v>48699</v>
      </c>
      <c r="CY4" s="804">
        <f t="shared" si="3"/>
        <v>48730</v>
      </c>
      <c r="CZ4" s="804">
        <f t="shared" si="3"/>
        <v>48760</v>
      </c>
      <c r="DA4" s="804">
        <f t="shared" si="3"/>
        <v>48791</v>
      </c>
      <c r="DB4" s="804">
        <f t="shared" si="3"/>
        <v>48822</v>
      </c>
      <c r="DC4" s="804">
        <f t="shared" si="3"/>
        <v>48852</v>
      </c>
      <c r="DD4" s="804">
        <f t="shared" si="3"/>
        <v>48883</v>
      </c>
      <c r="DE4" s="804">
        <f t="shared" si="3"/>
        <v>48913</v>
      </c>
      <c r="DF4" s="804">
        <f t="shared" si="3"/>
        <v>48944</v>
      </c>
      <c r="DG4" s="804">
        <f t="shared" si="3"/>
        <v>48975</v>
      </c>
      <c r="DH4" s="804">
        <f t="shared" si="3"/>
        <v>49003</v>
      </c>
      <c r="DI4" s="804">
        <f t="shared" si="3"/>
        <v>49034</v>
      </c>
      <c r="DJ4" s="804">
        <f t="shared" si="3"/>
        <v>49064</v>
      </c>
      <c r="DK4" s="804">
        <f t="shared" ref="DK4:ES4" si="4">EOMONTH(DJ4,1)</f>
        <v>49095</v>
      </c>
      <c r="DL4" s="804">
        <f t="shared" si="4"/>
        <v>49125</v>
      </c>
      <c r="DM4" s="804">
        <f t="shared" si="4"/>
        <v>49156</v>
      </c>
      <c r="DN4" s="804">
        <f t="shared" si="4"/>
        <v>49187</v>
      </c>
      <c r="DO4" s="804">
        <f t="shared" si="4"/>
        <v>49217</v>
      </c>
      <c r="DP4" s="804">
        <f t="shared" si="4"/>
        <v>49248</v>
      </c>
      <c r="DQ4" s="804">
        <f t="shared" si="4"/>
        <v>49278</v>
      </c>
      <c r="DR4" s="804">
        <f t="shared" si="4"/>
        <v>49309</v>
      </c>
      <c r="DS4" s="804">
        <f t="shared" si="4"/>
        <v>49340</v>
      </c>
      <c r="DT4" s="804">
        <f t="shared" si="4"/>
        <v>49368</v>
      </c>
      <c r="DU4" s="804">
        <f t="shared" si="4"/>
        <v>49399</v>
      </c>
      <c r="DV4" s="804">
        <f t="shared" si="4"/>
        <v>49429</v>
      </c>
      <c r="DW4" s="804">
        <f t="shared" si="4"/>
        <v>49460</v>
      </c>
      <c r="DX4" s="804">
        <f t="shared" si="4"/>
        <v>49490</v>
      </c>
      <c r="DY4" s="804">
        <f t="shared" si="4"/>
        <v>49521</v>
      </c>
      <c r="DZ4" s="804">
        <f t="shared" si="4"/>
        <v>49552</v>
      </c>
      <c r="EA4" s="804">
        <f t="shared" si="4"/>
        <v>49582</v>
      </c>
      <c r="EB4" s="804">
        <f t="shared" si="4"/>
        <v>49613</v>
      </c>
      <c r="EC4" s="804">
        <f t="shared" si="4"/>
        <v>49643</v>
      </c>
      <c r="ED4" s="804">
        <f t="shared" si="4"/>
        <v>49674</v>
      </c>
      <c r="EE4" s="804">
        <f t="shared" si="4"/>
        <v>49705</v>
      </c>
      <c r="EF4" s="804">
        <f t="shared" si="4"/>
        <v>49734</v>
      </c>
      <c r="EG4" s="804">
        <f t="shared" si="4"/>
        <v>49765</v>
      </c>
      <c r="EH4" s="804">
        <f t="shared" si="4"/>
        <v>49795</v>
      </c>
      <c r="EI4" s="804">
        <f t="shared" si="4"/>
        <v>49826</v>
      </c>
      <c r="EJ4" s="804">
        <f t="shared" si="4"/>
        <v>49856</v>
      </c>
      <c r="EK4" s="804">
        <f t="shared" si="4"/>
        <v>49887</v>
      </c>
      <c r="EL4" s="804">
        <f t="shared" si="4"/>
        <v>49918</v>
      </c>
      <c r="EM4" s="804">
        <f t="shared" si="4"/>
        <v>49948</v>
      </c>
      <c r="EN4" s="804">
        <f t="shared" si="4"/>
        <v>49979</v>
      </c>
      <c r="EO4" s="804">
        <f t="shared" si="4"/>
        <v>50009</v>
      </c>
      <c r="EP4" s="804">
        <f t="shared" si="4"/>
        <v>50040</v>
      </c>
      <c r="EQ4" s="804">
        <f t="shared" si="4"/>
        <v>50071</v>
      </c>
      <c r="ER4" s="804">
        <f t="shared" si="4"/>
        <v>50099</v>
      </c>
      <c r="ES4" s="804">
        <f t="shared" si="4"/>
        <v>50130</v>
      </c>
      <c r="ET4" s="192"/>
    </row>
    <row r="5" spans="1:150">
      <c r="A5" s="192"/>
      <c r="B5" s="192"/>
      <c r="C5" s="1052">
        <v>1</v>
      </c>
      <c r="D5" s="1052">
        <v>2</v>
      </c>
      <c r="E5" s="1052">
        <v>3</v>
      </c>
      <c r="F5" s="1052">
        <v>4</v>
      </c>
      <c r="G5" s="1052">
        <v>5</v>
      </c>
      <c r="H5" s="1052">
        <v>6</v>
      </c>
      <c r="I5" s="1052">
        <v>7</v>
      </c>
      <c r="J5" s="1052">
        <v>8</v>
      </c>
      <c r="K5" s="1052">
        <v>9</v>
      </c>
      <c r="L5" s="1052">
        <v>10</v>
      </c>
      <c r="M5" s="1052">
        <v>11</v>
      </c>
      <c r="N5" s="192"/>
      <c r="O5" s="1054" t="s">
        <v>545</v>
      </c>
      <c r="P5" s="192"/>
      <c r="Q5" s="1055">
        <v>0</v>
      </c>
      <c r="R5" s="1056">
        <f t="shared" ref="R5:AW5" si="5">Q5+1</f>
        <v>1</v>
      </c>
      <c r="S5" s="1056">
        <f t="shared" si="5"/>
        <v>2</v>
      </c>
      <c r="T5" s="1056">
        <f t="shared" si="5"/>
        <v>3</v>
      </c>
      <c r="U5" s="1056">
        <f t="shared" si="5"/>
        <v>4</v>
      </c>
      <c r="V5" s="1056">
        <f t="shared" si="5"/>
        <v>5</v>
      </c>
      <c r="W5" s="1056">
        <f t="shared" si="5"/>
        <v>6</v>
      </c>
      <c r="X5" s="1056">
        <f t="shared" si="5"/>
        <v>7</v>
      </c>
      <c r="Y5" s="1056">
        <f t="shared" si="5"/>
        <v>8</v>
      </c>
      <c r="Z5" s="1056">
        <f t="shared" si="5"/>
        <v>9</v>
      </c>
      <c r="AA5" s="1056">
        <f t="shared" si="5"/>
        <v>10</v>
      </c>
      <c r="AB5" s="1056">
        <f t="shared" si="5"/>
        <v>11</v>
      </c>
      <c r="AC5" s="1056">
        <f t="shared" si="5"/>
        <v>12</v>
      </c>
      <c r="AD5" s="1056">
        <f t="shared" si="5"/>
        <v>13</v>
      </c>
      <c r="AE5" s="1056">
        <f t="shared" si="5"/>
        <v>14</v>
      </c>
      <c r="AF5" s="1056">
        <f t="shared" si="5"/>
        <v>15</v>
      </c>
      <c r="AG5" s="1056">
        <f t="shared" si="5"/>
        <v>16</v>
      </c>
      <c r="AH5" s="1056">
        <f t="shared" si="5"/>
        <v>17</v>
      </c>
      <c r="AI5" s="1056">
        <f t="shared" si="5"/>
        <v>18</v>
      </c>
      <c r="AJ5" s="1056">
        <f t="shared" si="5"/>
        <v>19</v>
      </c>
      <c r="AK5" s="1056">
        <f t="shared" si="5"/>
        <v>20</v>
      </c>
      <c r="AL5" s="1056">
        <f t="shared" si="5"/>
        <v>21</v>
      </c>
      <c r="AM5" s="1056">
        <f t="shared" si="5"/>
        <v>22</v>
      </c>
      <c r="AN5" s="1056">
        <f t="shared" si="5"/>
        <v>23</v>
      </c>
      <c r="AO5" s="1056">
        <f t="shared" si="5"/>
        <v>24</v>
      </c>
      <c r="AP5" s="1056">
        <f t="shared" si="5"/>
        <v>25</v>
      </c>
      <c r="AQ5" s="1056">
        <f t="shared" si="5"/>
        <v>26</v>
      </c>
      <c r="AR5" s="1056">
        <f t="shared" si="5"/>
        <v>27</v>
      </c>
      <c r="AS5" s="1056">
        <f t="shared" si="5"/>
        <v>28</v>
      </c>
      <c r="AT5" s="1056">
        <f t="shared" si="5"/>
        <v>29</v>
      </c>
      <c r="AU5" s="1056">
        <f t="shared" si="5"/>
        <v>30</v>
      </c>
      <c r="AV5" s="1056">
        <f t="shared" si="5"/>
        <v>31</v>
      </c>
      <c r="AW5" s="1056">
        <f t="shared" si="5"/>
        <v>32</v>
      </c>
      <c r="AX5" s="1056">
        <f t="shared" ref="AX5:CC5" si="6">AW5+1</f>
        <v>33</v>
      </c>
      <c r="AY5" s="1056">
        <f t="shared" si="6"/>
        <v>34</v>
      </c>
      <c r="AZ5" s="1056">
        <f t="shared" si="6"/>
        <v>35</v>
      </c>
      <c r="BA5" s="1056">
        <f t="shared" si="6"/>
        <v>36</v>
      </c>
      <c r="BB5" s="1056">
        <f t="shared" si="6"/>
        <v>37</v>
      </c>
      <c r="BC5" s="1056">
        <f t="shared" si="6"/>
        <v>38</v>
      </c>
      <c r="BD5" s="1056">
        <f t="shared" si="6"/>
        <v>39</v>
      </c>
      <c r="BE5" s="1056">
        <f t="shared" si="6"/>
        <v>40</v>
      </c>
      <c r="BF5" s="1056">
        <f t="shared" si="6"/>
        <v>41</v>
      </c>
      <c r="BG5" s="1056">
        <f t="shared" si="6"/>
        <v>42</v>
      </c>
      <c r="BH5" s="1056">
        <f t="shared" si="6"/>
        <v>43</v>
      </c>
      <c r="BI5" s="1056">
        <f t="shared" si="6"/>
        <v>44</v>
      </c>
      <c r="BJ5" s="1056">
        <f t="shared" si="6"/>
        <v>45</v>
      </c>
      <c r="BK5" s="1056">
        <f t="shared" si="6"/>
        <v>46</v>
      </c>
      <c r="BL5" s="1056">
        <f t="shared" si="6"/>
        <v>47</v>
      </c>
      <c r="BM5" s="1056">
        <f t="shared" si="6"/>
        <v>48</v>
      </c>
      <c r="BN5" s="1056">
        <f t="shared" si="6"/>
        <v>49</v>
      </c>
      <c r="BO5" s="1056">
        <f t="shared" si="6"/>
        <v>50</v>
      </c>
      <c r="BP5" s="1056">
        <f t="shared" si="6"/>
        <v>51</v>
      </c>
      <c r="BQ5" s="1056">
        <f t="shared" si="6"/>
        <v>52</v>
      </c>
      <c r="BR5" s="1056">
        <f t="shared" si="6"/>
        <v>53</v>
      </c>
      <c r="BS5" s="1056">
        <f t="shared" si="6"/>
        <v>54</v>
      </c>
      <c r="BT5" s="1056">
        <f t="shared" si="6"/>
        <v>55</v>
      </c>
      <c r="BU5" s="1056">
        <f t="shared" si="6"/>
        <v>56</v>
      </c>
      <c r="BV5" s="1056">
        <f t="shared" si="6"/>
        <v>57</v>
      </c>
      <c r="BW5" s="1056">
        <f t="shared" si="6"/>
        <v>58</v>
      </c>
      <c r="BX5" s="1056">
        <f t="shared" si="6"/>
        <v>59</v>
      </c>
      <c r="BY5" s="1056">
        <f t="shared" si="6"/>
        <v>60</v>
      </c>
      <c r="BZ5" s="1056">
        <f t="shared" si="6"/>
        <v>61</v>
      </c>
      <c r="CA5" s="1056">
        <f t="shared" si="6"/>
        <v>62</v>
      </c>
      <c r="CB5" s="1056">
        <f t="shared" si="6"/>
        <v>63</v>
      </c>
      <c r="CC5" s="1056">
        <f t="shared" si="6"/>
        <v>64</v>
      </c>
      <c r="CD5" s="1056">
        <f t="shared" ref="CD5:DI5" si="7">CC5+1</f>
        <v>65</v>
      </c>
      <c r="CE5" s="1056">
        <f t="shared" si="7"/>
        <v>66</v>
      </c>
      <c r="CF5" s="1056">
        <f t="shared" si="7"/>
        <v>67</v>
      </c>
      <c r="CG5" s="1056">
        <f t="shared" si="7"/>
        <v>68</v>
      </c>
      <c r="CH5" s="1056">
        <f t="shared" si="7"/>
        <v>69</v>
      </c>
      <c r="CI5" s="1056">
        <f t="shared" si="7"/>
        <v>70</v>
      </c>
      <c r="CJ5" s="1056">
        <f t="shared" si="7"/>
        <v>71</v>
      </c>
      <c r="CK5" s="1056">
        <f t="shared" si="7"/>
        <v>72</v>
      </c>
      <c r="CL5" s="1056">
        <f t="shared" si="7"/>
        <v>73</v>
      </c>
      <c r="CM5" s="1056">
        <f t="shared" si="7"/>
        <v>74</v>
      </c>
      <c r="CN5" s="1056">
        <f t="shared" si="7"/>
        <v>75</v>
      </c>
      <c r="CO5" s="1056">
        <f t="shared" si="7"/>
        <v>76</v>
      </c>
      <c r="CP5" s="1056">
        <f t="shared" si="7"/>
        <v>77</v>
      </c>
      <c r="CQ5" s="1056">
        <f t="shared" si="7"/>
        <v>78</v>
      </c>
      <c r="CR5" s="1056">
        <f t="shared" si="7"/>
        <v>79</v>
      </c>
      <c r="CS5" s="1056">
        <f t="shared" si="7"/>
        <v>80</v>
      </c>
      <c r="CT5" s="1056">
        <f t="shared" si="7"/>
        <v>81</v>
      </c>
      <c r="CU5" s="1056">
        <f t="shared" si="7"/>
        <v>82</v>
      </c>
      <c r="CV5" s="1056">
        <f t="shared" si="7"/>
        <v>83</v>
      </c>
      <c r="CW5" s="1056">
        <f t="shared" si="7"/>
        <v>84</v>
      </c>
      <c r="CX5" s="1056">
        <f t="shared" si="7"/>
        <v>85</v>
      </c>
      <c r="CY5" s="1056">
        <f t="shared" si="7"/>
        <v>86</v>
      </c>
      <c r="CZ5" s="1056">
        <f t="shared" si="7"/>
        <v>87</v>
      </c>
      <c r="DA5" s="1056">
        <f t="shared" si="7"/>
        <v>88</v>
      </c>
      <c r="DB5" s="1056">
        <f t="shared" si="7"/>
        <v>89</v>
      </c>
      <c r="DC5" s="1056">
        <f t="shared" si="7"/>
        <v>90</v>
      </c>
      <c r="DD5" s="1056">
        <f t="shared" si="7"/>
        <v>91</v>
      </c>
      <c r="DE5" s="1056">
        <f t="shared" si="7"/>
        <v>92</v>
      </c>
      <c r="DF5" s="1056">
        <f t="shared" si="7"/>
        <v>93</v>
      </c>
      <c r="DG5" s="1056">
        <f t="shared" si="7"/>
        <v>94</v>
      </c>
      <c r="DH5" s="1056">
        <f t="shared" si="7"/>
        <v>95</v>
      </c>
      <c r="DI5" s="1056">
        <f t="shared" si="7"/>
        <v>96</v>
      </c>
      <c r="DJ5" s="1056">
        <f t="shared" ref="DJ5:ES5" si="8">DI5+1</f>
        <v>97</v>
      </c>
      <c r="DK5" s="1056">
        <f t="shared" si="8"/>
        <v>98</v>
      </c>
      <c r="DL5" s="1056">
        <f t="shared" si="8"/>
        <v>99</v>
      </c>
      <c r="DM5" s="1056">
        <f t="shared" si="8"/>
        <v>100</v>
      </c>
      <c r="DN5" s="1056">
        <f t="shared" si="8"/>
        <v>101</v>
      </c>
      <c r="DO5" s="1056">
        <f t="shared" si="8"/>
        <v>102</v>
      </c>
      <c r="DP5" s="1056">
        <f t="shared" si="8"/>
        <v>103</v>
      </c>
      <c r="DQ5" s="1056">
        <f t="shared" si="8"/>
        <v>104</v>
      </c>
      <c r="DR5" s="1056">
        <f t="shared" si="8"/>
        <v>105</v>
      </c>
      <c r="DS5" s="1056">
        <f t="shared" si="8"/>
        <v>106</v>
      </c>
      <c r="DT5" s="1056">
        <f t="shared" si="8"/>
        <v>107</v>
      </c>
      <c r="DU5" s="1056">
        <f t="shared" si="8"/>
        <v>108</v>
      </c>
      <c r="DV5" s="1056">
        <f t="shared" si="8"/>
        <v>109</v>
      </c>
      <c r="DW5" s="1056">
        <f t="shared" si="8"/>
        <v>110</v>
      </c>
      <c r="DX5" s="1056">
        <f t="shared" si="8"/>
        <v>111</v>
      </c>
      <c r="DY5" s="1056">
        <f t="shared" si="8"/>
        <v>112</v>
      </c>
      <c r="DZ5" s="1056">
        <f t="shared" si="8"/>
        <v>113</v>
      </c>
      <c r="EA5" s="1056">
        <f t="shared" si="8"/>
        <v>114</v>
      </c>
      <c r="EB5" s="1056">
        <f t="shared" si="8"/>
        <v>115</v>
      </c>
      <c r="EC5" s="1056">
        <f t="shared" si="8"/>
        <v>116</v>
      </c>
      <c r="ED5" s="1056">
        <f t="shared" si="8"/>
        <v>117</v>
      </c>
      <c r="EE5" s="1056">
        <f t="shared" si="8"/>
        <v>118</v>
      </c>
      <c r="EF5" s="1056">
        <f t="shared" si="8"/>
        <v>119</v>
      </c>
      <c r="EG5" s="1056">
        <f t="shared" si="8"/>
        <v>120</v>
      </c>
      <c r="EH5" s="1056">
        <f t="shared" si="8"/>
        <v>121</v>
      </c>
      <c r="EI5" s="1056">
        <f t="shared" si="8"/>
        <v>122</v>
      </c>
      <c r="EJ5" s="1056">
        <f t="shared" si="8"/>
        <v>123</v>
      </c>
      <c r="EK5" s="1056">
        <f t="shared" si="8"/>
        <v>124</v>
      </c>
      <c r="EL5" s="1056">
        <f t="shared" si="8"/>
        <v>125</v>
      </c>
      <c r="EM5" s="1056">
        <f t="shared" si="8"/>
        <v>126</v>
      </c>
      <c r="EN5" s="1056">
        <f t="shared" si="8"/>
        <v>127</v>
      </c>
      <c r="EO5" s="1056">
        <f t="shared" si="8"/>
        <v>128</v>
      </c>
      <c r="EP5" s="1056">
        <f t="shared" si="8"/>
        <v>129</v>
      </c>
      <c r="EQ5" s="1056">
        <f t="shared" si="8"/>
        <v>130</v>
      </c>
      <c r="ER5" s="1056">
        <f t="shared" si="8"/>
        <v>131</v>
      </c>
      <c r="ES5" s="1056">
        <f t="shared" si="8"/>
        <v>132</v>
      </c>
      <c r="ET5" s="192"/>
    </row>
    <row r="6" spans="1:150" hidden="1" outlineLevel="1">
      <c r="A6" s="192"/>
      <c r="B6" s="192"/>
      <c r="C6" s="192"/>
      <c r="D6" s="192"/>
      <c r="E6" s="192"/>
      <c r="F6" s="192"/>
      <c r="G6" s="192"/>
      <c r="H6" s="192"/>
      <c r="I6" s="192"/>
      <c r="J6" s="192"/>
      <c r="K6" s="192"/>
      <c r="L6" s="192"/>
      <c r="M6" s="192"/>
      <c r="N6" s="192"/>
      <c r="O6" s="805">
        <f>ReversionYear</f>
        <v>8</v>
      </c>
      <c r="P6" s="192"/>
      <c r="Q6" s="806">
        <v>0</v>
      </c>
      <c r="R6" s="806">
        <f t="shared" ref="R6:AW6" si="9">ROUNDUP(R5/12,0)</f>
        <v>1</v>
      </c>
      <c r="S6" s="806">
        <f t="shared" si="9"/>
        <v>1</v>
      </c>
      <c r="T6" s="806">
        <f t="shared" si="9"/>
        <v>1</v>
      </c>
      <c r="U6" s="806">
        <f t="shared" si="9"/>
        <v>1</v>
      </c>
      <c r="V6" s="806">
        <f t="shared" si="9"/>
        <v>1</v>
      </c>
      <c r="W6" s="806">
        <f t="shared" si="9"/>
        <v>1</v>
      </c>
      <c r="X6" s="806">
        <f t="shared" si="9"/>
        <v>1</v>
      </c>
      <c r="Y6" s="806">
        <f t="shared" si="9"/>
        <v>1</v>
      </c>
      <c r="Z6" s="806">
        <f t="shared" si="9"/>
        <v>1</v>
      </c>
      <c r="AA6" s="806">
        <f t="shared" si="9"/>
        <v>1</v>
      </c>
      <c r="AB6" s="806">
        <f t="shared" si="9"/>
        <v>1</v>
      </c>
      <c r="AC6" s="806">
        <f t="shared" si="9"/>
        <v>1</v>
      </c>
      <c r="AD6" s="806">
        <f t="shared" si="9"/>
        <v>2</v>
      </c>
      <c r="AE6" s="806">
        <f t="shared" si="9"/>
        <v>2</v>
      </c>
      <c r="AF6" s="806">
        <f t="shared" si="9"/>
        <v>2</v>
      </c>
      <c r="AG6" s="806">
        <f t="shared" si="9"/>
        <v>2</v>
      </c>
      <c r="AH6" s="806">
        <f t="shared" si="9"/>
        <v>2</v>
      </c>
      <c r="AI6" s="806">
        <f t="shared" si="9"/>
        <v>2</v>
      </c>
      <c r="AJ6" s="806">
        <f t="shared" si="9"/>
        <v>2</v>
      </c>
      <c r="AK6" s="806">
        <f t="shared" si="9"/>
        <v>2</v>
      </c>
      <c r="AL6" s="806">
        <f t="shared" si="9"/>
        <v>2</v>
      </c>
      <c r="AM6" s="806">
        <f t="shared" si="9"/>
        <v>2</v>
      </c>
      <c r="AN6" s="806">
        <f t="shared" si="9"/>
        <v>2</v>
      </c>
      <c r="AO6" s="806">
        <f t="shared" si="9"/>
        <v>2</v>
      </c>
      <c r="AP6" s="806">
        <f t="shared" si="9"/>
        <v>3</v>
      </c>
      <c r="AQ6" s="806">
        <f t="shared" si="9"/>
        <v>3</v>
      </c>
      <c r="AR6" s="806">
        <f t="shared" si="9"/>
        <v>3</v>
      </c>
      <c r="AS6" s="806">
        <f t="shared" si="9"/>
        <v>3</v>
      </c>
      <c r="AT6" s="806">
        <f t="shared" si="9"/>
        <v>3</v>
      </c>
      <c r="AU6" s="806">
        <f t="shared" si="9"/>
        <v>3</v>
      </c>
      <c r="AV6" s="806">
        <f t="shared" si="9"/>
        <v>3</v>
      </c>
      <c r="AW6" s="806">
        <f t="shared" si="9"/>
        <v>3</v>
      </c>
      <c r="AX6" s="806">
        <f t="shared" ref="AX6:CC6" si="10">ROUNDUP(AX5/12,0)</f>
        <v>3</v>
      </c>
      <c r="AY6" s="806">
        <f t="shared" si="10"/>
        <v>3</v>
      </c>
      <c r="AZ6" s="806">
        <f t="shared" si="10"/>
        <v>3</v>
      </c>
      <c r="BA6" s="806">
        <f t="shared" si="10"/>
        <v>3</v>
      </c>
      <c r="BB6" s="806">
        <f t="shared" si="10"/>
        <v>4</v>
      </c>
      <c r="BC6" s="806">
        <f t="shared" si="10"/>
        <v>4</v>
      </c>
      <c r="BD6" s="806">
        <f t="shared" si="10"/>
        <v>4</v>
      </c>
      <c r="BE6" s="806">
        <f t="shared" si="10"/>
        <v>4</v>
      </c>
      <c r="BF6" s="806">
        <f t="shared" si="10"/>
        <v>4</v>
      </c>
      <c r="BG6" s="806">
        <f t="shared" si="10"/>
        <v>4</v>
      </c>
      <c r="BH6" s="806">
        <f t="shared" si="10"/>
        <v>4</v>
      </c>
      <c r="BI6" s="806">
        <f t="shared" si="10"/>
        <v>4</v>
      </c>
      <c r="BJ6" s="806">
        <f t="shared" si="10"/>
        <v>4</v>
      </c>
      <c r="BK6" s="806">
        <f t="shared" si="10"/>
        <v>4</v>
      </c>
      <c r="BL6" s="806">
        <f t="shared" si="10"/>
        <v>4</v>
      </c>
      <c r="BM6" s="806">
        <f t="shared" si="10"/>
        <v>4</v>
      </c>
      <c r="BN6" s="806">
        <f t="shared" si="10"/>
        <v>5</v>
      </c>
      <c r="BO6" s="806">
        <f t="shared" si="10"/>
        <v>5</v>
      </c>
      <c r="BP6" s="806">
        <f t="shared" si="10"/>
        <v>5</v>
      </c>
      <c r="BQ6" s="806">
        <f t="shared" si="10"/>
        <v>5</v>
      </c>
      <c r="BR6" s="806">
        <f t="shared" si="10"/>
        <v>5</v>
      </c>
      <c r="BS6" s="806">
        <f t="shared" si="10"/>
        <v>5</v>
      </c>
      <c r="BT6" s="806">
        <f t="shared" si="10"/>
        <v>5</v>
      </c>
      <c r="BU6" s="806">
        <f t="shared" si="10"/>
        <v>5</v>
      </c>
      <c r="BV6" s="806">
        <f t="shared" si="10"/>
        <v>5</v>
      </c>
      <c r="BW6" s="806">
        <f t="shared" si="10"/>
        <v>5</v>
      </c>
      <c r="BX6" s="806">
        <f t="shared" si="10"/>
        <v>5</v>
      </c>
      <c r="BY6" s="806">
        <f t="shared" si="10"/>
        <v>5</v>
      </c>
      <c r="BZ6" s="806">
        <f t="shared" si="10"/>
        <v>6</v>
      </c>
      <c r="CA6" s="806">
        <f t="shared" si="10"/>
        <v>6</v>
      </c>
      <c r="CB6" s="806">
        <f t="shared" si="10"/>
        <v>6</v>
      </c>
      <c r="CC6" s="806">
        <f t="shared" si="10"/>
        <v>6</v>
      </c>
      <c r="CD6" s="806">
        <f t="shared" ref="CD6:DI6" si="11">ROUNDUP(CD5/12,0)</f>
        <v>6</v>
      </c>
      <c r="CE6" s="806">
        <f t="shared" si="11"/>
        <v>6</v>
      </c>
      <c r="CF6" s="806">
        <f t="shared" si="11"/>
        <v>6</v>
      </c>
      <c r="CG6" s="806">
        <f t="shared" si="11"/>
        <v>6</v>
      </c>
      <c r="CH6" s="806">
        <f t="shared" si="11"/>
        <v>6</v>
      </c>
      <c r="CI6" s="806">
        <f t="shared" si="11"/>
        <v>6</v>
      </c>
      <c r="CJ6" s="806">
        <f t="shared" si="11"/>
        <v>6</v>
      </c>
      <c r="CK6" s="806">
        <f t="shared" si="11"/>
        <v>6</v>
      </c>
      <c r="CL6" s="806">
        <f t="shared" si="11"/>
        <v>7</v>
      </c>
      <c r="CM6" s="806">
        <f t="shared" si="11"/>
        <v>7</v>
      </c>
      <c r="CN6" s="806">
        <f t="shared" si="11"/>
        <v>7</v>
      </c>
      <c r="CO6" s="806">
        <f t="shared" si="11"/>
        <v>7</v>
      </c>
      <c r="CP6" s="806">
        <f t="shared" si="11"/>
        <v>7</v>
      </c>
      <c r="CQ6" s="806">
        <f t="shared" si="11"/>
        <v>7</v>
      </c>
      <c r="CR6" s="806">
        <f t="shared" si="11"/>
        <v>7</v>
      </c>
      <c r="CS6" s="806">
        <f t="shared" si="11"/>
        <v>7</v>
      </c>
      <c r="CT6" s="806">
        <f t="shared" si="11"/>
        <v>7</v>
      </c>
      <c r="CU6" s="806">
        <f t="shared" si="11"/>
        <v>7</v>
      </c>
      <c r="CV6" s="806">
        <f t="shared" si="11"/>
        <v>7</v>
      </c>
      <c r="CW6" s="806">
        <f t="shared" si="11"/>
        <v>7</v>
      </c>
      <c r="CX6" s="806">
        <f t="shared" si="11"/>
        <v>8</v>
      </c>
      <c r="CY6" s="806">
        <f t="shared" si="11"/>
        <v>8</v>
      </c>
      <c r="CZ6" s="806">
        <f t="shared" si="11"/>
        <v>8</v>
      </c>
      <c r="DA6" s="806">
        <f t="shared" si="11"/>
        <v>8</v>
      </c>
      <c r="DB6" s="806">
        <f t="shared" si="11"/>
        <v>8</v>
      </c>
      <c r="DC6" s="806">
        <f t="shared" si="11"/>
        <v>8</v>
      </c>
      <c r="DD6" s="806">
        <f t="shared" si="11"/>
        <v>8</v>
      </c>
      <c r="DE6" s="806">
        <f t="shared" si="11"/>
        <v>8</v>
      </c>
      <c r="DF6" s="806">
        <f t="shared" si="11"/>
        <v>8</v>
      </c>
      <c r="DG6" s="806">
        <f t="shared" si="11"/>
        <v>8</v>
      </c>
      <c r="DH6" s="806">
        <f t="shared" si="11"/>
        <v>8</v>
      </c>
      <c r="DI6" s="806">
        <f t="shared" si="11"/>
        <v>8</v>
      </c>
      <c r="DJ6" s="806">
        <f t="shared" ref="DJ6:EO6" si="12">ROUNDUP(DJ5/12,0)</f>
        <v>9</v>
      </c>
      <c r="DK6" s="806">
        <f t="shared" si="12"/>
        <v>9</v>
      </c>
      <c r="DL6" s="806">
        <f t="shared" si="12"/>
        <v>9</v>
      </c>
      <c r="DM6" s="806">
        <f t="shared" si="12"/>
        <v>9</v>
      </c>
      <c r="DN6" s="806">
        <f t="shared" si="12"/>
        <v>9</v>
      </c>
      <c r="DO6" s="806">
        <f t="shared" si="12"/>
        <v>9</v>
      </c>
      <c r="DP6" s="806">
        <f t="shared" si="12"/>
        <v>9</v>
      </c>
      <c r="DQ6" s="806">
        <f t="shared" si="12"/>
        <v>9</v>
      </c>
      <c r="DR6" s="806">
        <f t="shared" si="12"/>
        <v>9</v>
      </c>
      <c r="DS6" s="806">
        <f t="shared" si="12"/>
        <v>9</v>
      </c>
      <c r="DT6" s="806">
        <f t="shared" si="12"/>
        <v>9</v>
      </c>
      <c r="DU6" s="806">
        <f t="shared" si="12"/>
        <v>9</v>
      </c>
      <c r="DV6" s="806">
        <f t="shared" si="12"/>
        <v>10</v>
      </c>
      <c r="DW6" s="806">
        <f t="shared" si="12"/>
        <v>10</v>
      </c>
      <c r="DX6" s="806">
        <f t="shared" si="12"/>
        <v>10</v>
      </c>
      <c r="DY6" s="806">
        <f t="shared" si="12"/>
        <v>10</v>
      </c>
      <c r="DZ6" s="806">
        <f t="shared" si="12"/>
        <v>10</v>
      </c>
      <c r="EA6" s="806">
        <f t="shared" si="12"/>
        <v>10</v>
      </c>
      <c r="EB6" s="806">
        <f t="shared" si="12"/>
        <v>10</v>
      </c>
      <c r="EC6" s="806">
        <f t="shared" si="12"/>
        <v>10</v>
      </c>
      <c r="ED6" s="806">
        <f t="shared" si="12"/>
        <v>10</v>
      </c>
      <c r="EE6" s="806">
        <f t="shared" si="12"/>
        <v>10</v>
      </c>
      <c r="EF6" s="806">
        <f t="shared" si="12"/>
        <v>10</v>
      </c>
      <c r="EG6" s="806">
        <f t="shared" si="12"/>
        <v>10</v>
      </c>
      <c r="EH6" s="806">
        <f t="shared" si="12"/>
        <v>11</v>
      </c>
      <c r="EI6" s="806">
        <f t="shared" si="12"/>
        <v>11</v>
      </c>
      <c r="EJ6" s="806">
        <f t="shared" si="12"/>
        <v>11</v>
      </c>
      <c r="EK6" s="806">
        <f t="shared" si="12"/>
        <v>11</v>
      </c>
      <c r="EL6" s="806">
        <f t="shared" si="12"/>
        <v>11</v>
      </c>
      <c r="EM6" s="806">
        <f t="shared" si="12"/>
        <v>11</v>
      </c>
      <c r="EN6" s="806">
        <f t="shared" si="12"/>
        <v>11</v>
      </c>
      <c r="EO6" s="806">
        <f t="shared" si="12"/>
        <v>11</v>
      </c>
      <c r="EP6" s="806">
        <f t="shared" ref="EP6:FU6" si="13">ROUNDUP(EP5/12,0)</f>
        <v>11</v>
      </c>
      <c r="EQ6" s="806">
        <f t="shared" si="13"/>
        <v>11</v>
      </c>
      <c r="ER6" s="806">
        <f t="shared" si="13"/>
        <v>11</v>
      </c>
      <c r="ES6" s="806">
        <f t="shared" si="13"/>
        <v>11</v>
      </c>
      <c r="ET6" s="192"/>
    </row>
    <row r="7" spans="1:150" s="192" customFormat="1" ht="15.75" customHeight="1" collapsed="1">
      <c r="B7" s="1034" t="s">
        <v>546</v>
      </c>
      <c r="C7" s="1019"/>
      <c r="D7" s="1019"/>
      <c r="E7" s="1019"/>
      <c r="F7" s="1019"/>
      <c r="G7" s="1019"/>
      <c r="H7" s="1019"/>
      <c r="I7" s="1019"/>
      <c r="J7" s="1019"/>
      <c r="K7" s="1019"/>
      <c r="L7" s="1019"/>
      <c r="M7" s="1019"/>
      <c r="O7" s="1019"/>
      <c r="Q7" s="1034" t="s">
        <v>547</v>
      </c>
      <c r="R7" s="1019"/>
      <c r="S7" s="1019"/>
      <c r="T7" s="1019"/>
      <c r="U7" s="1019"/>
      <c r="V7" s="1019"/>
      <c r="W7" s="1019"/>
      <c r="X7" s="1019"/>
      <c r="Y7" s="1019"/>
      <c r="Z7" s="1019"/>
      <c r="AA7" s="1019"/>
      <c r="AB7" s="1019"/>
      <c r="AC7" s="1019"/>
      <c r="AD7" s="1019"/>
      <c r="AE7" s="1019"/>
      <c r="AF7" s="1019"/>
      <c r="AG7" s="1019"/>
      <c r="AH7" s="1019"/>
      <c r="AI7" s="1019"/>
      <c r="AJ7" s="1019"/>
      <c r="AK7" s="1019"/>
      <c r="AL7" s="1019"/>
      <c r="AM7" s="1019"/>
      <c r="AN7" s="1019"/>
      <c r="AO7" s="1019"/>
      <c r="AP7" s="1019"/>
      <c r="AQ7" s="1019"/>
      <c r="AR7" s="1019"/>
      <c r="AS7" s="1019"/>
      <c r="AT7" s="1019"/>
      <c r="AU7" s="1019"/>
      <c r="AV7" s="1019"/>
      <c r="AW7" s="1019"/>
      <c r="AX7" s="1019"/>
      <c r="AY7" s="1019"/>
      <c r="AZ7" s="1019"/>
      <c r="BA7" s="1019"/>
      <c r="BB7" s="1019"/>
      <c r="BC7" s="1019"/>
      <c r="BD7" s="1019"/>
      <c r="BE7" s="1019"/>
      <c r="BF7" s="1019"/>
      <c r="BG7" s="1019"/>
      <c r="BH7" s="1019"/>
      <c r="BI7" s="1019"/>
      <c r="BJ7" s="1019"/>
      <c r="BK7" s="1019"/>
      <c r="BL7" s="1019"/>
      <c r="BM7" s="1019"/>
      <c r="BN7" s="1019"/>
      <c r="BO7" s="1019"/>
      <c r="BP7" s="1019"/>
      <c r="BQ7" s="1019"/>
      <c r="BR7" s="1019"/>
      <c r="BS7" s="1019"/>
      <c r="BT7" s="1019"/>
      <c r="BU7" s="1019"/>
      <c r="BV7" s="1019"/>
      <c r="BW7" s="1019"/>
      <c r="BX7" s="1019"/>
      <c r="BY7" s="1019"/>
      <c r="BZ7" s="1019"/>
      <c r="CA7" s="1019"/>
      <c r="CB7" s="1019"/>
      <c r="CC7" s="1019"/>
      <c r="CD7" s="1019"/>
      <c r="CE7" s="1019"/>
      <c r="CF7" s="1019"/>
      <c r="CG7" s="1019"/>
      <c r="CH7" s="1019"/>
      <c r="CI7" s="1019"/>
      <c r="CJ7" s="1019"/>
      <c r="CK7" s="1019"/>
      <c r="CL7" s="1019"/>
      <c r="CM7" s="1019"/>
      <c r="CN7" s="1019"/>
      <c r="CO7" s="1019"/>
      <c r="CP7" s="1019"/>
      <c r="CQ7" s="1019"/>
      <c r="CR7" s="1019"/>
      <c r="CS7" s="1019"/>
      <c r="CT7" s="1019"/>
      <c r="CU7" s="1019"/>
      <c r="CV7" s="1019"/>
      <c r="CW7" s="1019"/>
      <c r="CX7" s="1019"/>
      <c r="CY7" s="1019"/>
      <c r="CZ7" s="1019"/>
      <c r="DA7" s="1019"/>
      <c r="DB7" s="1019"/>
      <c r="DC7" s="1019"/>
      <c r="DD7" s="1019"/>
      <c r="DE7" s="1019"/>
      <c r="DF7" s="1019"/>
      <c r="DG7" s="1019"/>
      <c r="DH7" s="1019"/>
      <c r="DI7" s="1019"/>
      <c r="DJ7" s="1019"/>
      <c r="DK7" s="1019"/>
      <c r="DL7" s="1019"/>
      <c r="DM7" s="1019"/>
      <c r="DN7" s="1019"/>
      <c r="DO7" s="1019"/>
      <c r="DP7" s="1019"/>
      <c r="DQ7" s="1019"/>
      <c r="DR7" s="1019"/>
      <c r="DS7" s="1019"/>
      <c r="DT7" s="1019"/>
      <c r="DU7" s="1019"/>
      <c r="DV7" s="1019"/>
      <c r="DW7" s="1019"/>
      <c r="DX7" s="1019"/>
      <c r="DY7" s="1019"/>
      <c r="DZ7" s="1019"/>
      <c r="EA7" s="1019"/>
      <c r="EB7" s="1019"/>
      <c r="EC7" s="1019"/>
      <c r="ED7" s="1019"/>
      <c r="EE7" s="1019"/>
      <c r="EF7" s="1019"/>
      <c r="EG7" s="1019"/>
      <c r="EH7" s="1019"/>
      <c r="EI7" s="1019"/>
      <c r="EJ7" s="1019"/>
      <c r="EK7" s="1019"/>
      <c r="EL7" s="1019"/>
      <c r="EM7" s="1019"/>
      <c r="EN7" s="1019"/>
      <c r="EO7" s="1019"/>
      <c r="EP7" s="1019"/>
      <c r="EQ7" s="1019"/>
      <c r="ER7" s="1019"/>
      <c r="ES7" s="1019"/>
    </row>
    <row r="8" spans="1:150" ht="15.75" customHeight="1">
      <c r="A8" s="192"/>
      <c r="B8" s="192"/>
      <c r="C8" s="192"/>
      <c r="D8" s="192"/>
      <c r="E8" s="192"/>
      <c r="F8" s="192"/>
      <c r="G8" s="192"/>
      <c r="H8" s="192"/>
      <c r="I8" s="192"/>
      <c r="J8" s="192"/>
      <c r="K8" s="192"/>
      <c r="L8" s="192"/>
      <c r="M8" s="192"/>
      <c r="N8" s="192"/>
      <c r="O8" s="192"/>
      <c r="P8" s="192"/>
      <c r="Q8" s="192"/>
      <c r="R8" s="192"/>
      <c r="S8" s="192"/>
      <c r="T8" s="192"/>
      <c r="U8" s="192"/>
      <c r="V8" s="192"/>
      <c r="W8" s="192"/>
      <c r="X8" s="192"/>
      <c r="Y8" s="192"/>
      <c r="Z8" s="192"/>
      <c r="AA8" s="192"/>
      <c r="AB8" s="192"/>
      <c r="AC8" s="192"/>
      <c r="AD8" s="192"/>
      <c r="AE8" s="192"/>
      <c r="AF8" s="192"/>
      <c r="AG8" s="192"/>
      <c r="AH8" s="192"/>
      <c r="AI8" s="192"/>
      <c r="AJ8" s="192"/>
      <c r="AK8" s="192"/>
      <c r="AL8" s="192"/>
      <c r="AM8" s="192"/>
      <c r="AN8" s="192"/>
      <c r="AO8" s="192"/>
      <c r="AP8" s="192"/>
      <c r="AQ8" s="192"/>
      <c r="AR8" s="192"/>
      <c r="AS8" s="192"/>
      <c r="AT8" s="192"/>
      <c r="AU8" s="192"/>
      <c r="AV8" s="192"/>
      <c r="AW8" s="192"/>
      <c r="AX8" s="192"/>
      <c r="AY8" s="192"/>
      <c r="AZ8" s="192"/>
      <c r="BA8" s="192"/>
      <c r="BB8" s="192"/>
      <c r="BC8" s="192"/>
      <c r="BD8" s="192"/>
      <c r="BE8" s="192"/>
      <c r="BF8" s="192"/>
      <c r="BG8" s="192"/>
      <c r="BH8" s="192"/>
      <c r="BI8" s="192"/>
      <c r="BJ8" s="192"/>
      <c r="BK8" s="192"/>
      <c r="BL8" s="192"/>
      <c r="BM8" s="192"/>
      <c r="BN8" s="192"/>
      <c r="BO8" s="192"/>
      <c r="BP8" s="192"/>
      <c r="BQ8" s="192"/>
      <c r="BR8" s="192"/>
      <c r="BS8" s="192"/>
      <c r="BT8" s="192"/>
      <c r="BU8" s="192"/>
      <c r="BV8" s="192"/>
      <c r="BW8" s="192"/>
      <c r="BX8" s="192"/>
      <c r="BY8" s="192"/>
      <c r="BZ8" s="192"/>
      <c r="CA8" s="192"/>
      <c r="CB8" s="192"/>
      <c r="CC8" s="192"/>
      <c r="CD8" s="192"/>
      <c r="CE8" s="192"/>
      <c r="CF8" s="192"/>
      <c r="CG8" s="192"/>
      <c r="CH8" s="192"/>
      <c r="CI8" s="192"/>
      <c r="CJ8" s="192"/>
      <c r="CK8" s="192"/>
      <c r="CL8" s="192"/>
      <c r="CM8" s="192"/>
      <c r="CN8" s="192"/>
      <c r="CO8" s="192"/>
      <c r="CP8" s="192"/>
      <c r="CQ8" s="192"/>
      <c r="CR8" s="192"/>
      <c r="CS8" s="192"/>
      <c r="CT8" s="192"/>
      <c r="CU8" s="192"/>
      <c r="CV8" s="192"/>
      <c r="CW8" s="192"/>
      <c r="CX8" s="192"/>
      <c r="CY8" s="192"/>
      <c r="CZ8" s="192"/>
      <c r="DA8" s="192"/>
      <c r="DB8" s="192"/>
      <c r="DC8" s="192"/>
      <c r="DD8" s="192"/>
      <c r="DE8" s="192"/>
      <c r="DF8" s="192"/>
      <c r="DG8" s="192"/>
      <c r="DH8" s="192"/>
      <c r="DI8" s="192"/>
      <c r="DJ8" s="192"/>
      <c r="DK8" s="192"/>
      <c r="DL8" s="192"/>
      <c r="DM8" s="192"/>
      <c r="DN8" s="192"/>
      <c r="DO8" s="192"/>
      <c r="DP8" s="192"/>
      <c r="DQ8" s="192"/>
      <c r="DR8" s="192"/>
      <c r="DS8" s="192"/>
      <c r="DT8" s="192"/>
      <c r="DU8" s="192"/>
      <c r="DV8" s="192"/>
      <c r="DW8" s="192"/>
      <c r="DX8" s="192"/>
      <c r="DY8" s="192"/>
      <c r="DZ8" s="192"/>
      <c r="EA8" s="192"/>
      <c r="EB8" s="192"/>
      <c r="EC8" s="192"/>
      <c r="ED8" s="192"/>
      <c r="EE8" s="192"/>
      <c r="EF8" s="192"/>
      <c r="EG8" s="192"/>
      <c r="EH8" s="192"/>
      <c r="EI8" s="192"/>
      <c r="EJ8" s="192"/>
      <c r="EK8" s="192"/>
      <c r="EL8" s="192"/>
      <c r="EM8" s="192"/>
      <c r="EN8" s="192"/>
      <c r="EO8" s="192"/>
      <c r="EP8" s="192"/>
      <c r="EQ8" s="192"/>
      <c r="ER8" s="192"/>
      <c r="ES8" s="192"/>
      <c r="ET8" s="192"/>
    </row>
    <row r="9" spans="1:150" s="192" customFormat="1" ht="14.25" customHeight="1">
      <c r="B9" s="1043" t="s">
        <v>548</v>
      </c>
      <c r="C9" s="196"/>
      <c r="D9" s="197"/>
      <c r="E9" s="197"/>
      <c r="F9" s="197"/>
      <c r="G9" s="197"/>
      <c r="H9" s="197"/>
      <c r="I9" s="197"/>
      <c r="J9" s="197"/>
      <c r="K9" s="197"/>
      <c r="L9" s="197"/>
      <c r="M9" s="197"/>
      <c r="O9" s="197"/>
      <c r="Q9" s="197"/>
      <c r="R9" s="197"/>
      <c r="S9" s="197"/>
      <c r="T9" s="197"/>
      <c r="U9" s="197"/>
      <c r="V9" s="197"/>
      <c r="W9" s="197"/>
      <c r="X9" s="197"/>
      <c r="Y9" s="197"/>
      <c r="Z9" s="197"/>
      <c r="AA9" s="197"/>
      <c r="AB9" s="197"/>
      <c r="AC9" s="197"/>
      <c r="AD9" s="197"/>
      <c r="AE9" s="197"/>
      <c r="AF9" s="197"/>
      <c r="AG9" s="197"/>
      <c r="AH9" s="197"/>
      <c r="AI9" s="197"/>
      <c r="AJ9" s="197"/>
      <c r="AK9" s="197"/>
      <c r="AL9" s="197"/>
      <c r="AM9" s="197"/>
      <c r="AN9" s="197"/>
      <c r="AO9" s="197"/>
      <c r="AP9" s="197"/>
      <c r="AQ9" s="197"/>
      <c r="AR9" s="197"/>
      <c r="AS9" s="197"/>
      <c r="AT9" s="197"/>
      <c r="AU9" s="197"/>
      <c r="AV9" s="197"/>
      <c r="AW9" s="197"/>
      <c r="AX9" s="197"/>
      <c r="AY9" s="197"/>
      <c r="AZ9" s="197"/>
      <c r="BA9" s="197"/>
      <c r="BB9" s="197"/>
      <c r="BC9" s="197"/>
      <c r="BD9" s="197"/>
      <c r="BE9" s="197"/>
      <c r="BF9" s="197"/>
      <c r="BG9" s="197"/>
      <c r="BH9" s="197"/>
      <c r="BI9" s="197"/>
      <c r="BJ9" s="197"/>
      <c r="BK9" s="197"/>
      <c r="BL9" s="197"/>
      <c r="BM9" s="197"/>
      <c r="BN9" s="197"/>
      <c r="BO9" s="197"/>
      <c r="BP9" s="197"/>
      <c r="BQ9" s="197"/>
      <c r="BR9" s="197"/>
      <c r="BS9" s="197"/>
      <c r="BT9" s="197"/>
      <c r="BU9" s="197"/>
      <c r="BV9" s="197"/>
      <c r="BW9" s="197"/>
      <c r="BX9" s="197"/>
      <c r="BY9" s="197"/>
      <c r="BZ9" s="197"/>
      <c r="CA9" s="197"/>
      <c r="CB9" s="197"/>
      <c r="CC9" s="197"/>
      <c r="CD9" s="197"/>
      <c r="CE9" s="197"/>
      <c r="CF9" s="197"/>
      <c r="CG9" s="197"/>
      <c r="CH9" s="197"/>
      <c r="CI9" s="197"/>
      <c r="CJ9" s="197"/>
      <c r="CK9" s="197"/>
      <c r="CL9" s="197"/>
      <c r="CM9" s="197"/>
      <c r="CN9" s="197"/>
      <c r="CO9" s="197"/>
      <c r="CP9" s="197"/>
      <c r="CQ9" s="197"/>
      <c r="CR9" s="197"/>
      <c r="CS9" s="197"/>
      <c r="CT9" s="197"/>
      <c r="CU9" s="197"/>
      <c r="CV9" s="197"/>
      <c r="CW9" s="197"/>
      <c r="CX9" s="197"/>
      <c r="CY9" s="197"/>
      <c r="CZ9" s="197"/>
      <c r="DA9" s="197"/>
      <c r="DB9" s="197"/>
      <c r="DC9" s="197"/>
      <c r="DD9" s="197"/>
      <c r="DE9" s="197"/>
      <c r="DF9" s="197"/>
      <c r="DG9" s="197"/>
      <c r="DH9" s="197"/>
      <c r="DI9" s="197"/>
      <c r="DJ9" s="197"/>
      <c r="DK9" s="197"/>
      <c r="DL9" s="197"/>
      <c r="DM9" s="197"/>
      <c r="DN9" s="197"/>
      <c r="DO9" s="197"/>
      <c r="DP9" s="197"/>
      <c r="DQ9" s="197"/>
      <c r="DR9" s="197"/>
      <c r="DS9" s="197"/>
      <c r="DT9" s="197"/>
      <c r="DU9" s="197"/>
      <c r="DV9" s="197"/>
      <c r="DW9" s="197"/>
      <c r="DX9" s="197"/>
      <c r="DY9" s="197"/>
      <c r="DZ9" s="197"/>
      <c r="EA9" s="197"/>
      <c r="EB9" s="197"/>
      <c r="EC9" s="197"/>
      <c r="ED9" s="197"/>
      <c r="EE9" s="197"/>
      <c r="EF9" s="197"/>
      <c r="EG9" s="197"/>
      <c r="EH9" s="197"/>
      <c r="EI9" s="197"/>
      <c r="EJ9" s="197"/>
      <c r="EK9" s="197"/>
      <c r="EL9" s="197"/>
      <c r="EM9" s="197"/>
      <c r="EN9" s="197"/>
      <c r="EO9" s="197"/>
      <c r="EP9" s="197"/>
      <c r="EQ9" s="197"/>
      <c r="ER9" s="197"/>
      <c r="ES9" s="197"/>
    </row>
    <row r="10" spans="1:150">
      <c r="A10" s="192"/>
      <c r="B10" s="807" t="str">
        <f>IF(Input!B53="","",Input!B53)</f>
        <v>2x2.5</v>
      </c>
      <c r="C10" s="36">
        <f>Q10</f>
        <v>63</v>
      </c>
      <c r="D10" s="36">
        <f t="shared" ref="D10:M10" si="14">C10</f>
        <v>63</v>
      </c>
      <c r="E10" s="36">
        <f t="shared" si="14"/>
        <v>63</v>
      </c>
      <c r="F10" s="36">
        <f t="shared" si="14"/>
        <v>63</v>
      </c>
      <c r="G10" s="36">
        <f t="shared" si="14"/>
        <v>63</v>
      </c>
      <c r="H10" s="36">
        <f t="shared" si="14"/>
        <v>63</v>
      </c>
      <c r="I10" s="36">
        <f t="shared" si="14"/>
        <v>63</v>
      </c>
      <c r="J10" s="36">
        <f t="shared" si="14"/>
        <v>63</v>
      </c>
      <c r="K10" s="36">
        <f t="shared" si="14"/>
        <v>63</v>
      </c>
      <c r="L10" s="36">
        <f t="shared" si="14"/>
        <v>63</v>
      </c>
      <c r="M10" s="36">
        <f t="shared" si="14"/>
        <v>63</v>
      </c>
      <c r="N10" s="192"/>
      <c r="O10" s="36">
        <f>SUMIF($C$5:$M$5,$O$6,$C10:$M10)</f>
        <v>63</v>
      </c>
      <c r="P10" s="192"/>
      <c r="Q10" s="808">
        <f>Input!H53*(SUM(FPNumOfUnits)=$Q$13)</f>
        <v>63</v>
      </c>
      <c r="R10" s="809">
        <f t="shared" ref="R10:AW10" si="15">Q10</f>
        <v>63</v>
      </c>
      <c r="S10" s="808">
        <f t="shared" si="15"/>
        <v>63</v>
      </c>
      <c r="T10" s="808">
        <f t="shared" si="15"/>
        <v>63</v>
      </c>
      <c r="U10" s="808">
        <f t="shared" si="15"/>
        <v>63</v>
      </c>
      <c r="V10" s="808">
        <f t="shared" si="15"/>
        <v>63</v>
      </c>
      <c r="W10" s="808">
        <f t="shared" si="15"/>
        <v>63</v>
      </c>
      <c r="X10" s="808">
        <f t="shared" si="15"/>
        <v>63</v>
      </c>
      <c r="Y10" s="808">
        <f t="shared" si="15"/>
        <v>63</v>
      </c>
      <c r="Z10" s="808">
        <f t="shared" si="15"/>
        <v>63</v>
      </c>
      <c r="AA10" s="808">
        <f t="shared" si="15"/>
        <v>63</v>
      </c>
      <c r="AB10" s="808">
        <f t="shared" si="15"/>
        <v>63</v>
      </c>
      <c r="AC10" s="808">
        <f t="shared" si="15"/>
        <v>63</v>
      </c>
      <c r="AD10" s="808">
        <f t="shared" si="15"/>
        <v>63</v>
      </c>
      <c r="AE10" s="808">
        <f t="shared" si="15"/>
        <v>63</v>
      </c>
      <c r="AF10" s="808">
        <f t="shared" si="15"/>
        <v>63</v>
      </c>
      <c r="AG10" s="808">
        <f t="shared" si="15"/>
        <v>63</v>
      </c>
      <c r="AH10" s="808">
        <f t="shared" si="15"/>
        <v>63</v>
      </c>
      <c r="AI10" s="808">
        <f t="shared" si="15"/>
        <v>63</v>
      </c>
      <c r="AJ10" s="808">
        <f t="shared" si="15"/>
        <v>63</v>
      </c>
      <c r="AK10" s="808">
        <f t="shared" si="15"/>
        <v>63</v>
      </c>
      <c r="AL10" s="808">
        <f t="shared" si="15"/>
        <v>63</v>
      </c>
      <c r="AM10" s="808">
        <f t="shared" si="15"/>
        <v>63</v>
      </c>
      <c r="AN10" s="808">
        <f t="shared" si="15"/>
        <v>63</v>
      </c>
      <c r="AO10" s="808">
        <f t="shared" si="15"/>
        <v>63</v>
      </c>
      <c r="AP10" s="808">
        <f t="shared" si="15"/>
        <v>63</v>
      </c>
      <c r="AQ10" s="808">
        <f t="shared" si="15"/>
        <v>63</v>
      </c>
      <c r="AR10" s="808">
        <f t="shared" si="15"/>
        <v>63</v>
      </c>
      <c r="AS10" s="808">
        <f t="shared" si="15"/>
        <v>63</v>
      </c>
      <c r="AT10" s="808">
        <f t="shared" si="15"/>
        <v>63</v>
      </c>
      <c r="AU10" s="808">
        <f t="shared" si="15"/>
        <v>63</v>
      </c>
      <c r="AV10" s="808">
        <f t="shared" si="15"/>
        <v>63</v>
      </c>
      <c r="AW10" s="808">
        <f t="shared" si="15"/>
        <v>63</v>
      </c>
      <c r="AX10" s="808">
        <f t="shared" ref="AX10:CC10" si="16">AW10</f>
        <v>63</v>
      </c>
      <c r="AY10" s="808">
        <f t="shared" si="16"/>
        <v>63</v>
      </c>
      <c r="AZ10" s="808">
        <f t="shared" si="16"/>
        <v>63</v>
      </c>
      <c r="BA10" s="808">
        <f t="shared" si="16"/>
        <v>63</v>
      </c>
      <c r="BB10" s="808">
        <f t="shared" si="16"/>
        <v>63</v>
      </c>
      <c r="BC10" s="808">
        <f t="shared" si="16"/>
        <v>63</v>
      </c>
      <c r="BD10" s="808">
        <f t="shared" si="16"/>
        <v>63</v>
      </c>
      <c r="BE10" s="808">
        <f t="shared" si="16"/>
        <v>63</v>
      </c>
      <c r="BF10" s="808">
        <f t="shared" si="16"/>
        <v>63</v>
      </c>
      <c r="BG10" s="808">
        <f t="shared" si="16"/>
        <v>63</v>
      </c>
      <c r="BH10" s="808">
        <f t="shared" si="16"/>
        <v>63</v>
      </c>
      <c r="BI10" s="808">
        <f t="shared" si="16"/>
        <v>63</v>
      </c>
      <c r="BJ10" s="808">
        <f t="shared" si="16"/>
        <v>63</v>
      </c>
      <c r="BK10" s="808">
        <f t="shared" si="16"/>
        <v>63</v>
      </c>
      <c r="BL10" s="808">
        <f t="shared" si="16"/>
        <v>63</v>
      </c>
      <c r="BM10" s="808">
        <f t="shared" si="16"/>
        <v>63</v>
      </c>
      <c r="BN10" s="808">
        <f t="shared" si="16"/>
        <v>63</v>
      </c>
      <c r="BO10" s="808">
        <f t="shared" si="16"/>
        <v>63</v>
      </c>
      <c r="BP10" s="808">
        <f t="shared" si="16"/>
        <v>63</v>
      </c>
      <c r="BQ10" s="808">
        <f t="shared" si="16"/>
        <v>63</v>
      </c>
      <c r="BR10" s="808">
        <f t="shared" si="16"/>
        <v>63</v>
      </c>
      <c r="BS10" s="808">
        <f t="shared" si="16"/>
        <v>63</v>
      </c>
      <c r="BT10" s="808">
        <f t="shared" si="16"/>
        <v>63</v>
      </c>
      <c r="BU10" s="808">
        <f t="shared" si="16"/>
        <v>63</v>
      </c>
      <c r="BV10" s="808">
        <f t="shared" si="16"/>
        <v>63</v>
      </c>
      <c r="BW10" s="808">
        <f t="shared" si="16"/>
        <v>63</v>
      </c>
      <c r="BX10" s="808">
        <f t="shared" si="16"/>
        <v>63</v>
      </c>
      <c r="BY10" s="808">
        <f t="shared" si="16"/>
        <v>63</v>
      </c>
      <c r="BZ10" s="808">
        <f t="shared" si="16"/>
        <v>63</v>
      </c>
      <c r="CA10" s="808">
        <f t="shared" si="16"/>
        <v>63</v>
      </c>
      <c r="CB10" s="808">
        <f t="shared" si="16"/>
        <v>63</v>
      </c>
      <c r="CC10" s="808">
        <f t="shared" si="16"/>
        <v>63</v>
      </c>
      <c r="CD10" s="808">
        <f t="shared" ref="CD10:DI10" si="17">CC10</f>
        <v>63</v>
      </c>
      <c r="CE10" s="808">
        <f t="shared" si="17"/>
        <v>63</v>
      </c>
      <c r="CF10" s="808">
        <f t="shared" si="17"/>
        <v>63</v>
      </c>
      <c r="CG10" s="808">
        <f t="shared" si="17"/>
        <v>63</v>
      </c>
      <c r="CH10" s="808">
        <f t="shared" si="17"/>
        <v>63</v>
      </c>
      <c r="CI10" s="808">
        <f t="shared" si="17"/>
        <v>63</v>
      </c>
      <c r="CJ10" s="808">
        <f t="shared" si="17"/>
        <v>63</v>
      </c>
      <c r="CK10" s="808">
        <f t="shared" si="17"/>
        <v>63</v>
      </c>
      <c r="CL10" s="808">
        <f t="shared" si="17"/>
        <v>63</v>
      </c>
      <c r="CM10" s="808">
        <f t="shared" si="17"/>
        <v>63</v>
      </c>
      <c r="CN10" s="808">
        <f t="shared" si="17"/>
        <v>63</v>
      </c>
      <c r="CO10" s="808">
        <f t="shared" si="17"/>
        <v>63</v>
      </c>
      <c r="CP10" s="808">
        <f t="shared" si="17"/>
        <v>63</v>
      </c>
      <c r="CQ10" s="808">
        <f t="shared" si="17"/>
        <v>63</v>
      </c>
      <c r="CR10" s="808">
        <f t="shared" si="17"/>
        <v>63</v>
      </c>
      <c r="CS10" s="808">
        <f t="shared" si="17"/>
        <v>63</v>
      </c>
      <c r="CT10" s="808">
        <f t="shared" si="17"/>
        <v>63</v>
      </c>
      <c r="CU10" s="808">
        <f t="shared" si="17"/>
        <v>63</v>
      </c>
      <c r="CV10" s="808">
        <f t="shared" si="17"/>
        <v>63</v>
      </c>
      <c r="CW10" s="808">
        <f t="shared" si="17"/>
        <v>63</v>
      </c>
      <c r="CX10" s="808">
        <f t="shared" si="17"/>
        <v>63</v>
      </c>
      <c r="CY10" s="808">
        <f t="shared" si="17"/>
        <v>63</v>
      </c>
      <c r="CZ10" s="808">
        <f t="shared" si="17"/>
        <v>63</v>
      </c>
      <c r="DA10" s="808">
        <f t="shared" si="17"/>
        <v>63</v>
      </c>
      <c r="DB10" s="808">
        <f t="shared" si="17"/>
        <v>63</v>
      </c>
      <c r="DC10" s="808">
        <f t="shared" si="17"/>
        <v>63</v>
      </c>
      <c r="DD10" s="808">
        <f t="shared" si="17"/>
        <v>63</v>
      </c>
      <c r="DE10" s="808">
        <f t="shared" si="17"/>
        <v>63</v>
      </c>
      <c r="DF10" s="808">
        <f t="shared" si="17"/>
        <v>63</v>
      </c>
      <c r="DG10" s="808">
        <f t="shared" si="17"/>
        <v>63</v>
      </c>
      <c r="DH10" s="808">
        <f t="shared" si="17"/>
        <v>63</v>
      </c>
      <c r="DI10" s="808">
        <f t="shared" si="17"/>
        <v>63</v>
      </c>
      <c r="DJ10" s="808">
        <f t="shared" ref="DJ10:ES10" si="18">DI10</f>
        <v>63</v>
      </c>
      <c r="DK10" s="808">
        <f t="shared" si="18"/>
        <v>63</v>
      </c>
      <c r="DL10" s="808">
        <f t="shared" si="18"/>
        <v>63</v>
      </c>
      <c r="DM10" s="808">
        <f t="shared" si="18"/>
        <v>63</v>
      </c>
      <c r="DN10" s="808">
        <f t="shared" si="18"/>
        <v>63</v>
      </c>
      <c r="DO10" s="808">
        <f t="shared" si="18"/>
        <v>63</v>
      </c>
      <c r="DP10" s="808">
        <f t="shared" si="18"/>
        <v>63</v>
      </c>
      <c r="DQ10" s="808">
        <f t="shared" si="18"/>
        <v>63</v>
      </c>
      <c r="DR10" s="808">
        <f t="shared" si="18"/>
        <v>63</v>
      </c>
      <c r="DS10" s="808">
        <f t="shared" si="18"/>
        <v>63</v>
      </c>
      <c r="DT10" s="808">
        <f t="shared" si="18"/>
        <v>63</v>
      </c>
      <c r="DU10" s="808">
        <f t="shared" si="18"/>
        <v>63</v>
      </c>
      <c r="DV10" s="808">
        <f t="shared" si="18"/>
        <v>63</v>
      </c>
      <c r="DW10" s="808">
        <f t="shared" si="18"/>
        <v>63</v>
      </c>
      <c r="DX10" s="808">
        <f t="shared" si="18"/>
        <v>63</v>
      </c>
      <c r="DY10" s="808">
        <f t="shared" si="18"/>
        <v>63</v>
      </c>
      <c r="DZ10" s="808">
        <f t="shared" si="18"/>
        <v>63</v>
      </c>
      <c r="EA10" s="808">
        <f t="shared" si="18"/>
        <v>63</v>
      </c>
      <c r="EB10" s="808">
        <f t="shared" si="18"/>
        <v>63</v>
      </c>
      <c r="EC10" s="808">
        <f t="shared" si="18"/>
        <v>63</v>
      </c>
      <c r="ED10" s="808">
        <f t="shared" si="18"/>
        <v>63</v>
      </c>
      <c r="EE10" s="808">
        <f t="shared" si="18"/>
        <v>63</v>
      </c>
      <c r="EF10" s="808">
        <f t="shared" si="18"/>
        <v>63</v>
      </c>
      <c r="EG10" s="808">
        <f t="shared" si="18"/>
        <v>63</v>
      </c>
      <c r="EH10" s="808">
        <f t="shared" si="18"/>
        <v>63</v>
      </c>
      <c r="EI10" s="808">
        <f t="shared" si="18"/>
        <v>63</v>
      </c>
      <c r="EJ10" s="808">
        <f t="shared" si="18"/>
        <v>63</v>
      </c>
      <c r="EK10" s="808">
        <f t="shared" si="18"/>
        <v>63</v>
      </c>
      <c r="EL10" s="808">
        <f t="shared" si="18"/>
        <v>63</v>
      </c>
      <c r="EM10" s="808">
        <f t="shared" si="18"/>
        <v>63</v>
      </c>
      <c r="EN10" s="808">
        <f t="shared" si="18"/>
        <v>63</v>
      </c>
      <c r="EO10" s="808">
        <f t="shared" si="18"/>
        <v>63</v>
      </c>
      <c r="EP10" s="808">
        <f t="shared" si="18"/>
        <v>63</v>
      </c>
      <c r="EQ10" s="808">
        <f t="shared" si="18"/>
        <v>63</v>
      </c>
      <c r="ER10" s="808">
        <f t="shared" si="18"/>
        <v>63</v>
      </c>
      <c r="ES10" s="808">
        <f t="shared" si="18"/>
        <v>63</v>
      </c>
      <c r="ET10" s="192"/>
    </row>
    <row r="11" spans="1:150">
      <c r="A11" s="192"/>
      <c r="B11" s="807" t="str">
        <f>IF(Input!B54="","",Input!B54)</f>
        <v>3x3.5</v>
      </c>
      <c r="C11" s="36">
        <f>Q11</f>
        <v>17</v>
      </c>
      <c r="D11" s="36">
        <f t="shared" ref="D11:M11" si="19">C11</f>
        <v>17</v>
      </c>
      <c r="E11" s="36">
        <f t="shared" si="19"/>
        <v>17</v>
      </c>
      <c r="F11" s="36">
        <f t="shared" si="19"/>
        <v>17</v>
      </c>
      <c r="G11" s="36">
        <f t="shared" si="19"/>
        <v>17</v>
      </c>
      <c r="H11" s="36">
        <f t="shared" si="19"/>
        <v>17</v>
      </c>
      <c r="I11" s="36">
        <f t="shared" si="19"/>
        <v>17</v>
      </c>
      <c r="J11" s="36">
        <f t="shared" si="19"/>
        <v>17</v>
      </c>
      <c r="K11" s="36">
        <f t="shared" si="19"/>
        <v>17</v>
      </c>
      <c r="L11" s="36">
        <f t="shared" si="19"/>
        <v>17</v>
      </c>
      <c r="M11" s="36">
        <f t="shared" si="19"/>
        <v>17</v>
      </c>
      <c r="N11" s="192"/>
      <c r="O11" s="36">
        <f>SUMIF($C$5:$M$5,$O$6,$C11:$M11)</f>
        <v>17</v>
      </c>
      <c r="P11" s="192"/>
      <c r="Q11" s="808">
        <f>Input!H54*(SUM(FPNumOfUnits)=$Q$13)</f>
        <v>17</v>
      </c>
      <c r="R11" s="809">
        <f t="shared" ref="R11:AW11" si="20">Q11</f>
        <v>17</v>
      </c>
      <c r="S11" s="808">
        <f t="shared" si="20"/>
        <v>17</v>
      </c>
      <c r="T11" s="808">
        <f t="shared" si="20"/>
        <v>17</v>
      </c>
      <c r="U11" s="808">
        <f t="shared" si="20"/>
        <v>17</v>
      </c>
      <c r="V11" s="808">
        <f t="shared" si="20"/>
        <v>17</v>
      </c>
      <c r="W11" s="808">
        <f t="shared" si="20"/>
        <v>17</v>
      </c>
      <c r="X11" s="808">
        <f t="shared" si="20"/>
        <v>17</v>
      </c>
      <c r="Y11" s="808">
        <f t="shared" si="20"/>
        <v>17</v>
      </c>
      <c r="Z11" s="808">
        <f t="shared" si="20"/>
        <v>17</v>
      </c>
      <c r="AA11" s="808">
        <f t="shared" si="20"/>
        <v>17</v>
      </c>
      <c r="AB11" s="808">
        <f t="shared" si="20"/>
        <v>17</v>
      </c>
      <c r="AC11" s="808">
        <f t="shared" si="20"/>
        <v>17</v>
      </c>
      <c r="AD11" s="808">
        <f t="shared" si="20"/>
        <v>17</v>
      </c>
      <c r="AE11" s="808">
        <f t="shared" si="20"/>
        <v>17</v>
      </c>
      <c r="AF11" s="808">
        <f t="shared" si="20"/>
        <v>17</v>
      </c>
      <c r="AG11" s="808">
        <f t="shared" si="20"/>
        <v>17</v>
      </c>
      <c r="AH11" s="808">
        <f t="shared" si="20"/>
        <v>17</v>
      </c>
      <c r="AI11" s="808">
        <f t="shared" si="20"/>
        <v>17</v>
      </c>
      <c r="AJ11" s="808">
        <f t="shared" si="20"/>
        <v>17</v>
      </c>
      <c r="AK11" s="808">
        <f t="shared" si="20"/>
        <v>17</v>
      </c>
      <c r="AL11" s="808">
        <f t="shared" si="20"/>
        <v>17</v>
      </c>
      <c r="AM11" s="808">
        <f t="shared" si="20"/>
        <v>17</v>
      </c>
      <c r="AN11" s="808">
        <f t="shared" si="20"/>
        <v>17</v>
      </c>
      <c r="AO11" s="808">
        <f t="shared" si="20"/>
        <v>17</v>
      </c>
      <c r="AP11" s="808">
        <f t="shared" si="20"/>
        <v>17</v>
      </c>
      <c r="AQ11" s="808">
        <f t="shared" si="20"/>
        <v>17</v>
      </c>
      <c r="AR11" s="808">
        <f t="shared" si="20"/>
        <v>17</v>
      </c>
      <c r="AS11" s="808">
        <f t="shared" si="20"/>
        <v>17</v>
      </c>
      <c r="AT11" s="808">
        <f t="shared" si="20"/>
        <v>17</v>
      </c>
      <c r="AU11" s="808">
        <f t="shared" si="20"/>
        <v>17</v>
      </c>
      <c r="AV11" s="808">
        <f t="shared" si="20"/>
        <v>17</v>
      </c>
      <c r="AW11" s="808">
        <f t="shared" si="20"/>
        <v>17</v>
      </c>
      <c r="AX11" s="808">
        <f t="shared" ref="AX11:CC11" si="21">AW11</f>
        <v>17</v>
      </c>
      <c r="AY11" s="808">
        <f t="shared" si="21"/>
        <v>17</v>
      </c>
      <c r="AZ11" s="808">
        <f t="shared" si="21"/>
        <v>17</v>
      </c>
      <c r="BA11" s="808">
        <f t="shared" si="21"/>
        <v>17</v>
      </c>
      <c r="BB11" s="808">
        <f t="shared" si="21"/>
        <v>17</v>
      </c>
      <c r="BC11" s="808">
        <f t="shared" si="21"/>
        <v>17</v>
      </c>
      <c r="BD11" s="808">
        <f t="shared" si="21"/>
        <v>17</v>
      </c>
      <c r="BE11" s="808">
        <f t="shared" si="21"/>
        <v>17</v>
      </c>
      <c r="BF11" s="808">
        <f t="shared" si="21"/>
        <v>17</v>
      </c>
      <c r="BG11" s="808">
        <f t="shared" si="21"/>
        <v>17</v>
      </c>
      <c r="BH11" s="808">
        <f t="shared" si="21"/>
        <v>17</v>
      </c>
      <c r="BI11" s="808">
        <f t="shared" si="21"/>
        <v>17</v>
      </c>
      <c r="BJ11" s="808">
        <f t="shared" si="21"/>
        <v>17</v>
      </c>
      <c r="BK11" s="808">
        <f t="shared" si="21"/>
        <v>17</v>
      </c>
      <c r="BL11" s="808">
        <f t="shared" si="21"/>
        <v>17</v>
      </c>
      <c r="BM11" s="808">
        <f t="shared" si="21"/>
        <v>17</v>
      </c>
      <c r="BN11" s="808">
        <f t="shared" si="21"/>
        <v>17</v>
      </c>
      <c r="BO11" s="808">
        <f t="shared" si="21"/>
        <v>17</v>
      </c>
      <c r="BP11" s="808">
        <f t="shared" si="21"/>
        <v>17</v>
      </c>
      <c r="BQ11" s="808">
        <f t="shared" si="21"/>
        <v>17</v>
      </c>
      <c r="BR11" s="808">
        <f t="shared" si="21"/>
        <v>17</v>
      </c>
      <c r="BS11" s="808">
        <f t="shared" si="21"/>
        <v>17</v>
      </c>
      <c r="BT11" s="808">
        <f t="shared" si="21"/>
        <v>17</v>
      </c>
      <c r="BU11" s="808">
        <f t="shared" si="21"/>
        <v>17</v>
      </c>
      <c r="BV11" s="808">
        <f t="shared" si="21"/>
        <v>17</v>
      </c>
      <c r="BW11" s="808">
        <f t="shared" si="21"/>
        <v>17</v>
      </c>
      <c r="BX11" s="808">
        <f t="shared" si="21"/>
        <v>17</v>
      </c>
      <c r="BY11" s="808">
        <f t="shared" si="21"/>
        <v>17</v>
      </c>
      <c r="BZ11" s="808">
        <f t="shared" si="21"/>
        <v>17</v>
      </c>
      <c r="CA11" s="808">
        <f t="shared" si="21"/>
        <v>17</v>
      </c>
      <c r="CB11" s="808">
        <f t="shared" si="21"/>
        <v>17</v>
      </c>
      <c r="CC11" s="808">
        <f t="shared" si="21"/>
        <v>17</v>
      </c>
      <c r="CD11" s="808">
        <f t="shared" ref="CD11:DI11" si="22">CC11</f>
        <v>17</v>
      </c>
      <c r="CE11" s="808">
        <f t="shared" si="22"/>
        <v>17</v>
      </c>
      <c r="CF11" s="808">
        <f t="shared" si="22"/>
        <v>17</v>
      </c>
      <c r="CG11" s="808">
        <f t="shared" si="22"/>
        <v>17</v>
      </c>
      <c r="CH11" s="808">
        <f t="shared" si="22"/>
        <v>17</v>
      </c>
      <c r="CI11" s="808">
        <f t="shared" si="22"/>
        <v>17</v>
      </c>
      <c r="CJ11" s="808">
        <f t="shared" si="22"/>
        <v>17</v>
      </c>
      <c r="CK11" s="808">
        <f t="shared" si="22"/>
        <v>17</v>
      </c>
      <c r="CL11" s="808">
        <f t="shared" si="22"/>
        <v>17</v>
      </c>
      <c r="CM11" s="808">
        <f t="shared" si="22"/>
        <v>17</v>
      </c>
      <c r="CN11" s="808">
        <f t="shared" si="22"/>
        <v>17</v>
      </c>
      <c r="CO11" s="808">
        <f t="shared" si="22"/>
        <v>17</v>
      </c>
      <c r="CP11" s="808">
        <f t="shared" si="22"/>
        <v>17</v>
      </c>
      <c r="CQ11" s="808">
        <f t="shared" si="22"/>
        <v>17</v>
      </c>
      <c r="CR11" s="808">
        <f t="shared" si="22"/>
        <v>17</v>
      </c>
      <c r="CS11" s="808">
        <f t="shared" si="22"/>
        <v>17</v>
      </c>
      <c r="CT11" s="808">
        <f t="shared" si="22"/>
        <v>17</v>
      </c>
      <c r="CU11" s="808">
        <f t="shared" si="22"/>
        <v>17</v>
      </c>
      <c r="CV11" s="808">
        <f t="shared" si="22"/>
        <v>17</v>
      </c>
      <c r="CW11" s="808">
        <f t="shared" si="22"/>
        <v>17</v>
      </c>
      <c r="CX11" s="808">
        <f t="shared" si="22"/>
        <v>17</v>
      </c>
      <c r="CY11" s="808">
        <f t="shared" si="22"/>
        <v>17</v>
      </c>
      <c r="CZ11" s="808">
        <f t="shared" si="22"/>
        <v>17</v>
      </c>
      <c r="DA11" s="808">
        <f t="shared" si="22"/>
        <v>17</v>
      </c>
      <c r="DB11" s="808">
        <f t="shared" si="22"/>
        <v>17</v>
      </c>
      <c r="DC11" s="808">
        <f t="shared" si="22"/>
        <v>17</v>
      </c>
      <c r="DD11" s="808">
        <f t="shared" si="22"/>
        <v>17</v>
      </c>
      <c r="DE11" s="808">
        <f t="shared" si="22"/>
        <v>17</v>
      </c>
      <c r="DF11" s="808">
        <f t="shared" si="22"/>
        <v>17</v>
      </c>
      <c r="DG11" s="808">
        <f t="shared" si="22"/>
        <v>17</v>
      </c>
      <c r="DH11" s="808">
        <f t="shared" si="22"/>
        <v>17</v>
      </c>
      <c r="DI11" s="808">
        <f t="shared" si="22"/>
        <v>17</v>
      </c>
      <c r="DJ11" s="808">
        <f t="shared" ref="DJ11:ES11" si="23">DI11</f>
        <v>17</v>
      </c>
      <c r="DK11" s="808">
        <f t="shared" si="23"/>
        <v>17</v>
      </c>
      <c r="DL11" s="808">
        <f t="shared" si="23"/>
        <v>17</v>
      </c>
      <c r="DM11" s="808">
        <f t="shared" si="23"/>
        <v>17</v>
      </c>
      <c r="DN11" s="808">
        <f t="shared" si="23"/>
        <v>17</v>
      </c>
      <c r="DO11" s="808">
        <f t="shared" si="23"/>
        <v>17</v>
      </c>
      <c r="DP11" s="808">
        <f t="shared" si="23"/>
        <v>17</v>
      </c>
      <c r="DQ11" s="808">
        <f t="shared" si="23"/>
        <v>17</v>
      </c>
      <c r="DR11" s="808">
        <f t="shared" si="23"/>
        <v>17</v>
      </c>
      <c r="DS11" s="808">
        <f t="shared" si="23"/>
        <v>17</v>
      </c>
      <c r="DT11" s="808">
        <f t="shared" si="23"/>
        <v>17</v>
      </c>
      <c r="DU11" s="808">
        <f t="shared" si="23"/>
        <v>17</v>
      </c>
      <c r="DV11" s="808">
        <f t="shared" si="23"/>
        <v>17</v>
      </c>
      <c r="DW11" s="808">
        <f t="shared" si="23"/>
        <v>17</v>
      </c>
      <c r="DX11" s="808">
        <f t="shared" si="23"/>
        <v>17</v>
      </c>
      <c r="DY11" s="808">
        <f t="shared" si="23"/>
        <v>17</v>
      </c>
      <c r="DZ11" s="808">
        <f t="shared" si="23"/>
        <v>17</v>
      </c>
      <c r="EA11" s="808">
        <f t="shared" si="23"/>
        <v>17</v>
      </c>
      <c r="EB11" s="808">
        <f t="shared" si="23"/>
        <v>17</v>
      </c>
      <c r="EC11" s="808">
        <f t="shared" si="23"/>
        <v>17</v>
      </c>
      <c r="ED11" s="808">
        <f t="shared" si="23"/>
        <v>17</v>
      </c>
      <c r="EE11" s="808">
        <f t="shared" si="23"/>
        <v>17</v>
      </c>
      <c r="EF11" s="808">
        <f t="shared" si="23"/>
        <v>17</v>
      </c>
      <c r="EG11" s="808">
        <f t="shared" si="23"/>
        <v>17</v>
      </c>
      <c r="EH11" s="808">
        <f t="shared" si="23"/>
        <v>17</v>
      </c>
      <c r="EI11" s="808">
        <f t="shared" si="23"/>
        <v>17</v>
      </c>
      <c r="EJ11" s="808">
        <f t="shared" si="23"/>
        <v>17</v>
      </c>
      <c r="EK11" s="808">
        <f t="shared" si="23"/>
        <v>17</v>
      </c>
      <c r="EL11" s="808">
        <f t="shared" si="23"/>
        <v>17</v>
      </c>
      <c r="EM11" s="808">
        <f t="shared" si="23"/>
        <v>17</v>
      </c>
      <c r="EN11" s="808">
        <f t="shared" si="23"/>
        <v>17</v>
      </c>
      <c r="EO11" s="808">
        <f t="shared" si="23"/>
        <v>17</v>
      </c>
      <c r="EP11" s="808">
        <f t="shared" si="23"/>
        <v>17</v>
      </c>
      <c r="EQ11" s="808">
        <f t="shared" si="23"/>
        <v>17</v>
      </c>
      <c r="ER11" s="808">
        <f t="shared" si="23"/>
        <v>17</v>
      </c>
      <c r="ES11" s="808">
        <f t="shared" si="23"/>
        <v>17</v>
      </c>
      <c r="ET11" s="192"/>
    </row>
    <row r="12" spans="1:150" ht="2.1" customHeight="1">
      <c r="A12" s="192"/>
      <c r="B12" s="36"/>
      <c r="C12" s="36"/>
      <c r="D12" s="36"/>
      <c r="E12" s="36"/>
      <c r="F12" s="36"/>
      <c r="G12" s="36"/>
      <c r="H12" s="36"/>
      <c r="I12" s="36"/>
      <c r="J12" s="36"/>
      <c r="K12" s="36"/>
      <c r="L12" s="36"/>
      <c r="M12" s="36"/>
      <c r="N12" s="192"/>
      <c r="O12" s="36"/>
      <c r="P12" s="192"/>
      <c r="Q12" s="36"/>
      <c r="R12" s="36"/>
      <c r="S12" s="36"/>
      <c r="T12" s="36"/>
      <c r="U12" s="36"/>
      <c r="V12" s="36"/>
      <c r="W12" s="36"/>
      <c r="X12" s="36"/>
      <c r="Y12" s="36"/>
      <c r="Z12" s="36"/>
      <c r="AA12" s="36"/>
      <c r="AB12" s="36"/>
      <c r="AC12" s="36"/>
      <c r="AD12" s="36"/>
      <c r="AE12" s="36"/>
      <c r="AF12" s="36"/>
      <c r="AG12" s="36"/>
      <c r="AH12" s="36"/>
      <c r="AI12" s="36"/>
      <c r="AJ12" s="36"/>
      <c r="AK12" s="36"/>
      <c r="AL12" s="36"/>
      <c r="AM12" s="36"/>
      <c r="AN12" s="36"/>
      <c r="AO12" s="36"/>
      <c r="AP12" s="36"/>
      <c r="AQ12" s="36"/>
      <c r="AR12" s="36"/>
      <c r="AS12" s="36"/>
      <c r="AT12" s="36"/>
      <c r="AU12" s="36"/>
      <c r="AV12" s="36"/>
      <c r="AW12" s="36"/>
      <c r="AX12" s="36"/>
      <c r="AY12" s="36"/>
      <c r="AZ12" s="36"/>
      <c r="BA12" s="36"/>
      <c r="BB12" s="36"/>
      <c r="BC12" s="36"/>
      <c r="BD12" s="36"/>
      <c r="BE12" s="36"/>
      <c r="BF12" s="36"/>
      <c r="BG12" s="36"/>
      <c r="BH12" s="36"/>
      <c r="BI12" s="36"/>
      <c r="BJ12" s="36"/>
      <c r="BK12" s="36"/>
      <c r="BL12" s="36"/>
      <c r="BM12" s="36"/>
      <c r="BN12" s="36"/>
      <c r="BO12" s="36"/>
      <c r="BP12" s="36"/>
      <c r="BQ12" s="36"/>
      <c r="BR12" s="36"/>
      <c r="BS12" s="36"/>
      <c r="BT12" s="36"/>
      <c r="BU12" s="36"/>
      <c r="BV12" s="36"/>
      <c r="BW12" s="36"/>
      <c r="BX12" s="36"/>
      <c r="BY12" s="36"/>
      <c r="BZ12" s="36"/>
      <c r="CA12" s="36"/>
      <c r="CB12" s="36"/>
      <c r="CC12" s="36"/>
      <c r="CD12" s="36"/>
      <c r="CE12" s="36"/>
      <c r="CF12" s="36"/>
      <c r="CG12" s="36"/>
      <c r="CH12" s="36"/>
      <c r="CI12" s="36"/>
      <c r="CJ12" s="36"/>
      <c r="CK12" s="36"/>
      <c r="CL12" s="36"/>
      <c r="CM12" s="36"/>
      <c r="CN12" s="36"/>
      <c r="CO12" s="36"/>
      <c r="CP12" s="36"/>
      <c r="CQ12" s="36"/>
      <c r="CR12" s="36"/>
      <c r="CS12" s="36"/>
      <c r="CT12" s="36"/>
      <c r="CU12" s="36"/>
      <c r="CV12" s="36"/>
      <c r="CW12" s="36"/>
      <c r="CX12" s="36"/>
      <c r="CY12" s="36"/>
      <c r="CZ12" s="36"/>
      <c r="DA12" s="36"/>
      <c r="DB12" s="36"/>
      <c r="DC12" s="36"/>
      <c r="DD12" s="36"/>
      <c r="DE12" s="36"/>
      <c r="DF12" s="36"/>
      <c r="DG12" s="36"/>
      <c r="DH12" s="36"/>
      <c r="DI12" s="36"/>
      <c r="DJ12" s="36"/>
      <c r="DK12" s="36"/>
      <c r="DL12" s="36"/>
      <c r="DM12" s="36"/>
      <c r="DN12" s="36"/>
      <c r="DO12" s="36"/>
      <c r="DP12" s="36"/>
      <c r="DQ12" s="36"/>
      <c r="DR12" s="36"/>
      <c r="DS12" s="36"/>
      <c r="DT12" s="36"/>
      <c r="DU12" s="36"/>
      <c r="DV12" s="36"/>
      <c r="DW12" s="36"/>
      <c r="DX12" s="36"/>
      <c r="DY12" s="36"/>
      <c r="DZ12" s="36"/>
      <c r="EA12" s="36"/>
      <c r="EB12" s="36"/>
      <c r="EC12" s="36"/>
      <c r="ED12" s="36"/>
      <c r="EE12" s="36"/>
      <c r="EF12" s="36"/>
      <c r="EG12" s="36"/>
      <c r="EH12" s="36"/>
      <c r="EI12" s="36"/>
      <c r="EJ12" s="36"/>
      <c r="EK12" s="36"/>
      <c r="EL12" s="36"/>
      <c r="EM12" s="36"/>
      <c r="EN12" s="36"/>
      <c r="EO12" s="36"/>
      <c r="EP12" s="36"/>
      <c r="EQ12" s="36"/>
      <c r="ER12" s="36"/>
      <c r="ES12" s="36"/>
      <c r="ET12" s="192"/>
    </row>
    <row r="13" spans="1:150">
      <c r="A13" s="192"/>
      <c r="B13" s="810" t="s">
        <v>549</v>
      </c>
      <c r="C13" s="811">
        <f t="shared" ref="C13:M13" si="24">SUM(C10:C12)</f>
        <v>80</v>
      </c>
      <c r="D13" s="811">
        <f t="shared" si="24"/>
        <v>80</v>
      </c>
      <c r="E13" s="811">
        <f t="shared" si="24"/>
        <v>80</v>
      </c>
      <c r="F13" s="811">
        <f t="shared" si="24"/>
        <v>80</v>
      </c>
      <c r="G13" s="811">
        <f t="shared" si="24"/>
        <v>80</v>
      </c>
      <c r="H13" s="811">
        <f t="shared" si="24"/>
        <v>80</v>
      </c>
      <c r="I13" s="811">
        <f t="shared" si="24"/>
        <v>80</v>
      </c>
      <c r="J13" s="811">
        <f t="shared" si="24"/>
        <v>80</v>
      </c>
      <c r="K13" s="811">
        <f t="shared" si="24"/>
        <v>80</v>
      </c>
      <c r="L13" s="811">
        <f t="shared" si="24"/>
        <v>80</v>
      </c>
      <c r="M13" s="811">
        <f t="shared" si="24"/>
        <v>80</v>
      </c>
      <c r="N13" s="812"/>
      <c r="O13" s="811">
        <f>SUM(O10:O12)</f>
        <v>80</v>
      </c>
      <c r="P13" s="812"/>
      <c r="Q13" s="813">
        <f>TotalDealUnits</f>
        <v>80</v>
      </c>
      <c r="R13" s="814">
        <f t="shared" ref="R13:AW13" si="25">SUM(R10:R12)</f>
        <v>80</v>
      </c>
      <c r="S13" s="811">
        <f t="shared" si="25"/>
        <v>80</v>
      </c>
      <c r="T13" s="811">
        <f t="shared" si="25"/>
        <v>80</v>
      </c>
      <c r="U13" s="811">
        <f t="shared" si="25"/>
        <v>80</v>
      </c>
      <c r="V13" s="811">
        <f t="shared" si="25"/>
        <v>80</v>
      </c>
      <c r="W13" s="811">
        <f t="shared" si="25"/>
        <v>80</v>
      </c>
      <c r="X13" s="811">
        <f t="shared" si="25"/>
        <v>80</v>
      </c>
      <c r="Y13" s="811">
        <f t="shared" si="25"/>
        <v>80</v>
      </c>
      <c r="Z13" s="811">
        <f t="shared" si="25"/>
        <v>80</v>
      </c>
      <c r="AA13" s="811">
        <f t="shared" si="25"/>
        <v>80</v>
      </c>
      <c r="AB13" s="811">
        <f t="shared" si="25"/>
        <v>80</v>
      </c>
      <c r="AC13" s="811">
        <f t="shared" si="25"/>
        <v>80</v>
      </c>
      <c r="AD13" s="811">
        <f t="shared" si="25"/>
        <v>80</v>
      </c>
      <c r="AE13" s="811">
        <f t="shared" si="25"/>
        <v>80</v>
      </c>
      <c r="AF13" s="811">
        <f t="shared" si="25"/>
        <v>80</v>
      </c>
      <c r="AG13" s="811">
        <f t="shared" si="25"/>
        <v>80</v>
      </c>
      <c r="AH13" s="811">
        <f t="shared" si="25"/>
        <v>80</v>
      </c>
      <c r="AI13" s="811">
        <f t="shared" si="25"/>
        <v>80</v>
      </c>
      <c r="AJ13" s="811">
        <f t="shared" si="25"/>
        <v>80</v>
      </c>
      <c r="AK13" s="811">
        <f t="shared" si="25"/>
        <v>80</v>
      </c>
      <c r="AL13" s="811">
        <f t="shared" si="25"/>
        <v>80</v>
      </c>
      <c r="AM13" s="811">
        <f t="shared" si="25"/>
        <v>80</v>
      </c>
      <c r="AN13" s="811">
        <f t="shared" si="25"/>
        <v>80</v>
      </c>
      <c r="AO13" s="811">
        <f t="shared" si="25"/>
        <v>80</v>
      </c>
      <c r="AP13" s="811">
        <f t="shared" si="25"/>
        <v>80</v>
      </c>
      <c r="AQ13" s="811">
        <f t="shared" si="25"/>
        <v>80</v>
      </c>
      <c r="AR13" s="811">
        <f t="shared" si="25"/>
        <v>80</v>
      </c>
      <c r="AS13" s="811">
        <f t="shared" si="25"/>
        <v>80</v>
      </c>
      <c r="AT13" s="811">
        <f t="shared" si="25"/>
        <v>80</v>
      </c>
      <c r="AU13" s="811">
        <f t="shared" si="25"/>
        <v>80</v>
      </c>
      <c r="AV13" s="811">
        <f t="shared" si="25"/>
        <v>80</v>
      </c>
      <c r="AW13" s="811">
        <f t="shared" si="25"/>
        <v>80</v>
      </c>
      <c r="AX13" s="811">
        <f t="shared" ref="AX13:CC13" si="26">SUM(AX10:AX12)</f>
        <v>80</v>
      </c>
      <c r="AY13" s="811">
        <f t="shared" si="26"/>
        <v>80</v>
      </c>
      <c r="AZ13" s="811">
        <f t="shared" si="26"/>
        <v>80</v>
      </c>
      <c r="BA13" s="811">
        <f t="shared" si="26"/>
        <v>80</v>
      </c>
      <c r="BB13" s="811">
        <f t="shared" si="26"/>
        <v>80</v>
      </c>
      <c r="BC13" s="811">
        <f t="shared" si="26"/>
        <v>80</v>
      </c>
      <c r="BD13" s="811">
        <f t="shared" si="26"/>
        <v>80</v>
      </c>
      <c r="BE13" s="811">
        <f t="shared" si="26"/>
        <v>80</v>
      </c>
      <c r="BF13" s="811">
        <f t="shared" si="26"/>
        <v>80</v>
      </c>
      <c r="BG13" s="811">
        <f t="shared" si="26"/>
        <v>80</v>
      </c>
      <c r="BH13" s="811">
        <f t="shared" si="26"/>
        <v>80</v>
      </c>
      <c r="BI13" s="811">
        <f t="shared" si="26"/>
        <v>80</v>
      </c>
      <c r="BJ13" s="811">
        <f t="shared" si="26"/>
        <v>80</v>
      </c>
      <c r="BK13" s="811">
        <f t="shared" si="26"/>
        <v>80</v>
      </c>
      <c r="BL13" s="811">
        <f t="shared" si="26"/>
        <v>80</v>
      </c>
      <c r="BM13" s="811">
        <f t="shared" si="26"/>
        <v>80</v>
      </c>
      <c r="BN13" s="811">
        <f t="shared" si="26"/>
        <v>80</v>
      </c>
      <c r="BO13" s="811">
        <f t="shared" si="26"/>
        <v>80</v>
      </c>
      <c r="BP13" s="811">
        <f t="shared" si="26"/>
        <v>80</v>
      </c>
      <c r="BQ13" s="811">
        <f t="shared" si="26"/>
        <v>80</v>
      </c>
      <c r="BR13" s="811">
        <f t="shared" si="26"/>
        <v>80</v>
      </c>
      <c r="BS13" s="811">
        <f t="shared" si="26"/>
        <v>80</v>
      </c>
      <c r="BT13" s="811">
        <f t="shared" si="26"/>
        <v>80</v>
      </c>
      <c r="BU13" s="811">
        <f t="shared" si="26"/>
        <v>80</v>
      </c>
      <c r="BV13" s="811">
        <f t="shared" si="26"/>
        <v>80</v>
      </c>
      <c r="BW13" s="811">
        <f t="shared" si="26"/>
        <v>80</v>
      </c>
      <c r="BX13" s="811">
        <f t="shared" si="26"/>
        <v>80</v>
      </c>
      <c r="BY13" s="811">
        <f t="shared" si="26"/>
        <v>80</v>
      </c>
      <c r="BZ13" s="811">
        <f t="shared" si="26"/>
        <v>80</v>
      </c>
      <c r="CA13" s="811">
        <f t="shared" si="26"/>
        <v>80</v>
      </c>
      <c r="CB13" s="811">
        <f t="shared" si="26"/>
        <v>80</v>
      </c>
      <c r="CC13" s="811">
        <f t="shared" si="26"/>
        <v>80</v>
      </c>
      <c r="CD13" s="811">
        <f t="shared" ref="CD13:DI13" si="27">SUM(CD10:CD12)</f>
        <v>80</v>
      </c>
      <c r="CE13" s="811">
        <f t="shared" si="27"/>
        <v>80</v>
      </c>
      <c r="CF13" s="811">
        <f t="shared" si="27"/>
        <v>80</v>
      </c>
      <c r="CG13" s="811">
        <f t="shared" si="27"/>
        <v>80</v>
      </c>
      <c r="CH13" s="811">
        <f t="shared" si="27"/>
        <v>80</v>
      </c>
      <c r="CI13" s="811">
        <f t="shared" si="27"/>
        <v>80</v>
      </c>
      <c r="CJ13" s="811">
        <f t="shared" si="27"/>
        <v>80</v>
      </c>
      <c r="CK13" s="811">
        <f t="shared" si="27"/>
        <v>80</v>
      </c>
      <c r="CL13" s="811">
        <f t="shared" si="27"/>
        <v>80</v>
      </c>
      <c r="CM13" s="811">
        <f t="shared" si="27"/>
        <v>80</v>
      </c>
      <c r="CN13" s="811">
        <f t="shared" si="27"/>
        <v>80</v>
      </c>
      <c r="CO13" s="811">
        <f t="shared" si="27"/>
        <v>80</v>
      </c>
      <c r="CP13" s="811">
        <f t="shared" si="27"/>
        <v>80</v>
      </c>
      <c r="CQ13" s="811">
        <f t="shared" si="27"/>
        <v>80</v>
      </c>
      <c r="CR13" s="811">
        <f t="shared" si="27"/>
        <v>80</v>
      </c>
      <c r="CS13" s="811">
        <f t="shared" si="27"/>
        <v>80</v>
      </c>
      <c r="CT13" s="811">
        <f t="shared" si="27"/>
        <v>80</v>
      </c>
      <c r="CU13" s="811">
        <f t="shared" si="27"/>
        <v>80</v>
      </c>
      <c r="CV13" s="811">
        <f t="shared" si="27"/>
        <v>80</v>
      </c>
      <c r="CW13" s="811">
        <f t="shared" si="27"/>
        <v>80</v>
      </c>
      <c r="CX13" s="811">
        <f t="shared" si="27"/>
        <v>80</v>
      </c>
      <c r="CY13" s="811">
        <f t="shared" si="27"/>
        <v>80</v>
      </c>
      <c r="CZ13" s="811">
        <f t="shared" si="27"/>
        <v>80</v>
      </c>
      <c r="DA13" s="811">
        <f t="shared" si="27"/>
        <v>80</v>
      </c>
      <c r="DB13" s="811">
        <f t="shared" si="27"/>
        <v>80</v>
      </c>
      <c r="DC13" s="811">
        <f t="shared" si="27"/>
        <v>80</v>
      </c>
      <c r="DD13" s="811">
        <f t="shared" si="27"/>
        <v>80</v>
      </c>
      <c r="DE13" s="811">
        <f t="shared" si="27"/>
        <v>80</v>
      </c>
      <c r="DF13" s="811">
        <f t="shared" si="27"/>
        <v>80</v>
      </c>
      <c r="DG13" s="811">
        <f t="shared" si="27"/>
        <v>80</v>
      </c>
      <c r="DH13" s="811">
        <f t="shared" si="27"/>
        <v>80</v>
      </c>
      <c r="DI13" s="811">
        <f t="shared" si="27"/>
        <v>80</v>
      </c>
      <c r="DJ13" s="811">
        <f t="shared" ref="DJ13:EO13" si="28">SUM(DJ10:DJ12)</f>
        <v>80</v>
      </c>
      <c r="DK13" s="811">
        <f t="shared" si="28"/>
        <v>80</v>
      </c>
      <c r="DL13" s="811">
        <f t="shared" si="28"/>
        <v>80</v>
      </c>
      <c r="DM13" s="811">
        <f t="shared" si="28"/>
        <v>80</v>
      </c>
      <c r="DN13" s="811">
        <f t="shared" si="28"/>
        <v>80</v>
      </c>
      <c r="DO13" s="811">
        <f t="shared" si="28"/>
        <v>80</v>
      </c>
      <c r="DP13" s="811">
        <f t="shared" si="28"/>
        <v>80</v>
      </c>
      <c r="DQ13" s="811">
        <f t="shared" si="28"/>
        <v>80</v>
      </c>
      <c r="DR13" s="811">
        <f t="shared" si="28"/>
        <v>80</v>
      </c>
      <c r="DS13" s="811">
        <f t="shared" si="28"/>
        <v>80</v>
      </c>
      <c r="DT13" s="811">
        <f t="shared" si="28"/>
        <v>80</v>
      </c>
      <c r="DU13" s="811">
        <f t="shared" si="28"/>
        <v>80</v>
      </c>
      <c r="DV13" s="811">
        <f t="shared" si="28"/>
        <v>80</v>
      </c>
      <c r="DW13" s="811">
        <f t="shared" si="28"/>
        <v>80</v>
      </c>
      <c r="DX13" s="811">
        <f t="shared" si="28"/>
        <v>80</v>
      </c>
      <c r="DY13" s="811">
        <f t="shared" si="28"/>
        <v>80</v>
      </c>
      <c r="DZ13" s="811">
        <f t="shared" si="28"/>
        <v>80</v>
      </c>
      <c r="EA13" s="811">
        <f t="shared" si="28"/>
        <v>80</v>
      </c>
      <c r="EB13" s="811">
        <f t="shared" si="28"/>
        <v>80</v>
      </c>
      <c r="EC13" s="811">
        <f t="shared" si="28"/>
        <v>80</v>
      </c>
      <c r="ED13" s="811">
        <f t="shared" si="28"/>
        <v>80</v>
      </c>
      <c r="EE13" s="811">
        <f t="shared" si="28"/>
        <v>80</v>
      </c>
      <c r="EF13" s="811">
        <f t="shared" si="28"/>
        <v>80</v>
      </c>
      <c r="EG13" s="811">
        <f t="shared" si="28"/>
        <v>80</v>
      </c>
      <c r="EH13" s="811">
        <f t="shared" si="28"/>
        <v>80</v>
      </c>
      <c r="EI13" s="811">
        <f t="shared" si="28"/>
        <v>80</v>
      </c>
      <c r="EJ13" s="811">
        <f t="shared" si="28"/>
        <v>80</v>
      </c>
      <c r="EK13" s="811">
        <f t="shared" si="28"/>
        <v>80</v>
      </c>
      <c r="EL13" s="811">
        <f t="shared" si="28"/>
        <v>80</v>
      </c>
      <c r="EM13" s="811">
        <f t="shared" si="28"/>
        <v>80</v>
      </c>
      <c r="EN13" s="811">
        <f t="shared" si="28"/>
        <v>80</v>
      </c>
      <c r="EO13" s="811">
        <f t="shared" si="28"/>
        <v>80</v>
      </c>
      <c r="EP13" s="811">
        <f t="shared" ref="EP13:FU13" si="29">SUM(EP10:EP12)</f>
        <v>80</v>
      </c>
      <c r="EQ13" s="811">
        <f t="shared" si="29"/>
        <v>80</v>
      </c>
      <c r="ER13" s="811">
        <f t="shared" si="29"/>
        <v>80</v>
      </c>
      <c r="ES13" s="811">
        <f t="shared" si="29"/>
        <v>80</v>
      </c>
      <c r="ET13" s="192"/>
    </row>
    <row r="14" spans="1:150">
      <c r="A14" s="192"/>
      <c r="B14" s="36"/>
      <c r="C14" s="37"/>
      <c r="D14" s="37"/>
      <c r="E14" s="37"/>
      <c r="F14" s="37"/>
      <c r="G14" s="37"/>
      <c r="H14" s="37"/>
      <c r="I14" s="37"/>
      <c r="J14" s="37"/>
      <c r="K14" s="37"/>
      <c r="L14" s="37"/>
      <c r="M14" s="37"/>
      <c r="N14" s="192"/>
      <c r="O14" s="37"/>
      <c r="P14" s="192"/>
      <c r="Q14" s="37"/>
      <c r="R14" s="37"/>
      <c r="S14" s="37"/>
      <c r="T14" s="37"/>
      <c r="U14" s="37"/>
      <c r="V14" s="37"/>
      <c r="W14" s="37"/>
      <c r="X14" s="37"/>
      <c r="Y14" s="37"/>
      <c r="Z14" s="37"/>
      <c r="AA14" s="37"/>
      <c r="AB14" s="37"/>
      <c r="AC14" s="37"/>
      <c r="AD14" s="37"/>
      <c r="AE14" s="37"/>
      <c r="AF14" s="37"/>
      <c r="AG14" s="37"/>
      <c r="AH14" s="37"/>
      <c r="AI14" s="37"/>
      <c r="AJ14" s="37"/>
      <c r="AK14" s="37"/>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c r="BT14" s="37"/>
      <c r="BU14" s="37"/>
      <c r="BV14" s="37"/>
      <c r="BW14" s="37"/>
      <c r="BX14" s="37"/>
      <c r="BY14" s="37"/>
      <c r="BZ14" s="37"/>
      <c r="CA14" s="37"/>
      <c r="CB14" s="37"/>
      <c r="CC14" s="37"/>
      <c r="CD14" s="37"/>
      <c r="CE14" s="37"/>
      <c r="CF14" s="37"/>
      <c r="CG14" s="37"/>
      <c r="CH14" s="37"/>
      <c r="CI14" s="37"/>
      <c r="CJ14" s="37"/>
      <c r="CK14" s="37"/>
      <c r="CL14" s="37"/>
      <c r="CM14" s="37"/>
      <c r="CN14" s="37"/>
      <c r="CO14" s="37"/>
      <c r="CP14" s="37"/>
      <c r="CQ14" s="37"/>
      <c r="CR14" s="37"/>
      <c r="CS14" s="37"/>
      <c r="CT14" s="37"/>
      <c r="CU14" s="37"/>
      <c r="CV14" s="37"/>
      <c r="CW14" s="37"/>
      <c r="CX14" s="37"/>
      <c r="CY14" s="37"/>
      <c r="CZ14" s="37"/>
      <c r="DA14" s="37"/>
      <c r="DB14" s="37"/>
      <c r="DC14" s="37"/>
      <c r="DD14" s="37"/>
      <c r="DE14" s="37"/>
      <c r="DF14" s="37"/>
      <c r="DG14" s="37"/>
      <c r="DH14" s="37"/>
      <c r="DI14" s="37"/>
      <c r="DJ14" s="37"/>
      <c r="DK14" s="37"/>
      <c r="DL14" s="37"/>
      <c r="DM14" s="37"/>
      <c r="DN14" s="37"/>
      <c r="DO14" s="37"/>
      <c r="DP14" s="37"/>
      <c r="DQ14" s="37"/>
      <c r="DR14" s="37"/>
      <c r="DS14" s="37"/>
      <c r="DT14" s="37"/>
      <c r="DU14" s="37"/>
      <c r="DV14" s="37"/>
      <c r="DW14" s="37"/>
      <c r="DX14" s="37"/>
      <c r="DY14" s="37"/>
      <c r="DZ14" s="37"/>
      <c r="EA14" s="37"/>
      <c r="EB14" s="37"/>
      <c r="EC14" s="37"/>
      <c r="ED14" s="37"/>
      <c r="EE14" s="37"/>
      <c r="EF14" s="37"/>
      <c r="EG14" s="37"/>
      <c r="EH14" s="37"/>
      <c r="EI14" s="37"/>
      <c r="EJ14" s="37"/>
      <c r="EK14" s="37"/>
      <c r="EL14" s="37"/>
      <c r="EM14" s="37"/>
      <c r="EN14" s="37"/>
      <c r="EO14" s="37"/>
      <c r="EP14" s="37"/>
      <c r="EQ14" s="37"/>
      <c r="ER14" s="37"/>
      <c r="ES14" s="37"/>
      <c r="ET14" s="192"/>
    </row>
    <row r="15" spans="1:150" ht="10.5" customHeight="1">
      <c r="A15" s="192"/>
      <c r="B15" s="192"/>
      <c r="C15" s="192"/>
      <c r="D15" s="192"/>
      <c r="E15" s="192"/>
      <c r="F15" s="192"/>
      <c r="G15" s="192"/>
      <c r="H15" s="192"/>
      <c r="I15" s="192"/>
      <c r="J15" s="192"/>
      <c r="K15" s="192"/>
      <c r="L15" s="192"/>
      <c r="M15" s="192"/>
      <c r="N15" s="192"/>
      <c r="O15" s="192"/>
      <c r="P15" s="192"/>
      <c r="Q15" s="192"/>
      <c r="R15" s="192"/>
      <c r="S15" s="192"/>
      <c r="T15" s="192"/>
      <c r="U15" s="192"/>
      <c r="V15" s="192"/>
      <c r="W15" s="192"/>
      <c r="X15" s="192"/>
      <c r="Y15" s="192"/>
      <c r="Z15" s="192"/>
      <c r="AA15" s="192"/>
      <c r="AB15" s="192"/>
      <c r="AC15" s="192"/>
      <c r="AD15" s="192"/>
      <c r="AE15" s="192"/>
      <c r="AF15" s="192"/>
      <c r="AG15" s="192"/>
      <c r="AH15" s="192"/>
      <c r="AI15" s="192"/>
      <c r="AJ15" s="192"/>
      <c r="AK15" s="192"/>
      <c r="AL15" s="192"/>
      <c r="AM15" s="192"/>
      <c r="AN15" s="192"/>
      <c r="AO15" s="192"/>
      <c r="AP15" s="192"/>
      <c r="AQ15" s="192"/>
      <c r="AR15" s="192"/>
      <c r="AS15" s="192"/>
      <c r="AT15" s="192"/>
      <c r="AU15" s="192"/>
      <c r="AV15" s="192"/>
      <c r="AW15" s="192"/>
      <c r="AX15" s="192"/>
      <c r="AY15" s="192"/>
      <c r="AZ15" s="192"/>
      <c r="BA15" s="192"/>
      <c r="BB15" s="192"/>
      <c r="BC15" s="192"/>
      <c r="BD15" s="192"/>
      <c r="BE15" s="192"/>
      <c r="BF15" s="192"/>
      <c r="BG15" s="192"/>
      <c r="BH15" s="192"/>
      <c r="BI15" s="192"/>
      <c r="BJ15" s="192"/>
      <c r="BK15" s="192"/>
      <c r="BL15" s="192"/>
      <c r="BM15" s="192"/>
      <c r="BN15" s="192"/>
      <c r="BO15" s="192"/>
      <c r="BP15" s="192"/>
      <c r="BQ15" s="192"/>
      <c r="BR15" s="192"/>
      <c r="BS15" s="192"/>
      <c r="BT15" s="192"/>
      <c r="BU15" s="192"/>
      <c r="BV15" s="192"/>
      <c r="BW15" s="192"/>
      <c r="BX15" s="192"/>
      <c r="BY15" s="192"/>
      <c r="BZ15" s="192"/>
      <c r="CA15" s="192"/>
      <c r="CB15" s="192"/>
      <c r="CC15" s="192"/>
      <c r="CD15" s="192"/>
      <c r="CE15" s="192"/>
      <c r="CF15" s="192"/>
      <c r="CG15" s="192"/>
      <c r="CH15" s="192"/>
      <c r="CI15" s="192"/>
      <c r="CJ15" s="192"/>
      <c r="CK15" s="192"/>
      <c r="CL15" s="192"/>
      <c r="CM15" s="192"/>
      <c r="CN15" s="192"/>
      <c r="CO15" s="192"/>
      <c r="CP15" s="192"/>
      <c r="CQ15" s="192"/>
      <c r="CR15" s="192"/>
      <c r="CS15" s="192"/>
      <c r="CT15" s="192"/>
      <c r="CU15" s="192"/>
      <c r="CV15" s="192"/>
      <c r="CW15" s="192"/>
      <c r="CX15" s="192"/>
      <c r="CY15" s="192"/>
      <c r="CZ15" s="192"/>
      <c r="DA15" s="192"/>
      <c r="DB15" s="192"/>
      <c r="DC15" s="192"/>
      <c r="DD15" s="192"/>
      <c r="DE15" s="192"/>
      <c r="DF15" s="192"/>
      <c r="DG15" s="192"/>
      <c r="DH15" s="192"/>
      <c r="DI15" s="192"/>
      <c r="DJ15" s="192"/>
      <c r="DK15" s="192"/>
      <c r="DL15" s="192"/>
      <c r="DM15" s="192"/>
      <c r="DN15" s="192"/>
      <c r="DO15" s="192"/>
      <c r="DP15" s="192"/>
      <c r="DQ15" s="192"/>
      <c r="DR15" s="192"/>
      <c r="DS15" s="192"/>
      <c r="DT15" s="192"/>
      <c r="DU15" s="192"/>
      <c r="DV15" s="192"/>
      <c r="DW15" s="192"/>
      <c r="DX15" s="192"/>
      <c r="DY15" s="192"/>
      <c r="DZ15" s="192"/>
      <c r="EA15" s="192"/>
      <c r="EB15" s="192"/>
      <c r="EC15" s="192"/>
      <c r="ED15" s="192"/>
      <c r="EE15" s="192"/>
      <c r="EF15" s="192"/>
      <c r="EG15" s="192"/>
      <c r="EH15" s="192"/>
      <c r="EI15" s="192"/>
      <c r="EJ15" s="192"/>
      <c r="EK15" s="192"/>
      <c r="EL15" s="192"/>
      <c r="EM15" s="192"/>
      <c r="EN15" s="192"/>
      <c r="EO15" s="192"/>
      <c r="EP15" s="192"/>
      <c r="EQ15" s="192"/>
      <c r="ER15" s="192"/>
      <c r="ES15" s="192"/>
      <c r="ET15" s="192"/>
    </row>
    <row r="16" spans="1:150" ht="10.5" customHeight="1">
      <c r="A16" s="192"/>
      <c r="B16" s="192"/>
      <c r="C16" s="192"/>
      <c r="D16" s="192"/>
      <c r="E16" s="192"/>
      <c r="F16" s="192"/>
      <c r="G16" s="192"/>
      <c r="H16" s="192"/>
      <c r="I16" s="192"/>
      <c r="J16" s="192"/>
      <c r="K16" s="192"/>
      <c r="L16" s="192"/>
      <c r="M16" s="192"/>
      <c r="N16" s="192"/>
      <c r="O16" s="192"/>
      <c r="P16" s="192"/>
      <c r="Q16" s="192"/>
      <c r="R16" s="192"/>
      <c r="S16" s="192"/>
      <c r="T16" s="192"/>
      <c r="U16" s="192"/>
      <c r="V16" s="192"/>
      <c r="W16" s="192"/>
      <c r="X16" s="192"/>
      <c r="Y16" s="192"/>
      <c r="Z16" s="192"/>
      <c r="AA16" s="192"/>
      <c r="AB16" s="192"/>
      <c r="AC16" s="192"/>
      <c r="AD16" s="192"/>
      <c r="AE16" s="192"/>
      <c r="AF16" s="192"/>
      <c r="AG16" s="192"/>
      <c r="AH16" s="192"/>
      <c r="AI16" s="192"/>
      <c r="AJ16" s="192"/>
      <c r="AK16" s="192"/>
      <c r="AL16" s="192"/>
      <c r="AM16" s="192"/>
      <c r="AN16" s="192"/>
      <c r="AO16" s="192"/>
      <c r="AP16" s="192"/>
      <c r="AQ16" s="192"/>
      <c r="AR16" s="192"/>
      <c r="AS16" s="192"/>
      <c r="AT16" s="192"/>
      <c r="AU16" s="192"/>
      <c r="AV16" s="192"/>
      <c r="AW16" s="192"/>
      <c r="AX16" s="192"/>
      <c r="AY16" s="192"/>
      <c r="AZ16" s="192"/>
      <c r="BA16" s="192"/>
      <c r="BB16" s="192"/>
      <c r="BC16" s="192"/>
      <c r="BD16" s="192"/>
      <c r="BE16" s="192"/>
      <c r="BF16" s="192"/>
      <c r="BG16" s="192"/>
      <c r="BH16" s="192"/>
      <c r="BI16" s="192"/>
      <c r="BJ16" s="192"/>
      <c r="BK16" s="192"/>
      <c r="BL16" s="192"/>
      <c r="BM16" s="192"/>
      <c r="BN16" s="192"/>
      <c r="BO16" s="192"/>
      <c r="BP16" s="192"/>
      <c r="BQ16" s="192"/>
      <c r="BR16" s="192"/>
      <c r="BS16" s="192"/>
      <c r="BT16" s="192"/>
      <c r="BU16" s="192"/>
      <c r="BV16" s="192"/>
      <c r="BW16" s="192"/>
      <c r="BX16" s="192"/>
      <c r="BY16" s="192"/>
      <c r="BZ16" s="192"/>
      <c r="CA16" s="192"/>
      <c r="CB16" s="192"/>
      <c r="CC16" s="192"/>
      <c r="CD16" s="192"/>
      <c r="CE16" s="192"/>
      <c r="CF16" s="192"/>
      <c r="CG16" s="192"/>
      <c r="CH16" s="192"/>
      <c r="CI16" s="192"/>
      <c r="CJ16" s="192"/>
      <c r="CK16" s="192"/>
      <c r="CL16" s="192"/>
      <c r="CM16" s="192"/>
      <c r="CN16" s="192"/>
      <c r="CO16" s="192"/>
      <c r="CP16" s="192"/>
      <c r="CQ16" s="192"/>
      <c r="CR16" s="192"/>
      <c r="CS16" s="192"/>
      <c r="CT16" s="192"/>
      <c r="CU16" s="192"/>
      <c r="CV16" s="192"/>
      <c r="CW16" s="192"/>
      <c r="CX16" s="192"/>
      <c r="CY16" s="192"/>
      <c r="CZ16" s="192"/>
      <c r="DA16" s="192"/>
      <c r="DB16" s="192"/>
      <c r="DC16" s="192"/>
      <c r="DD16" s="192"/>
      <c r="DE16" s="192"/>
      <c r="DF16" s="192"/>
      <c r="DG16" s="192"/>
      <c r="DH16" s="192"/>
      <c r="DI16" s="192"/>
      <c r="DJ16" s="192"/>
      <c r="DK16" s="192"/>
      <c r="DL16" s="192"/>
      <c r="DM16" s="192"/>
      <c r="DN16" s="192"/>
      <c r="DO16" s="192"/>
      <c r="DP16" s="192"/>
      <c r="DQ16" s="192"/>
      <c r="DR16" s="192"/>
      <c r="DS16" s="192"/>
      <c r="DT16" s="192"/>
      <c r="DU16" s="192"/>
      <c r="DV16" s="192"/>
      <c r="DW16" s="192"/>
      <c r="DX16" s="192"/>
      <c r="DY16" s="192"/>
      <c r="DZ16" s="192"/>
      <c r="EA16" s="192"/>
      <c r="EB16" s="192"/>
      <c r="EC16" s="192"/>
      <c r="ED16" s="192"/>
      <c r="EE16" s="192"/>
      <c r="EF16" s="192"/>
      <c r="EG16" s="192"/>
      <c r="EH16" s="192"/>
      <c r="EI16" s="192"/>
      <c r="EJ16" s="192"/>
      <c r="EK16" s="192"/>
      <c r="EL16" s="192"/>
      <c r="EM16" s="192"/>
      <c r="EN16" s="192"/>
      <c r="EO16" s="192"/>
      <c r="EP16" s="192"/>
      <c r="EQ16" s="192"/>
      <c r="ER16" s="192"/>
      <c r="ES16" s="192"/>
      <c r="ET16" s="192"/>
    </row>
    <row r="17" spans="1:150" s="192" customFormat="1" hidden="1">
      <c r="B17" s="1043" t="s">
        <v>550</v>
      </c>
      <c r="C17" s="196"/>
      <c r="D17" s="197"/>
      <c r="E17" s="197"/>
      <c r="F17" s="197"/>
      <c r="G17" s="197"/>
      <c r="H17" s="197"/>
      <c r="I17" s="197"/>
      <c r="J17" s="197"/>
      <c r="K17" s="197"/>
      <c r="L17" s="197"/>
      <c r="M17" s="197"/>
      <c r="O17" s="197"/>
      <c r="Q17" s="197"/>
      <c r="R17" s="197"/>
      <c r="S17" s="197"/>
      <c r="T17" s="197"/>
      <c r="U17" s="197"/>
      <c r="V17" s="197"/>
      <c r="W17" s="197"/>
      <c r="X17" s="197"/>
      <c r="Y17" s="197"/>
      <c r="Z17" s="197"/>
      <c r="AA17" s="197"/>
      <c r="AB17" s="197"/>
      <c r="AC17" s="197"/>
      <c r="AD17" s="197"/>
      <c r="AE17" s="197"/>
      <c r="AF17" s="197"/>
      <c r="AG17" s="197"/>
      <c r="AH17" s="197"/>
      <c r="AI17" s="197"/>
      <c r="AJ17" s="197"/>
      <c r="AK17" s="197"/>
      <c r="AL17" s="197"/>
      <c r="AM17" s="197"/>
      <c r="AN17" s="197"/>
      <c r="AO17" s="197"/>
      <c r="AP17" s="197"/>
      <c r="AQ17" s="197"/>
      <c r="AR17" s="197"/>
      <c r="AS17" s="197"/>
      <c r="AT17" s="197"/>
      <c r="AU17" s="197"/>
      <c r="AV17" s="197"/>
      <c r="AW17" s="197"/>
      <c r="AX17" s="197"/>
      <c r="AY17" s="197"/>
      <c r="AZ17" s="197"/>
      <c r="BA17" s="197"/>
      <c r="BB17" s="197"/>
      <c r="BC17" s="197"/>
      <c r="BD17" s="197"/>
      <c r="BE17" s="197"/>
      <c r="BF17" s="197"/>
      <c r="BG17" s="197"/>
      <c r="BH17" s="197"/>
      <c r="BI17" s="197"/>
      <c r="BJ17" s="197"/>
      <c r="BK17" s="197"/>
      <c r="BL17" s="197"/>
      <c r="BM17" s="197"/>
      <c r="BN17" s="197"/>
      <c r="BO17" s="197"/>
      <c r="BP17" s="197"/>
      <c r="BQ17" s="197"/>
      <c r="BR17" s="197"/>
      <c r="BS17" s="197"/>
      <c r="BT17" s="197"/>
      <c r="BU17" s="197"/>
      <c r="BV17" s="197"/>
      <c r="BW17" s="197"/>
      <c r="BX17" s="197"/>
      <c r="BY17" s="197"/>
      <c r="BZ17" s="197"/>
      <c r="CA17" s="197"/>
      <c r="CB17" s="197"/>
      <c r="CC17" s="197"/>
      <c r="CD17" s="197"/>
      <c r="CE17" s="197"/>
      <c r="CF17" s="197"/>
      <c r="CG17" s="197"/>
      <c r="CH17" s="197"/>
      <c r="CI17" s="197"/>
      <c r="CJ17" s="197"/>
      <c r="CK17" s="197"/>
      <c r="CL17" s="197"/>
      <c r="CM17" s="197"/>
      <c r="CN17" s="197"/>
      <c r="CO17" s="197"/>
      <c r="CP17" s="197"/>
      <c r="CQ17" s="197"/>
      <c r="CR17" s="197"/>
      <c r="CS17" s="197"/>
      <c r="CT17" s="197"/>
      <c r="CU17" s="197"/>
      <c r="CV17" s="197"/>
      <c r="CW17" s="197"/>
      <c r="CX17" s="197"/>
      <c r="CY17" s="197"/>
      <c r="CZ17" s="197"/>
      <c r="DA17" s="197"/>
      <c r="DB17" s="197"/>
      <c r="DC17" s="197"/>
      <c r="DD17" s="197"/>
      <c r="DE17" s="197"/>
      <c r="DF17" s="197"/>
      <c r="DG17" s="197"/>
      <c r="DH17" s="197"/>
      <c r="DI17" s="197"/>
      <c r="DJ17" s="197"/>
      <c r="DK17" s="197"/>
      <c r="DL17" s="197"/>
      <c r="DM17" s="197"/>
      <c r="DN17" s="197"/>
      <c r="DO17" s="197"/>
      <c r="DP17" s="197"/>
      <c r="DQ17" s="197"/>
      <c r="DR17" s="197"/>
      <c r="DS17" s="197"/>
      <c r="DT17" s="197"/>
      <c r="DU17" s="197"/>
      <c r="DV17" s="197"/>
      <c r="DW17" s="197"/>
      <c r="DX17" s="197"/>
      <c r="DY17" s="197"/>
      <c r="DZ17" s="197"/>
      <c r="EA17" s="197"/>
      <c r="EB17" s="197"/>
      <c r="EC17" s="197"/>
      <c r="ED17" s="197"/>
      <c r="EE17" s="197"/>
      <c r="EF17" s="197"/>
      <c r="EG17" s="197"/>
      <c r="EH17" s="197"/>
      <c r="EI17" s="197"/>
      <c r="EJ17" s="197"/>
      <c r="EK17" s="197"/>
      <c r="EL17" s="197"/>
      <c r="EM17" s="197"/>
      <c r="EN17" s="197"/>
      <c r="EO17" s="197"/>
      <c r="EP17" s="197"/>
      <c r="EQ17" s="197"/>
      <c r="ER17" s="197"/>
      <c r="ES17" s="197"/>
    </row>
    <row r="18" spans="1:150" hidden="1">
      <c r="A18" s="192"/>
      <c r="B18" s="1051" t="s">
        <v>551</v>
      </c>
      <c r="C18" s="37"/>
      <c r="D18" s="37"/>
      <c r="E18" s="37"/>
      <c r="F18" s="37"/>
      <c r="G18" s="37"/>
      <c r="H18" s="37"/>
      <c r="I18" s="37"/>
      <c r="J18" s="37"/>
      <c r="K18" s="37"/>
      <c r="L18" s="37"/>
      <c r="M18" s="37"/>
      <c r="N18" s="192"/>
      <c r="O18" s="37"/>
      <c r="P18" s="192"/>
      <c r="Q18" s="37"/>
      <c r="R18" s="37"/>
      <c r="S18" s="37"/>
      <c r="T18" s="37"/>
      <c r="U18" s="37"/>
      <c r="V18" s="37"/>
      <c r="W18" s="37"/>
      <c r="X18" s="37"/>
      <c r="Y18" s="37"/>
      <c r="Z18" s="37"/>
      <c r="AA18" s="37"/>
      <c r="AB18" s="37"/>
      <c r="AC18" s="37"/>
      <c r="AD18" s="37"/>
      <c r="AE18" s="37"/>
      <c r="AF18" s="37"/>
      <c r="AG18" s="37"/>
      <c r="AH18" s="37"/>
      <c r="AI18" s="37"/>
      <c r="AJ18" s="37"/>
      <c r="AK18" s="37"/>
      <c r="AL18" s="37"/>
      <c r="AM18" s="37"/>
      <c r="AN18" s="37"/>
      <c r="AO18" s="37"/>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c r="BT18" s="37"/>
      <c r="BU18" s="37"/>
      <c r="BV18" s="37"/>
      <c r="BW18" s="37"/>
      <c r="BX18" s="37"/>
      <c r="BY18" s="37"/>
      <c r="BZ18" s="37"/>
      <c r="CA18" s="37"/>
      <c r="CB18" s="37"/>
      <c r="CC18" s="37"/>
      <c r="CD18" s="37"/>
      <c r="CE18" s="37"/>
      <c r="CF18" s="37"/>
      <c r="CG18" s="37"/>
      <c r="CH18" s="37"/>
      <c r="CI18" s="37"/>
      <c r="CJ18" s="37"/>
      <c r="CK18" s="37"/>
      <c r="CL18" s="37"/>
      <c r="CM18" s="37"/>
      <c r="CN18" s="37"/>
      <c r="CO18" s="37"/>
      <c r="CP18" s="37"/>
      <c r="CQ18" s="37"/>
      <c r="CR18" s="37"/>
      <c r="CS18" s="37"/>
      <c r="CT18" s="37"/>
      <c r="CU18" s="37"/>
      <c r="CV18" s="37"/>
      <c r="CW18" s="37"/>
      <c r="CX18" s="37"/>
      <c r="CY18" s="37"/>
      <c r="CZ18" s="37"/>
      <c r="DA18" s="37"/>
      <c r="DB18" s="37"/>
      <c r="DC18" s="37"/>
      <c r="DD18" s="37"/>
      <c r="DE18" s="37"/>
      <c r="DF18" s="37"/>
      <c r="DG18" s="37"/>
      <c r="DH18" s="37"/>
      <c r="DI18" s="37"/>
      <c r="DJ18" s="37"/>
      <c r="DK18" s="37"/>
      <c r="DL18" s="37"/>
      <c r="DM18" s="37"/>
      <c r="DN18" s="37"/>
      <c r="DO18" s="37"/>
      <c r="DP18" s="37"/>
      <c r="DQ18" s="37"/>
      <c r="DR18" s="37"/>
      <c r="DS18" s="37"/>
      <c r="DT18" s="37"/>
      <c r="DU18" s="37"/>
      <c r="DV18" s="37"/>
      <c r="DW18" s="37"/>
      <c r="DX18" s="37"/>
      <c r="DY18" s="37"/>
      <c r="DZ18" s="37"/>
      <c r="EA18" s="37"/>
      <c r="EB18" s="37"/>
      <c r="EC18" s="37"/>
      <c r="ED18" s="37"/>
      <c r="EE18" s="37"/>
      <c r="EF18" s="37"/>
      <c r="EG18" s="37"/>
      <c r="EH18" s="37"/>
      <c r="EI18" s="37"/>
      <c r="EJ18" s="37"/>
      <c r="EK18" s="37"/>
      <c r="EL18" s="37"/>
      <c r="EM18" s="37"/>
      <c r="EN18" s="37"/>
      <c r="EO18" s="37"/>
      <c r="EP18" s="37"/>
      <c r="EQ18" s="37"/>
      <c r="ER18" s="37"/>
      <c r="ES18" s="37"/>
      <c r="ET18" s="192"/>
    </row>
    <row r="19" spans="1:150" hidden="1">
      <c r="A19" s="192"/>
      <c r="B19" s="807" t="str">
        <f>B10</f>
        <v>2x2.5</v>
      </c>
      <c r="C19" s="36">
        <f>Q19</f>
        <v>63</v>
      </c>
      <c r="D19" s="36">
        <f t="shared" ref="D19:M19" si="30">C19-C25</f>
        <v>63</v>
      </c>
      <c r="E19" s="36">
        <f t="shared" si="30"/>
        <v>63</v>
      </c>
      <c r="F19" s="36">
        <f t="shared" si="30"/>
        <v>63</v>
      </c>
      <c r="G19" s="36">
        <f t="shared" si="30"/>
        <v>63</v>
      </c>
      <c r="H19" s="36">
        <f t="shared" si="30"/>
        <v>63</v>
      </c>
      <c r="I19" s="36">
        <f t="shared" si="30"/>
        <v>63</v>
      </c>
      <c r="J19" s="36">
        <f t="shared" si="30"/>
        <v>63</v>
      </c>
      <c r="K19" s="36">
        <f t="shared" si="30"/>
        <v>63</v>
      </c>
      <c r="L19" s="36">
        <f t="shared" si="30"/>
        <v>63</v>
      </c>
      <c r="M19" s="36">
        <f t="shared" si="30"/>
        <v>63</v>
      </c>
      <c r="N19" s="192"/>
      <c r="O19" s="36">
        <f>SUMIF($C$5:$M$5,$O$6,$C19:$M19)</f>
        <v>63</v>
      </c>
      <c r="P19" s="192"/>
      <c r="Q19" s="815">
        <f>Q10</f>
        <v>63</v>
      </c>
      <c r="R19" s="816">
        <f t="shared" ref="R19:AW19" si="31">ROUND(Q19-R25,8)</f>
        <v>63</v>
      </c>
      <c r="S19" s="815">
        <f t="shared" si="31"/>
        <v>63</v>
      </c>
      <c r="T19" s="815">
        <f t="shared" si="31"/>
        <v>63</v>
      </c>
      <c r="U19" s="815">
        <f t="shared" si="31"/>
        <v>63</v>
      </c>
      <c r="V19" s="815">
        <f t="shared" si="31"/>
        <v>63</v>
      </c>
      <c r="W19" s="815">
        <f t="shared" si="31"/>
        <v>63</v>
      </c>
      <c r="X19" s="815">
        <f t="shared" si="31"/>
        <v>63</v>
      </c>
      <c r="Y19" s="815">
        <f t="shared" si="31"/>
        <v>63</v>
      </c>
      <c r="Z19" s="815">
        <f t="shared" si="31"/>
        <v>63</v>
      </c>
      <c r="AA19" s="815">
        <f t="shared" si="31"/>
        <v>63</v>
      </c>
      <c r="AB19" s="815">
        <f t="shared" si="31"/>
        <v>63</v>
      </c>
      <c r="AC19" s="815">
        <f t="shared" si="31"/>
        <v>63</v>
      </c>
      <c r="AD19" s="815">
        <f t="shared" si="31"/>
        <v>63</v>
      </c>
      <c r="AE19" s="815">
        <f t="shared" si="31"/>
        <v>63</v>
      </c>
      <c r="AF19" s="815">
        <f t="shared" si="31"/>
        <v>63</v>
      </c>
      <c r="AG19" s="815">
        <f t="shared" si="31"/>
        <v>63</v>
      </c>
      <c r="AH19" s="815">
        <f t="shared" si="31"/>
        <v>63</v>
      </c>
      <c r="AI19" s="815">
        <f t="shared" si="31"/>
        <v>63</v>
      </c>
      <c r="AJ19" s="815">
        <f t="shared" si="31"/>
        <v>63</v>
      </c>
      <c r="AK19" s="815">
        <f t="shared" si="31"/>
        <v>63</v>
      </c>
      <c r="AL19" s="815">
        <f t="shared" si="31"/>
        <v>63</v>
      </c>
      <c r="AM19" s="815">
        <f t="shared" si="31"/>
        <v>63</v>
      </c>
      <c r="AN19" s="815">
        <f t="shared" si="31"/>
        <v>63</v>
      </c>
      <c r="AO19" s="815">
        <f t="shared" si="31"/>
        <v>63</v>
      </c>
      <c r="AP19" s="815">
        <f t="shared" si="31"/>
        <v>63</v>
      </c>
      <c r="AQ19" s="815">
        <f t="shared" si="31"/>
        <v>63</v>
      </c>
      <c r="AR19" s="815">
        <f t="shared" si="31"/>
        <v>63</v>
      </c>
      <c r="AS19" s="815">
        <f t="shared" si="31"/>
        <v>63</v>
      </c>
      <c r="AT19" s="815">
        <f t="shared" si="31"/>
        <v>63</v>
      </c>
      <c r="AU19" s="815">
        <f t="shared" si="31"/>
        <v>63</v>
      </c>
      <c r="AV19" s="815">
        <f t="shared" si="31"/>
        <v>63</v>
      </c>
      <c r="AW19" s="815">
        <f t="shared" si="31"/>
        <v>63</v>
      </c>
      <c r="AX19" s="815">
        <f t="shared" ref="AX19:CC19" si="32">ROUND(AW19-AX25,8)</f>
        <v>63</v>
      </c>
      <c r="AY19" s="815">
        <f t="shared" si="32"/>
        <v>63</v>
      </c>
      <c r="AZ19" s="815">
        <f t="shared" si="32"/>
        <v>63</v>
      </c>
      <c r="BA19" s="815">
        <f t="shared" si="32"/>
        <v>63</v>
      </c>
      <c r="BB19" s="815">
        <f t="shared" si="32"/>
        <v>63</v>
      </c>
      <c r="BC19" s="815">
        <f t="shared" si="32"/>
        <v>63</v>
      </c>
      <c r="BD19" s="815">
        <f t="shared" si="32"/>
        <v>63</v>
      </c>
      <c r="BE19" s="815">
        <f t="shared" si="32"/>
        <v>63</v>
      </c>
      <c r="BF19" s="815">
        <f t="shared" si="32"/>
        <v>63</v>
      </c>
      <c r="BG19" s="815">
        <f t="shared" si="32"/>
        <v>63</v>
      </c>
      <c r="BH19" s="815">
        <f t="shared" si="32"/>
        <v>63</v>
      </c>
      <c r="BI19" s="815">
        <f t="shared" si="32"/>
        <v>63</v>
      </c>
      <c r="BJ19" s="815">
        <f t="shared" si="32"/>
        <v>63</v>
      </c>
      <c r="BK19" s="815">
        <f t="shared" si="32"/>
        <v>63</v>
      </c>
      <c r="BL19" s="815">
        <f t="shared" si="32"/>
        <v>63</v>
      </c>
      <c r="BM19" s="815">
        <f t="shared" si="32"/>
        <v>63</v>
      </c>
      <c r="BN19" s="815">
        <f t="shared" si="32"/>
        <v>63</v>
      </c>
      <c r="BO19" s="815">
        <f t="shared" si="32"/>
        <v>63</v>
      </c>
      <c r="BP19" s="815">
        <f t="shared" si="32"/>
        <v>63</v>
      </c>
      <c r="BQ19" s="815">
        <f t="shared" si="32"/>
        <v>63</v>
      </c>
      <c r="BR19" s="815">
        <f t="shared" si="32"/>
        <v>63</v>
      </c>
      <c r="BS19" s="815">
        <f t="shared" si="32"/>
        <v>63</v>
      </c>
      <c r="BT19" s="815">
        <f t="shared" si="32"/>
        <v>63</v>
      </c>
      <c r="BU19" s="815">
        <f t="shared" si="32"/>
        <v>63</v>
      </c>
      <c r="BV19" s="815">
        <f t="shared" si="32"/>
        <v>63</v>
      </c>
      <c r="BW19" s="815">
        <f t="shared" si="32"/>
        <v>63</v>
      </c>
      <c r="BX19" s="815">
        <f t="shared" si="32"/>
        <v>63</v>
      </c>
      <c r="BY19" s="815">
        <f t="shared" si="32"/>
        <v>63</v>
      </c>
      <c r="BZ19" s="815">
        <f t="shared" si="32"/>
        <v>63</v>
      </c>
      <c r="CA19" s="815">
        <f t="shared" si="32"/>
        <v>63</v>
      </c>
      <c r="CB19" s="815">
        <f t="shared" si="32"/>
        <v>63</v>
      </c>
      <c r="CC19" s="815">
        <f t="shared" si="32"/>
        <v>63</v>
      </c>
      <c r="CD19" s="815">
        <f t="shared" ref="CD19:DI19" si="33">ROUND(CC19-CD25,8)</f>
        <v>63</v>
      </c>
      <c r="CE19" s="815">
        <f t="shared" si="33"/>
        <v>63</v>
      </c>
      <c r="CF19" s="815">
        <f t="shared" si="33"/>
        <v>63</v>
      </c>
      <c r="CG19" s="815">
        <f t="shared" si="33"/>
        <v>63</v>
      </c>
      <c r="CH19" s="815">
        <f t="shared" si="33"/>
        <v>63</v>
      </c>
      <c r="CI19" s="815">
        <f t="shared" si="33"/>
        <v>63</v>
      </c>
      <c r="CJ19" s="815">
        <f t="shared" si="33"/>
        <v>63</v>
      </c>
      <c r="CK19" s="815">
        <f t="shared" si="33"/>
        <v>63</v>
      </c>
      <c r="CL19" s="815">
        <f t="shared" si="33"/>
        <v>63</v>
      </c>
      <c r="CM19" s="815">
        <f t="shared" si="33"/>
        <v>63</v>
      </c>
      <c r="CN19" s="815">
        <f t="shared" si="33"/>
        <v>63</v>
      </c>
      <c r="CO19" s="815">
        <f t="shared" si="33"/>
        <v>63</v>
      </c>
      <c r="CP19" s="815">
        <f t="shared" si="33"/>
        <v>63</v>
      </c>
      <c r="CQ19" s="815">
        <f t="shared" si="33"/>
        <v>63</v>
      </c>
      <c r="CR19" s="815">
        <f t="shared" si="33"/>
        <v>63</v>
      </c>
      <c r="CS19" s="815">
        <f t="shared" si="33"/>
        <v>63</v>
      </c>
      <c r="CT19" s="815">
        <f t="shared" si="33"/>
        <v>63</v>
      </c>
      <c r="CU19" s="815">
        <f t="shared" si="33"/>
        <v>63</v>
      </c>
      <c r="CV19" s="815">
        <f t="shared" si="33"/>
        <v>63</v>
      </c>
      <c r="CW19" s="815">
        <f t="shared" si="33"/>
        <v>63</v>
      </c>
      <c r="CX19" s="815">
        <f t="shared" si="33"/>
        <v>63</v>
      </c>
      <c r="CY19" s="815">
        <f t="shared" si="33"/>
        <v>63</v>
      </c>
      <c r="CZ19" s="815">
        <f t="shared" si="33"/>
        <v>63</v>
      </c>
      <c r="DA19" s="815">
        <f t="shared" si="33"/>
        <v>63</v>
      </c>
      <c r="DB19" s="815">
        <f t="shared" si="33"/>
        <v>63</v>
      </c>
      <c r="DC19" s="815">
        <f t="shared" si="33"/>
        <v>63</v>
      </c>
      <c r="DD19" s="815">
        <f t="shared" si="33"/>
        <v>63</v>
      </c>
      <c r="DE19" s="815">
        <f t="shared" si="33"/>
        <v>63</v>
      </c>
      <c r="DF19" s="815">
        <f t="shared" si="33"/>
        <v>63</v>
      </c>
      <c r="DG19" s="815">
        <f t="shared" si="33"/>
        <v>63</v>
      </c>
      <c r="DH19" s="815">
        <f t="shared" si="33"/>
        <v>63</v>
      </c>
      <c r="DI19" s="815">
        <f t="shared" si="33"/>
        <v>63</v>
      </c>
      <c r="DJ19" s="815">
        <f t="shared" ref="DJ19:ES19" si="34">ROUND(DI19-DJ25,8)</f>
        <v>63</v>
      </c>
      <c r="DK19" s="815">
        <f t="shared" si="34"/>
        <v>63</v>
      </c>
      <c r="DL19" s="815">
        <f t="shared" si="34"/>
        <v>63</v>
      </c>
      <c r="DM19" s="815">
        <f t="shared" si="34"/>
        <v>63</v>
      </c>
      <c r="DN19" s="815">
        <f t="shared" si="34"/>
        <v>63</v>
      </c>
      <c r="DO19" s="815">
        <f t="shared" si="34"/>
        <v>63</v>
      </c>
      <c r="DP19" s="815">
        <f t="shared" si="34"/>
        <v>63</v>
      </c>
      <c r="DQ19" s="815">
        <f t="shared" si="34"/>
        <v>63</v>
      </c>
      <c r="DR19" s="815">
        <f t="shared" si="34"/>
        <v>63</v>
      </c>
      <c r="DS19" s="815">
        <f t="shared" si="34"/>
        <v>63</v>
      </c>
      <c r="DT19" s="815">
        <f t="shared" si="34"/>
        <v>63</v>
      </c>
      <c r="DU19" s="815">
        <f t="shared" si="34"/>
        <v>63</v>
      </c>
      <c r="DV19" s="815">
        <f t="shared" si="34"/>
        <v>63</v>
      </c>
      <c r="DW19" s="815">
        <f t="shared" si="34"/>
        <v>63</v>
      </c>
      <c r="DX19" s="815">
        <f t="shared" si="34"/>
        <v>63</v>
      </c>
      <c r="DY19" s="815">
        <f t="shared" si="34"/>
        <v>63</v>
      </c>
      <c r="DZ19" s="815">
        <f t="shared" si="34"/>
        <v>63</v>
      </c>
      <c r="EA19" s="815">
        <f t="shared" si="34"/>
        <v>63</v>
      </c>
      <c r="EB19" s="815">
        <f t="shared" si="34"/>
        <v>63</v>
      </c>
      <c r="EC19" s="815">
        <f t="shared" si="34"/>
        <v>63</v>
      </c>
      <c r="ED19" s="815">
        <f t="shared" si="34"/>
        <v>63</v>
      </c>
      <c r="EE19" s="815">
        <f t="shared" si="34"/>
        <v>63</v>
      </c>
      <c r="EF19" s="815">
        <f t="shared" si="34"/>
        <v>63</v>
      </c>
      <c r="EG19" s="815">
        <f t="shared" si="34"/>
        <v>63</v>
      </c>
      <c r="EH19" s="815">
        <f t="shared" si="34"/>
        <v>63</v>
      </c>
      <c r="EI19" s="815">
        <f t="shared" si="34"/>
        <v>63</v>
      </c>
      <c r="EJ19" s="815">
        <f t="shared" si="34"/>
        <v>63</v>
      </c>
      <c r="EK19" s="815">
        <f t="shared" si="34"/>
        <v>63</v>
      </c>
      <c r="EL19" s="815">
        <f t="shared" si="34"/>
        <v>63</v>
      </c>
      <c r="EM19" s="815">
        <f t="shared" si="34"/>
        <v>63</v>
      </c>
      <c r="EN19" s="815">
        <f t="shared" si="34"/>
        <v>63</v>
      </c>
      <c r="EO19" s="815">
        <f t="shared" si="34"/>
        <v>63</v>
      </c>
      <c r="EP19" s="815">
        <f t="shared" si="34"/>
        <v>63</v>
      </c>
      <c r="EQ19" s="815">
        <f t="shared" si="34"/>
        <v>63</v>
      </c>
      <c r="ER19" s="815">
        <f t="shared" si="34"/>
        <v>63</v>
      </c>
      <c r="ES19" s="815">
        <f t="shared" si="34"/>
        <v>63</v>
      </c>
      <c r="ET19" s="192"/>
    </row>
    <row r="20" spans="1:150" hidden="1">
      <c r="A20" s="192"/>
      <c r="B20" s="807" t="str">
        <f>B11</f>
        <v>3x3.5</v>
      </c>
      <c r="C20" s="36">
        <f>Q20</f>
        <v>17</v>
      </c>
      <c r="D20" s="36">
        <f t="shared" ref="D20:M20" si="35">C20-C26</f>
        <v>17</v>
      </c>
      <c r="E20" s="36">
        <f t="shared" si="35"/>
        <v>17</v>
      </c>
      <c r="F20" s="36">
        <f t="shared" si="35"/>
        <v>17</v>
      </c>
      <c r="G20" s="36">
        <f t="shared" si="35"/>
        <v>17</v>
      </c>
      <c r="H20" s="36">
        <f t="shared" si="35"/>
        <v>17</v>
      </c>
      <c r="I20" s="36">
        <f t="shared" si="35"/>
        <v>17</v>
      </c>
      <c r="J20" s="36">
        <f t="shared" si="35"/>
        <v>17</v>
      </c>
      <c r="K20" s="36">
        <f t="shared" si="35"/>
        <v>17</v>
      </c>
      <c r="L20" s="36">
        <f t="shared" si="35"/>
        <v>17</v>
      </c>
      <c r="M20" s="36">
        <f t="shared" si="35"/>
        <v>17</v>
      </c>
      <c r="N20" s="192"/>
      <c r="O20" s="36">
        <f>SUMIF($C$5:$M$5,$O$6,$C20:$M20)</f>
        <v>17</v>
      </c>
      <c r="P20" s="192"/>
      <c r="Q20" s="815">
        <f>Q11</f>
        <v>17</v>
      </c>
      <c r="R20" s="816">
        <f t="shared" ref="R20:AW20" si="36">ROUND(Q20-R26,8)</f>
        <v>17</v>
      </c>
      <c r="S20" s="815">
        <f t="shared" si="36"/>
        <v>17</v>
      </c>
      <c r="T20" s="815">
        <f t="shared" si="36"/>
        <v>17</v>
      </c>
      <c r="U20" s="815">
        <f t="shared" si="36"/>
        <v>17</v>
      </c>
      <c r="V20" s="815">
        <f t="shared" si="36"/>
        <v>17</v>
      </c>
      <c r="W20" s="815">
        <f t="shared" si="36"/>
        <v>17</v>
      </c>
      <c r="X20" s="815">
        <f t="shared" si="36"/>
        <v>17</v>
      </c>
      <c r="Y20" s="815">
        <f t="shared" si="36"/>
        <v>17</v>
      </c>
      <c r="Z20" s="815">
        <f t="shared" si="36"/>
        <v>17</v>
      </c>
      <c r="AA20" s="815">
        <f t="shared" si="36"/>
        <v>17</v>
      </c>
      <c r="AB20" s="815">
        <f t="shared" si="36"/>
        <v>17</v>
      </c>
      <c r="AC20" s="815">
        <f t="shared" si="36"/>
        <v>17</v>
      </c>
      <c r="AD20" s="815">
        <f t="shared" si="36"/>
        <v>17</v>
      </c>
      <c r="AE20" s="815">
        <f t="shared" si="36"/>
        <v>17</v>
      </c>
      <c r="AF20" s="815">
        <f t="shared" si="36"/>
        <v>17</v>
      </c>
      <c r="AG20" s="815">
        <f t="shared" si="36"/>
        <v>17</v>
      </c>
      <c r="AH20" s="815">
        <f t="shared" si="36"/>
        <v>17</v>
      </c>
      <c r="AI20" s="815">
        <f t="shared" si="36"/>
        <v>17</v>
      </c>
      <c r="AJ20" s="815">
        <f t="shared" si="36"/>
        <v>17</v>
      </c>
      <c r="AK20" s="815">
        <f t="shared" si="36"/>
        <v>17</v>
      </c>
      <c r="AL20" s="815">
        <f t="shared" si="36"/>
        <v>17</v>
      </c>
      <c r="AM20" s="815">
        <f t="shared" si="36"/>
        <v>17</v>
      </c>
      <c r="AN20" s="815">
        <f t="shared" si="36"/>
        <v>17</v>
      </c>
      <c r="AO20" s="815">
        <f t="shared" si="36"/>
        <v>17</v>
      </c>
      <c r="AP20" s="815">
        <f t="shared" si="36"/>
        <v>17</v>
      </c>
      <c r="AQ20" s="815">
        <f t="shared" si="36"/>
        <v>17</v>
      </c>
      <c r="AR20" s="815">
        <f t="shared" si="36"/>
        <v>17</v>
      </c>
      <c r="AS20" s="815">
        <f t="shared" si="36"/>
        <v>17</v>
      </c>
      <c r="AT20" s="815">
        <f t="shared" si="36"/>
        <v>17</v>
      </c>
      <c r="AU20" s="815">
        <f t="shared" si="36"/>
        <v>17</v>
      </c>
      <c r="AV20" s="815">
        <f t="shared" si="36"/>
        <v>17</v>
      </c>
      <c r="AW20" s="815">
        <f t="shared" si="36"/>
        <v>17</v>
      </c>
      <c r="AX20" s="815">
        <f t="shared" ref="AX20:CC20" si="37">ROUND(AW20-AX26,8)</f>
        <v>17</v>
      </c>
      <c r="AY20" s="815">
        <f t="shared" si="37"/>
        <v>17</v>
      </c>
      <c r="AZ20" s="815">
        <f t="shared" si="37"/>
        <v>17</v>
      </c>
      <c r="BA20" s="815">
        <f t="shared" si="37"/>
        <v>17</v>
      </c>
      <c r="BB20" s="815">
        <f t="shared" si="37"/>
        <v>17</v>
      </c>
      <c r="BC20" s="815">
        <f t="shared" si="37"/>
        <v>17</v>
      </c>
      <c r="BD20" s="815">
        <f t="shared" si="37"/>
        <v>17</v>
      </c>
      <c r="BE20" s="815">
        <f t="shared" si="37"/>
        <v>17</v>
      </c>
      <c r="BF20" s="815">
        <f t="shared" si="37"/>
        <v>17</v>
      </c>
      <c r="BG20" s="815">
        <f t="shared" si="37"/>
        <v>17</v>
      </c>
      <c r="BH20" s="815">
        <f t="shared" si="37"/>
        <v>17</v>
      </c>
      <c r="BI20" s="815">
        <f t="shared" si="37"/>
        <v>17</v>
      </c>
      <c r="BJ20" s="815">
        <f t="shared" si="37"/>
        <v>17</v>
      </c>
      <c r="BK20" s="815">
        <f t="shared" si="37"/>
        <v>17</v>
      </c>
      <c r="BL20" s="815">
        <f t="shared" si="37"/>
        <v>17</v>
      </c>
      <c r="BM20" s="815">
        <f t="shared" si="37"/>
        <v>17</v>
      </c>
      <c r="BN20" s="815">
        <f t="shared" si="37"/>
        <v>17</v>
      </c>
      <c r="BO20" s="815">
        <f t="shared" si="37"/>
        <v>17</v>
      </c>
      <c r="BP20" s="815">
        <f t="shared" si="37"/>
        <v>17</v>
      </c>
      <c r="BQ20" s="815">
        <f t="shared" si="37"/>
        <v>17</v>
      </c>
      <c r="BR20" s="815">
        <f t="shared" si="37"/>
        <v>17</v>
      </c>
      <c r="BS20" s="815">
        <f t="shared" si="37"/>
        <v>17</v>
      </c>
      <c r="BT20" s="815">
        <f t="shared" si="37"/>
        <v>17</v>
      </c>
      <c r="BU20" s="815">
        <f t="shared" si="37"/>
        <v>17</v>
      </c>
      <c r="BV20" s="815">
        <f t="shared" si="37"/>
        <v>17</v>
      </c>
      <c r="BW20" s="815">
        <f t="shared" si="37"/>
        <v>17</v>
      </c>
      <c r="BX20" s="815">
        <f t="shared" si="37"/>
        <v>17</v>
      </c>
      <c r="BY20" s="815">
        <f t="shared" si="37"/>
        <v>17</v>
      </c>
      <c r="BZ20" s="815">
        <f t="shared" si="37"/>
        <v>17</v>
      </c>
      <c r="CA20" s="815">
        <f t="shared" si="37"/>
        <v>17</v>
      </c>
      <c r="CB20" s="815">
        <f t="shared" si="37"/>
        <v>17</v>
      </c>
      <c r="CC20" s="815">
        <f t="shared" si="37"/>
        <v>17</v>
      </c>
      <c r="CD20" s="815">
        <f t="shared" ref="CD20:DI20" si="38">ROUND(CC20-CD26,8)</f>
        <v>17</v>
      </c>
      <c r="CE20" s="815">
        <f t="shared" si="38"/>
        <v>17</v>
      </c>
      <c r="CF20" s="815">
        <f t="shared" si="38"/>
        <v>17</v>
      </c>
      <c r="CG20" s="815">
        <f t="shared" si="38"/>
        <v>17</v>
      </c>
      <c r="CH20" s="815">
        <f t="shared" si="38"/>
        <v>17</v>
      </c>
      <c r="CI20" s="815">
        <f t="shared" si="38"/>
        <v>17</v>
      </c>
      <c r="CJ20" s="815">
        <f t="shared" si="38"/>
        <v>17</v>
      </c>
      <c r="CK20" s="815">
        <f t="shared" si="38"/>
        <v>17</v>
      </c>
      <c r="CL20" s="815">
        <f t="shared" si="38"/>
        <v>17</v>
      </c>
      <c r="CM20" s="815">
        <f t="shared" si="38"/>
        <v>17</v>
      </c>
      <c r="CN20" s="815">
        <f t="shared" si="38"/>
        <v>17</v>
      </c>
      <c r="CO20" s="815">
        <f t="shared" si="38"/>
        <v>17</v>
      </c>
      <c r="CP20" s="815">
        <f t="shared" si="38"/>
        <v>17</v>
      </c>
      <c r="CQ20" s="815">
        <f t="shared" si="38"/>
        <v>17</v>
      </c>
      <c r="CR20" s="815">
        <f t="shared" si="38"/>
        <v>17</v>
      </c>
      <c r="CS20" s="815">
        <f t="shared" si="38"/>
        <v>17</v>
      </c>
      <c r="CT20" s="815">
        <f t="shared" si="38"/>
        <v>17</v>
      </c>
      <c r="CU20" s="815">
        <f t="shared" si="38"/>
        <v>17</v>
      </c>
      <c r="CV20" s="815">
        <f t="shared" si="38"/>
        <v>17</v>
      </c>
      <c r="CW20" s="815">
        <f t="shared" si="38"/>
        <v>17</v>
      </c>
      <c r="CX20" s="815">
        <f t="shared" si="38"/>
        <v>17</v>
      </c>
      <c r="CY20" s="815">
        <f t="shared" si="38"/>
        <v>17</v>
      </c>
      <c r="CZ20" s="815">
        <f t="shared" si="38"/>
        <v>17</v>
      </c>
      <c r="DA20" s="815">
        <f t="shared" si="38"/>
        <v>17</v>
      </c>
      <c r="DB20" s="815">
        <f t="shared" si="38"/>
        <v>17</v>
      </c>
      <c r="DC20" s="815">
        <f t="shared" si="38"/>
        <v>17</v>
      </c>
      <c r="DD20" s="815">
        <f t="shared" si="38"/>
        <v>17</v>
      </c>
      <c r="DE20" s="815">
        <f t="shared" si="38"/>
        <v>17</v>
      </c>
      <c r="DF20" s="815">
        <f t="shared" si="38"/>
        <v>17</v>
      </c>
      <c r="DG20" s="815">
        <f t="shared" si="38"/>
        <v>17</v>
      </c>
      <c r="DH20" s="815">
        <f t="shared" si="38"/>
        <v>17</v>
      </c>
      <c r="DI20" s="815">
        <f t="shared" si="38"/>
        <v>17</v>
      </c>
      <c r="DJ20" s="815">
        <f t="shared" ref="DJ20:ES20" si="39">ROUND(DI20-DJ26,8)</f>
        <v>17</v>
      </c>
      <c r="DK20" s="815">
        <f t="shared" si="39"/>
        <v>17</v>
      </c>
      <c r="DL20" s="815">
        <f t="shared" si="39"/>
        <v>17</v>
      </c>
      <c r="DM20" s="815">
        <f t="shared" si="39"/>
        <v>17</v>
      </c>
      <c r="DN20" s="815">
        <f t="shared" si="39"/>
        <v>17</v>
      </c>
      <c r="DO20" s="815">
        <f t="shared" si="39"/>
        <v>17</v>
      </c>
      <c r="DP20" s="815">
        <f t="shared" si="39"/>
        <v>17</v>
      </c>
      <c r="DQ20" s="815">
        <f t="shared" si="39"/>
        <v>17</v>
      </c>
      <c r="DR20" s="815">
        <f t="shared" si="39"/>
        <v>17</v>
      </c>
      <c r="DS20" s="815">
        <f t="shared" si="39"/>
        <v>17</v>
      </c>
      <c r="DT20" s="815">
        <f t="shared" si="39"/>
        <v>17</v>
      </c>
      <c r="DU20" s="815">
        <f t="shared" si="39"/>
        <v>17</v>
      </c>
      <c r="DV20" s="815">
        <f t="shared" si="39"/>
        <v>17</v>
      </c>
      <c r="DW20" s="815">
        <f t="shared" si="39"/>
        <v>17</v>
      </c>
      <c r="DX20" s="815">
        <f t="shared" si="39"/>
        <v>17</v>
      </c>
      <c r="DY20" s="815">
        <f t="shared" si="39"/>
        <v>17</v>
      </c>
      <c r="DZ20" s="815">
        <f t="shared" si="39"/>
        <v>17</v>
      </c>
      <c r="EA20" s="815">
        <f t="shared" si="39"/>
        <v>17</v>
      </c>
      <c r="EB20" s="815">
        <f t="shared" si="39"/>
        <v>17</v>
      </c>
      <c r="EC20" s="815">
        <f t="shared" si="39"/>
        <v>17</v>
      </c>
      <c r="ED20" s="815">
        <f t="shared" si="39"/>
        <v>17</v>
      </c>
      <c r="EE20" s="815">
        <f t="shared" si="39"/>
        <v>17</v>
      </c>
      <c r="EF20" s="815">
        <f t="shared" si="39"/>
        <v>17</v>
      </c>
      <c r="EG20" s="815">
        <f t="shared" si="39"/>
        <v>17</v>
      </c>
      <c r="EH20" s="815">
        <f t="shared" si="39"/>
        <v>17</v>
      </c>
      <c r="EI20" s="815">
        <f t="shared" si="39"/>
        <v>17</v>
      </c>
      <c r="EJ20" s="815">
        <f t="shared" si="39"/>
        <v>17</v>
      </c>
      <c r="EK20" s="815">
        <f t="shared" si="39"/>
        <v>17</v>
      </c>
      <c r="EL20" s="815">
        <f t="shared" si="39"/>
        <v>17</v>
      </c>
      <c r="EM20" s="815">
        <f t="shared" si="39"/>
        <v>17</v>
      </c>
      <c r="EN20" s="815">
        <f t="shared" si="39"/>
        <v>17</v>
      </c>
      <c r="EO20" s="815">
        <f t="shared" si="39"/>
        <v>17</v>
      </c>
      <c r="EP20" s="815">
        <f t="shared" si="39"/>
        <v>17</v>
      </c>
      <c r="EQ20" s="815">
        <f t="shared" si="39"/>
        <v>17</v>
      </c>
      <c r="ER20" s="815">
        <f t="shared" si="39"/>
        <v>17</v>
      </c>
      <c r="ES20" s="815">
        <f t="shared" si="39"/>
        <v>17</v>
      </c>
      <c r="ET20" s="192"/>
    </row>
    <row r="21" spans="1:150" ht="1.5" hidden="1" customHeight="1">
      <c r="A21" s="192"/>
      <c r="B21" s="817"/>
      <c r="C21" s="36"/>
      <c r="D21" s="36"/>
      <c r="E21" s="36"/>
      <c r="F21" s="36"/>
      <c r="G21" s="36"/>
      <c r="H21" s="36"/>
      <c r="I21" s="36"/>
      <c r="J21" s="36"/>
      <c r="K21" s="36"/>
      <c r="L21" s="36"/>
      <c r="M21" s="36"/>
      <c r="N21" s="192"/>
      <c r="O21" s="36"/>
      <c r="P21" s="192"/>
      <c r="Q21" s="32"/>
      <c r="R21" s="32"/>
      <c r="S21" s="32"/>
      <c r="T21" s="32"/>
      <c r="U21" s="32"/>
      <c r="V21" s="32"/>
      <c r="W21" s="32"/>
      <c r="X21" s="32"/>
      <c r="Y21" s="32"/>
      <c r="Z21" s="32"/>
      <c r="AA21" s="32"/>
      <c r="AB21" s="32"/>
      <c r="AC21" s="32"/>
      <c r="AD21" s="32"/>
      <c r="AE21" s="32"/>
      <c r="AF21" s="32"/>
      <c r="AG21" s="32"/>
      <c r="AH21" s="32"/>
      <c r="AI21" s="32"/>
      <c r="AJ21" s="32"/>
      <c r="AK21" s="32"/>
      <c r="AL21" s="32"/>
      <c r="AM21" s="32"/>
      <c r="AN21" s="32"/>
      <c r="AO21" s="32"/>
      <c r="AP21" s="32"/>
      <c r="AQ21" s="32"/>
      <c r="AR21" s="32"/>
      <c r="AS21" s="32"/>
      <c r="AT21" s="32"/>
      <c r="AU21" s="32"/>
      <c r="AV21" s="32"/>
      <c r="AW21" s="32"/>
      <c r="AX21" s="32"/>
      <c r="AY21" s="32"/>
      <c r="AZ21" s="32"/>
      <c r="BA21" s="32"/>
      <c r="BB21" s="32"/>
      <c r="BC21" s="32"/>
      <c r="BD21" s="32"/>
      <c r="BE21" s="32"/>
      <c r="BF21" s="32"/>
      <c r="BG21" s="32"/>
      <c r="BH21" s="32"/>
      <c r="BI21" s="32"/>
      <c r="BJ21" s="32"/>
      <c r="BK21" s="32"/>
      <c r="BL21" s="32"/>
      <c r="BM21" s="32"/>
      <c r="BN21" s="32"/>
      <c r="BO21" s="32"/>
      <c r="BP21" s="32"/>
      <c r="BQ21" s="32"/>
      <c r="BR21" s="32"/>
      <c r="BS21" s="32"/>
      <c r="BT21" s="32"/>
      <c r="BU21" s="32"/>
      <c r="BV21" s="32"/>
      <c r="BW21" s="32"/>
      <c r="BX21" s="32"/>
      <c r="BY21" s="32"/>
      <c r="BZ21" s="32"/>
      <c r="CA21" s="32"/>
      <c r="CB21" s="32"/>
      <c r="CC21" s="32"/>
      <c r="CD21" s="32"/>
      <c r="CE21" s="32"/>
      <c r="CF21" s="32"/>
      <c r="CG21" s="32"/>
      <c r="CH21" s="32"/>
      <c r="CI21" s="32"/>
      <c r="CJ21" s="32"/>
      <c r="CK21" s="32"/>
      <c r="CL21" s="32"/>
      <c r="CM21" s="32"/>
      <c r="CN21" s="32"/>
      <c r="CO21" s="32"/>
      <c r="CP21" s="32"/>
      <c r="CQ21" s="32"/>
      <c r="CR21" s="32"/>
      <c r="CS21" s="32"/>
      <c r="CT21" s="32"/>
      <c r="CU21" s="32"/>
      <c r="CV21" s="32"/>
      <c r="CW21" s="32"/>
      <c r="CX21" s="32"/>
      <c r="CY21" s="32"/>
      <c r="CZ21" s="32"/>
      <c r="DA21" s="32"/>
      <c r="DB21" s="32"/>
      <c r="DC21" s="32"/>
      <c r="DD21" s="32"/>
      <c r="DE21" s="32"/>
      <c r="DF21" s="32"/>
      <c r="DG21" s="32"/>
      <c r="DH21" s="32"/>
      <c r="DI21" s="32"/>
      <c r="DJ21" s="32"/>
      <c r="DK21" s="32"/>
      <c r="DL21" s="32"/>
      <c r="DM21" s="32"/>
      <c r="DN21" s="32"/>
      <c r="DO21" s="32"/>
      <c r="DP21" s="32"/>
      <c r="DQ21" s="32"/>
      <c r="DR21" s="32"/>
      <c r="DS21" s="32"/>
      <c r="DT21" s="32"/>
      <c r="DU21" s="32"/>
      <c r="DV21" s="32"/>
      <c r="DW21" s="32"/>
      <c r="DX21" s="32"/>
      <c r="DY21" s="32"/>
      <c r="DZ21" s="32"/>
      <c r="EA21" s="32"/>
      <c r="EB21" s="32"/>
      <c r="EC21" s="32"/>
      <c r="ED21" s="32"/>
      <c r="EE21" s="32"/>
      <c r="EF21" s="32"/>
      <c r="EG21" s="32"/>
      <c r="EH21" s="32"/>
      <c r="EI21" s="32"/>
      <c r="EJ21" s="32"/>
      <c r="EK21" s="32"/>
      <c r="EL21" s="32"/>
      <c r="EM21" s="32"/>
      <c r="EN21" s="32"/>
      <c r="EO21" s="32"/>
      <c r="EP21" s="32"/>
      <c r="EQ21" s="32"/>
      <c r="ER21" s="32"/>
      <c r="ES21" s="32"/>
      <c r="ET21" s="192"/>
    </row>
    <row r="22" spans="1:150" hidden="1" collapsed="1">
      <c r="A22" s="192"/>
      <c r="B22" s="810" t="s">
        <v>552</v>
      </c>
      <c r="C22" s="811">
        <f t="shared" ref="C22:M22" si="40">SUM(C19:C21)</f>
        <v>80</v>
      </c>
      <c r="D22" s="811">
        <f t="shared" si="40"/>
        <v>80</v>
      </c>
      <c r="E22" s="811">
        <f t="shared" si="40"/>
        <v>80</v>
      </c>
      <c r="F22" s="811">
        <f t="shared" si="40"/>
        <v>80</v>
      </c>
      <c r="G22" s="811">
        <f t="shared" si="40"/>
        <v>80</v>
      </c>
      <c r="H22" s="811">
        <f t="shared" si="40"/>
        <v>80</v>
      </c>
      <c r="I22" s="811">
        <f t="shared" si="40"/>
        <v>80</v>
      </c>
      <c r="J22" s="811">
        <f t="shared" si="40"/>
        <v>80</v>
      </c>
      <c r="K22" s="811">
        <f t="shared" si="40"/>
        <v>80</v>
      </c>
      <c r="L22" s="811">
        <f t="shared" si="40"/>
        <v>80</v>
      </c>
      <c r="M22" s="811">
        <f t="shared" si="40"/>
        <v>80</v>
      </c>
      <c r="N22" s="812"/>
      <c r="O22" s="811">
        <f>SUM(O19:O21)</f>
        <v>80</v>
      </c>
      <c r="P22" s="812"/>
      <c r="Q22" s="818">
        <f t="shared" ref="Q22:AV22" si="41">SUM(Q19:Q21)</f>
        <v>80</v>
      </c>
      <c r="R22" s="818">
        <f t="shared" si="41"/>
        <v>80</v>
      </c>
      <c r="S22" s="818">
        <f t="shared" si="41"/>
        <v>80</v>
      </c>
      <c r="T22" s="818">
        <f t="shared" si="41"/>
        <v>80</v>
      </c>
      <c r="U22" s="818">
        <f t="shared" si="41"/>
        <v>80</v>
      </c>
      <c r="V22" s="818">
        <f t="shared" si="41"/>
        <v>80</v>
      </c>
      <c r="W22" s="818">
        <f t="shared" si="41"/>
        <v>80</v>
      </c>
      <c r="X22" s="818">
        <f t="shared" si="41"/>
        <v>80</v>
      </c>
      <c r="Y22" s="818">
        <f t="shared" si="41"/>
        <v>80</v>
      </c>
      <c r="Z22" s="818">
        <f t="shared" si="41"/>
        <v>80</v>
      </c>
      <c r="AA22" s="818">
        <f t="shared" si="41"/>
        <v>80</v>
      </c>
      <c r="AB22" s="818">
        <f t="shared" si="41"/>
        <v>80</v>
      </c>
      <c r="AC22" s="818">
        <f t="shared" si="41"/>
        <v>80</v>
      </c>
      <c r="AD22" s="818">
        <f t="shared" si="41"/>
        <v>80</v>
      </c>
      <c r="AE22" s="818">
        <f t="shared" si="41"/>
        <v>80</v>
      </c>
      <c r="AF22" s="818">
        <f t="shared" si="41"/>
        <v>80</v>
      </c>
      <c r="AG22" s="818">
        <f t="shared" si="41"/>
        <v>80</v>
      </c>
      <c r="AH22" s="818">
        <f t="shared" si="41"/>
        <v>80</v>
      </c>
      <c r="AI22" s="818">
        <f t="shared" si="41"/>
        <v>80</v>
      </c>
      <c r="AJ22" s="818">
        <f t="shared" si="41"/>
        <v>80</v>
      </c>
      <c r="AK22" s="818">
        <f t="shared" si="41"/>
        <v>80</v>
      </c>
      <c r="AL22" s="818">
        <f t="shared" si="41"/>
        <v>80</v>
      </c>
      <c r="AM22" s="818">
        <f t="shared" si="41"/>
        <v>80</v>
      </c>
      <c r="AN22" s="818">
        <f t="shared" si="41"/>
        <v>80</v>
      </c>
      <c r="AO22" s="818">
        <f t="shared" si="41"/>
        <v>80</v>
      </c>
      <c r="AP22" s="818">
        <f t="shared" si="41"/>
        <v>80</v>
      </c>
      <c r="AQ22" s="818">
        <f t="shared" si="41"/>
        <v>80</v>
      </c>
      <c r="AR22" s="818">
        <f t="shared" si="41"/>
        <v>80</v>
      </c>
      <c r="AS22" s="818">
        <f t="shared" si="41"/>
        <v>80</v>
      </c>
      <c r="AT22" s="818">
        <f t="shared" si="41"/>
        <v>80</v>
      </c>
      <c r="AU22" s="818">
        <f t="shared" si="41"/>
        <v>80</v>
      </c>
      <c r="AV22" s="818">
        <f t="shared" si="41"/>
        <v>80</v>
      </c>
      <c r="AW22" s="818">
        <f t="shared" ref="AW22:CB22" si="42">SUM(AW19:AW21)</f>
        <v>80</v>
      </c>
      <c r="AX22" s="818">
        <f t="shared" si="42"/>
        <v>80</v>
      </c>
      <c r="AY22" s="818">
        <f t="shared" si="42"/>
        <v>80</v>
      </c>
      <c r="AZ22" s="818">
        <f t="shared" si="42"/>
        <v>80</v>
      </c>
      <c r="BA22" s="818">
        <f t="shared" si="42"/>
        <v>80</v>
      </c>
      <c r="BB22" s="818">
        <f t="shared" si="42"/>
        <v>80</v>
      </c>
      <c r="BC22" s="818">
        <f t="shared" si="42"/>
        <v>80</v>
      </c>
      <c r="BD22" s="818">
        <f t="shared" si="42"/>
        <v>80</v>
      </c>
      <c r="BE22" s="818">
        <f t="shared" si="42"/>
        <v>80</v>
      </c>
      <c r="BF22" s="818">
        <f t="shared" si="42"/>
        <v>80</v>
      </c>
      <c r="BG22" s="818">
        <f t="shared" si="42"/>
        <v>80</v>
      </c>
      <c r="BH22" s="818">
        <f t="shared" si="42"/>
        <v>80</v>
      </c>
      <c r="BI22" s="818">
        <f t="shared" si="42"/>
        <v>80</v>
      </c>
      <c r="BJ22" s="818">
        <f t="shared" si="42"/>
        <v>80</v>
      </c>
      <c r="BK22" s="818">
        <f t="shared" si="42"/>
        <v>80</v>
      </c>
      <c r="BL22" s="818">
        <f t="shared" si="42"/>
        <v>80</v>
      </c>
      <c r="BM22" s="818">
        <f t="shared" si="42"/>
        <v>80</v>
      </c>
      <c r="BN22" s="818">
        <f t="shared" si="42"/>
        <v>80</v>
      </c>
      <c r="BO22" s="818">
        <f t="shared" si="42"/>
        <v>80</v>
      </c>
      <c r="BP22" s="818">
        <f t="shared" si="42"/>
        <v>80</v>
      </c>
      <c r="BQ22" s="818">
        <f t="shared" si="42"/>
        <v>80</v>
      </c>
      <c r="BR22" s="818">
        <f t="shared" si="42"/>
        <v>80</v>
      </c>
      <c r="BS22" s="818">
        <f t="shared" si="42"/>
        <v>80</v>
      </c>
      <c r="BT22" s="818">
        <f t="shared" si="42"/>
        <v>80</v>
      </c>
      <c r="BU22" s="818">
        <f t="shared" si="42"/>
        <v>80</v>
      </c>
      <c r="BV22" s="818">
        <f t="shared" si="42"/>
        <v>80</v>
      </c>
      <c r="BW22" s="818">
        <f t="shared" si="42"/>
        <v>80</v>
      </c>
      <c r="BX22" s="818">
        <f t="shared" si="42"/>
        <v>80</v>
      </c>
      <c r="BY22" s="818">
        <f t="shared" si="42"/>
        <v>80</v>
      </c>
      <c r="BZ22" s="818">
        <f t="shared" si="42"/>
        <v>80</v>
      </c>
      <c r="CA22" s="818">
        <f t="shared" si="42"/>
        <v>80</v>
      </c>
      <c r="CB22" s="818">
        <f t="shared" si="42"/>
        <v>80</v>
      </c>
      <c r="CC22" s="818">
        <f t="shared" ref="CC22:DH22" si="43">SUM(CC19:CC21)</f>
        <v>80</v>
      </c>
      <c r="CD22" s="818">
        <f t="shared" si="43"/>
        <v>80</v>
      </c>
      <c r="CE22" s="818">
        <f t="shared" si="43"/>
        <v>80</v>
      </c>
      <c r="CF22" s="818">
        <f t="shared" si="43"/>
        <v>80</v>
      </c>
      <c r="CG22" s="818">
        <f t="shared" si="43"/>
        <v>80</v>
      </c>
      <c r="CH22" s="818">
        <f t="shared" si="43"/>
        <v>80</v>
      </c>
      <c r="CI22" s="818">
        <f t="shared" si="43"/>
        <v>80</v>
      </c>
      <c r="CJ22" s="818">
        <f t="shared" si="43"/>
        <v>80</v>
      </c>
      <c r="CK22" s="818">
        <f t="shared" si="43"/>
        <v>80</v>
      </c>
      <c r="CL22" s="818">
        <f t="shared" si="43"/>
        <v>80</v>
      </c>
      <c r="CM22" s="818">
        <f t="shared" si="43"/>
        <v>80</v>
      </c>
      <c r="CN22" s="818">
        <f t="shared" si="43"/>
        <v>80</v>
      </c>
      <c r="CO22" s="818">
        <f t="shared" si="43"/>
        <v>80</v>
      </c>
      <c r="CP22" s="818">
        <f t="shared" si="43"/>
        <v>80</v>
      </c>
      <c r="CQ22" s="818">
        <f t="shared" si="43"/>
        <v>80</v>
      </c>
      <c r="CR22" s="818">
        <f t="shared" si="43"/>
        <v>80</v>
      </c>
      <c r="CS22" s="818">
        <f t="shared" si="43"/>
        <v>80</v>
      </c>
      <c r="CT22" s="818">
        <f t="shared" si="43"/>
        <v>80</v>
      </c>
      <c r="CU22" s="818">
        <f t="shared" si="43"/>
        <v>80</v>
      </c>
      <c r="CV22" s="818">
        <f t="shared" si="43"/>
        <v>80</v>
      </c>
      <c r="CW22" s="818">
        <f t="shared" si="43"/>
        <v>80</v>
      </c>
      <c r="CX22" s="818">
        <f t="shared" si="43"/>
        <v>80</v>
      </c>
      <c r="CY22" s="818">
        <f t="shared" si="43"/>
        <v>80</v>
      </c>
      <c r="CZ22" s="818">
        <f t="shared" si="43"/>
        <v>80</v>
      </c>
      <c r="DA22" s="818">
        <f t="shared" si="43"/>
        <v>80</v>
      </c>
      <c r="DB22" s="818">
        <f t="shared" si="43"/>
        <v>80</v>
      </c>
      <c r="DC22" s="818">
        <f t="shared" si="43"/>
        <v>80</v>
      </c>
      <c r="DD22" s="818">
        <f t="shared" si="43"/>
        <v>80</v>
      </c>
      <c r="DE22" s="818">
        <f t="shared" si="43"/>
        <v>80</v>
      </c>
      <c r="DF22" s="818">
        <f t="shared" si="43"/>
        <v>80</v>
      </c>
      <c r="DG22" s="818">
        <f t="shared" si="43"/>
        <v>80</v>
      </c>
      <c r="DH22" s="818">
        <f t="shared" si="43"/>
        <v>80</v>
      </c>
      <c r="DI22" s="818">
        <f t="shared" ref="DI22:EN22" si="44">SUM(DI19:DI21)</f>
        <v>80</v>
      </c>
      <c r="DJ22" s="818">
        <f t="shared" si="44"/>
        <v>80</v>
      </c>
      <c r="DK22" s="818">
        <f t="shared" si="44"/>
        <v>80</v>
      </c>
      <c r="DL22" s="818">
        <f t="shared" si="44"/>
        <v>80</v>
      </c>
      <c r="DM22" s="818">
        <f t="shared" si="44"/>
        <v>80</v>
      </c>
      <c r="DN22" s="818">
        <f t="shared" si="44"/>
        <v>80</v>
      </c>
      <c r="DO22" s="818">
        <f t="shared" si="44"/>
        <v>80</v>
      </c>
      <c r="DP22" s="818">
        <f t="shared" si="44"/>
        <v>80</v>
      </c>
      <c r="DQ22" s="818">
        <f t="shared" si="44"/>
        <v>80</v>
      </c>
      <c r="DR22" s="818">
        <f t="shared" si="44"/>
        <v>80</v>
      </c>
      <c r="DS22" s="818">
        <f t="shared" si="44"/>
        <v>80</v>
      </c>
      <c r="DT22" s="818">
        <f t="shared" si="44"/>
        <v>80</v>
      </c>
      <c r="DU22" s="818">
        <f t="shared" si="44"/>
        <v>80</v>
      </c>
      <c r="DV22" s="818">
        <f t="shared" si="44"/>
        <v>80</v>
      </c>
      <c r="DW22" s="818">
        <f t="shared" si="44"/>
        <v>80</v>
      </c>
      <c r="DX22" s="818">
        <f t="shared" si="44"/>
        <v>80</v>
      </c>
      <c r="DY22" s="818">
        <f t="shared" si="44"/>
        <v>80</v>
      </c>
      <c r="DZ22" s="818">
        <f t="shared" si="44"/>
        <v>80</v>
      </c>
      <c r="EA22" s="818">
        <f t="shared" si="44"/>
        <v>80</v>
      </c>
      <c r="EB22" s="818">
        <f t="shared" si="44"/>
        <v>80</v>
      </c>
      <c r="EC22" s="818">
        <f t="shared" si="44"/>
        <v>80</v>
      </c>
      <c r="ED22" s="818">
        <f t="shared" si="44"/>
        <v>80</v>
      </c>
      <c r="EE22" s="818">
        <f t="shared" si="44"/>
        <v>80</v>
      </c>
      <c r="EF22" s="818">
        <f t="shared" si="44"/>
        <v>80</v>
      </c>
      <c r="EG22" s="818">
        <f t="shared" si="44"/>
        <v>80</v>
      </c>
      <c r="EH22" s="818">
        <f t="shared" si="44"/>
        <v>80</v>
      </c>
      <c r="EI22" s="818">
        <f t="shared" si="44"/>
        <v>80</v>
      </c>
      <c r="EJ22" s="818">
        <f t="shared" si="44"/>
        <v>80</v>
      </c>
      <c r="EK22" s="818">
        <f t="shared" si="44"/>
        <v>80</v>
      </c>
      <c r="EL22" s="818">
        <f t="shared" si="44"/>
        <v>80</v>
      </c>
      <c r="EM22" s="818">
        <f t="shared" si="44"/>
        <v>80</v>
      </c>
      <c r="EN22" s="818">
        <f t="shared" si="44"/>
        <v>80</v>
      </c>
      <c r="EO22" s="818">
        <f t="shared" ref="EO22:FT22" si="45">SUM(EO19:EO21)</f>
        <v>80</v>
      </c>
      <c r="EP22" s="818">
        <f t="shared" si="45"/>
        <v>80</v>
      </c>
      <c r="EQ22" s="818">
        <f t="shared" si="45"/>
        <v>80</v>
      </c>
      <c r="ER22" s="818">
        <f t="shared" si="45"/>
        <v>80</v>
      </c>
      <c r="ES22" s="818">
        <f t="shared" si="45"/>
        <v>80</v>
      </c>
      <c r="ET22" s="192"/>
    </row>
    <row r="23" spans="1:150" hidden="1">
      <c r="A23" s="192"/>
      <c r="B23" s="36"/>
      <c r="C23" s="37"/>
      <c r="D23" s="37"/>
      <c r="E23" s="37"/>
      <c r="F23" s="37"/>
      <c r="G23" s="37"/>
      <c r="H23" s="37"/>
      <c r="I23" s="37"/>
      <c r="J23" s="37"/>
      <c r="K23" s="37"/>
      <c r="L23" s="37"/>
      <c r="M23" s="37"/>
      <c r="N23" s="192"/>
      <c r="O23" s="37"/>
      <c r="P23" s="192"/>
      <c r="Q23" s="37"/>
      <c r="R23" s="37"/>
      <c r="S23" s="37"/>
      <c r="T23" s="37"/>
      <c r="U23" s="37"/>
      <c r="V23" s="37"/>
      <c r="W23" s="37"/>
      <c r="X23" s="37"/>
      <c r="Y23" s="37"/>
      <c r="Z23" s="37"/>
      <c r="AA23" s="37"/>
      <c r="AB23" s="37"/>
      <c r="AC23" s="37"/>
      <c r="AD23" s="37"/>
      <c r="AE23" s="37"/>
      <c r="AF23" s="37"/>
      <c r="AG23" s="37"/>
      <c r="AH23" s="37"/>
      <c r="AI23" s="37"/>
      <c r="AJ23" s="37"/>
      <c r="AK23" s="37"/>
      <c r="AL23" s="37"/>
      <c r="AM23" s="37"/>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7"/>
      <c r="CB23" s="37"/>
      <c r="CC23" s="37"/>
      <c r="CD23" s="37"/>
      <c r="CE23" s="37"/>
      <c r="CF23" s="37"/>
      <c r="CG23" s="37"/>
      <c r="CH23" s="37"/>
      <c r="CI23" s="37"/>
      <c r="CJ23" s="37"/>
      <c r="CK23" s="37"/>
      <c r="CL23" s="37"/>
      <c r="CM23" s="37"/>
      <c r="CN23" s="37"/>
      <c r="CO23" s="37"/>
      <c r="CP23" s="37"/>
      <c r="CQ23" s="37"/>
      <c r="CR23" s="37"/>
      <c r="CS23" s="37"/>
      <c r="CT23" s="37"/>
      <c r="CU23" s="37"/>
      <c r="CV23" s="37"/>
      <c r="CW23" s="37"/>
      <c r="CX23" s="37"/>
      <c r="CY23" s="37"/>
      <c r="CZ23" s="37"/>
      <c r="DA23" s="37"/>
      <c r="DB23" s="37"/>
      <c r="DC23" s="37"/>
      <c r="DD23" s="37"/>
      <c r="DE23" s="37"/>
      <c r="DF23" s="37"/>
      <c r="DG23" s="37"/>
      <c r="DH23" s="37"/>
      <c r="DI23" s="37"/>
      <c r="DJ23" s="37"/>
      <c r="DK23" s="37"/>
      <c r="DL23" s="37"/>
      <c r="DM23" s="37"/>
      <c r="DN23" s="37"/>
      <c r="DO23" s="37"/>
      <c r="DP23" s="37"/>
      <c r="DQ23" s="37"/>
      <c r="DR23" s="37"/>
      <c r="DS23" s="37"/>
      <c r="DT23" s="37"/>
      <c r="DU23" s="37"/>
      <c r="DV23" s="37"/>
      <c r="DW23" s="37"/>
      <c r="DX23" s="37"/>
      <c r="DY23" s="37"/>
      <c r="DZ23" s="37"/>
      <c r="EA23" s="37"/>
      <c r="EB23" s="37"/>
      <c r="EC23" s="37"/>
      <c r="ED23" s="37"/>
      <c r="EE23" s="37"/>
      <c r="EF23" s="37"/>
      <c r="EG23" s="37"/>
      <c r="EH23" s="37"/>
      <c r="EI23" s="37"/>
      <c r="EJ23" s="37"/>
      <c r="EK23" s="37"/>
      <c r="EL23" s="37"/>
      <c r="EM23" s="37"/>
      <c r="EN23" s="37"/>
      <c r="EO23" s="37"/>
      <c r="EP23" s="37"/>
      <c r="EQ23" s="37"/>
      <c r="ER23" s="37"/>
      <c r="ES23" s="37"/>
      <c r="ET23" s="192"/>
    </row>
    <row r="24" spans="1:150" ht="13.5" hidden="1">
      <c r="A24" s="192"/>
      <c r="B24" s="1051" t="s">
        <v>553</v>
      </c>
      <c r="C24" s="37"/>
      <c r="D24" s="37"/>
      <c r="E24" s="37"/>
      <c r="F24" s="37"/>
      <c r="G24" s="37"/>
      <c r="H24" s="37"/>
      <c r="I24" s="37"/>
      <c r="J24" s="37"/>
      <c r="K24" s="37"/>
      <c r="L24" s="37"/>
      <c r="M24" s="37"/>
      <c r="N24" s="192"/>
      <c r="O24" s="37"/>
      <c r="P24" s="192"/>
      <c r="Q24" s="37"/>
      <c r="R24" s="37"/>
      <c r="S24" s="37"/>
      <c r="T24" s="37"/>
      <c r="U24" s="37"/>
      <c r="V24" s="37"/>
      <c r="W24" s="37"/>
      <c r="X24" s="37"/>
      <c r="Y24" s="37"/>
      <c r="Z24" s="37"/>
      <c r="AA24" s="37"/>
      <c r="AB24" s="37"/>
      <c r="AC24" s="37"/>
      <c r="AD24" s="37"/>
      <c r="AE24" s="37"/>
      <c r="AF24" s="37"/>
      <c r="AG24" s="37"/>
      <c r="AH24" s="37"/>
      <c r="AI24" s="37"/>
      <c r="AJ24" s="37"/>
      <c r="AK24" s="37"/>
      <c r="AL24" s="37"/>
      <c r="AM24" s="37"/>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c r="BT24" s="37"/>
      <c r="BU24" s="37"/>
      <c r="BV24" s="37"/>
      <c r="BW24" s="37"/>
      <c r="BX24" s="37"/>
      <c r="BY24" s="37"/>
      <c r="BZ24" s="37"/>
      <c r="CA24" s="37"/>
      <c r="CB24" s="37"/>
      <c r="CC24" s="37"/>
      <c r="CD24" s="37"/>
      <c r="CE24" s="37"/>
      <c r="CF24" s="37"/>
      <c r="CG24" s="37"/>
      <c r="CH24" s="37"/>
      <c r="CI24" s="37"/>
      <c r="CJ24" s="37"/>
      <c r="CK24" s="37"/>
      <c r="CL24" s="37"/>
      <c r="CM24" s="37"/>
      <c r="CN24" s="37"/>
      <c r="CO24" s="37"/>
      <c r="CP24" s="37"/>
      <c r="CQ24" s="37"/>
      <c r="CR24" s="37"/>
      <c r="CS24" s="37"/>
      <c r="CT24" s="37"/>
      <c r="CU24" s="37"/>
      <c r="CV24" s="37"/>
      <c r="CW24" s="37"/>
      <c r="CX24" s="37"/>
      <c r="CY24" s="37"/>
      <c r="CZ24" s="37"/>
      <c r="DA24" s="37"/>
      <c r="DB24" s="37"/>
      <c r="DC24" s="37"/>
      <c r="DD24" s="37"/>
      <c r="DE24" s="37"/>
      <c r="DF24" s="37"/>
      <c r="DG24" s="37"/>
      <c r="DH24" s="37"/>
      <c r="DI24" s="37"/>
      <c r="DJ24" s="37"/>
      <c r="DK24" s="37"/>
      <c r="DL24" s="37"/>
      <c r="DM24" s="37"/>
      <c r="DN24" s="37"/>
      <c r="DO24" s="37"/>
      <c r="DP24" s="37"/>
      <c r="DQ24" s="37"/>
      <c r="DR24" s="37"/>
      <c r="DS24" s="37"/>
      <c r="DT24" s="37"/>
      <c r="DU24" s="37"/>
      <c r="DV24" s="37"/>
      <c r="DW24" s="37"/>
      <c r="DX24" s="37"/>
      <c r="DY24" s="37"/>
      <c r="DZ24" s="37"/>
      <c r="EA24" s="37"/>
      <c r="EB24" s="37"/>
      <c r="EC24" s="37"/>
      <c r="ED24" s="37"/>
      <c r="EE24" s="37"/>
      <c r="EF24" s="37"/>
      <c r="EG24" s="37"/>
      <c r="EH24" s="37"/>
      <c r="EI24" s="37"/>
      <c r="EJ24" s="37"/>
      <c r="EK24" s="37"/>
      <c r="EL24" s="37"/>
      <c r="EM24" s="37"/>
      <c r="EN24" s="37"/>
      <c r="EO24" s="37"/>
      <c r="EP24" s="37"/>
      <c r="EQ24" s="37"/>
      <c r="ER24" s="37"/>
      <c r="ES24" s="37"/>
      <c r="ET24" s="192"/>
    </row>
    <row r="25" spans="1:150" hidden="1">
      <c r="A25" s="192"/>
      <c r="B25" s="807" t="str">
        <f>B10</f>
        <v>2x2.5</v>
      </c>
      <c r="C25" s="36">
        <f t="shared" ref="C25:M26" si="46">SUMIF($R$6:$ES$6,C$5,$R25:$ES25)</f>
        <v>0</v>
      </c>
      <c r="D25" s="36">
        <f t="shared" si="46"/>
        <v>0</v>
      </c>
      <c r="E25" s="36">
        <f t="shared" si="46"/>
        <v>0</v>
      </c>
      <c r="F25" s="36">
        <f t="shared" si="46"/>
        <v>0</v>
      </c>
      <c r="G25" s="36">
        <f t="shared" si="46"/>
        <v>0</v>
      </c>
      <c r="H25" s="36">
        <f t="shared" si="46"/>
        <v>0</v>
      </c>
      <c r="I25" s="36">
        <f t="shared" si="46"/>
        <v>0</v>
      </c>
      <c r="J25" s="36">
        <f t="shared" si="46"/>
        <v>0</v>
      </c>
      <c r="K25" s="36">
        <f t="shared" si="46"/>
        <v>0</v>
      </c>
      <c r="L25" s="36">
        <f t="shared" si="46"/>
        <v>0</v>
      </c>
      <c r="M25" s="36">
        <f t="shared" si="46"/>
        <v>0</v>
      </c>
      <c r="N25" s="192"/>
      <c r="O25" s="36">
        <f>SUMIF($C$5:$M$5,$O$6,$C25:$M25)</f>
        <v>0</v>
      </c>
      <c r="P25" s="192"/>
      <c r="Q25" s="36"/>
      <c r="R25" s="819">
        <f>Input!S78</f>
        <v>0</v>
      </c>
      <c r="S25" s="819">
        <f>Input!T78</f>
        <v>0</v>
      </c>
      <c r="T25" s="819">
        <f>Input!U78</f>
        <v>0</v>
      </c>
      <c r="U25" s="819">
        <f>Input!V78</f>
        <v>0</v>
      </c>
      <c r="V25" s="819">
        <f>Input!W78</f>
        <v>0</v>
      </c>
      <c r="W25" s="819">
        <f>Input!X78</f>
        <v>0</v>
      </c>
      <c r="X25" s="819">
        <f>Input!Y78</f>
        <v>0</v>
      </c>
      <c r="Y25" s="819">
        <f>Input!Z78</f>
        <v>0</v>
      </c>
      <c r="Z25" s="819">
        <f>Input!AA78</f>
        <v>0</v>
      </c>
      <c r="AA25" s="819">
        <f>Input!AB78</f>
        <v>0</v>
      </c>
      <c r="AB25" s="819">
        <f>Input!AC78</f>
        <v>0</v>
      </c>
      <c r="AC25" s="819">
        <f>Input!AD78</f>
        <v>0</v>
      </c>
      <c r="AD25" s="819">
        <f>Input!AE78</f>
        <v>0</v>
      </c>
      <c r="AE25" s="819">
        <f>Input!AF78</f>
        <v>0</v>
      </c>
      <c r="AF25" s="819">
        <f>Input!AG78</f>
        <v>0</v>
      </c>
      <c r="AG25" s="819">
        <f>Input!AH78</f>
        <v>0</v>
      </c>
      <c r="AH25" s="819">
        <f>Input!AI78</f>
        <v>0</v>
      </c>
      <c r="AI25" s="819">
        <f>Input!AJ78</f>
        <v>0</v>
      </c>
      <c r="AJ25" s="819">
        <f>Input!AK78</f>
        <v>0</v>
      </c>
      <c r="AK25" s="819">
        <f>Input!AL78</f>
        <v>0</v>
      </c>
      <c r="AL25" s="819">
        <f>Input!AM78</f>
        <v>0</v>
      </c>
      <c r="AM25" s="819">
        <f>Input!AN78</f>
        <v>0</v>
      </c>
      <c r="AN25" s="819">
        <f>Input!AO78</f>
        <v>0</v>
      </c>
      <c r="AO25" s="819">
        <f>Input!AP78</f>
        <v>0</v>
      </c>
      <c r="AP25" s="819">
        <f>Input!AQ78</f>
        <v>0</v>
      </c>
      <c r="AQ25" s="819">
        <f>Input!AR78</f>
        <v>0</v>
      </c>
      <c r="AR25" s="819">
        <f>Input!AS78</f>
        <v>0</v>
      </c>
      <c r="AS25" s="819">
        <f>Input!AT78</f>
        <v>0</v>
      </c>
      <c r="AT25" s="819">
        <f>Input!AU78</f>
        <v>0</v>
      </c>
      <c r="AU25" s="819">
        <f>Input!AV78</f>
        <v>0</v>
      </c>
      <c r="AV25" s="819">
        <f>Input!AW78</f>
        <v>0</v>
      </c>
      <c r="AW25" s="819">
        <f>Input!AX78</f>
        <v>0</v>
      </c>
      <c r="AX25" s="819">
        <f>Input!AY78</f>
        <v>0</v>
      </c>
      <c r="AY25" s="819">
        <f>Input!AZ78</f>
        <v>0</v>
      </c>
      <c r="AZ25" s="819">
        <f>Input!BA78</f>
        <v>0</v>
      </c>
      <c r="BA25" s="819">
        <f>Input!BB78</f>
        <v>0</v>
      </c>
      <c r="BB25" s="820">
        <f>SUMIF(Input!$J$77:$P$77,BB$6,Input!$J78:$P78)/12</f>
        <v>0</v>
      </c>
      <c r="BC25" s="819">
        <f>SUMIF(Input!$J$77:$P$77,BC$6,Input!$J78:$P78)/12</f>
        <v>0</v>
      </c>
      <c r="BD25" s="819">
        <f>SUMIF(Input!$J$77:$P$77,BD$6,Input!$J78:$P78)/12</f>
        <v>0</v>
      </c>
      <c r="BE25" s="819">
        <f>SUMIF(Input!$J$77:$P$77,BE$6,Input!$J78:$P78)/12</f>
        <v>0</v>
      </c>
      <c r="BF25" s="819">
        <f>SUMIF(Input!$J$77:$P$77,BF$6,Input!$J78:$P78)/12</f>
        <v>0</v>
      </c>
      <c r="BG25" s="819">
        <f>SUMIF(Input!$J$77:$P$77,BG$6,Input!$J78:$P78)/12</f>
        <v>0</v>
      </c>
      <c r="BH25" s="819">
        <f>SUMIF(Input!$J$77:$P$77,BH$6,Input!$J78:$P78)/12</f>
        <v>0</v>
      </c>
      <c r="BI25" s="819">
        <f>SUMIF(Input!$J$77:$P$77,BI$6,Input!$J78:$P78)/12</f>
        <v>0</v>
      </c>
      <c r="BJ25" s="819">
        <f>SUMIF(Input!$J$77:$P$77,BJ$6,Input!$J78:$P78)/12</f>
        <v>0</v>
      </c>
      <c r="BK25" s="819">
        <f>SUMIF(Input!$J$77:$P$77,BK$6,Input!$J78:$P78)/12</f>
        <v>0</v>
      </c>
      <c r="BL25" s="819">
        <f>SUMIF(Input!$J$77:$P$77,BL$6,Input!$J78:$P78)/12</f>
        <v>0</v>
      </c>
      <c r="BM25" s="819">
        <f>SUMIF(Input!$J$77:$P$77,BM$6,Input!$J78:$P78)/12</f>
        <v>0</v>
      </c>
      <c r="BN25" s="819">
        <f>SUMIF(Input!$J$77:$P$77,BN$6,Input!$J78:$P78)/12</f>
        <v>0</v>
      </c>
      <c r="BO25" s="819">
        <f>SUMIF(Input!$J$77:$P$77,BO$6,Input!$J78:$P78)/12</f>
        <v>0</v>
      </c>
      <c r="BP25" s="819">
        <f>SUMIF(Input!$J$77:$P$77,BP$6,Input!$J78:$P78)/12</f>
        <v>0</v>
      </c>
      <c r="BQ25" s="819">
        <f>SUMIF(Input!$J$77:$P$77,BQ$6,Input!$J78:$P78)/12</f>
        <v>0</v>
      </c>
      <c r="BR25" s="819">
        <f>SUMIF(Input!$J$77:$P$77,BR$6,Input!$J78:$P78)/12</f>
        <v>0</v>
      </c>
      <c r="BS25" s="819">
        <f>SUMIF(Input!$J$77:$P$77,BS$6,Input!$J78:$P78)/12</f>
        <v>0</v>
      </c>
      <c r="BT25" s="819">
        <f>SUMIF(Input!$J$77:$P$77,BT$6,Input!$J78:$P78)/12</f>
        <v>0</v>
      </c>
      <c r="BU25" s="819">
        <f>SUMIF(Input!$J$77:$P$77,BU$6,Input!$J78:$P78)/12</f>
        <v>0</v>
      </c>
      <c r="BV25" s="819">
        <f>SUMIF(Input!$J$77:$P$77,BV$6,Input!$J78:$P78)/12</f>
        <v>0</v>
      </c>
      <c r="BW25" s="819">
        <f>SUMIF(Input!$J$77:$P$77,BW$6,Input!$J78:$P78)/12</f>
        <v>0</v>
      </c>
      <c r="BX25" s="819">
        <f>SUMIF(Input!$J$77:$P$77,BX$6,Input!$J78:$P78)/12</f>
        <v>0</v>
      </c>
      <c r="BY25" s="819">
        <f>SUMIF(Input!$J$77:$P$77,BY$6,Input!$J78:$P78)/12</f>
        <v>0</v>
      </c>
      <c r="BZ25" s="819">
        <f>SUMIF(Input!$J$77:$P$77,BZ$6,Input!$J78:$P78)/12</f>
        <v>0</v>
      </c>
      <c r="CA25" s="819">
        <f>SUMIF(Input!$J$77:$P$77,CA$6,Input!$J78:$P78)/12</f>
        <v>0</v>
      </c>
      <c r="CB25" s="819">
        <f>SUMIF(Input!$J$77:$P$77,CB$6,Input!$J78:$P78)/12</f>
        <v>0</v>
      </c>
      <c r="CC25" s="819">
        <f>SUMIF(Input!$J$77:$P$77,CC$6,Input!$J78:$P78)/12</f>
        <v>0</v>
      </c>
      <c r="CD25" s="819">
        <f>SUMIF(Input!$J$77:$P$77,CD$6,Input!$J78:$P78)/12</f>
        <v>0</v>
      </c>
      <c r="CE25" s="819">
        <f>SUMIF(Input!$J$77:$P$77,CE$6,Input!$J78:$P78)/12</f>
        <v>0</v>
      </c>
      <c r="CF25" s="819">
        <f>SUMIF(Input!$J$77:$P$77,CF$6,Input!$J78:$P78)/12</f>
        <v>0</v>
      </c>
      <c r="CG25" s="819">
        <f>SUMIF(Input!$J$77:$P$77,CG$6,Input!$J78:$P78)/12</f>
        <v>0</v>
      </c>
      <c r="CH25" s="819">
        <f>SUMIF(Input!$J$77:$P$77,CH$6,Input!$J78:$P78)/12</f>
        <v>0</v>
      </c>
      <c r="CI25" s="819">
        <f>SUMIF(Input!$J$77:$P$77,CI$6,Input!$J78:$P78)/12</f>
        <v>0</v>
      </c>
      <c r="CJ25" s="819">
        <f>SUMIF(Input!$J$77:$P$77,CJ$6,Input!$J78:$P78)/12</f>
        <v>0</v>
      </c>
      <c r="CK25" s="819">
        <f>SUMIF(Input!$J$77:$P$77,CK$6,Input!$J78:$P78)/12</f>
        <v>0</v>
      </c>
      <c r="CL25" s="819">
        <f>SUMIF(Input!$J$77:$P$77,CL$6,Input!$J78:$P78)/12</f>
        <v>0</v>
      </c>
      <c r="CM25" s="819">
        <f>SUMIF(Input!$J$77:$P$77,CM$6,Input!$J78:$P78)/12</f>
        <v>0</v>
      </c>
      <c r="CN25" s="819">
        <f>SUMIF(Input!$J$77:$P$77,CN$6,Input!$J78:$P78)/12</f>
        <v>0</v>
      </c>
      <c r="CO25" s="819">
        <f>SUMIF(Input!$J$77:$P$77,CO$6,Input!$J78:$P78)/12</f>
        <v>0</v>
      </c>
      <c r="CP25" s="819">
        <f>SUMIF(Input!$J$77:$P$77,CP$6,Input!$J78:$P78)/12</f>
        <v>0</v>
      </c>
      <c r="CQ25" s="819">
        <f>SUMIF(Input!$J$77:$P$77,CQ$6,Input!$J78:$P78)/12</f>
        <v>0</v>
      </c>
      <c r="CR25" s="819">
        <f>SUMIF(Input!$J$77:$P$77,CR$6,Input!$J78:$P78)/12</f>
        <v>0</v>
      </c>
      <c r="CS25" s="819">
        <f>SUMIF(Input!$J$77:$P$77,CS$6,Input!$J78:$P78)/12</f>
        <v>0</v>
      </c>
      <c r="CT25" s="819">
        <f>SUMIF(Input!$J$77:$P$77,CT$6,Input!$J78:$P78)/12</f>
        <v>0</v>
      </c>
      <c r="CU25" s="819">
        <f>SUMIF(Input!$J$77:$P$77,CU$6,Input!$J78:$P78)/12</f>
        <v>0</v>
      </c>
      <c r="CV25" s="819">
        <f>SUMIF(Input!$J$77:$P$77,CV$6,Input!$J78:$P78)/12</f>
        <v>0</v>
      </c>
      <c r="CW25" s="819">
        <f>SUMIF(Input!$J$77:$P$77,CW$6,Input!$J78:$P78)/12</f>
        <v>0</v>
      </c>
      <c r="CX25" s="819">
        <f>SUMIF(Input!$J$77:$P$77,CX$6,Input!$J78:$P78)/12</f>
        <v>0</v>
      </c>
      <c r="CY25" s="819">
        <f>SUMIF(Input!$J$77:$P$77,CY$6,Input!$J78:$P78)/12</f>
        <v>0</v>
      </c>
      <c r="CZ25" s="819">
        <f>SUMIF(Input!$J$77:$P$77,CZ$6,Input!$J78:$P78)/12</f>
        <v>0</v>
      </c>
      <c r="DA25" s="819">
        <f>SUMIF(Input!$J$77:$P$77,DA$6,Input!$J78:$P78)/12</f>
        <v>0</v>
      </c>
      <c r="DB25" s="819">
        <f>SUMIF(Input!$J$77:$P$77,DB$6,Input!$J78:$P78)/12</f>
        <v>0</v>
      </c>
      <c r="DC25" s="819">
        <f>SUMIF(Input!$J$77:$P$77,DC$6,Input!$J78:$P78)/12</f>
        <v>0</v>
      </c>
      <c r="DD25" s="819">
        <f>SUMIF(Input!$J$77:$P$77,DD$6,Input!$J78:$P78)/12</f>
        <v>0</v>
      </c>
      <c r="DE25" s="819">
        <f>SUMIF(Input!$J$77:$P$77,DE$6,Input!$J78:$P78)/12</f>
        <v>0</v>
      </c>
      <c r="DF25" s="819">
        <f>SUMIF(Input!$J$77:$P$77,DF$6,Input!$J78:$P78)/12</f>
        <v>0</v>
      </c>
      <c r="DG25" s="819">
        <f>SUMIF(Input!$J$77:$P$77,DG$6,Input!$J78:$P78)/12</f>
        <v>0</v>
      </c>
      <c r="DH25" s="819">
        <f>SUMIF(Input!$J$77:$P$77,DH$6,Input!$J78:$P78)/12</f>
        <v>0</v>
      </c>
      <c r="DI25" s="819">
        <f>SUMIF(Input!$J$77:$P$77,DI$6,Input!$J78:$P78)/12</f>
        <v>0</v>
      </c>
      <c r="DJ25" s="819">
        <f>SUMIF(Input!$J$77:$P$77,DJ$6,Input!$J78:$P78)/12</f>
        <v>0</v>
      </c>
      <c r="DK25" s="819">
        <f>SUMIF(Input!$J$77:$P$77,DK$6,Input!$J78:$P78)/12</f>
        <v>0</v>
      </c>
      <c r="DL25" s="819">
        <f>SUMIF(Input!$J$77:$P$77,DL$6,Input!$J78:$P78)/12</f>
        <v>0</v>
      </c>
      <c r="DM25" s="819">
        <f>SUMIF(Input!$J$77:$P$77,DM$6,Input!$J78:$P78)/12</f>
        <v>0</v>
      </c>
      <c r="DN25" s="819">
        <f>SUMIF(Input!$J$77:$P$77,DN$6,Input!$J78:$P78)/12</f>
        <v>0</v>
      </c>
      <c r="DO25" s="819">
        <f>SUMIF(Input!$J$77:$P$77,DO$6,Input!$J78:$P78)/12</f>
        <v>0</v>
      </c>
      <c r="DP25" s="819">
        <f>SUMIF(Input!$J$77:$P$77,DP$6,Input!$J78:$P78)/12</f>
        <v>0</v>
      </c>
      <c r="DQ25" s="819">
        <f>SUMIF(Input!$J$77:$P$77,DQ$6,Input!$J78:$P78)/12</f>
        <v>0</v>
      </c>
      <c r="DR25" s="819">
        <f>SUMIF(Input!$J$77:$P$77,DR$6,Input!$J78:$P78)/12</f>
        <v>0</v>
      </c>
      <c r="DS25" s="819">
        <f>SUMIF(Input!$J$77:$P$77,DS$6,Input!$J78:$P78)/12</f>
        <v>0</v>
      </c>
      <c r="DT25" s="819">
        <f>SUMIF(Input!$J$77:$P$77,DT$6,Input!$J78:$P78)/12</f>
        <v>0</v>
      </c>
      <c r="DU25" s="819">
        <f>SUMIF(Input!$J$77:$P$77,DU$6,Input!$J78:$P78)/12</f>
        <v>0</v>
      </c>
      <c r="DV25" s="819">
        <f>SUMIF(Input!$J$77:$P$77,DV$6,Input!$J78:$P78)/12</f>
        <v>0</v>
      </c>
      <c r="DW25" s="819">
        <f>SUMIF(Input!$J$77:$P$77,DW$6,Input!$J78:$P78)/12</f>
        <v>0</v>
      </c>
      <c r="DX25" s="819">
        <f>SUMIF(Input!$J$77:$P$77,DX$6,Input!$J78:$P78)/12</f>
        <v>0</v>
      </c>
      <c r="DY25" s="819">
        <f>SUMIF(Input!$J$77:$P$77,DY$6,Input!$J78:$P78)/12</f>
        <v>0</v>
      </c>
      <c r="DZ25" s="819">
        <f>SUMIF(Input!$J$77:$P$77,DZ$6,Input!$J78:$P78)/12</f>
        <v>0</v>
      </c>
      <c r="EA25" s="819">
        <f>SUMIF(Input!$J$77:$P$77,EA$6,Input!$J78:$P78)/12</f>
        <v>0</v>
      </c>
      <c r="EB25" s="819">
        <f>SUMIF(Input!$J$77:$P$77,EB$6,Input!$J78:$P78)/12</f>
        <v>0</v>
      </c>
      <c r="EC25" s="819">
        <f>SUMIF(Input!$J$77:$P$77,EC$6,Input!$J78:$P78)/12</f>
        <v>0</v>
      </c>
      <c r="ED25" s="819">
        <f>SUMIF(Input!$J$77:$P$77,ED$6,Input!$J78:$P78)/12</f>
        <v>0</v>
      </c>
      <c r="EE25" s="819">
        <f>SUMIF(Input!$J$77:$P$77,EE$6,Input!$J78:$P78)/12</f>
        <v>0</v>
      </c>
      <c r="EF25" s="819">
        <f>SUMIF(Input!$J$77:$P$77,EF$6,Input!$J78:$P78)/12</f>
        <v>0</v>
      </c>
      <c r="EG25" s="819">
        <f>SUMIF(Input!$J$77:$P$77,EG$6,Input!$J78:$P78)/12</f>
        <v>0</v>
      </c>
      <c r="EH25" s="819">
        <f>SUMIF(Input!$J$77:$P$77,EH$6,Input!$J78:$P78)/12</f>
        <v>0</v>
      </c>
      <c r="EI25" s="819">
        <f>SUMIF(Input!$J$77:$P$77,EI$6,Input!$J78:$P78)/12</f>
        <v>0</v>
      </c>
      <c r="EJ25" s="819">
        <f>SUMIF(Input!$J$77:$P$77,EJ$6,Input!$J78:$P78)/12</f>
        <v>0</v>
      </c>
      <c r="EK25" s="819">
        <f>SUMIF(Input!$J$77:$P$77,EK$6,Input!$J78:$P78)/12</f>
        <v>0</v>
      </c>
      <c r="EL25" s="819">
        <f>SUMIF(Input!$J$77:$P$77,EL$6,Input!$J78:$P78)/12</f>
        <v>0</v>
      </c>
      <c r="EM25" s="819">
        <f>SUMIF(Input!$J$77:$P$77,EM$6,Input!$J78:$P78)/12</f>
        <v>0</v>
      </c>
      <c r="EN25" s="819">
        <f>SUMIF(Input!$J$77:$P$77,EN$6,Input!$J78:$P78)/12</f>
        <v>0</v>
      </c>
      <c r="EO25" s="819">
        <f>SUMIF(Input!$J$77:$P$77,EO$6,Input!$J78:$P78)/12</f>
        <v>0</v>
      </c>
      <c r="EP25" s="819">
        <f>SUMIF(Input!$J$77:$P$77,EP$6,Input!$J78:$P78)/12</f>
        <v>0</v>
      </c>
      <c r="EQ25" s="819">
        <f>SUMIF(Input!$J$77:$P$77,EQ$6,Input!$J78:$P78)/12</f>
        <v>0</v>
      </c>
      <c r="ER25" s="819">
        <f>SUMIF(Input!$J$77:$P$77,ER$6,Input!$J78:$P78)/12</f>
        <v>0</v>
      </c>
      <c r="ES25" s="819">
        <f>SUMIF(Input!$J$77:$P$77,ES$6,Input!$J78:$P78)/12</f>
        <v>0</v>
      </c>
      <c r="ET25" s="192"/>
    </row>
    <row r="26" spans="1:150" hidden="1">
      <c r="A26" s="192"/>
      <c r="B26" s="807" t="str">
        <f>B11</f>
        <v>3x3.5</v>
      </c>
      <c r="C26" s="36">
        <f t="shared" si="46"/>
        <v>0</v>
      </c>
      <c r="D26" s="36">
        <f t="shared" si="46"/>
        <v>0</v>
      </c>
      <c r="E26" s="36">
        <f t="shared" si="46"/>
        <v>0</v>
      </c>
      <c r="F26" s="36">
        <f t="shared" si="46"/>
        <v>0</v>
      </c>
      <c r="G26" s="36">
        <f t="shared" si="46"/>
        <v>0</v>
      </c>
      <c r="H26" s="36">
        <f t="shared" si="46"/>
        <v>0</v>
      </c>
      <c r="I26" s="36">
        <f t="shared" si="46"/>
        <v>0</v>
      </c>
      <c r="J26" s="36">
        <f t="shared" si="46"/>
        <v>0</v>
      </c>
      <c r="K26" s="36">
        <f t="shared" si="46"/>
        <v>0</v>
      </c>
      <c r="L26" s="36">
        <f t="shared" si="46"/>
        <v>0</v>
      </c>
      <c r="M26" s="36">
        <f t="shared" si="46"/>
        <v>0</v>
      </c>
      <c r="N26" s="192"/>
      <c r="O26" s="36">
        <f>SUMIF($C$5:$M$5,$O$6,$C26:$M26)</f>
        <v>0</v>
      </c>
      <c r="P26" s="192"/>
      <c r="Q26" s="36"/>
      <c r="R26" s="819">
        <f>Input!S79</f>
        <v>0</v>
      </c>
      <c r="S26" s="819">
        <f>Input!T79</f>
        <v>0</v>
      </c>
      <c r="T26" s="819">
        <f>Input!U79</f>
        <v>0</v>
      </c>
      <c r="U26" s="819">
        <f>Input!V79</f>
        <v>0</v>
      </c>
      <c r="V26" s="819">
        <f>Input!W79</f>
        <v>0</v>
      </c>
      <c r="W26" s="819">
        <f>Input!X79</f>
        <v>0</v>
      </c>
      <c r="X26" s="819">
        <f>Input!Y79</f>
        <v>0</v>
      </c>
      <c r="Y26" s="819">
        <f>Input!Z79</f>
        <v>0</v>
      </c>
      <c r="Z26" s="819">
        <f>Input!AA79</f>
        <v>0</v>
      </c>
      <c r="AA26" s="819">
        <f>Input!AB79</f>
        <v>0</v>
      </c>
      <c r="AB26" s="819">
        <f>Input!AC79</f>
        <v>0</v>
      </c>
      <c r="AC26" s="819">
        <f>Input!AD79</f>
        <v>0</v>
      </c>
      <c r="AD26" s="819">
        <f>Input!AE79</f>
        <v>0</v>
      </c>
      <c r="AE26" s="819">
        <f>Input!AF79</f>
        <v>0</v>
      </c>
      <c r="AF26" s="819">
        <f>Input!AG79</f>
        <v>0</v>
      </c>
      <c r="AG26" s="819">
        <f>Input!AH79</f>
        <v>0</v>
      </c>
      <c r="AH26" s="819">
        <f>Input!AI79</f>
        <v>0</v>
      </c>
      <c r="AI26" s="819">
        <f>Input!AJ79</f>
        <v>0</v>
      </c>
      <c r="AJ26" s="819">
        <f>Input!AK79</f>
        <v>0</v>
      </c>
      <c r="AK26" s="819">
        <f>Input!AL79</f>
        <v>0</v>
      </c>
      <c r="AL26" s="819">
        <f>Input!AM79</f>
        <v>0</v>
      </c>
      <c r="AM26" s="819">
        <f>Input!AN79</f>
        <v>0</v>
      </c>
      <c r="AN26" s="819">
        <f>Input!AO79</f>
        <v>0</v>
      </c>
      <c r="AO26" s="819">
        <f>Input!AP79</f>
        <v>0</v>
      </c>
      <c r="AP26" s="819">
        <f>Input!AQ79</f>
        <v>0</v>
      </c>
      <c r="AQ26" s="819">
        <f>Input!AR79</f>
        <v>0</v>
      </c>
      <c r="AR26" s="819">
        <f>Input!AS79</f>
        <v>0</v>
      </c>
      <c r="AS26" s="819">
        <f>Input!AT79</f>
        <v>0</v>
      </c>
      <c r="AT26" s="819">
        <f>Input!AU79</f>
        <v>0</v>
      </c>
      <c r="AU26" s="819">
        <f>Input!AV79</f>
        <v>0</v>
      </c>
      <c r="AV26" s="819">
        <f>Input!AW79</f>
        <v>0</v>
      </c>
      <c r="AW26" s="819">
        <f>Input!AX79</f>
        <v>0</v>
      </c>
      <c r="AX26" s="819">
        <f>Input!AY79</f>
        <v>0</v>
      </c>
      <c r="AY26" s="819">
        <f>Input!AZ79</f>
        <v>0</v>
      </c>
      <c r="AZ26" s="819">
        <f>Input!BA79</f>
        <v>0</v>
      </c>
      <c r="BA26" s="819">
        <f>Input!BB79</f>
        <v>0</v>
      </c>
      <c r="BB26" s="820">
        <f>SUMIF(Input!$J$77:$P$77,BB$6,Input!$J79:$P79)/12</f>
        <v>0</v>
      </c>
      <c r="BC26" s="819">
        <f>SUMIF(Input!$J$77:$P$77,BC$6,Input!$J79:$P79)/12</f>
        <v>0</v>
      </c>
      <c r="BD26" s="819">
        <f>SUMIF(Input!$J$77:$P$77,BD$6,Input!$J79:$P79)/12</f>
        <v>0</v>
      </c>
      <c r="BE26" s="819">
        <f>SUMIF(Input!$J$77:$P$77,BE$6,Input!$J79:$P79)/12</f>
        <v>0</v>
      </c>
      <c r="BF26" s="819">
        <f>SUMIF(Input!$J$77:$P$77,BF$6,Input!$J79:$P79)/12</f>
        <v>0</v>
      </c>
      <c r="BG26" s="819">
        <f>SUMIF(Input!$J$77:$P$77,BG$6,Input!$J79:$P79)/12</f>
        <v>0</v>
      </c>
      <c r="BH26" s="819">
        <f>SUMIF(Input!$J$77:$P$77,BH$6,Input!$J79:$P79)/12</f>
        <v>0</v>
      </c>
      <c r="BI26" s="819">
        <f>SUMIF(Input!$J$77:$P$77,BI$6,Input!$J79:$P79)/12</f>
        <v>0</v>
      </c>
      <c r="BJ26" s="819">
        <f>SUMIF(Input!$J$77:$P$77,BJ$6,Input!$J79:$P79)/12</f>
        <v>0</v>
      </c>
      <c r="BK26" s="819">
        <f>SUMIF(Input!$J$77:$P$77,BK$6,Input!$J79:$P79)/12</f>
        <v>0</v>
      </c>
      <c r="BL26" s="819">
        <f>SUMIF(Input!$J$77:$P$77,BL$6,Input!$J79:$P79)/12</f>
        <v>0</v>
      </c>
      <c r="BM26" s="819">
        <f>SUMIF(Input!$J$77:$P$77,BM$6,Input!$J79:$P79)/12</f>
        <v>0</v>
      </c>
      <c r="BN26" s="819">
        <f>SUMIF(Input!$J$77:$P$77,BN$6,Input!$J79:$P79)/12</f>
        <v>0</v>
      </c>
      <c r="BO26" s="819">
        <f>SUMIF(Input!$J$77:$P$77,BO$6,Input!$J79:$P79)/12</f>
        <v>0</v>
      </c>
      <c r="BP26" s="819">
        <f>SUMIF(Input!$J$77:$P$77,BP$6,Input!$J79:$P79)/12</f>
        <v>0</v>
      </c>
      <c r="BQ26" s="819">
        <f>SUMIF(Input!$J$77:$P$77,BQ$6,Input!$J79:$P79)/12</f>
        <v>0</v>
      </c>
      <c r="BR26" s="819">
        <f>SUMIF(Input!$J$77:$P$77,BR$6,Input!$J79:$P79)/12</f>
        <v>0</v>
      </c>
      <c r="BS26" s="819">
        <f>SUMIF(Input!$J$77:$P$77,BS$6,Input!$J79:$P79)/12</f>
        <v>0</v>
      </c>
      <c r="BT26" s="819">
        <f>SUMIF(Input!$J$77:$P$77,BT$6,Input!$J79:$P79)/12</f>
        <v>0</v>
      </c>
      <c r="BU26" s="819">
        <f>SUMIF(Input!$J$77:$P$77,BU$6,Input!$J79:$P79)/12</f>
        <v>0</v>
      </c>
      <c r="BV26" s="819">
        <f>SUMIF(Input!$J$77:$P$77,BV$6,Input!$J79:$P79)/12</f>
        <v>0</v>
      </c>
      <c r="BW26" s="819">
        <f>SUMIF(Input!$J$77:$P$77,BW$6,Input!$J79:$P79)/12</f>
        <v>0</v>
      </c>
      <c r="BX26" s="819">
        <f>SUMIF(Input!$J$77:$P$77,BX$6,Input!$J79:$P79)/12</f>
        <v>0</v>
      </c>
      <c r="BY26" s="819">
        <f>SUMIF(Input!$J$77:$P$77,BY$6,Input!$J79:$P79)/12</f>
        <v>0</v>
      </c>
      <c r="BZ26" s="819">
        <f>SUMIF(Input!$J$77:$P$77,BZ$6,Input!$J79:$P79)/12</f>
        <v>0</v>
      </c>
      <c r="CA26" s="819">
        <f>SUMIF(Input!$J$77:$P$77,CA$6,Input!$J79:$P79)/12</f>
        <v>0</v>
      </c>
      <c r="CB26" s="819">
        <f>SUMIF(Input!$J$77:$P$77,CB$6,Input!$J79:$P79)/12</f>
        <v>0</v>
      </c>
      <c r="CC26" s="819">
        <f>SUMIF(Input!$J$77:$P$77,CC$6,Input!$J79:$P79)/12</f>
        <v>0</v>
      </c>
      <c r="CD26" s="819">
        <f>SUMIF(Input!$J$77:$P$77,CD$6,Input!$J79:$P79)/12</f>
        <v>0</v>
      </c>
      <c r="CE26" s="819">
        <f>SUMIF(Input!$J$77:$P$77,CE$6,Input!$J79:$P79)/12</f>
        <v>0</v>
      </c>
      <c r="CF26" s="819">
        <f>SUMIF(Input!$J$77:$P$77,CF$6,Input!$J79:$P79)/12</f>
        <v>0</v>
      </c>
      <c r="CG26" s="819">
        <f>SUMIF(Input!$J$77:$P$77,CG$6,Input!$J79:$P79)/12</f>
        <v>0</v>
      </c>
      <c r="CH26" s="819">
        <f>SUMIF(Input!$J$77:$P$77,CH$6,Input!$J79:$P79)/12</f>
        <v>0</v>
      </c>
      <c r="CI26" s="819">
        <f>SUMIF(Input!$J$77:$P$77,CI$6,Input!$J79:$P79)/12</f>
        <v>0</v>
      </c>
      <c r="CJ26" s="819">
        <f>SUMIF(Input!$J$77:$P$77,CJ$6,Input!$J79:$P79)/12</f>
        <v>0</v>
      </c>
      <c r="CK26" s="819">
        <f>SUMIF(Input!$J$77:$P$77,CK$6,Input!$J79:$P79)/12</f>
        <v>0</v>
      </c>
      <c r="CL26" s="819">
        <f>SUMIF(Input!$J$77:$P$77,CL$6,Input!$J79:$P79)/12</f>
        <v>0</v>
      </c>
      <c r="CM26" s="819">
        <f>SUMIF(Input!$J$77:$P$77,CM$6,Input!$J79:$P79)/12</f>
        <v>0</v>
      </c>
      <c r="CN26" s="819">
        <f>SUMIF(Input!$J$77:$P$77,CN$6,Input!$J79:$P79)/12</f>
        <v>0</v>
      </c>
      <c r="CO26" s="819">
        <f>SUMIF(Input!$J$77:$P$77,CO$6,Input!$J79:$P79)/12</f>
        <v>0</v>
      </c>
      <c r="CP26" s="819">
        <f>SUMIF(Input!$J$77:$P$77,CP$6,Input!$J79:$P79)/12</f>
        <v>0</v>
      </c>
      <c r="CQ26" s="819">
        <f>SUMIF(Input!$J$77:$P$77,CQ$6,Input!$J79:$P79)/12</f>
        <v>0</v>
      </c>
      <c r="CR26" s="819">
        <f>SUMIF(Input!$J$77:$P$77,CR$6,Input!$J79:$P79)/12</f>
        <v>0</v>
      </c>
      <c r="CS26" s="819">
        <f>SUMIF(Input!$J$77:$P$77,CS$6,Input!$J79:$P79)/12</f>
        <v>0</v>
      </c>
      <c r="CT26" s="819">
        <f>SUMIF(Input!$J$77:$P$77,CT$6,Input!$J79:$P79)/12</f>
        <v>0</v>
      </c>
      <c r="CU26" s="819">
        <f>SUMIF(Input!$J$77:$P$77,CU$6,Input!$J79:$P79)/12</f>
        <v>0</v>
      </c>
      <c r="CV26" s="819">
        <f>SUMIF(Input!$J$77:$P$77,CV$6,Input!$J79:$P79)/12</f>
        <v>0</v>
      </c>
      <c r="CW26" s="819">
        <f>SUMIF(Input!$J$77:$P$77,CW$6,Input!$J79:$P79)/12</f>
        <v>0</v>
      </c>
      <c r="CX26" s="819">
        <f>SUMIF(Input!$J$77:$P$77,CX$6,Input!$J79:$P79)/12</f>
        <v>0</v>
      </c>
      <c r="CY26" s="819">
        <f>SUMIF(Input!$J$77:$P$77,CY$6,Input!$J79:$P79)/12</f>
        <v>0</v>
      </c>
      <c r="CZ26" s="819">
        <f>SUMIF(Input!$J$77:$P$77,CZ$6,Input!$J79:$P79)/12</f>
        <v>0</v>
      </c>
      <c r="DA26" s="819">
        <f>SUMIF(Input!$J$77:$P$77,DA$6,Input!$J79:$P79)/12</f>
        <v>0</v>
      </c>
      <c r="DB26" s="819">
        <f>SUMIF(Input!$J$77:$P$77,DB$6,Input!$J79:$P79)/12</f>
        <v>0</v>
      </c>
      <c r="DC26" s="819">
        <f>SUMIF(Input!$J$77:$P$77,DC$6,Input!$J79:$P79)/12</f>
        <v>0</v>
      </c>
      <c r="DD26" s="819">
        <f>SUMIF(Input!$J$77:$P$77,DD$6,Input!$J79:$P79)/12</f>
        <v>0</v>
      </c>
      <c r="DE26" s="819">
        <f>SUMIF(Input!$J$77:$P$77,DE$6,Input!$J79:$P79)/12</f>
        <v>0</v>
      </c>
      <c r="DF26" s="819">
        <f>SUMIF(Input!$J$77:$P$77,DF$6,Input!$J79:$P79)/12</f>
        <v>0</v>
      </c>
      <c r="DG26" s="819">
        <f>SUMIF(Input!$J$77:$P$77,DG$6,Input!$J79:$P79)/12</f>
        <v>0</v>
      </c>
      <c r="DH26" s="819">
        <f>SUMIF(Input!$J$77:$P$77,DH$6,Input!$J79:$P79)/12</f>
        <v>0</v>
      </c>
      <c r="DI26" s="819">
        <f>SUMIF(Input!$J$77:$P$77,DI$6,Input!$J79:$P79)/12</f>
        <v>0</v>
      </c>
      <c r="DJ26" s="819">
        <f>SUMIF(Input!$J$77:$P$77,DJ$6,Input!$J79:$P79)/12</f>
        <v>0</v>
      </c>
      <c r="DK26" s="819">
        <f>SUMIF(Input!$J$77:$P$77,DK$6,Input!$J79:$P79)/12</f>
        <v>0</v>
      </c>
      <c r="DL26" s="819">
        <f>SUMIF(Input!$J$77:$P$77,DL$6,Input!$J79:$P79)/12</f>
        <v>0</v>
      </c>
      <c r="DM26" s="819">
        <f>SUMIF(Input!$J$77:$P$77,DM$6,Input!$J79:$P79)/12</f>
        <v>0</v>
      </c>
      <c r="DN26" s="819">
        <f>SUMIF(Input!$J$77:$P$77,DN$6,Input!$J79:$P79)/12</f>
        <v>0</v>
      </c>
      <c r="DO26" s="819">
        <f>SUMIF(Input!$J$77:$P$77,DO$6,Input!$J79:$P79)/12</f>
        <v>0</v>
      </c>
      <c r="DP26" s="819">
        <f>SUMIF(Input!$J$77:$P$77,DP$6,Input!$J79:$P79)/12</f>
        <v>0</v>
      </c>
      <c r="DQ26" s="819">
        <f>SUMIF(Input!$J$77:$P$77,DQ$6,Input!$J79:$P79)/12</f>
        <v>0</v>
      </c>
      <c r="DR26" s="819">
        <f>SUMIF(Input!$J$77:$P$77,DR$6,Input!$J79:$P79)/12</f>
        <v>0</v>
      </c>
      <c r="DS26" s="819">
        <f>SUMIF(Input!$J$77:$P$77,DS$6,Input!$J79:$P79)/12</f>
        <v>0</v>
      </c>
      <c r="DT26" s="819">
        <f>SUMIF(Input!$J$77:$P$77,DT$6,Input!$J79:$P79)/12</f>
        <v>0</v>
      </c>
      <c r="DU26" s="819">
        <f>SUMIF(Input!$J$77:$P$77,DU$6,Input!$J79:$P79)/12</f>
        <v>0</v>
      </c>
      <c r="DV26" s="819">
        <f>SUMIF(Input!$J$77:$P$77,DV$6,Input!$J79:$P79)/12</f>
        <v>0</v>
      </c>
      <c r="DW26" s="819">
        <f>SUMIF(Input!$J$77:$P$77,DW$6,Input!$J79:$P79)/12</f>
        <v>0</v>
      </c>
      <c r="DX26" s="819">
        <f>SUMIF(Input!$J$77:$P$77,DX$6,Input!$J79:$P79)/12</f>
        <v>0</v>
      </c>
      <c r="DY26" s="819">
        <f>SUMIF(Input!$J$77:$P$77,DY$6,Input!$J79:$P79)/12</f>
        <v>0</v>
      </c>
      <c r="DZ26" s="819">
        <f>SUMIF(Input!$J$77:$P$77,DZ$6,Input!$J79:$P79)/12</f>
        <v>0</v>
      </c>
      <c r="EA26" s="819">
        <f>SUMIF(Input!$J$77:$P$77,EA$6,Input!$J79:$P79)/12</f>
        <v>0</v>
      </c>
      <c r="EB26" s="819">
        <f>SUMIF(Input!$J$77:$P$77,EB$6,Input!$J79:$P79)/12</f>
        <v>0</v>
      </c>
      <c r="EC26" s="819">
        <f>SUMIF(Input!$J$77:$P$77,EC$6,Input!$J79:$P79)/12</f>
        <v>0</v>
      </c>
      <c r="ED26" s="819">
        <f>SUMIF(Input!$J$77:$P$77,ED$6,Input!$J79:$P79)/12</f>
        <v>0</v>
      </c>
      <c r="EE26" s="819">
        <f>SUMIF(Input!$J$77:$P$77,EE$6,Input!$J79:$P79)/12</f>
        <v>0</v>
      </c>
      <c r="EF26" s="819">
        <f>SUMIF(Input!$J$77:$P$77,EF$6,Input!$J79:$P79)/12</f>
        <v>0</v>
      </c>
      <c r="EG26" s="819">
        <f>SUMIF(Input!$J$77:$P$77,EG$6,Input!$J79:$P79)/12</f>
        <v>0</v>
      </c>
      <c r="EH26" s="819">
        <f>SUMIF(Input!$J$77:$P$77,EH$6,Input!$J79:$P79)/12</f>
        <v>0</v>
      </c>
      <c r="EI26" s="819">
        <f>SUMIF(Input!$J$77:$P$77,EI$6,Input!$J79:$P79)/12</f>
        <v>0</v>
      </c>
      <c r="EJ26" s="819">
        <f>SUMIF(Input!$J$77:$P$77,EJ$6,Input!$J79:$P79)/12</f>
        <v>0</v>
      </c>
      <c r="EK26" s="819">
        <f>SUMIF(Input!$J$77:$P$77,EK$6,Input!$J79:$P79)/12</f>
        <v>0</v>
      </c>
      <c r="EL26" s="819">
        <f>SUMIF(Input!$J$77:$P$77,EL$6,Input!$J79:$P79)/12</f>
        <v>0</v>
      </c>
      <c r="EM26" s="819">
        <f>SUMIF(Input!$J$77:$P$77,EM$6,Input!$J79:$P79)/12</f>
        <v>0</v>
      </c>
      <c r="EN26" s="819">
        <f>SUMIF(Input!$J$77:$P$77,EN$6,Input!$J79:$P79)/12</f>
        <v>0</v>
      </c>
      <c r="EO26" s="819">
        <f>SUMIF(Input!$J$77:$P$77,EO$6,Input!$J79:$P79)/12</f>
        <v>0</v>
      </c>
      <c r="EP26" s="819">
        <f>SUMIF(Input!$J$77:$P$77,EP$6,Input!$J79:$P79)/12</f>
        <v>0</v>
      </c>
      <c r="EQ26" s="819">
        <f>SUMIF(Input!$J$77:$P$77,EQ$6,Input!$J79:$P79)/12</f>
        <v>0</v>
      </c>
      <c r="ER26" s="819">
        <f>SUMIF(Input!$J$77:$P$77,ER$6,Input!$J79:$P79)/12</f>
        <v>0</v>
      </c>
      <c r="ES26" s="819">
        <f>SUMIF(Input!$J$77:$P$77,ES$6,Input!$J79:$P79)/12</f>
        <v>0</v>
      </c>
      <c r="ET26" s="192"/>
    </row>
    <row r="27" spans="1:150" ht="1.5" hidden="1" customHeight="1">
      <c r="A27" s="192"/>
      <c r="B27" s="36"/>
      <c r="C27" s="36"/>
      <c r="D27" s="36"/>
      <c r="E27" s="36"/>
      <c r="F27" s="36"/>
      <c r="G27" s="36"/>
      <c r="H27" s="36"/>
      <c r="I27" s="36"/>
      <c r="J27" s="36"/>
      <c r="K27" s="36"/>
      <c r="L27" s="36"/>
      <c r="M27" s="36"/>
      <c r="N27" s="192"/>
      <c r="O27" s="36"/>
      <c r="P27" s="192"/>
      <c r="Q27" s="36"/>
      <c r="R27" s="36"/>
      <c r="S27" s="36"/>
      <c r="T27" s="36"/>
      <c r="U27" s="36"/>
      <c r="V27" s="36"/>
      <c r="W27" s="36"/>
      <c r="X27" s="36"/>
      <c r="Y27" s="36"/>
      <c r="Z27" s="36"/>
      <c r="AA27" s="36"/>
      <c r="AB27" s="36"/>
      <c r="AC27" s="36"/>
      <c r="AD27" s="36"/>
      <c r="AE27" s="36"/>
      <c r="AF27" s="36"/>
      <c r="AG27" s="36"/>
      <c r="AH27" s="36"/>
      <c r="AI27" s="36"/>
      <c r="AJ27" s="36"/>
      <c r="AK27" s="36"/>
      <c r="AL27" s="36"/>
      <c r="AM27" s="36"/>
      <c r="AN27" s="36"/>
      <c r="AO27" s="36"/>
      <c r="AP27" s="36"/>
      <c r="AQ27" s="36"/>
      <c r="AR27" s="36"/>
      <c r="AS27" s="36"/>
      <c r="AT27" s="36"/>
      <c r="AU27" s="36"/>
      <c r="AV27" s="36"/>
      <c r="AW27" s="36"/>
      <c r="AX27" s="36"/>
      <c r="AY27" s="36"/>
      <c r="AZ27" s="36"/>
      <c r="BA27" s="36"/>
      <c r="BB27" s="36"/>
      <c r="BC27" s="36"/>
      <c r="BD27" s="36"/>
      <c r="BE27" s="36"/>
      <c r="BF27" s="36"/>
      <c r="BG27" s="36"/>
      <c r="BH27" s="36"/>
      <c r="BI27" s="36"/>
      <c r="BJ27" s="36"/>
      <c r="BK27" s="36"/>
      <c r="BL27" s="36"/>
      <c r="BM27" s="36"/>
      <c r="BN27" s="36"/>
      <c r="BO27" s="36"/>
      <c r="BP27" s="36"/>
      <c r="BQ27" s="36"/>
      <c r="BR27" s="36"/>
      <c r="BS27" s="36"/>
      <c r="BT27" s="36"/>
      <c r="BU27" s="36"/>
      <c r="BV27" s="36"/>
      <c r="BW27" s="36"/>
      <c r="BX27" s="36"/>
      <c r="BY27" s="36"/>
      <c r="BZ27" s="36"/>
      <c r="CA27" s="36"/>
      <c r="CB27" s="36"/>
      <c r="CC27" s="36"/>
      <c r="CD27" s="36"/>
      <c r="CE27" s="36"/>
      <c r="CF27" s="36"/>
      <c r="CG27" s="36"/>
      <c r="CH27" s="36"/>
      <c r="CI27" s="36"/>
      <c r="CJ27" s="36"/>
      <c r="CK27" s="36"/>
      <c r="CL27" s="36"/>
      <c r="CM27" s="36"/>
      <c r="CN27" s="36"/>
      <c r="CO27" s="36"/>
      <c r="CP27" s="36"/>
      <c r="CQ27" s="36"/>
      <c r="CR27" s="36"/>
      <c r="CS27" s="36"/>
      <c r="CT27" s="36"/>
      <c r="CU27" s="36"/>
      <c r="CV27" s="36"/>
      <c r="CW27" s="36"/>
      <c r="CX27" s="36"/>
      <c r="CY27" s="36"/>
      <c r="CZ27" s="36"/>
      <c r="DA27" s="36"/>
      <c r="DB27" s="36"/>
      <c r="DC27" s="36"/>
      <c r="DD27" s="36"/>
      <c r="DE27" s="36"/>
      <c r="DF27" s="36"/>
      <c r="DG27" s="36"/>
      <c r="DH27" s="36"/>
      <c r="DI27" s="36"/>
      <c r="DJ27" s="36"/>
      <c r="DK27" s="36"/>
      <c r="DL27" s="36"/>
      <c r="DM27" s="36"/>
      <c r="DN27" s="36"/>
      <c r="DO27" s="36"/>
      <c r="DP27" s="36"/>
      <c r="DQ27" s="36"/>
      <c r="DR27" s="36"/>
      <c r="DS27" s="36"/>
      <c r="DT27" s="36"/>
      <c r="DU27" s="36"/>
      <c r="DV27" s="36"/>
      <c r="DW27" s="36"/>
      <c r="DX27" s="36"/>
      <c r="DY27" s="36"/>
      <c r="DZ27" s="36"/>
      <c r="EA27" s="36"/>
      <c r="EB27" s="36"/>
      <c r="EC27" s="36"/>
      <c r="ED27" s="36"/>
      <c r="EE27" s="36"/>
      <c r="EF27" s="36"/>
      <c r="EG27" s="36"/>
      <c r="EH27" s="36"/>
      <c r="EI27" s="36"/>
      <c r="EJ27" s="36"/>
      <c r="EK27" s="36"/>
      <c r="EL27" s="36"/>
      <c r="EM27" s="36"/>
      <c r="EN27" s="36"/>
      <c r="EO27" s="36"/>
      <c r="EP27" s="36"/>
      <c r="EQ27" s="36"/>
      <c r="ER27" s="36"/>
      <c r="ES27" s="36"/>
      <c r="ET27" s="192"/>
    </row>
    <row r="28" spans="1:150" hidden="1" collapsed="1">
      <c r="A28" s="192"/>
      <c r="B28" s="810" t="s">
        <v>554</v>
      </c>
      <c r="C28" s="811">
        <f t="shared" ref="C28:M28" si="47">SUM(C25:C27)</f>
        <v>0</v>
      </c>
      <c r="D28" s="811">
        <f t="shared" si="47"/>
        <v>0</v>
      </c>
      <c r="E28" s="811">
        <f t="shared" si="47"/>
        <v>0</v>
      </c>
      <c r="F28" s="811">
        <f t="shared" si="47"/>
        <v>0</v>
      </c>
      <c r="G28" s="811">
        <f t="shared" si="47"/>
        <v>0</v>
      </c>
      <c r="H28" s="811">
        <f t="shared" si="47"/>
        <v>0</v>
      </c>
      <c r="I28" s="811">
        <f t="shared" si="47"/>
        <v>0</v>
      </c>
      <c r="J28" s="811">
        <f t="shared" si="47"/>
        <v>0</v>
      </c>
      <c r="K28" s="811">
        <f t="shared" si="47"/>
        <v>0</v>
      </c>
      <c r="L28" s="811">
        <f t="shared" si="47"/>
        <v>0</v>
      </c>
      <c r="M28" s="811">
        <f t="shared" si="47"/>
        <v>0</v>
      </c>
      <c r="N28" s="812"/>
      <c r="O28" s="811">
        <f>SUM(O25:O27)</f>
        <v>0</v>
      </c>
      <c r="P28" s="812"/>
      <c r="Q28" s="811"/>
      <c r="R28" s="821">
        <f t="shared" ref="R28:AW28" si="48">SUM(R25:R27)</f>
        <v>0</v>
      </c>
      <c r="S28" s="821">
        <f t="shared" si="48"/>
        <v>0</v>
      </c>
      <c r="T28" s="821">
        <f t="shared" si="48"/>
        <v>0</v>
      </c>
      <c r="U28" s="821">
        <f t="shared" si="48"/>
        <v>0</v>
      </c>
      <c r="V28" s="821">
        <f t="shared" si="48"/>
        <v>0</v>
      </c>
      <c r="W28" s="821">
        <f t="shared" si="48"/>
        <v>0</v>
      </c>
      <c r="X28" s="821">
        <f t="shared" si="48"/>
        <v>0</v>
      </c>
      <c r="Y28" s="821">
        <f t="shared" si="48"/>
        <v>0</v>
      </c>
      <c r="Z28" s="821">
        <f t="shared" si="48"/>
        <v>0</v>
      </c>
      <c r="AA28" s="821">
        <f t="shared" si="48"/>
        <v>0</v>
      </c>
      <c r="AB28" s="821">
        <f t="shared" si="48"/>
        <v>0</v>
      </c>
      <c r="AC28" s="821">
        <f t="shared" si="48"/>
        <v>0</v>
      </c>
      <c r="AD28" s="821">
        <f t="shared" si="48"/>
        <v>0</v>
      </c>
      <c r="AE28" s="821">
        <f t="shared" si="48"/>
        <v>0</v>
      </c>
      <c r="AF28" s="821">
        <f t="shared" si="48"/>
        <v>0</v>
      </c>
      <c r="AG28" s="821">
        <f t="shared" si="48"/>
        <v>0</v>
      </c>
      <c r="AH28" s="821">
        <f t="shared" si="48"/>
        <v>0</v>
      </c>
      <c r="AI28" s="821">
        <f t="shared" si="48"/>
        <v>0</v>
      </c>
      <c r="AJ28" s="821">
        <f t="shared" si="48"/>
        <v>0</v>
      </c>
      <c r="AK28" s="821">
        <f t="shared" si="48"/>
        <v>0</v>
      </c>
      <c r="AL28" s="821">
        <f t="shared" si="48"/>
        <v>0</v>
      </c>
      <c r="AM28" s="821">
        <f t="shared" si="48"/>
        <v>0</v>
      </c>
      <c r="AN28" s="821">
        <f t="shared" si="48"/>
        <v>0</v>
      </c>
      <c r="AO28" s="821">
        <f t="shared" si="48"/>
        <v>0</v>
      </c>
      <c r="AP28" s="821">
        <f t="shared" si="48"/>
        <v>0</v>
      </c>
      <c r="AQ28" s="821">
        <f t="shared" si="48"/>
        <v>0</v>
      </c>
      <c r="AR28" s="821">
        <f t="shared" si="48"/>
        <v>0</v>
      </c>
      <c r="AS28" s="821">
        <f t="shared" si="48"/>
        <v>0</v>
      </c>
      <c r="AT28" s="821">
        <f t="shared" si="48"/>
        <v>0</v>
      </c>
      <c r="AU28" s="821">
        <f t="shared" si="48"/>
        <v>0</v>
      </c>
      <c r="AV28" s="821">
        <f t="shared" si="48"/>
        <v>0</v>
      </c>
      <c r="AW28" s="821">
        <f t="shared" si="48"/>
        <v>0</v>
      </c>
      <c r="AX28" s="821">
        <f t="shared" ref="AX28:CC28" si="49">SUM(AX25:AX27)</f>
        <v>0</v>
      </c>
      <c r="AY28" s="821">
        <f t="shared" si="49"/>
        <v>0</v>
      </c>
      <c r="AZ28" s="821">
        <f t="shared" si="49"/>
        <v>0</v>
      </c>
      <c r="BA28" s="821">
        <f t="shared" si="49"/>
        <v>0</v>
      </c>
      <c r="BB28" s="821">
        <f t="shared" si="49"/>
        <v>0</v>
      </c>
      <c r="BC28" s="821">
        <f t="shared" si="49"/>
        <v>0</v>
      </c>
      <c r="BD28" s="821">
        <f t="shared" si="49"/>
        <v>0</v>
      </c>
      <c r="BE28" s="821">
        <f t="shared" si="49"/>
        <v>0</v>
      </c>
      <c r="BF28" s="821">
        <f t="shared" si="49"/>
        <v>0</v>
      </c>
      <c r="BG28" s="821">
        <f t="shared" si="49"/>
        <v>0</v>
      </c>
      <c r="BH28" s="821">
        <f t="shared" si="49"/>
        <v>0</v>
      </c>
      <c r="BI28" s="821">
        <f t="shared" si="49"/>
        <v>0</v>
      </c>
      <c r="BJ28" s="821">
        <f t="shared" si="49"/>
        <v>0</v>
      </c>
      <c r="BK28" s="821">
        <f t="shared" si="49"/>
        <v>0</v>
      </c>
      <c r="BL28" s="821">
        <f t="shared" si="49"/>
        <v>0</v>
      </c>
      <c r="BM28" s="821">
        <f t="shared" si="49"/>
        <v>0</v>
      </c>
      <c r="BN28" s="821">
        <f t="shared" si="49"/>
        <v>0</v>
      </c>
      <c r="BO28" s="821">
        <f t="shared" si="49"/>
        <v>0</v>
      </c>
      <c r="BP28" s="821">
        <f t="shared" si="49"/>
        <v>0</v>
      </c>
      <c r="BQ28" s="821">
        <f t="shared" si="49"/>
        <v>0</v>
      </c>
      <c r="BR28" s="821">
        <f t="shared" si="49"/>
        <v>0</v>
      </c>
      <c r="BS28" s="821">
        <f t="shared" si="49"/>
        <v>0</v>
      </c>
      <c r="BT28" s="821">
        <f t="shared" si="49"/>
        <v>0</v>
      </c>
      <c r="BU28" s="821">
        <f t="shared" si="49"/>
        <v>0</v>
      </c>
      <c r="BV28" s="821">
        <f t="shared" si="49"/>
        <v>0</v>
      </c>
      <c r="BW28" s="821">
        <f t="shared" si="49"/>
        <v>0</v>
      </c>
      <c r="BX28" s="821">
        <f t="shared" si="49"/>
        <v>0</v>
      </c>
      <c r="BY28" s="821">
        <f t="shared" si="49"/>
        <v>0</v>
      </c>
      <c r="BZ28" s="821">
        <f t="shared" si="49"/>
        <v>0</v>
      </c>
      <c r="CA28" s="821">
        <f t="shared" si="49"/>
        <v>0</v>
      </c>
      <c r="CB28" s="821">
        <f t="shared" si="49"/>
        <v>0</v>
      </c>
      <c r="CC28" s="821">
        <f t="shared" si="49"/>
        <v>0</v>
      </c>
      <c r="CD28" s="821">
        <f t="shared" ref="CD28:DI28" si="50">SUM(CD25:CD27)</f>
        <v>0</v>
      </c>
      <c r="CE28" s="821">
        <f t="shared" si="50"/>
        <v>0</v>
      </c>
      <c r="CF28" s="821">
        <f t="shared" si="50"/>
        <v>0</v>
      </c>
      <c r="CG28" s="821">
        <f t="shared" si="50"/>
        <v>0</v>
      </c>
      <c r="CH28" s="821">
        <f t="shared" si="50"/>
        <v>0</v>
      </c>
      <c r="CI28" s="821">
        <f t="shared" si="50"/>
        <v>0</v>
      </c>
      <c r="CJ28" s="821">
        <f t="shared" si="50"/>
        <v>0</v>
      </c>
      <c r="CK28" s="821">
        <f t="shared" si="50"/>
        <v>0</v>
      </c>
      <c r="CL28" s="821">
        <f t="shared" si="50"/>
        <v>0</v>
      </c>
      <c r="CM28" s="821">
        <f t="shared" si="50"/>
        <v>0</v>
      </c>
      <c r="CN28" s="821">
        <f t="shared" si="50"/>
        <v>0</v>
      </c>
      <c r="CO28" s="821">
        <f t="shared" si="50"/>
        <v>0</v>
      </c>
      <c r="CP28" s="821">
        <f t="shared" si="50"/>
        <v>0</v>
      </c>
      <c r="CQ28" s="821">
        <f t="shared" si="50"/>
        <v>0</v>
      </c>
      <c r="CR28" s="821">
        <f t="shared" si="50"/>
        <v>0</v>
      </c>
      <c r="CS28" s="821">
        <f t="shared" si="50"/>
        <v>0</v>
      </c>
      <c r="CT28" s="821">
        <f t="shared" si="50"/>
        <v>0</v>
      </c>
      <c r="CU28" s="821">
        <f t="shared" si="50"/>
        <v>0</v>
      </c>
      <c r="CV28" s="821">
        <f t="shared" si="50"/>
        <v>0</v>
      </c>
      <c r="CW28" s="821">
        <f t="shared" si="50"/>
        <v>0</v>
      </c>
      <c r="CX28" s="821">
        <f t="shared" si="50"/>
        <v>0</v>
      </c>
      <c r="CY28" s="821">
        <f t="shared" si="50"/>
        <v>0</v>
      </c>
      <c r="CZ28" s="821">
        <f t="shared" si="50"/>
        <v>0</v>
      </c>
      <c r="DA28" s="821">
        <f t="shared" si="50"/>
        <v>0</v>
      </c>
      <c r="DB28" s="821">
        <f t="shared" si="50"/>
        <v>0</v>
      </c>
      <c r="DC28" s="821">
        <f t="shared" si="50"/>
        <v>0</v>
      </c>
      <c r="DD28" s="821">
        <f t="shared" si="50"/>
        <v>0</v>
      </c>
      <c r="DE28" s="821">
        <f t="shared" si="50"/>
        <v>0</v>
      </c>
      <c r="DF28" s="821">
        <f t="shared" si="50"/>
        <v>0</v>
      </c>
      <c r="DG28" s="821">
        <f t="shared" si="50"/>
        <v>0</v>
      </c>
      <c r="DH28" s="821">
        <f t="shared" si="50"/>
        <v>0</v>
      </c>
      <c r="DI28" s="821">
        <f t="shared" si="50"/>
        <v>0</v>
      </c>
      <c r="DJ28" s="821">
        <f t="shared" ref="DJ28:EO28" si="51">SUM(DJ25:DJ27)</f>
        <v>0</v>
      </c>
      <c r="DK28" s="821">
        <f t="shared" si="51"/>
        <v>0</v>
      </c>
      <c r="DL28" s="821">
        <f t="shared" si="51"/>
        <v>0</v>
      </c>
      <c r="DM28" s="821">
        <f t="shared" si="51"/>
        <v>0</v>
      </c>
      <c r="DN28" s="821">
        <f t="shared" si="51"/>
        <v>0</v>
      </c>
      <c r="DO28" s="821">
        <f t="shared" si="51"/>
        <v>0</v>
      </c>
      <c r="DP28" s="821">
        <f t="shared" si="51"/>
        <v>0</v>
      </c>
      <c r="DQ28" s="821">
        <f t="shared" si="51"/>
        <v>0</v>
      </c>
      <c r="DR28" s="821">
        <f t="shared" si="51"/>
        <v>0</v>
      </c>
      <c r="DS28" s="821">
        <f t="shared" si="51"/>
        <v>0</v>
      </c>
      <c r="DT28" s="821">
        <f t="shared" si="51"/>
        <v>0</v>
      </c>
      <c r="DU28" s="821">
        <f t="shared" si="51"/>
        <v>0</v>
      </c>
      <c r="DV28" s="821">
        <f t="shared" si="51"/>
        <v>0</v>
      </c>
      <c r="DW28" s="821">
        <f t="shared" si="51"/>
        <v>0</v>
      </c>
      <c r="DX28" s="821">
        <f t="shared" si="51"/>
        <v>0</v>
      </c>
      <c r="DY28" s="821">
        <f t="shared" si="51"/>
        <v>0</v>
      </c>
      <c r="DZ28" s="821">
        <f t="shared" si="51"/>
        <v>0</v>
      </c>
      <c r="EA28" s="821">
        <f t="shared" si="51"/>
        <v>0</v>
      </c>
      <c r="EB28" s="821">
        <f t="shared" si="51"/>
        <v>0</v>
      </c>
      <c r="EC28" s="821">
        <f t="shared" si="51"/>
        <v>0</v>
      </c>
      <c r="ED28" s="821">
        <f t="shared" si="51"/>
        <v>0</v>
      </c>
      <c r="EE28" s="821">
        <f t="shared" si="51"/>
        <v>0</v>
      </c>
      <c r="EF28" s="821">
        <f t="shared" si="51"/>
        <v>0</v>
      </c>
      <c r="EG28" s="821">
        <f t="shared" si="51"/>
        <v>0</v>
      </c>
      <c r="EH28" s="821">
        <f t="shared" si="51"/>
        <v>0</v>
      </c>
      <c r="EI28" s="821">
        <f t="shared" si="51"/>
        <v>0</v>
      </c>
      <c r="EJ28" s="821">
        <f t="shared" si="51"/>
        <v>0</v>
      </c>
      <c r="EK28" s="821">
        <f t="shared" si="51"/>
        <v>0</v>
      </c>
      <c r="EL28" s="821">
        <f t="shared" si="51"/>
        <v>0</v>
      </c>
      <c r="EM28" s="821">
        <f t="shared" si="51"/>
        <v>0</v>
      </c>
      <c r="EN28" s="821">
        <f t="shared" si="51"/>
        <v>0</v>
      </c>
      <c r="EO28" s="821">
        <f t="shared" si="51"/>
        <v>0</v>
      </c>
      <c r="EP28" s="821">
        <f t="shared" ref="EP28:FU28" si="52">SUM(EP25:EP27)</f>
        <v>0</v>
      </c>
      <c r="EQ28" s="821">
        <f t="shared" si="52"/>
        <v>0</v>
      </c>
      <c r="ER28" s="821">
        <f t="shared" si="52"/>
        <v>0</v>
      </c>
      <c r="ES28" s="821">
        <f t="shared" si="52"/>
        <v>0</v>
      </c>
      <c r="ET28" s="192"/>
    </row>
    <row r="29" spans="1:150" hidden="1">
      <c r="A29" s="192"/>
      <c r="B29" s="36"/>
      <c r="C29" s="37"/>
      <c r="D29" s="37"/>
      <c r="E29" s="37"/>
      <c r="F29" s="37"/>
      <c r="G29" s="37"/>
      <c r="H29" s="37"/>
      <c r="I29" s="37"/>
      <c r="J29" s="37"/>
      <c r="K29" s="37"/>
      <c r="L29" s="37"/>
      <c r="M29" s="37"/>
      <c r="N29" s="192"/>
      <c r="O29" s="37"/>
      <c r="P29" s="192"/>
      <c r="Q29" s="37"/>
      <c r="R29" s="37"/>
      <c r="S29" s="37"/>
      <c r="T29" s="37"/>
      <c r="U29" s="37"/>
      <c r="V29" s="37"/>
      <c r="W29" s="37"/>
      <c r="X29" s="37"/>
      <c r="Y29" s="37"/>
      <c r="Z29" s="37"/>
      <c r="AA29" s="37"/>
      <c r="AB29" s="37"/>
      <c r="AC29" s="37"/>
      <c r="AD29" s="37"/>
      <c r="AE29" s="37"/>
      <c r="AF29" s="37"/>
      <c r="AG29" s="37"/>
      <c r="AH29" s="37"/>
      <c r="AI29" s="37"/>
      <c r="AJ29" s="37"/>
      <c r="AK29" s="37"/>
      <c r="AL29" s="37"/>
      <c r="AM29" s="37"/>
      <c r="AN29" s="37"/>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c r="BT29" s="37"/>
      <c r="BU29" s="37"/>
      <c r="BV29" s="37"/>
      <c r="BW29" s="37"/>
      <c r="BX29" s="37"/>
      <c r="BY29" s="37"/>
      <c r="BZ29" s="37"/>
      <c r="CA29" s="37"/>
      <c r="CB29" s="37"/>
      <c r="CC29" s="37"/>
      <c r="CD29" s="37"/>
      <c r="CE29" s="37"/>
      <c r="CF29" s="37"/>
      <c r="CG29" s="37"/>
      <c r="CH29" s="37"/>
      <c r="CI29" s="37"/>
      <c r="CJ29" s="37"/>
      <c r="CK29" s="37"/>
      <c r="CL29" s="37"/>
      <c r="CM29" s="37"/>
      <c r="CN29" s="37"/>
      <c r="CO29" s="37"/>
      <c r="CP29" s="37"/>
      <c r="CQ29" s="37"/>
      <c r="CR29" s="37"/>
      <c r="CS29" s="37"/>
      <c r="CT29" s="37"/>
      <c r="CU29" s="37"/>
      <c r="CV29" s="37"/>
      <c r="CW29" s="37"/>
      <c r="CX29" s="37"/>
      <c r="CY29" s="37"/>
      <c r="CZ29" s="37"/>
      <c r="DA29" s="37"/>
      <c r="DB29" s="37"/>
      <c r="DC29" s="37"/>
      <c r="DD29" s="37"/>
      <c r="DE29" s="37"/>
      <c r="DF29" s="37"/>
      <c r="DG29" s="37"/>
      <c r="DH29" s="37"/>
      <c r="DI29" s="37"/>
      <c r="DJ29" s="37"/>
      <c r="DK29" s="37"/>
      <c r="DL29" s="37"/>
      <c r="DM29" s="37"/>
      <c r="DN29" s="37"/>
      <c r="DO29" s="37"/>
      <c r="DP29" s="37"/>
      <c r="DQ29" s="37"/>
      <c r="DR29" s="37"/>
      <c r="DS29" s="37"/>
      <c r="DT29" s="37"/>
      <c r="DU29" s="37"/>
      <c r="DV29" s="37"/>
      <c r="DW29" s="37"/>
      <c r="DX29" s="37"/>
      <c r="DY29" s="37"/>
      <c r="DZ29" s="37"/>
      <c r="EA29" s="37"/>
      <c r="EB29" s="37"/>
      <c r="EC29" s="37"/>
      <c r="ED29" s="37"/>
      <c r="EE29" s="37"/>
      <c r="EF29" s="37"/>
      <c r="EG29" s="37"/>
      <c r="EH29" s="37"/>
      <c r="EI29" s="37"/>
      <c r="EJ29" s="37"/>
      <c r="EK29" s="37"/>
      <c r="EL29" s="37"/>
      <c r="EM29" s="37"/>
      <c r="EN29" s="37"/>
      <c r="EO29" s="37"/>
      <c r="EP29" s="37"/>
      <c r="EQ29" s="37"/>
      <c r="ER29" s="37"/>
      <c r="ES29" s="37"/>
      <c r="ET29" s="192"/>
    </row>
    <row r="30" spans="1:150" hidden="1">
      <c r="A30" s="192"/>
      <c r="B30" s="1051" t="s">
        <v>84</v>
      </c>
      <c r="C30" s="37"/>
      <c r="D30" s="37"/>
      <c r="E30" s="37"/>
      <c r="F30" s="37"/>
      <c r="G30" s="37"/>
      <c r="H30" s="37"/>
      <c r="I30" s="37"/>
      <c r="J30" s="37"/>
      <c r="K30" s="37"/>
      <c r="L30" s="37"/>
      <c r="M30" s="37"/>
      <c r="N30" s="192"/>
      <c r="O30" s="37"/>
      <c r="P30" s="192"/>
      <c r="Q30" s="37"/>
      <c r="R30" s="37"/>
      <c r="S30" s="37"/>
      <c r="T30" s="37"/>
      <c r="U30" s="37"/>
      <c r="V30" s="37"/>
      <c r="W30" s="37"/>
      <c r="X30" s="37"/>
      <c r="Y30" s="37"/>
      <c r="Z30" s="37"/>
      <c r="AA30" s="37"/>
      <c r="AB30" s="37"/>
      <c r="AC30" s="37"/>
      <c r="AD30" s="37"/>
      <c r="AE30" s="37"/>
      <c r="AF30" s="37"/>
      <c r="AG30" s="37"/>
      <c r="AH30" s="37"/>
      <c r="AI30" s="37"/>
      <c r="AJ30" s="37"/>
      <c r="AK30" s="37"/>
      <c r="AL30" s="37"/>
      <c r="AM30" s="37"/>
      <c r="AN30" s="37"/>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c r="BT30" s="37"/>
      <c r="BU30" s="37"/>
      <c r="BV30" s="37"/>
      <c r="BW30" s="37"/>
      <c r="BX30" s="37"/>
      <c r="BY30" s="37"/>
      <c r="BZ30" s="37"/>
      <c r="CA30" s="37"/>
      <c r="CB30" s="37"/>
      <c r="CC30" s="37"/>
      <c r="CD30" s="37"/>
      <c r="CE30" s="37"/>
      <c r="CF30" s="37"/>
      <c r="CG30" s="37"/>
      <c r="CH30" s="37"/>
      <c r="CI30" s="37"/>
      <c r="CJ30" s="37"/>
      <c r="CK30" s="37"/>
      <c r="CL30" s="37"/>
      <c r="CM30" s="37"/>
      <c r="CN30" s="37"/>
      <c r="CO30" s="37"/>
      <c r="CP30" s="37"/>
      <c r="CQ30" s="37"/>
      <c r="CR30" s="37"/>
      <c r="CS30" s="37"/>
      <c r="CT30" s="37"/>
      <c r="CU30" s="37"/>
      <c r="CV30" s="37"/>
      <c r="CW30" s="37"/>
      <c r="CX30" s="37"/>
      <c r="CY30" s="37"/>
      <c r="CZ30" s="37"/>
      <c r="DA30" s="37"/>
      <c r="DB30" s="37"/>
      <c r="DC30" s="37"/>
      <c r="DD30" s="37"/>
      <c r="DE30" s="37"/>
      <c r="DF30" s="37"/>
      <c r="DG30" s="37"/>
      <c r="DH30" s="37"/>
      <c r="DI30" s="37"/>
      <c r="DJ30" s="37"/>
      <c r="DK30" s="37"/>
      <c r="DL30" s="37"/>
      <c r="DM30" s="37"/>
      <c r="DN30" s="37"/>
      <c r="DO30" s="37"/>
      <c r="DP30" s="37"/>
      <c r="DQ30" s="37"/>
      <c r="DR30" s="37"/>
      <c r="DS30" s="37"/>
      <c r="DT30" s="37"/>
      <c r="DU30" s="37"/>
      <c r="DV30" s="37"/>
      <c r="DW30" s="37"/>
      <c r="DX30" s="37"/>
      <c r="DY30" s="37"/>
      <c r="DZ30" s="37"/>
      <c r="EA30" s="37"/>
      <c r="EB30" s="37"/>
      <c r="EC30" s="37"/>
      <c r="ED30" s="37"/>
      <c r="EE30" s="37"/>
      <c r="EF30" s="37"/>
      <c r="EG30" s="37"/>
      <c r="EH30" s="37"/>
      <c r="EI30" s="37"/>
      <c r="EJ30" s="37"/>
      <c r="EK30" s="37"/>
      <c r="EL30" s="37"/>
      <c r="EM30" s="37"/>
      <c r="EN30" s="37"/>
      <c r="EO30" s="37"/>
      <c r="EP30" s="37"/>
      <c r="EQ30" s="37"/>
      <c r="ER30" s="37"/>
      <c r="ES30" s="37"/>
      <c r="ET30" s="192"/>
    </row>
    <row r="31" spans="1:150" hidden="1">
      <c r="A31" s="192"/>
      <c r="B31" s="36" t="s">
        <v>555</v>
      </c>
      <c r="C31" s="634">
        <f t="shared" ref="C31:M31" si="53">AVERAGEIF($R$6:$ES$6,C$5,$R31:$ES31)</f>
        <v>0</v>
      </c>
      <c r="D31" s="634">
        <f t="shared" si="53"/>
        <v>0</v>
      </c>
      <c r="E31" s="634">
        <f t="shared" si="53"/>
        <v>0</v>
      </c>
      <c r="F31" s="634">
        <f t="shared" si="53"/>
        <v>0</v>
      </c>
      <c r="G31" s="634">
        <f t="shared" si="53"/>
        <v>0</v>
      </c>
      <c r="H31" s="634">
        <f t="shared" si="53"/>
        <v>0</v>
      </c>
      <c r="I31" s="634">
        <f t="shared" si="53"/>
        <v>0</v>
      </c>
      <c r="J31" s="634">
        <f t="shared" si="53"/>
        <v>0</v>
      </c>
      <c r="K31" s="634">
        <f t="shared" si="53"/>
        <v>0</v>
      </c>
      <c r="L31" s="634">
        <f t="shared" si="53"/>
        <v>0</v>
      </c>
      <c r="M31" s="634">
        <f t="shared" si="53"/>
        <v>0</v>
      </c>
      <c r="N31" s="192"/>
      <c r="O31" s="634">
        <f>SUMIF($C$5:$M$5,$O$6,$C31:$M31)</f>
        <v>0</v>
      </c>
      <c r="P31" s="351"/>
      <c r="Q31" s="634"/>
      <c r="R31" s="634">
        <f>IF(R62*R13,(SUMPRODUCT((R5-$R$5:R5&lt;ROUNDDOWN(Input!$J$83/30,0))*$R$25:R27*$R$54:R56/($R$54:R56+($R$54:R56=0)))+SUMPRODUCT((R5-$R$5:R5=ROUNDUP(Input!$J$83/30,0)-1)*MOD(Input!$J$83,30)/30*$R$25:R27*$R$54:R56/($R$54:R56+($R$54:R56=0))))/R13,)</f>
        <v>0</v>
      </c>
      <c r="S31" s="634">
        <f>IF(S62*S13,(SUMPRODUCT((S5-$R$5:S5&lt;ROUNDDOWN(Input!$J$83/30,0))*$R$25:S27*$R$54:S56/($R$54:S56+($R$54:S56=0)))+SUMPRODUCT((S5-$R$5:S5=ROUNDUP(Input!$J$83/30,0)-1)*MOD(Input!$J$83,30)/30*$R$25:S27*$R$54:S56/($R$54:S56+($R$54:S56=0))))/S13,)</f>
        <v>0</v>
      </c>
      <c r="T31" s="634">
        <f>IF(T62*T13,(SUMPRODUCT((T5-$R$5:T5&lt;ROUNDDOWN(Input!$J$83/30,0))*$R$25:T27*$R$54:T56/($R$54:T56+($R$54:T56=0)))+SUMPRODUCT((T5-$R$5:T5=ROUNDUP(Input!$J$83/30,0)-1)*MOD(Input!$J$83,30)/30*$R$25:T27*$R$54:T56/($R$54:T56+($R$54:T56=0))))/T13,)</f>
        <v>0</v>
      </c>
      <c r="U31" s="634">
        <f>IF(U62*U13,(SUMPRODUCT((U5-$R$5:U5&lt;ROUNDDOWN(Input!$J$83/30,0))*$R$25:U27*$R$54:U56/($R$54:U56+($R$54:U56=0)))+SUMPRODUCT((U5-$R$5:U5=ROUNDUP(Input!$J$83/30,0)-1)*MOD(Input!$J$83,30)/30*$R$25:U27*$R$54:U56/($R$54:U56+($R$54:U56=0))))/U13,)</f>
        <v>0</v>
      </c>
      <c r="V31" s="634">
        <f>IF(V62*V13,(SUMPRODUCT((V5-$R$5:V5&lt;ROUNDDOWN(Input!$J$83/30,0))*$R$25:V27*$R$54:V56/($R$54:V56+($R$54:V56=0)))+SUMPRODUCT((V5-$R$5:V5=ROUNDUP(Input!$J$83/30,0)-1)*MOD(Input!$J$83,30)/30*$R$25:V27*$R$54:V56/($R$54:V56+($R$54:V56=0))))/V13,)</f>
        <v>0</v>
      </c>
      <c r="W31" s="634">
        <f>IF(W62*W13,(SUMPRODUCT((W5-$R$5:W5&lt;ROUNDDOWN(Input!$J$83/30,0))*$R$25:W27*$R$54:W56/($R$54:W56+($R$54:W56=0)))+SUMPRODUCT((W5-$R$5:W5=ROUNDUP(Input!$J$83/30,0)-1)*MOD(Input!$J$83,30)/30*$R$25:W27*$R$54:W56/($R$54:W56+($R$54:W56=0))))/W13,)</f>
        <v>0</v>
      </c>
      <c r="X31" s="634">
        <f>IF(X62*X13,(SUMPRODUCT((X5-$R$5:X5&lt;ROUNDDOWN(Input!$J$83/30,0))*$R$25:X27*$R$54:X56/($R$54:X56+($R$54:X56=0)))+SUMPRODUCT((X5-$R$5:X5=ROUNDUP(Input!$J$83/30,0)-1)*MOD(Input!$J$83,30)/30*$R$25:X27*$R$54:X56/($R$54:X56+($R$54:X56=0))))/X13,)</f>
        <v>0</v>
      </c>
      <c r="Y31" s="634">
        <f>IF(Y62*Y13,(SUMPRODUCT((Y5-$R$5:Y5&lt;ROUNDDOWN(Input!$J$83/30,0))*$R$25:Y27*$R$54:Y56/($R$54:Y56+($R$54:Y56=0)))+SUMPRODUCT((Y5-$R$5:Y5=ROUNDUP(Input!$J$83/30,0)-1)*MOD(Input!$J$83,30)/30*$R$25:Y27*$R$54:Y56/($R$54:Y56+($R$54:Y56=0))))/Y13,)</f>
        <v>0</v>
      </c>
      <c r="Z31" s="634">
        <f>IF(Z62*Z13,(SUMPRODUCT((Z5-$R$5:Z5&lt;ROUNDDOWN(Input!$J$83/30,0))*$R$25:Z27*$R$54:Z56/($R$54:Z56+($R$54:Z56=0)))+SUMPRODUCT((Z5-$R$5:Z5=ROUNDUP(Input!$J$83/30,0)-1)*MOD(Input!$J$83,30)/30*$R$25:Z27*$R$54:Z56/($R$54:Z56+($R$54:Z56=0))))/Z13,)</f>
        <v>0</v>
      </c>
      <c r="AA31" s="634">
        <f>IF(AA62*AA13,(SUMPRODUCT((AA5-$R$5:AA5&lt;ROUNDDOWN(Input!$J$83/30,0))*$R$25:AA27*$R$54:AA56/($R$54:AA56+($R$54:AA56=0)))+SUMPRODUCT((AA5-$R$5:AA5=ROUNDUP(Input!$J$83/30,0)-1)*MOD(Input!$J$83,30)/30*$R$25:AA27*$R$54:AA56/($R$54:AA56+($R$54:AA56=0))))/AA13,)</f>
        <v>0</v>
      </c>
      <c r="AB31" s="634">
        <f>IF(AB62*AB13,(SUMPRODUCT((AB5-$R$5:AB5&lt;ROUNDDOWN(Input!$J$83/30,0))*$R$25:AB27*$R$54:AB56/($R$54:AB56+($R$54:AB56=0)))+SUMPRODUCT((AB5-$R$5:AB5=ROUNDUP(Input!$J$83/30,0)-1)*MOD(Input!$J$83,30)/30*$R$25:AB27*$R$54:AB56/($R$54:AB56+($R$54:AB56=0))))/AB13,)</f>
        <v>0</v>
      </c>
      <c r="AC31" s="634">
        <f>IF(AC62*AC13,(SUMPRODUCT((AC5-$R$5:AC5&lt;ROUNDDOWN(Input!$J$83/30,0))*$R$25:AC27*$R$54:AC56/($R$54:AC56+($R$54:AC56=0)))+SUMPRODUCT((AC5-$R$5:AC5=ROUNDUP(Input!$J$83/30,0)-1)*MOD(Input!$J$83,30)/30*$R$25:AC27*$R$54:AC56/($R$54:AC56+($R$54:AC56=0))))/AC13,)</f>
        <v>0</v>
      </c>
      <c r="AD31" s="634">
        <f>IF(AD62*AD13,(SUMPRODUCT((AD5-$R$5:AD5&lt;ROUNDDOWN(Input!$J$83/30,0))*$R$25:AD27*$R$54:AD56/($R$54:AD56+($R$54:AD56=0)))+SUMPRODUCT((AD5-$R$5:AD5=ROUNDUP(Input!$J$83/30,0)-1)*MOD(Input!$J$83,30)/30*$R$25:AD27*$R$54:AD56/($R$54:AD56+($R$54:AD56=0))))/AD13,)</f>
        <v>0</v>
      </c>
      <c r="AE31" s="634">
        <f>IF(AE62*AE13,(SUMPRODUCT((AE5-$R$5:AE5&lt;ROUNDDOWN(Input!$J$83/30,0))*$R$25:AE27*$R$54:AE56/($R$54:AE56+($R$54:AE56=0)))+SUMPRODUCT((AE5-$R$5:AE5=ROUNDUP(Input!$J$83/30,0)-1)*MOD(Input!$J$83,30)/30*$R$25:AE27*$R$54:AE56/($R$54:AE56+($R$54:AE56=0))))/AE13,)</f>
        <v>0</v>
      </c>
      <c r="AF31" s="634">
        <f>IF(AF62*AF13,(SUMPRODUCT((AF5-$R$5:AF5&lt;ROUNDDOWN(Input!$J$83/30,0))*$R$25:AF27*$R$54:AF56/($R$54:AF56+($R$54:AF56=0)))+SUMPRODUCT((AF5-$R$5:AF5=ROUNDUP(Input!$J$83/30,0)-1)*MOD(Input!$J$83,30)/30*$R$25:AF27*$R$54:AF56/($R$54:AF56+($R$54:AF56=0))))/AF13,)</f>
        <v>0</v>
      </c>
      <c r="AG31" s="634">
        <f>IF(AG62*AG13,(SUMPRODUCT((AG5-$R$5:AG5&lt;ROUNDDOWN(Input!$J$83/30,0))*$R$25:AG27*$R$54:AG56/($R$54:AG56+($R$54:AG56=0)))+SUMPRODUCT((AG5-$R$5:AG5=ROUNDUP(Input!$J$83/30,0)-1)*MOD(Input!$J$83,30)/30*$R$25:AG27*$R$54:AG56/($R$54:AG56+($R$54:AG56=0))))/AG13,)</f>
        <v>0</v>
      </c>
      <c r="AH31" s="634">
        <f>IF(AH62*AH13,(SUMPRODUCT((AH5-$R$5:AH5&lt;ROUNDDOWN(Input!$J$83/30,0))*$R$25:AH27*$R$54:AH56/($R$54:AH56+($R$54:AH56=0)))+SUMPRODUCT((AH5-$R$5:AH5=ROUNDUP(Input!$J$83/30,0)-1)*MOD(Input!$J$83,30)/30*$R$25:AH27*$R$54:AH56/($R$54:AH56+($R$54:AH56=0))))/AH13,)</f>
        <v>0</v>
      </c>
      <c r="AI31" s="634">
        <f>IF(AI62*AI13,(SUMPRODUCT((AI5-$R$5:AI5&lt;ROUNDDOWN(Input!$J$83/30,0))*$R$25:AI27*$R$54:AI56/($R$54:AI56+($R$54:AI56=0)))+SUMPRODUCT((AI5-$R$5:AI5=ROUNDUP(Input!$J$83/30,0)-1)*MOD(Input!$J$83,30)/30*$R$25:AI27*$R$54:AI56/($R$54:AI56+($R$54:AI56=0))))/AI13,)</f>
        <v>0</v>
      </c>
      <c r="AJ31" s="634">
        <f>IF(AJ62*AJ13,(SUMPRODUCT((AJ5-$R$5:AJ5&lt;ROUNDDOWN(Input!$J$83/30,0))*$R$25:AJ27*$R$54:AJ56/($R$54:AJ56+($R$54:AJ56=0)))+SUMPRODUCT((AJ5-$R$5:AJ5=ROUNDUP(Input!$J$83/30,0)-1)*MOD(Input!$J$83,30)/30*$R$25:AJ27*$R$54:AJ56/($R$54:AJ56+($R$54:AJ56=0))))/AJ13,)</f>
        <v>0</v>
      </c>
      <c r="AK31" s="634">
        <f>IF(AK62*AK13,(SUMPRODUCT((AK5-$R$5:AK5&lt;ROUNDDOWN(Input!$J$83/30,0))*$R$25:AK27*$R$54:AK56/($R$54:AK56+($R$54:AK56=0)))+SUMPRODUCT((AK5-$R$5:AK5=ROUNDUP(Input!$J$83/30,0)-1)*MOD(Input!$J$83,30)/30*$R$25:AK27*$R$54:AK56/($R$54:AK56+($R$54:AK56=0))))/AK13,)</f>
        <v>0</v>
      </c>
      <c r="AL31" s="634">
        <f>IF(AL62*AL13,(SUMPRODUCT((AL5-$R$5:AL5&lt;ROUNDDOWN(Input!$J$83/30,0))*$R$25:AL27*$R$54:AL56/($R$54:AL56+($R$54:AL56=0)))+SUMPRODUCT((AL5-$R$5:AL5=ROUNDUP(Input!$J$83/30,0)-1)*MOD(Input!$J$83,30)/30*$R$25:AL27*$R$54:AL56/($R$54:AL56+($R$54:AL56=0))))/AL13,)</f>
        <v>0</v>
      </c>
      <c r="AM31" s="634">
        <f>IF(AM62*AM13,(SUMPRODUCT((AM5-$R$5:AM5&lt;ROUNDDOWN(Input!$J$83/30,0))*$R$25:AM27*$R$54:AM56/($R$54:AM56+($R$54:AM56=0)))+SUMPRODUCT((AM5-$R$5:AM5=ROUNDUP(Input!$J$83/30,0)-1)*MOD(Input!$J$83,30)/30*$R$25:AM27*$R$54:AM56/($R$54:AM56+($R$54:AM56=0))))/AM13,)</f>
        <v>0</v>
      </c>
      <c r="AN31" s="634">
        <f>IF(AN62*AN13,(SUMPRODUCT((AN5-$R$5:AN5&lt;ROUNDDOWN(Input!$J$83/30,0))*$R$25:AN27*$R$54:AN56/($R$54:AN56+($R$54:AN56=0)))+SUMPRODUCT((AN5-$R$5:AN5=ROUNDUP(Input!$J$83/30,0)-1)*MOD(Input!$J$83,30)/30*$R$25:AN27*$R$54:AN56/($R$54:AN56+($R$54:AN56=0))))/AN13,)</f>
        <v>0</v>
      </c>
      <c r="AO31" s="634">
        <f>IF(AO62*AO13,(SUMPRODUCT((AO5-$R$5:AO5&lt;ROUNDDOWN(Input!$J$83/30,0))*$R$25:AO27*$R$54:AO56/($R$54:AO56+($R$54:AO56=0)))+SUMPRODUCT((AO5-$R$5:AO5=ROUNDUP(Input!$J$83/30,0)-1)*MOD(Input!$J$83,30)/30*$R$25:AO27*$R$54:AO56/($R$54:AO56+($R$54:AO56=0))))/AO13,)</f>
        <v>0</v>
      </c>
      <c r="AP31" s="634">
        <f>IF(AP62*AP13,(SUMPRODUCT((AP5-$R$5:AP5&lt;ROUNDDOWN(Input!$J$83/30,0))*$R$25:AP27*$R$54:AP56/($R$54:AP56+($R$54:AP56=0)))+SUMPRODUCT((AP5-$R$5:AP5=ROUNDUP(Input!$J$83/30,0)-1)*MOD(Input!$J$83,30)/30*$R$25:AP27*$R$54:AP56/($R$54:AP56+($R$54:AP56=0))))/AP13,)</f>
        <v>0</v>
      </c>
      <c r="AQ31" s="634">
        <f>IF(AQ62*AQ13,(SUMPRODUCT((AQ5-$R$5:AQ5&lt;ROUNDDOWN(Input!$J$83/30,0))*$R$25:AQ27*$R$54:AQ56/($R$54:AQ56+($R$54:AQ56=0)))+SUMPRODUCT((AQ5-$R$5:AQ5=ROUNDUP(Input!$J$83/30,0)-1)*MOD(Input!$J$83,30)/30*$R$25:AQ27*$R$54:AQ56/($R$54:AQ56+($R$54:AQ56=0))))/AQ13,)</f>
        <v>0</v>
      </c>
      <c r="AR31" s="634">
        <f>IF(AR62*AR13,(SUMPRODUCT((AR5-$R$5:AR5&lt;ROUNDDOWN(Input!$J$83/30,0))*$R$25:AR27*$R$54:AR56/($R$54:AR56+($R$54:AR56=0)))+SUMPRODUCT((AR5-$R$5:AR5=ROUNDUP(Input!$J$83/30,0)-1)*MOD(Input!$J$83,30)/30*$R$25:AR27*$R$54:AR56/($R$54:AR56+($R$54:AR56=0))))/AR13,)</f>
        <v>0</v>
      </c>
      <c r="AS31" s="634">
        <f>IF(AS62*AS13,(SUMPRODUCT((AS5-$R$5:AS5&lt;ROUNDDOWN(Input!$J$83/30,0))*$R$25:AS27*$R$54:AS56/($R$54:AS56+($R$54:AS56=0)))+SUMPRODUCT((AS5-$R$5:AS5=ROUNDUP(Input!$J$83/30,0)-1)*MOD(Input!$J$83,30)/30*$R$25:AS27*$R$54:AS56/($R$54:AS56+($R$54:AS56=0))))/AS13,)</f>
        <v>0</v>
      </c>
      <c r="AT31" s="634">
        <f>IF(AT62*AT13,(SUMPRODUCT((AT5-$R$5:AT5&lt;ROUNDDOWN(Input!$J$83/30,0))*$R$25:AT27*$R$54:AT56/($R$54:AT56+($R$54:AT56=0)))+SUMPRODUCT((AT5-$R$5:AT5=ROUNDUP(Input!$J$83/30,0)-1)*MOD(Input!$J$83,30)/30*$R$25:AT27*$R$54:AT56/($R$54:AT56+($R$54:AT56=0))))/AT13,)</f>
        <v>0</v>
      </c>
      <c r="AU31" s="634">
        <f>IF(AU62*AU13,(SUMPRODUCT((AU5-$R$5:AU5&lt;ROUNDDOWN(Input!$J$83/30,0))*$R$25:AU27*$R$54:AU56/($R$54:AU56+($R$54:AU56=0)))+SUMPRODUCT((AU5-$R$5:AU5=ROUNDUP(Input!$J$83/30,0)-1)*MOD(Input!$J$83,30)/30*$R$25:AU27*$R$54:AU56/($R$54:AU56+($R$54:AU56=0))))/AU13,)</f>
        <v>0</v>
      </c>
      <c r="AV31" s="634">
        <f>IF(AV62*AV13,(SUMPRODUCT((AV5-$R$5:AV5&lt;ROUNDDOWN(Input!$J$83/30,0))*$R$25:AV27*$R$54:AV56/($R$54:AV56+($R$54:AV56=0)))+SUMPRODUCT((AV5-$R$5:AV5=ROUNDUP(Input!$J$83/30,0)-1)*MOD(Input!$J$83,30)/30*$R$25:AV27*$R$54:AV56/($R$54:AV56+($R$54:AV56=0))))/AV13,)</f>
        <v>0</v>
      </c>
      <c r="AW31" s="634">
        <f>IF(AW62*AW13,(SUMPRODUCT((AW5-$R$5:AW5&lt;ROUNDDOWN(Input!$J$83/30,0))*$R$25:AW27*$R$54:AW56/($R$54:AW56+($R$54:AW56=0)))+SUMPRODUCT((AW5-$R$5:AW5=ROUNDUP(Input!$J$83/30,0)-1)*MOD(Input!$J$83,30)/30*$R$25:AW27*$R$54:AW56/($R$54:AW56+($R$54:AW56=0))))/AW13,)</f>
        <v>0</v>
      </c>
      <c r="AX31" s="634">
        <f>IF(AX62*AX13,(SUMPRODUCT((AX5-$R$5:AX5&lt;ROUNDDOWN(Input!$J$83/30,0))*$R$25:AX27*$R$54:AX56/($R$54:AX56+($R$54:AX56=0)))+SUMPRODUCT((AX5-$R$5:AX5=ROUNDUP(Input!$J$83/30,0)-1)*MOD(Input!$J$83,30)/30*$R$25:AX27*$R$54:AX56/($R$54:AX56+($R$54:AX56=0))))/AX13,)</f>
        <v>0</v>
      </c>
      <c r="AY31" s="634">
        <f>IF(AY62*AY13,(SUMPRODUCT((AY5-$R$5:AY5&lt;ROUNDDOWN(Input!$J$83/30,0))*$R$25:AY27*$R$54:AY56/($R$54:AY56+($R$54:AY56=0)))+SUMPRODUCT((AY5-$R$5:AY5=ROUNDUP(Input!$J$83/30,0)-1)*MOD(Input!$J$83,30)/30*$R$25:AY27*$R$54:AY56/($R$54:AY56+($R$54:AY56=0))))/AY13,)</f>
        <v>0</v>
      </c>
      <c r="AZ31" s="634">
        <f>IF(AZ62*AZ13,(SUMPRODUCT((AZ5-$R$5:AZ5&lt;ROUNDDOWN(Input!$J$83/30,0))*$R$25:AZ27*$R$54:AZ56/($R$54:AZ56+($R$54:AZ56=0)))+SUMPRODUCT((AZ5-$R$5:AZ5=ROUNDUP(Input!$J$83/30,0)-1)*MOD(Input!$J$83,30)/30*$R$25:AZ27*$R$54:AZ56/($R$54:AZ56+($R$54:AZ56=0))))/AZ13,)</f>
        <v>0</v>
      </c>
      <c r="BA31" s="634">
        <f>IF(BA62*BA13,(SUMPRODUCT((BA5-$R$5:BA5&lt;ROUNDDOWN(Input!$J$83/30,0))*$R$25:BA27*$R$54:BA56/($R$54:BA56+($R$54:BA56=0)))+SUMPRODUCT((BA5-$R$5:BA5=ROUNDUP(Input!$J$83/30,0)-1)*MOD(Input!$J$83,30)/30*$R$25:BA27*$R$54:BA56/($R$54:BA56+($R$54:BA56=0))))/BA13,)</f>
        <v>0</v>
      </c>
      <c r="BB31" s="634">
        <f>IF(BB62*BB13,(SUMPRODUCT((BB5-$R$5:BB5&lt;ROUNDDOWN(Input!$J$83/30,0))*$R$25:BB27*$R$54:BB56/($R$54:BB56+($R$54:BB56=0)))+SUMPRODUCT((BB5-$R$5:BB5=ROUNDUP(Input!$J$83/30,0)-1)*MOD(Input!$J$83,30)/30*$R$25:BB27*$R$54:BB56/($R$54:BB56+($R$54:BB56=0))))/BB13,)</f>
        <v>0</v>
      </c>
      <c r="BC31" s="634">
        <f>IF(BC62*BC13,(SUMPRODUCT((BC5-$R$5:BC5&lt;ROUNDDOWN(Input!$J$83/30,0))*$R$25:BC27*$R$54:BC56/($R$54:BC56+($R$54:BC56=0)))+SUMPRODUCT((BC5-$R$5:BC5=ROUNDUP(Input!$J$83/30,0)-1)*MOD(Input!$J$83,30)/30*$R$25:BC27*$R$54:BC56/($R$54:BC56+($R$54:BC56=0))))/BC13,)</f>
        <v>0</v>
      </c>
      <c r="BD31" s="634">
        <f>IF(BD62*BD13,(SUMPRODUCT((BD5-$R$5:BD5&lt;ROUNDDOWN(Input!$J$83/30,0))*$R$25:BD27*$R$54:BD56/($R$54:BD56+($R$54:BD56=0)))+SUMPRODUCT((BD5-$R$5:BD5=ROUNDUP(Input!$J$83/30,0)-1)*MOD(Input!$J$83,30)/30*$R$25:BD27*$R$54:BD56/($R$54:BD56+($R$54:BD56=0))))/BD13,)</f>
        <v>0</v>
      </c>
      <c r="BE31" s="634">
        <f>IF(BE62*BE13,(SUMPRODUCT((BE5-$R$5:BE5&lt;ROUNDDOWN(Input!$J$83/30,0))*$R$25:BE27*$R$54:BE56/($R$54:BE56+($R$54:BE56=0)))+SUMPRODUCT((BE5-$R$5:BE5=ROUNDUP(Input!$J$83/30,0)-1)*MOD(Input!$J$83,30)/30*$R$25:BE27*$R$54:BE56/($R$54:BE56+($R$54:BE56=0))))/BE13,)</f>
        <v>0</v>
      </c>
      <c r="BF31" s="634">
        <f>IF(BF62*BF13,(SUMPRODUCT((BF5-$R$5:BF5&lt;ROUNDDOWN(Input!$J$83/30,0))*$R$25:BF27*$R$54:BF56/($R$54:BF56+($R$54:BF56=0)))+SUMPRODUCT((BF5-$R$5:BF5=ROUNDUP(Input!$J$83/30,0)-1)*MOD(Input!$J$83,30)/30*$R$25:BF27*$R$54:BF56/($R$54:BF56+($R$54:BF56=0))))/BF13,)</f>
        <v>0</v>
      </c>
      <c r="BG31" s="634">
        <f>IF(BG62*BG13,(SUMPRODUCT((BG5-$R$5:BG5&lt;ROUNDDOWN(Input!$J$83/30,0))*$R$25:BG27*$R$54:BG56/($R$54:BG56+($R$54:BG56=0)))+SUMPRODUCT((BG5-$R$5:BG5=ROUNDUP(Input!$J$83/30,0)-1)*MOD(Input!$J$83,30)/30*$R$25:BG27*$R$54:BG56/($R$54:BG56+($R$54:BG56=0))))/BG13,)</f>
        <v>0</v>
      </c>
      <c r="BH31" s="634">
        <f>IF(BH62*BH13,(SUMPRODUCT((BH5-$R$5:BH5&lt;ROUNDDOWN(Input!$J$83/30,0))*$R$25:BH27*$R$54:BH56/($R$54:BH56+($R$54:BH56=0)))+SUMPRODUCT((BH5-$R$5:BH5=ROUNDUP(Input!$J$83/30,0)-1)*MOD(Input!$J$83,30)/30*$R$25:BH27*$R$54:BH56/($R$54:BH56+($R$54:BH56=0))))/BH13,)</f>
        <v>0</v>
      </c>
      <c r="BI31" s="634">
        <f>IF(BI62*BI13,(SUMPRODUCT((BI5-$R$5:BI5&lt;ROUNDDOWN(Input!$J$83/30,0))*$R$25:BI27*$R$54:BI56/($R$54:BI56+($R$54:BI56=0)))+SUMPRODUCT((BI5-$R$5:BI5=ROUNDUP(Input!$J$83/30,0)-1)*MOD(Input!$J$83,30)/30*$R$25:BI27*$R$54:BI56/($R$54:BI56+($R$54:BI56=0))))/BI13,)</f>
        <v>0</v>
      </c>
      <c r="BJ31" s="634">
        <f>IF(BJ62*BJ13,(SUMPRODUCT((BJ5-$R$5:BJ5&lt;ROUNDDOWN(Input!$J$83/30,0))*$R$25:BJ27*$R$54:BJ56/($R$54:BJ56+($R$54:BJ56=0)))+SUMPRODUCT((BJ5-$R$5:BJ5=ROUNDUP(Input!$J$83/30,0)-1)*MOD(Input!$J$83,30)/30*$R$25:BJ27*$R$54:BJ56/($R$54:BJ56+($R$54:BJ56=0))))/BJ13,)</f>
        <v>0</v>
      </c>
      <c r="BK31" s="634">
        <f>IF(BK62*BK13,(SUMPRODUCT((BK5-$R$5:BK5&lt;ROUNDDOWN(Input!$J$83/30,0))*$R$25:BK27*$R$54:BK56/($R$54:BK56+($R$54:BK56=0)))+SUMPRODUCT((BK5-$R$5:BK5=ROUNDUP(Input!$J$83/30,0)-1)*MOD(Input!$J$83,30)/30*$R$25:BK27*$R$54:BK56/($R$54:BK56+($R$54:BK56=0))))/BK13,)</f>
        <v>0</v>
      </c>
      <c r="BL31" s="634">
        <f>IF(BL62*BL13,(SUMPRODUCT((BL5-$R$5:BL5&lt;ROUNDDOWN(Input!$J$83/30,0))*$R$25:BL27*$R$54:BL56/($R$54:BL56+($R$54:BL56=0)))+SUMPRODUCT((BL5-$R$5:BL5=ROUNDUP(Input!$J$83/30,0)-1)*MOD(Input!$J$83,30)/30*$R$25:BL27*$R$54:BL56/($R$54:BL56+($R$54:BL56=0))))/BL13,)</f>
        <v>0</v>
      </c>
      <c r="BM31" s="634">
        <f>IF(BM62*BM13,(SUMPRODUCT((BM5-$R$5:BM5&lt;ROUNDDOWN(Input!$J$83/30,0))*$R$25:BM27*$R$54:BM56/($R$54:BM56+($R$54:BM56=0)))+SUMPRODUCT((BM5-$R$5:BM5=ROUNDUP(Input!$J$83/30,0)-1)*MOD(Input!$J$83,30)/30*$R$25:BM27*$R$54:BM56/($R$54:BM56+($R$54:BM56=0))))/BM13,)</f>
        <v>0</v>
      </c>
      <c r="BN31" s="634">
        <f>IF(BN62*BN13,(SUMPRODUCT((BN5-$R$5:BN5&lt;ROUNDDOWN(Input!$J$83/30,0))*$R$25:BN27*$R$54:BN56/($R$54:BN56+($R$54:BN56=0)))+SUMPRODUCT((BN5-$R$5:BN5=ROUNDUP(Input!$J$83/30,0)-1)*MOD(Input!$J$83,30)/30*$R$25:BN27*$R$54:BN56/($R$54:BN56+($R$54:BN56=0))))/BN13,)</f>
        <v>0</v>
      </c>
      <c r="BO31" s="634">
        <f>IF(BO62*BO13,(SUMPRODUCT((BO5-$R$5:BO5&lt;ROUNDDOWN(Input!$J$83/30,0))*$R$25:BO27*$R$54:BO56/($R$54:BO56+($R$54:BO56=0)))+SUMPRODUCT((BO5-$R$5:BO5=ROUNDUP(Input!$J$83/30,0)-1)*MOD(Input!$J$83,30)/30*$R$25:BO27*$R$54:BO56/($R$54:BO56+($R$54:BO56=0))))/BO13,)</f>
        <v>0</v>
      </c>
      <c r="BP31" s="634">
        <f>IF(BP62*BP13,(SUMPRODUCT((BP5-$R$5:BP5&lt;ROUNDDOWN(Input!$J$83/30,0))*$R$25:BP27*$R$54:BP56/($R$54:BP56+($R$54:BP56=0)))+SUMPRODUCT((BP5-$R$5:BP5=ROUNDUP(Input!$J$83/30,0)-1)*MOD(Input!$J$83,30)/30*$R$25:BP27*$R$54:BP56/($R$54:BP56+($R$54:BP56=0))))/BP13,)</f>
        <v>0</v>
      </c>
      <c r="BQ31" s="634">
        <f>IF(BQ62*BQ13,(SUMPRODUCT((BQ5-$R$5:BQ5&lt;ROUNDDOWN(Input!$J$83/30,0))*$R$25:BQ27*$R$54:BQ56/($R$54:BQ56+($R$54:BQ56=0)))+SUMPRODUCT((BQ5-$R$5:BQ5=ROUNDUP(Input!$J$83/30,0)-1)*MOD(Input!$J$83,30)/30*$R$25:BQ27*$R$54:BQ56/($R$54:BQ56+($R$54:BQ56=0))))/BQ13,)</f>
        <v>0</v>
      </c>
      <c r="BR31" s="634">
        <f>IF(BR62*BR13,(SUMPRODUCT((BR5-$R$5:BR5&lt;ROUNDDOWN(Input!$J$83/30,0))*$R$25:BR27*$R$54:BR56/($R$54:BR56+($R$54:BR56=0)))+SUMPRODUCT((BR5-$R$5:BR5=ROUNDUP(Input!$J$83/30,0)-1)*MOD(Input!$J$83,30)/30*$R$25:BR27*$R$54:BR56/($R$54:BR56+($R$54:BR56=0))))/BR13,)</f>
        <v>0</v>
      </c>
      <c r="BS31" s="634">
        <f>IF(BS62*BS13,(SUMPRODUCT((BS5-$R$5:BS5&lt;ROUNDDOWN(Input!$J$83/30,0))*$R$25:BS27*$R$54:BS56/($R$54:BS56+($R$54:BS56=0)))+SUMPRODUCT((BS5-$R$5:BS5=ROUNDUP(Input!$J$83/30,0)-1)*MOD(Input!$J$83,30)/30*$R$25:BS27*$R$54:BS56/($R$54:BS56+($R$54:BS56=0))))/BS13,)</f>
        <v>0</v>
      </c>
      <c r="BT31" s="634">
        <f>IF(BT62*BT13,(SUMPRODUCT((BT5-$R$5:BT5&lt;ROUNDDOWN(Input!$J$83/30,0))*$R$25:BT27*$R$54:BT56/($R$54:BT56+($R$54:BT56=0)))+SUMPRODUCT((BT5-$R$5:BT5=ROUNDUP(Input!$J$83/30,0)-1)*MOD(Input!$J$83,30)/30*$R$25:BT27*$R$54:BT56/($R$54:BT56+($R$54:BT56=0))))/BT13,)</f>
        <v>0</v>
      </c>
      <c r="BU31" s="634">
        <f>IF(BU62*BU13,(SUMPRODUCT((BU5-$R$5:BU5&lt;ROUNDDOWN(Input!$J$83/30,0))*$R$25:BU27*$R$54:BU56/($R$54:BU56+($R$54:BU56=0)))+SUMPRODUCT((BU5-$R$5:BU5=ROUNDUP(Input!$J$83/30,0)-1)*MOD(Input!$J$83,30)/30*$R$25:BU27*$R$54:BU56/($R$54:BU56+($R$54:BU56=0))))/BU13,)</f>
        <v>0</v>
      </c>
      <c r="BV31" s="634">
        <f>IF(BV62*BV13,(SUMPRODUCT((BV5-$R$5:BV5&lt;ROUNDDOWN(Input!$J$83/30,0))*$R$25:BV27*$R$54:BV56/($R$54:BV56+($R$54:BV56=0)))+SUMPRODUCT((BV5-$R$5:BV5=ROUNDUP(Input!$J$83/30,0)-1)*MOD(Input!$J$83,30)/30*$R$25:BV27*$R$54:BV56/($R$54:BV56+($R$54:BV56=0))))/BV13,)</f>
        <v>0</v>
      </c>
      <c r="BW31" s="634">
        <f>IF(BW62*BW13,(SUMPRODUCT((BW5-$R$5:BW5&lt;ROUNDDOWN(Input!$J$83/30,0))*$R$25:BW27*$R$54:BW56/($R$54:BW56+($R$54:BW56=0)))+SUMPRODUCT((BW5-$R$5:BW5=ROUNDUP(Input!$J$83/30,0)-1)*MOD(Input!$J$83,30)/30*$R$25:BW27*$R$54:BW56/($R$54:BW56+($R$54:BW56=0))))/BW13,)</f>
        <v>0</v>
      </c>
      <c r="BX31" s="634">
        <f>IF(BX62*BX13,(SUMPRODUCT((BX5-$R$5:BX5&lt;ROUNDDOWN(Input!$J$83/30,0))*$R$25:BX27*$R$54:BX56/($R$54:BX56+($R$54:BX56=0)))+SUMPRODUCT((BX5-$R$5:BX5=ROUNDUP(Input!$J$83/30,0)-1)*MOD(Input!$J$83,30)/30*$R$25:BX27*$R$54:BX56/($R$54:BX56+($R$54:BX56=0))))/BX13,)</f>
        <v>0</v>
      </c>
      <c r="BY31" s="634">
        <f>IF(BY62*BY13,(SUMPRODUCT((BY5-$R$5:BY5&lt;ROUNDDOWN(Input!$J$83/30,0))*$R$25:BY27*$R$54:BY56/($R$54:BY56+($R$54:BY56=0)))+SUMPRODUCT((BY5-$R$5:BY5=ROUNDUP(Input!$J$83/30,0)-1)*MOD(Input!$J$83,30)/30*$R$25:BY27*$R$54:BY56/($R$54:BY56+($R$54:BY56=0))))/BY13,)</f>
        <v>0</v>
      </c>
      <c r="BZ31" s="634">
        <f>IF(BZ62*BZ13,(SUMPRODUCT((BZ5-$R$5:BZ5&lt;ROUNDDOWN(Input!$J$83/30,0))*$R$25:BZ27*$R$54:BZ56/($R$54:BZ56+($R$54:BZ56=0)))+SUMPRODUCT((BZ5-$R$5:BZ5=ROUNDUP(Input!$J$83/30,0)-1)*MOD(Input!$J$83,30)/30*$R$25:BZ27*$R$54:BZ56/($R$54:BZ56+($R$54:BZ56=0))))/BZ13,)</f>
        <v>0</v>
      </c>
      <c r="CA31" s="634">
        <f>IF(CA62*CA13,(SUMPRODUCT((CA5-$R$5:CA5&lt;ROUNDDOWN(Input!$J$83/30,0))*$R$25:CA27*$R$54:CA56/($R$54:CA56+($R$54:CA56=0)))+SUMPRODUCT((CA5-$R$5:CA5=ROUNDUP(Input!$J$83/30,0)-1)*MOD(Input!$J$83,30)/30*$R$25:CA27*$R$54:CA56/($R$54:CA56+($R$54:CA56=0))))/CA13,)</f>
        <v>0</v>
      </c>
      <c r="CB31" s="634">
        <f>IF(CB62*CB13,(SUMPRODUCT((CB5-$R$5:CB5&lt;ROUNDDOWN(Input!$J$83/30,0))*$R$25:CB27*$R$54:CB56/($R$54:CB56+($R$54:CB56=0)))+SUMPRODUCT((CB5-$R$5:CB5=ROUNDUP(Input!$J$83/30,0)-1)*MOD(Input!$J$83,30)/30*$R$25:CB27*$R$54:CB56/($R$54:CB56+($R$54:CB56=0))))/CB13,)</f>
        <v>0</v>
      </c>
      <c r="CC31" s="634">
        <f>IF(CC62*CC13,(SUMPRODUCT((CC5-$R$5:CC5&lt;ROUNDDOWN(Input!$J$83/30,0))*$R$25:CC27*$R$54:CC56/($R$54:CC56+($R$54:CC56=0)))+SUMPRODUCT((CC5-$R$5:CC5=ROUNDUP(Input!$J$83/30,0)-1)*MOD(Input!$J$83,30)/30*$R$25:CC27*$R$54:CC56/($R$54:CC56+($R$54:CC56=0))))/CC13,)</f>
        <v>0</v>
      </c>
      <c r="CD31" s="634">
        <f>IF(CD62*CD13,(SUMPRODUCT((CD5-$R$5:CD5&lt;ROUNDDOWN(Input!$J$83/30,0))*$R$25:CD27*$R$54:CD56/($R$54:CD56+($R$54:CD56=0)))+SUMPRODUCT((CD5-$R$5:CD5=ROUNDUP(Input!$J$83/30,0)-1)*MOD(Input!$J$83,30)/30*$R$25:CD27*$R$54:CD56/($R$54:CD56+($R$54:CD56=0))))/CD13,)</f>
        <v>0</v>
      </c>
      <c r="CE31" s="634">
        <f>IF(CE62*CE13,(SUMPRODUCT((CE5-$R$5:CE5&lt;ROUNDDOWN(Input!$J$83/30,0))*$R$25:CE27*$R$54:CE56/($R$54:CE56+($R$54:CE56=0)))+SUMPRODUCT((CE5-$R$5:CE5=ROUNDUP(Input!$J$83/30,0)-1)*MOD(Input!$J$83,30)/30*$R$25:CE27*$R$54:CE56/($R$54:CE56+($R$54:CE56=0))))/CE13,)</f>
        <v>0</v>
      </c>
      <c r="CF31" s="634">
        <f>IF(CF62*CF13,(SUMPRODUCT((CF5-$R$5:CF5&lt;ROUNDDOWN(Input!$J$83/30,0))*$R$25:CF27*$R$54:CF56/($R$54:CF56+($R$54:CF56=0)))+SUMPRODUCT((CF5-$R$5:CF5=ROUNDUP(Input!$J$83/30,0)-1)*MOD(Input!$J$83,30)/30*$R$25:CF27*$R$54:CF56/($R$54:CF56+($R$54:CF56=0))))/CF13,)</f>
        <v>0</v>
      </c>
      <c r="CG31" s="634">
        <f>IF(CG62*CG13,(SUMPRODUCT((CG5-$R$5:CG5&lt;ROUNDDOWN(Input!$J$83/30,0))*$R$25:CG27*$R$54:CG56/($R$54:CG56+($R$54:CG56=0)))+SUMPRODUCT((CG5-$R$5:CG5=ROUNDUP(Input!$J$83/30,0)-1)*MOD(Input!$J$83,30)/30*$R$25:CG27*$R$54:CG56/($R$54:CG56+($R$54:CG56=0))))/CG13,)</f>
        <v>0</v>
      </c>
      <c r="CH31" s="634">
        <f>IF(CH62*CH13,(SUMPRODUCT((CH5-$R$5:CH5&lt;ROUNDDOWN(Input!$J$83/30,0))*$R$25:CH27*$R$54:CH56/($R$54:CH56+($R$54:CH56=0)))+SUMPRODUCT((CH5-$R$5:CH5=ROUNDUP(Input!$J$83/30,0)-1)*MOD(Input!$J$83,30)/30*$R$25:CH27*$R$54:CH56/($R$54:CH56+($R$54:CH56=0))))/CH13,)</f>
        <v>0</v>
      </c>
      <c r="CI31" s="634">
        <f>IF(CI62*CI13,(SUMPRODUCT((CI5-$R$5:CI5&lt;ROUNDDOWN(Input!$J$83/30,0))*$R$25:CI27*$R$54:CI56/($R$54:CI56+($R$54:CI56=0)))+SUMPRODUCT((CI5-$R$5:CI5=ROUNDUP(Input!$J$83/30,0)-1)*MOD(Input!$J$83,30)/30*$R$25:CI27*$R$54:CI56/($R$54:CI56+($R$54:CI56=0))))/CI13,)</f>
        <v>0</v>
      </c>
      <c r="CJ31" s="634">
        <f>IF(CJ62*CJ13,(SUMPRODUCT((CJ5-$R$5:CJ5&lt;ROUNDDOWN(Input!$J$83/30,0))*$R$25:CJ27*$R$54:CJ56/($R$54:CJ56+($R$54:CJ56=0)))+SUMPRODUCT((CJ5-$R$5:CJ5=ROUNDUP(Input!$J$83/30,0)-1)*MOD(Input!$J$83,30)/30*$R$25:CJ27*$R$54:CJ56/($R$54:CJ56+($R$54:CJ56=0))))/CJ13,)</f>
        <v>0</v>
      </c>
      <c r="CK31" s="634">
        <f>IF(CK62*CK13,(SUMPRODUCT((CK5-$R$5:CK5&lt;ROUNDDOWN(Input!$J$83/30,0))*$R$25:CK27*$R$54:CK56/($R$54:CK56+($R$54:CK56=0)))+SUMPRODUCT((CK5-$R$5:CK5=ROUNDUP(Input!$J$83/30,0)-1)*MOD(Input!$J$83,30)/30*$R$25:CK27*$R$54:CK56/($R$54:CK56+($R$54:CK56=0))))/CK13,)</f>
        <v>0</v>
      </c>
      <c r="CL31" s="634">
        <f>IF(CL62*CL13,(SUMPRODUCT((CL5-$R$5:CL5&lt;ROUNDDOWN(Input!$J$83/30,0))*$R$25:CL27*$R$54:CL56/($R$54:CL56+($R$54:CL56=0)))+SUMPRODUCT((CL5-$R$5:CL5=ROUNDUP(Input!$J$83/30,0)-1)*MOD(Input!$J$83,30)/30*$R$25:CL27*$R$54:CL56/($R$54:CL56+($R$54:CL56=0))))/CL13,)</f>
        <v>0</v>
      </c>
      <c r="CM31" s="634">
        <f>IF(CM62*CM13,(SUMPRODUCT((CM5-$R$5:CM5&lt;ROUNDDOWN(Input!$J$83/30,0))*$R$25:CM27*$R$54:CM56/($R$54:CM56+($R$54:CM56=0)))+SUMPRODUCT((CM5-$R$5:CM5=ROUNDUP(Input!$J$83/30,0)-1)*MOD(Input!$J$83,30)/30*$R$25:CM27*$R$54:CM56/($R$54:CM56+($R$54:CM56=0))))/CM13,)</f>
        <v>0</v>
      </c>
      <c r="CN31" s="634">
        <f>IF(CN62*CN13,(SUMPRODUCT((CN5-$R$5:CN5&lt;ROUNDDOWN(Input!$J$83/30,0))*$R$25:CN27*$R$54:CN56/($R$54:CN56+($R$54:CN56=0)))+SUMPRODUCT((CN5-$R$5:CN5=ROUNDUP(Input!$J$83/30,0)-1)*MOD(Input!$J$83,30)/30*$R$25:CN27*$R$54:CN56/($R$54:CN56+($R$54:CN56=0))))/CN13,)</f>
        <v>0</v>
      </c>
      <c r="CO31" s="634">
        <f>IF(CO62*CO13,(SUMPRODUCT((CO5-$R$5:CO5&lt;ROUNDDOWN(Input!$J$83/30,0))*$R$25:CO27*$R$54:CO56/($R$54:CO56+($R$54:CO56=0)))+SUMPRODUCT((CO5-$R$5:CO5=ROUNDUP(Input!$J$83/30,0)-1)*MOD(Input!$J$83,30)/30*$R$25:CO27*$R$54:CO56/($R$54:CO56+($R$54:CO56=0))))/CO13,)</f>
        <v>0</v>
      </c>
      <c r="CP31" s="634">
        <f>IF(CP62*CP13,(SUMPRODUCT((CP5-$R$5:CP5&lt;ROUNDDOWN(Input!$J$83/30,0))*$R$25:CP27*$R$54:CP56/($R$54:CP56+($R$54:CP56=0)))+SUMPRODUCT((CP5-$R$5:CP5=ROUNDUP(Input!$J$83/30,0)-1)*MOD(Input!$J$83,30)/30*$R$25:CP27*$R$54:CP56/($R$54:CP56+($R$54:CP56=0))))/CP13,)</f>
        <v>0</v>
      </c>
      <c r="CQ31" s="634">
        <f>IF(CQ62*CQ13,(SUMPRODUCT((CQ5-$R$5:CQ5&lt;ROUNDDOWN(Input!$J$83/30,0))*$R$25:CQ27*$R$54:CQ56/($R$54:CQ56+($R$54:CQ56=0)))+SUMPRODUCT((CQ5-$R$5:CQ5=ROUNDUP(Input!$J$83/30,0)-1)*MOD(Input!$J$83,30)/30*$R$25:CQ27*$R$54:CQ56/($R$54:CQ56+($R$54:CQ56=0))))/CQ13,)</f>
        <v>0</v>
      </c>
      <c r="CR31" s="634">
        <f>IF(CR62*CR13,(SUMPRODUCT((CR5-$R$5:CR5&lt;ROUNDDOWN(Input!$J$83/30,0))*$R$25:CR27*$R$54:CR56/($R$54:CR56+($R$54:CR56=0)))+SUMPRODUCT((CR5-$R$5:CR5=ROUNDUP(Input!$J$83/30,0)-1)*MOD(Input!$J$83,30)/30*$R$25:CR27*$R$54:CR56/($R$54:CR56+($R$54:CR56=0))))/CR13,)</f>
        <v>0</v>
      </c>
      <c r="CS31" s="634">
        <f>IF(CS62*CS13,(SUMPRODUCT((CS5-$R$5:CS5&lt;ROUNDDOWN(Input!$J$83/30,0))*$R$25:CS27*$R$54:CS56/($R$54:CS56+($R$54:CS56=0)))+SUMPRODUCT((CS5-$R$5:CS5=ROUNDUP(Input!$J$83/30,0)-1)*MOD(Input!$J$83,30)/30*$R$25:CS27*$R$54:CS56/($R$54:CS56+($R$54:CS56=0))))/CS13,)</f>
        <v>0</v>
      </c>
      <c r="CT31" s="634">
        <f>IF(CT62*CT13,(SUMPRODUCT((CT5-$R$5:CT5&lt;ROUNDDOWN(Input!$J$83/30,0))*$R$25:CT27*$R$54:CT56/($R$54:CT56+($R$54:CT56=0)))+SUMPRODUCT((CT5-$R$5:CT5=ROUNDUP(Input!$J$83/30,0)-1)*MOD(Input!$J$83,30)/30*$R$25:CT27*$R$54:CT56/($R$54:CT56+($R$54:CT56=0))))/CT13,)</f>
        <v>0</v>
      </c>
      <c r="CU31" s="634">
        <f>IF(CU62*CU13,(SUMPRODUCT((CU5-$R$5:CU5&lt;ROUNDDOWN(Input!$J$83/30,0))*$R$25:CU27*$R$54:CU56/($R$54:CU56+($R$54:CU56=0)))+SUMPRODUCT((CU5-$R$5:CU5=ROUNDUP(Input!$J$83/30,0)-1)*MOD(Input!$J$83,30)/30*$R$25:CU27*$R$54:CU56/($R$54:CU56+($R$54:CU56=0))))/CU13,)</f>
        <v>0</v>
      </c>
      <c r="CV31" s="634">
        <f>IF(CV62*CV13,(SUMPRODUCT((CV5-$R$5:CV5&lt;ROUNDDOWN(Input!$J$83/30,0))*$R$25:CV27*$R$54:CV56/($R$54:CV56+($R$54:CV56=0)))+SUMPRODUCT((CV5-$R$5:CV5=ROUNDUP(Input!$J$83/30,0)-1)*MOD(Input!$J$83,30)/30*$R$25:CV27*$R$54:CV56/($R$54:CV56+($R$54:CV56=0))))/CV13,)</f>
        <v>0</v>
      </c>
      <c r="CW31" s="634">
        <f>IF(CW62*CW13,(SUMPRODUCT((CW5-$R$5:CW5&lt;ROUNDDOWN(Input!$J$83/30,0))*$R$25:CW27*$R$54:CW56/($R$54:CW56+($R$54:CW56=0)))+SUMPRODUCT((CW5-$R$5:CW5=ROUNDUP(Input!$J$83/30,0)-1)*MOD(Input!$J$83,30)/30*$R$25:CW27*$R$54:CW56/($R$54:CW56+($R$54:CW56=0))))/CW13,)</f>
        <v>0</v>
      </c>
      <c r="CX31" s="634">
        <f>IF(CX62*CX13,(SUMPRODUCT((CX5-$R$5:CX5&lt;ROUNDDOWN(Input!$J$83/30,0))*$R$25:CX27*$R$54:CX56/($R$54:CX56+($R$54:CX56=0)))+SUMPRODUCT((CX5-$R$5:CX5=ROUNDUP(Input!$J$83/30,0)-1)*MOD(Input!$J$83,30)/30*$R$25:CX27*$R$54:CX56/($R$54:CX56+($R$54:CX56=0))))/CX13,)</f>
        <v>0</v>
      </c>
      <c r="CY31" s="634">
        <f>IF(CY62*CY13,(SUMPRODUCT((CY5-$R$5:CY5&lt;ROUNDDOWN(Input!$J$83/30,0))*$R$25:CY27*$R$54:CY56/($R$54:CY56+($R$54:CY56=0)))+SUMPRODUCT((CY5-$R$5:CY5=ROUNDUP(Input!$J$83/30,0)-1)*MOD(Input!$J$83,30)/30*$R$25:CY27*$R$54:CY56/($R$54:CY56+($R$54:CY56=0))))/CY13,)</f>
        <v>0</v>
      </c>
      <c r="CZ31" s="634">
        <f>IF(CZ62*CZ13,(SUMPRODUCT((CZ5-$R$5:CZ5&lt;ROUNDDOWN(Input!$J$83/30,0))*$R$25:CZ27*$R$54:CZ56/($R$54:CZ56+($R$54:CZ56=0)))+SUMPRODUCT((CZ5-$R$5:CZ5=ROUNDUP(Input!$J$83/30,0)-1)*MOD(Input!$J$83,30)/30*$R$25:CZ27*$R$54:CZ56/($R$54:CZ56+($R$54:CZ56=0))))/CZ13,)</f>
        <v>0</v>
      </c>
      <c r="DA31" s="634">
        <f>IF(DA62*DA13,(SUMPRODUCT((DA5-$R$5:DA5&lt;ROUNDDOWN(Input!$J$83/30,0))*$R$25:DA27*$R$54:DA56/($R$54:DA56+($R$54:DA56=0)))+SUMPRODUCT((DA5-$R$5:DA5=ROUNDUP(Input!$J$83/30,0)-1)*MOD(Input!$J$83,30)/30*$R$25:DA27*$R$54:DA56/($R$54:DA56+($R$54:DA56=0))))/DA13,)</f>
        <v>0</v>
      </c>
      <c r="DB31" s="634">
        <f>IF(DB62*DB13,(SUMPRODUCT((DB5-$R$5:DB5&lt;ROUNDDOWN(Input!$J$83/30,0))*$R$25:DB27*$R$54:DB56/($R$54:DB56+($R$54:DB56=0)))+SUMPRODUCT((DB5-$R$5:DB5=ROUNDUP(Input!$J$83/30,0)-1)*MOD(Input!$J$83,30)/30*$R$25:DB27*$R$54:DB56/($R$54:DB56+($R$54:DB56=0))))/DB13,)</f>
        <v>0</v>
      </c>
      <c r="DC31" s="634">
        <f>IF(DC62*DC13,(SUMPRODUCT((DC5-$R$5:DC5&lt;ROUNDDOWN(Input!$J$83/30,0))*$R$25:DC27*$R$54:DC56/($R$54:DC56+($R$54:DC56=0)))+SUMPRODUCT((DC5-$R$5:DC5=ROUNDUP(Input!$J$83/30,0)-1)*MOD(Input!$J$83,30)/30*$R$25:DC27*$R$54:DC56/($R$54:DC56+($R$54:DC56=0))))/DC13,)</f>
        <v>0</v>
      </c>
      <c r="DD31" s="634">
        <f>IF(DD62*DD13,(SUMPRODUCT((DD5-$R$5:DD5&lt;ROUNDDOWN(Input!$J$83/30,0))*$R$25:DD27*$R$54:DD56/($R$54:DD56+($R$54:DD56=0)))+SUMPRODUCT((DD5-$R$5:DD5=ROUNDUP(Input!$J$83/30,0)-1)*MOD(Input!$J$83,30)/30*$R$25:DD27*$R$54:DD56/($R$54:DD56+($R$54:DD56=0))))/DD13,)</f>
        <v>0</v>
      </c>
      <c r="DE31" s="634">
        <f>IF(DE62*DE13,(SUMPRODUCT((DE5-$R$5:DE5&lt;ROUNDDOWN(Input!$J$83/30,0))*$R$25:DE27*$R$54:DE56/($R$54:DE56+($R$54:DE56=0)))+SUMPRODUCT((DE5-$R$5:DE5=ROUNDUP(Input!$J$83/30,0)-1)*MOD(Input!$J$83,30)/30*$R$25:DE27*$R$54:DE56/($R$54:DE56+($R$54:DE56=0))))/DE13,)</f>
        <v>0</v>
      </c>
      <c r="DF31" s="634">
        <f>IF(DF62*DF13,(SUMPRODUCT((DF5-$R$5:DF5&lt;ROUNDDOWN(Input!$J$83/30,0))*$R$25:DF27*$R$54:DF56/($R$54:DF56+($R$54:DF56=0)))+SUMPRODUCT((DF5-$R$5:DF5=ROUNDUP(Input!$J$83/30,0)-1)*MOD(Input!$J$83,30)/30*$R$25:DF27*$R$54:DF56/($R$54:DF56+($R$54:DF56=0))))/DF13,)</f>
        <v>0</v>
      </c>
      <c r="DG31" s="634">
        <f>IF(DG62*DG13,(SUMPRODUCT((DG5-$R$5:DG5&lt;ROUNDDOWN(Input!$J$83/30,0))*$R$25:DG27*$R$54:DG56/($R$54:DG56+($R$54:DG56=0)))+SUMPRODUCT((DG5-$R$5:DG5=ROUNDUP(Input!$J$83/30,0)-1)*MOD(Input!$J$83,30)/30*$R$25:DG27*$R$54:DG56/($R$54:DG56+($R$54:DG56=0))))/DG13,)</f>
        <v>0</v>
      </c>
      <c r="DH31" s="634">
        <f>IF(DH62*DH13,(SUMPRODUCT((DH5-$R$5:DH5&lt;ROUNDDOWN(Input!$J$83/30,0))*$R$25:DH27*$R$54:DH56/($R$54:DH56+($R$54:DH56=0)))+SUMPRODUCT((DH5-$R$5:DH5=ROUNDUP(Input!$J$83/30,0)-1)*MOD(Input!$J$83,30)/30*$R$25:DH27*$R$54:DH56/($R$54:DH56+($R$54:DH56=0))))/DH13,)</f>
        <v>0</v>
      </c>
      <c r="DI31" s="634">
        <f>IF(DI62*DI13,(SUMPRODUCT((DI5-$R$5:DI5&lt;ROUNDDOWN(Input!$J$83/30,0))*$R$25:DI27*$R$54:DI56/($R$54:DI56+($R$54:DI56=0)))+SUMPRODUCT((DI5-$R$5:DI5=ROUNDUP(Input!$J$83/30,0)-1)*MOD(Input!$J$83,30)/30*$R$25:DI27*$R$54:DI56/($R$54:DI56+($R$54:DI56=0))))/DI13,)</f>
        <v>0</v>
      </c>
      <c r="DJ31" s="634">
        <f>IF(DJ62*DJ13,(SUMPRODUCT((DJ5-$R$5:DJ5&lt;ROUNDDOWN(Input!$J$83/30,0))*$R$25:DJ27*$R$54:DJ56/($R$54:DJ56+($R$54:DJ56=0)))+SUMPRODUCT((DJ5-$R$5:DJ5=ROUNDUP(Input!$J$83/30,0)-1)*MOD(Input!$J$83,30)/30*$R$25:DJ27*$R$54:DJ56/($R$54:DJ56+($R$54:DJ56=0))))/DJ13,)</f>
        <v>0</v>
      </c>
      <c r="DK31" s="634">
        <f>IF(DK62*DK13,(SUMPRODUCT((DK5-$R$5:DK5&lt;ROUNDDOWN(Input!$J$83/30,0))*$R$25:DK27*$R$54:DK56/($R$54:DK56+($R$54:DK56=0)))+SUMPRODUCT((DK5-$R$5:DK5=ROUNDUP(Input!$J$83/30,0)-1)*MOD(Input!$J$83,30)/30*$R$25:DK27*$R$54:DK56/($R$54:DK56+($R$54:DK56=0))))/DK13,)</f>
        <v>0</v>
      </c>
      <c r="DL31" s="634">
        <f>IF(DL62*DL13,(SUMPRODUCT((DL5-$R$5:DL5&lt;ROUNDDOWN(Input!$J$83/30,0))*$R$25:DL27*$R$54:DL56/($R$54:DL56+($R$54:DL56=0)))+SUMPRODUCT((DL5-$R$5:DL5=ROUNDUP(Input!$J$83/30,0)-1)*MOD(Input!$J$83,30)/30*$R$25:DL27*$R$54:DL56/($R$54:DL56+($R$54:DL56=0))))/DL13,)</f>
        <v>0</v>
      </c>
      <c r="DM31" s="634">
        <f>IF(DM62*DM13,(SUMPRODUCT((DM5-$R$5:DM5&lt;ROUNDDOWN(Input!$J$83/30,0))*$R$25:DM27*$R$54:DM56/($R$54:DM56+($R$54:DM56=0)))+SUMPRODUCT((DM5-$R$5:DM5=ROUNDUP(Input!$J$83/30,0)-1)*MOD(Input!$J$83,30)/30*$R$25:DM27*$R$54:DM56/($R$54:DM56+($R$54:DM56=0))))/DM13,)</f>
        <v>0</v>
      </c>
      <c r="DN31" s="634">
        <f>IF(DN62*DN13,(SUMPRODUCT((DN5-$R$5:DN5&lt;ROUNDDOWN(Input!$J$83/30,0))*$R$25:DN27*$R$54:DN56/($R$54:DN56+($R$54:DN56=0)))+SUMPRODUCT((DN5-$R$5:DN5=ROUNDUP(Input!$J$83/30,0)-1)*MOD(Input!$J$83,30)/30*$R$25:DN27*$R$54:DN56/($R$54:DN56+($R$54:DN56=0))))/DN13,)</f>
        <v>0</v>
      </c>
      <c r="DO31" s="634">
        <f>IF(DO62*DO13,(SUMPRODUCT((DO5-$R$5:DO5&lt;ROUNDDOWN(Input!$J$83/30,0))*$R$25:DO27*$R$54:DO56/($R$54:DO56+($R$54:DO56=0)))+SUMPRODUCT((DO5-$R$5:DO5=ROUNDUP(Input!$J$83/30,0)-1)*MOD(Input!$J$83,30)/30*$R$25:DO27*$R$54:DO56/($R$54:DO56+($R$54:DO56=0))))/DO13,)</f>
        <v>0</v>
      </c>
      <c r="DP31" s="634">
        <f>IF(DP62*DP13,(SUMPRODUCT((DP5-$R$5:DP5&lt;ROUNDDOWN(Input!$J$83/30,0))*$R$25:DP27*$R$54:DP56/($R$54:DP56+($R$54:DP56=0)))+SUMPRODUCT((DP5-$R$5:DP5=ROUNDUP(Input!$J$83/30,0)-1)*MOD(Input!$J$83,30)/30*$R$25:DP27*$R$54:DP56/($R$54:DP56+($R$54:DP56=0))))/DP13,)</f>
        <v>0</v>
      </c>
      <c r="DQ31" s="634">
        <f>IF(DQ62*DQ13,(SUMPRODUCT((DQ5-$R$5:DQ5&lt;ROUNDDOWN(Input!$J$83/30,0))*$R$25:DQ27*$R$54:DQ56/($R$54:DQ56+($R$54:DQ56=0)))+SUMPRODUCT((DQ5-$R$5:DQ5=ROUNDUP(Input!$J$83/30,0)-1)*MOD(Input!$J$83,30)/30*$R$25:DQ27*$R$54:DQ56/($R$54:DQ56+($R$54:DQ56=0))))/DQ13,)</f>
        <v>0</v>
      </c>
      <c r="DR31" s="634">
        <f>IF(DR62*DR13,(SUMPRODUCT((DR5-$R$5:DR5&lt;ROUNDDOWN(Input!$J$83/30,0))*$R$25:DR27*$R$54:DR56/($R$54:DR56+($R$54:DR56=0)))+SUMPRODUCT((DR5-$R$5:DR5=ROUNDUP(Input!$J$83/30,0)-1)*MOD(Input!$J$83,30)/30*$R$25:DR27*$R$54:DR56/($R$54:DR56+($R$54:DR56=0))))/DR13,)</f>
        <v>0</v>
      </c>
      <c r="DS31" s="634">
        <f>IF(DS62*DS13,(SUMPRODUCT((DS5-$R$5:DS5&lt;ROUNDDOWN(Input!$J$83/30,0))*$R$25:DS27*$R$54:DS56/($R$54:DS56+($R$54:DS56=0)))+SUMPRODUCT((DS5-$R$5:DS5=ROUNDUP(Input!$J$83/30,0)-1)*MOD(Input!$J$83,30)/30*$R$25:DS27*$R$54:DS56/($R$54:DS56+($R$54:DS56=0))))/DS13,)</f>
        <v>0</v>
      </c>
      <c r="DT31" s="634">
        <f>IF(DT62*DT13,(SUMPRODUCT((DT5-$R$5:DT5&lt;ROUNDDOWN(Input!$J$83/30,0))*$R$25:DT27*$R$54:DT56/($R$54:DT56+($R$54:DT56=0)))+SUMPRODUCT((DT5-$R$5:DT5=ROUNDUP(Input!$J$83/30,0)-1)*MOD(Input!$J$83,30)/30*$R$25:DT27*$R$54:DT56/($R$54:DT56+($R$54:DT56=0))))/DT13,)</f>
        <v>0</v>
      </c>
      <c r="DU31" s="634">
        <f>IF(DU62*DU13,(SUMPRODUCT((DU5-$R$5:DU5&lt;ROUNDDOWN(Input!$J$83/30,0))*$R$25:DU27*$R$54:DU56/($R$54:DU56+($R$54:DU56=0)))+SUMPRODUCT((DU5-$R$5:DU5=ROUNDUP(Input!$J$83/30,0)-1)*MOD(Input!$J$83,30)/30*$R$25:DU27*$R$54:DU56/($R$54:DU56+($R$54:DU56=0))))/DU13,)</f>
        <v>0</v>
      </c>
      <c r="DV31" s="634">
        <f>IF(DV62*DV13,(SUMPRODUCT((DV5-$R$5:DV5&lt;ROUNDDOWN(Input!$J$83/30,0))*$R$25:DV27*$R$54:DV56/($R$54:DV56+($R$54:DV56=0)))+SUMPRODUCT((DV5-$R$5:DV5=ROUNDUP(Input!$J$83/30,0)-1)*MOD(Input!$J$83,30)/30*$R$25:DV27*$R$54:DV56/($R$54:DV56+($R$54:DV56=0))))/DV13,)</f>
        <v>0</v>
      </c>
      <c r="DW31" s="634">
        <f>IF(DW62*DW13,(SUMPRODUCT((DW5-$R$5:DW5&lt;ROUNDDOWN(Input!$J$83/30,0))*$R$25:DW27*$R$54:DW56/($R$54:DW56+($R$54:DW56=0)))+SUMPRODUCT((DW5-$R$5:DW5=ROUNDUP(Input!$J$83/30,0)-1)*MOD(Input!$J$83,30)/30*$R$25:DW27*$R$54:DW56/($R$54:DW56+($R$54:DW56=0))))/DW13,)</f>
        <v>0</v>
      </c>
      <c r="DX31" s="634">
        <f>IF(DX62*DX13,(SUMPRODUCT((DX5-$R$5:DX5&lt;ROUNDDOWN(Input!$J$83/30,0))*$R$25:DX27*$R$54:DX56/($R$54:DX56+($R$54:DX56=0)))+SUMPRODUCT((DX5-$R$5:DX5=ROUNDUP(Input!$J$83/30,0)-1)*MOD(Input!$J$83,30)/30*$R$25:DX27*$R$54:DX56/($R$54:DX56+($R$54:DX56=0))))/DX13,)</f>
        <v>0</v>
      </c>
      <c r="DY31" s="634">
        <f>IF(DY62*DY13,(SUMPRODUCT((DY5-$R$5:DY5&lt;ROUNDDOWN(Input!$J$83/30,0))*$R$25:DY27*$R$54:DY56/($R$54:DY56+($R$54:DY56=0)))+SUMPRODUCT((DY5-$R$5:DY5=ROUNDUP(Input!$J$83/30,0)-1)*MOD(Input!$J$83,30)/30*$R$25:DY27*$R$54:DY56/($R$54:DY56+($R$54:DY56=0))))/DY13,)</f>
        <v>0</v>
      </c>
      <c r="DZ31" s="634">
        <f>IF(DZ62*DZ13,(SUMPRODUCT((DZ5-$R$5:DZ5&lt;ROUNDDOWN(Input!$J$83/30,0))*$R$25:DZ27*$R$54:DZ56/($R$54:DZ56+($R$54:DZ56=0)))+SUMPRODUCT((DZ5-$R$5:DZ5=ROUNDUP(Input!$J$83/30,0)-1)*MOD(Input!$J$83,30)/30*$R$25:DZ27*$R$54:DZ56/($R$54:DZ56+($R$54:DZ56=0))))/DZ13,)</f>
        <v>0</v>
      </c>
      <c r="EA31" s="634">
        <f>IF(EA62*EA13,(SUMPRODUCT((EA5-$R$5:EA5&lt;ROUNDDOWN(Input!$J$83/30,0))*$R$25:EA27*$R$54:EA56/($R$54:EA56+($R$54:EA56=0)))+SUMPRODUCT((EA5-$R$5:EA5=ROUNDUP(Input!$J$83/30,0)-1)*MOD(Input!$J$83,30)/30*$R$25:EA27*$R$54:EA56/($R$54:EA56+($R$54:EA56=0))))/EA13,)</f>
        <v>0</v>
      </c>
      <c r="EB31" s="634">
        <f>IF(EB62*EB13,(SUMPRODUCT((EB5-$R$5:EB5&lt;ROUNDDOWN(Input!$J$83/30,0))*$R$25:EB27*$R$54:EB56/($R$54:EB56+($R$54:EB56=0)))+SUMPRODUCT((EB5-$R$5:EB5=ROUNDUP(Input!$J$83/30,0)-1)*MOD(Input!$J$83,30)/30*$R$25:EB27*$R$54:EB56/($R$54:EB56+($R$54:EB56=0))))/EB13,)</f>
        <v>0</v>
      </c>
      <c r="EC31" s="634">
        <f>IF(EC62*EC13,(SUMPRODUCT((EC5-$R$5:EC5&lt;ROUNDDOWN(Input!$J$83/30,0))*$R$25:EC27*$R$54:EC56/($R$54:EC56+($R$54:EC56=0)))+SUMPRODUCT((EC5-$R$5:EC5=ROUNDUP(Input!$J$83/30,0)-1)*MOD(Input!$J$83,30)/30*$R$25:EC27*$R$54:EC56/($R$54:EC56+($R$54:EC56=0))))/EC13,)</f>
        <v>0</v>
      </c>
      <c r="ED31" s="634">
        <f>IF(ED62*ED13,(SUMPRODUCT((ED5-$R$5:ED5&lt;ROUNDDOWN(Input!$J$83/30,0))*$R$25:ED27*$R$54:ED56/($R$54:ED56+($R$54:ED56=0)))+SUMPRODUCT((ED5-$R$5:ED5=ROUNDUP(Input!$J$83/30,0)-1)*MOD(Input!$J$83,30)/30*$R$25:ED27*$R$54:ED56/($R$54:ED56+($R$54:ED56=0))))/ED13,)</f>
        <v>0</v>
      </c>
      <c r="EE31" s="634">
        <f>IF(EE62*EE13,(SUMPRODUCT((EE5-$R$5:EE5&lt;ROUNDDOWN(Input!$J$83/30,0))*$R$25:EE27*$R$54:EE56/($R$54:EE56+($R$54:EE56=0)))+SUMPRODUCT((EE5-$R$5:EE5=ROUNDUP(Input!$J$83/30,0)-1)*MOD(Input!$J$83,30)/30*$R$25:EE27*$R$54:EE56/($R$54:EE56+($R$54:EE56=0))))/EE13,)</f>
        <v>0</v>
      </c>
      <c r="EF31" s="634">
        <f>IF(EF62*EF13,(SUMPRODUCT((EF5-$R$5:EF5&lt;ROUNDDOWN(Input!$J$83/30,0))*$R$25:EF27*$R$54:EF56/($R$54:EF56+($R$54:EF56=0)))+SUMPRODUCT((EF5-$R$5:EF5=ROUNDUP(Input!$J$83/30,0)-1)*MOD(Input!$J$83,30)/30*$R$25:EF27*$R$54:EF56/($R$54:EF56+($R$54:EF56=0))))/EF13,)</f>
        <v>0</v>
      </c>
      <c r="EG31" s="634">
        <f>IF(EG62*EG13,(SUMPRODUCT((EG5-$R$5:EG5&lt;ROUNDDOWN(Input!$J$83/30,0))*$R$25:EG27*$R$54:EG56/($R$54:EG56+($R$54:EG56=0)))+SUMPRODUCT((EG5-$R$5:EG5=ROUNDUP(Input!$J$83/30,0)-1)*MOD(Input!$J$83,30)/30*$R$25:EG27*$R$54:EG56/($R$54:EG56+($R$54:EG56=0))))/EG13,)</f>
        <v>0</v>
      </c>
      <c r="EH31" s="634">
        <f>IF(EH62*EH13,(SUMPRODUCT((EH5-$R$5:EH5&lt;ROUNDDOWN(Input!$J$83/30,0))*$R$25:EH27*$R$54:EH56/($R$54:EH56+($R$54:EH56=0)))+SUMPRODUCT((EH5-$R$5:EH5=ROUNDUP(Input!$J$83/30,0)-1)*MOD(Input!$J$83,30)/30*$R$25:EH27*$R$54:EH56/($R$54:EH56+($R$54:EH56=0))))/EH13,)</f>
        <v>0</v>
      </c>
      <c r="EI31" s="634">
        <f>IF(EI62*EI13,(SUMPRODUCT((EI5-$R$5:EI5&lt;ROUNDDOWN(Input!$J$83/30,0))*$R$25:EI27*$R$54:EI56/($R$54:EI56+($R$54:EI56=0)))+SUMPRODUCT((EI5-$R$5:EI5=ROUNDUP(Input!$J$83/30,0)-1)*MOD(Input!$J$83,30)/30*$R$25:EI27*$R$54:EI56/($R$54:EI56+($R$54:EI56=0))))/EI13,)</f>
        <v>0</v>
      </c>
      <c r="EJ31" s="634">
        <f>IF(EJ62*EJ13,(SUMPRODUCT((EJ5-$R$5:EJ5&lt;ROUNDDOWN(Input!$J$83/30,0))*$R$25:EJ27*$R$54:EJ56/($R$54:EJ56+($R$54:EJ56=0)))+SUMPRODUCT((EJ5-$R$5:EJ5=ROUNDUP(Input!$J$83/30,0)-1)*MOD(Input!$J$83,30)/30*$R$25:EJ27*$R$54:EJ56/($R$54:EJ56+($R$54:EJ56=0))))/EJ13,)</f>
        <v>0</v>
      </c>
      <c r="EK31" s="634">
        <f>IF(EK62*EK13,(SUMPRODUCT((EK5-$R$5:EK5&lt;ROUNDDOWN(Input!$J$83/30,0))*$R$25:EK27*$R$54:EK56/($R$54:EK56+($R$54:EK56=0)))+SUMPRODUCT((EK5-$R$5:EK5=ROUNDUP(Input!$J$83/30,0)-1)*MOD(Input!$J$83,30)/30*$R$25:EK27*$R$54:EK56/($R$54:EK56+($R$54:EK56=0))))/EK13,)</f>
        <v>0</v>
      </c>
      <c r="EL31" s="634">
        <f>IF(EL62*EL13,(SUMPRODUCT((EL5-$R$5:EL5&lt;ROUNDDOWN(Input!$J$83/30,0))*$R$25:EL27*$R$54:EL56/($R$54:EL56+($R$54:EL56=0)))+SUMPRODUCT((EL5-$R$5:EL5=ROUNDUP(Input!$J$83/30,0)-1)*MOD(Input!$J$83,30)/30*$R$25:EL27*$R$54:EL56/($R$54:EL56+($R$54:EL56=0))))/EL13,)</f>
        <v>0</v>
      </c>
      <c r="EM31" s="634">
        <f>IF(EM62*EM13,(SUMPRODUCT((EM5-$R$5:EM5&lt;ROUNDDOWN(Input!$J$83/30,0))*$R$25:EM27*$R$54:EM56/($R$54:EM56+($R$54:EM56=0)))+SUMPRODUCT((EM5-$R$5:EM5=ROUNDUP(Input!$J$83/30,0)-1)*MOD(Input!$J$83,30)/30*$R$25:EM27*$R$54:EM56/($R$54:EM56+($R$54:EM56=0))))/EM13,)</f>
        <v>0</v>
      </c>
      <c r="EN31" s="634">
        <f>IF(EN62*EN13,(SUMPRODUCT((EN5-$R$5:EN5&lt;ROUNDDOWN(Input!$J$83/30,0))*$R$25:EN27*$R$54:EN56/($R$54:EN56+($R$54:EN56=0)))+SUMPRODUCT((EN5-$R$5:EN5=ROUNDUP(Input!$J$83/30,0)-1)*MOD(Input!$J$83,30)/30*$R$25:EN27*$R$54:EN56/($R$54:EN56+($R$54:EN56=0))))/EN13,)</f>
        <v>0</v>
      </c>
      <c r="EO31" s="634">
        <f>IF(EO62*EO13,(SUMPRODUCT((EO5-$R$5:EO5&lt;ROUNDDOWN(Input!$J$83/30,0))*$R$25:EO27*$R$54:EO56/($R$54:EO56+($R$54:EO56=0)))+SUMPRODUCT((EO5-$R$5:EO5=ROUNDUP(Input!$J$83/30,0)-1)*MOD(Input!$J$83,30)/30*$R$25:EO27*$R$54:EO56/($R$54:EO56+($R$54:EO56=0))))/EO13,)</f>
        <v>0</v>
      </c>
      <c r="EP31" s="634">
        <f>IF(EP62*EP13,(SUMPRODUCT((EP5-$R$5:EP5&lt;ROUNDDOWN(Input!$J$83/30,0))*$R$25:EP27*$R$54:EP56/($R$54:EP56+($R$54:EP56=0)))+SUMPRODUCT((EP5-$R$5:EP5=ROUNDUP(Input!$J$83/30,0)-1)*MOD(Input!$J$83,30)/30*$R$25:EP27*$R$54:EP56/($R$54:EP56+($R$54:EP56=0))))/EP13,)</f>
        <v>0</v>
      </c>
      <c r="EQ31" s="634">
        <f>IF(EQ62*EQ13,(SUMPRODUCT((EQ5-$R$5:EQ5&lt;ROUNDDOWN(Input!$J$83/30,0))*$R$25:EQ27*$R$54:EQ56/($R$54:EQ56+($R$54:EQ56=0)))+SUMPRODUCT((EQ5-$R$5:EQ5=ROUNDUP(Input!$J$83/30,0)-1)*MOD(Input!$J$83,30)/30*$R$25:EQ27*$R$54:EQ56/($R$54:EQ56+($R$54:EQ56=0))))/EQ13,)</f>
        <v>0</v>
      </c>
      <c r="ER31" s="634">
        <f>IF(ER62*ER13,(SUMPRODUCT((ER5-$R$5:ER5&lt;ROUNDDOWN(Input!$J$83/30,0))*$R$25:ER27*$R$54:ER56/($R$54:ER56+($R$54:ER56=0)))+SUMPRODUCT((ER5-$R$5:ER5=ROUNDUP(Input!$J$83/30,0)-1)*MOD(Input!$J$83,30)/30*$R$25:ER27*$R$54:ER56/($R$54:ER56+($R$54:ER56=0))))/ER13,)</f>
        <v>0</v>
      </c>
      <c r="ES31" s="634">
        <f>IF(ES62*ES13,(SUMPRODUCT((ES5-$R$5:ES5&lt;ROUNDDOWN(Input!$J$83/30,0))*$R$25:ES27*$R$54:ES56/($R$54:ES56+($R$54:ES56=0)))+SUMPRODUCT((ES5-$R$5:ES5=ROUNDUP(Input!$J$83/30,0)-1)*MOD(Input!$J$83,30)/30*$R$25:ES27*$R$54:ES56/($R$54:ES56+($R$54:ES56=0))))/ES13,)</f>
        <v>0</v>
      </c>
      <c r="ET31" s="192"/>
    </row>
    <row r="32" spans="1:150" hidden="1">
      <c r="A32" s="192"/>
      <c r="B32" s="36"/>
      <c r="C32" s="634"/>
      <c r="D32" s="634"/>
      <c r="E32" s="634"/>
      <c r="F32" s="634"/>
      <c r="G32" s="634"/>
      <c r="H32" s="634"/>
      <c r="I32" s="634"/>
      <c r="J32" s="634"/>
      <c r="K32" s="634"/>
      <c r="L32" s="634"/>
      <c r="M32" s="634"/>
      <c r="N32" s="192"/>
      <c r="O32" s="634"/>
      <c r="P32" s="192"/>
      <c r="Q32" s="634"/>
      <c r="R32" s="634"/>
      <c r="S32" s="634"/>
      <c r="T32" s="634"/>
      <c r="U32" s="634"/>
      <c r="V32" s="634"/>
      <c r="W32" s="634"/>
      <c r="X32" s="634"/>
      <c r="Y32" s="634"/>
      <c r="Z32" s="634"/>
      <c r="AA32" s="634"/>
      <c r="AB32" s="634"/>
      <c r="AC32" s="634"/>
      <c r="AD32" s="634"/>
      <c r="AE32" s="634"/>
      <c r="AF32" s="634"/>
      <c r="AG32" s="634"/>
      <c r="AH32" s="634"/>
      <c r="AI32" s="634"/>
      <c r="AJ32" s="634"/>
      <c r="AK32" s="634"/>
      <c r="AL32" s="634"/>
      <c r="AM32" s="634"/>
      <c r="AN32" s="634"/>
      <c r="AO32" s="634"/>
      <c r="AP32" s="634"/>
      <c r="AQ32" s="634"/>
      <c r="AR32" s="634"/>
      <c r="AS32" s="634"/>
      <c r="AT32" s="634"/>
      <c r="AU32" s="634"/>
      <c r="AV32" s="634"/>
      <c r="AW32" s="634"/>
      <c r="AX32" s="634"/>
      <c r="AY32" s="634"/>
      <c r="AZ32" s="634"/>
      <c r="BA32" s="634"/>
      <c r="BB32" s="634"/>
      <c r="BC32" s="634"/>
      <c r="BD32" s="634"/>
      <c r="BE32" s="634"/>
      <c r="BF32" s="634"/>
      <c r="BG32" s="634"/>
      <c r="BH32" s="634"/>
      <c r="BI32" s="634"/>
      <c r="BJ32" s="634"/>
      <c r="BK32" s="634"/>
      <c r="BL32" s="634"/>
      <c r="BM32" s="634"/>
      <c r="BN32" s="634"/>
      <c r="BO32" s="634"/>
      <c r="BP32" s="634"/>
      <c r="BQ32" s="634"/>
      <c r="BR32" s="634"/>
      <c r="BS32" s="634"/>
      <c r="BT32" s="634"/>
      <c r="BU32" s="634"/>
      <c r="BV32" s="634"/>
      <c r="BW32" s="634"/>
      <c r="BX32" s="634"/>
      <c r="BY32" s="634"/>
      <c r="BZ32" s="634"/>
      <c r="CA32" s="634"/>
      <c r="CB32" s="634"/>
      <c r="CC32" s="634"/>
      <c r="CD32" s="634"/>
      <c r="CE32" s="634"/>
      <c r="CF32" s="634"/>
      <c r="CG32" s="634"/>
      <c r="CH32" s="634"/>
      <c r="CI32" s="634"/>
      <c r="CJ32" s="634"/>
      <c r="CK32" s="634"/>
      <c r="CL32" s="634"/>
      <c r="CM32" s="634"/>
      <c r="CN32" s="634"/>
      <c r="CO32" s="634"/>
      <c r="CP32" s="634"/>
      <c r="CQ32" s="634"/>
      <c r="CR32" s="634"/>
      <c r="CS32" s="634"/>
      <c r="CT32" s="634"/>
      <c r="CU32" s="634"/>
      <c r="CV32" s="634"/>
      <c r="CW32" s="634"/>
      <c r="CX32" s="634"/>
      <c r="CY32" s="634"/>
      <c r="CZ32" s="634"/>
      <c r="DA32" s="634"/>
      <c r="DB32" s="634"/>
      <c r="DC32" s="634"/>
      <c r="DD32" s="634"/>
      <c r="DE32" s="634"/>
      <c r="DF32" s="634"/>
      <c r="DG32" s="634"/>
      <c r="DH32" s="634"/>
      <c r="DI32" s="634"/>
      <c r="DJ32" s="634"/>
      <c r="DK32" s="634"/>
      <c r="DL32" s="634"/>
      <c r="DM32" s="634"/>
      <c r="DN32" s="634"/>
      <c r="DO32" s="634"/>
      <c r="DP32" s="634"/>
      <c r="DQ32" s="634"/>
      <c r="DR32" s="634"/>
      <c r="DS32" s="634"/>
      <c r="DT32" s="634"/>
      <c r="DU32" s="634"/>
      <c r="DV32" s="634"/>
      <c r="DW32" s="634"/>
      <c r="DX32" s="634"/>
      <c r="DY32" s="634"/>
      <c r="DZ32" s="634"/>
      <c r="EA32" s="634"/>
      <c r="EB32" s="634"/>
      <c r="EC32" s="634"/>
      <c r="ED32" s="634"/>
      <c r="EE32" s="634"/>
      <c r="EF32" s="634"/>
      <c r="EG32" s="634"/>
      <c r="EH32" s="634"/>
      <c r="EI32" s="634"/>
      <c r="EJ32" s="634"/>
      <c r="EK32" s="634"/>
      <c r="EL32" s="634"/>
      <c r="EM32" s="634"/>
      <c r="EN32" s="634"/>
      <c r="EO32" s="634"/>
      <c r="EP32" s="634"/>
      <c r="EQ32" s="634"/>
      <c r="ER32" s="634"/>
      <c r="ES32" s="634"/>
      <c r="ET32" s="192"/>
    </row>
    <row r="33" spans="1:150" hidden="1">
      <c r="A33" s="192"/>
      <c r="B33" s="1051" t="s">
        <v>556</v>
      </c>
      <c r="C33" s="37"/>
      <c r="D33" s="37"/>
      <c r="E33" s="37"/>
      <c r="F33" s="37"/>
      <c r="G33" s="37"/>
      <c r="H33" s="37"/>
      <c r="I33" s="37"/>
      <c r="J33" s="37"/>
      <c r="K33" s="37"/>
      <c r="L33" s="37"/>
      <c r="M33" s="37"/>
      <c r="N33" s="192"/>
      <c r="O33" s="37"/>
      <c r="P33" s="192"/>
      <c r="Q33" s="37"/>
      <c r="R33" s="37"/>
      <c r="S33" s="37"/>
      <c r="T33" s="37"/>
      <c r="U33" s="37"/>
      <c r="V33" s="37"/>
      <c r="W33" s="37"/>
      <c r="X33" s="37"/>
      <c r="Y33" s="37"/>
      <c r="Z33" s="37"/>
      <c r="AA33" s="37"/>
      <c r="AB33" s="37"/>
      <c r="AC33" s="37"/>
      <c r="AD33" s="37"/>
      <c r="AE33" s="37"/>
      <c r="AF33" s="37"/>
      <c r="AG33" s="37"/>
      <c r="AH33" s="37"/>
      <c r="AI33" s="37"/>
      <c r="AJ33" s="37"/>
      <c r="AK33" s="37"/>
      <c r="AL33" s="37"/>
      <c r="AM33" s="37"/>
      <c r="AN33" s="37"/>
      <c r="AO33" s="37"/>
      <c r="AP33" s="37"/>
      <c r="AQ33" s="37"/>
      <c r="AR33" s="37"/>
      <c r="AS33" s="37"/>
      <c r="AT33" s="37"/>
      <c r="AU33" s="37"/>
      <c r="AV33" s="37"/>
      <c r="AW33" s="37"/>
      <c r="AX33" s="37"/>
      <c r="AY33" s="37"/>
      <c r="AZ33" s="37"/>
      <c r="BA33" s="37"/>
      <c r="BB33" s="37"/>
      <c r="BC33" s="37"/>
      <c r="BD33" s="37"/>
      <c r="BE33" s="37"/>
      <c r="BF33" s="37"/>
      <c r="BG33" s="37"/>
      <c r="BH33" s="37"/>
      <c r="BI33" s="37"/>
      <c r="BJ33" s="37"/>
      <c r="BK33" s="37"/>
      <c r="BL33" s="37"/>
      <c r="BM33" s="37"/>
      <c r="BN33" s="37"/>
      <c r="BO33" s="37"/>
      <c r="BP33" s="37"/>
      <c r="BQ33" s="37"/>
      <c r="BR33" s="37"/>
      <c r="BS33" s="37"/>
      <c r="BT33" s="37"/>
      <c r="BU33" s="37"/>
      <c r="BV33" s="37"/>
      <c r="BW33" s="37"/>
      <c r="BX33" s="37"/>
      <c r="BY33" s="37"/>
      <c r="BZ33" s="37"/>
      <c r="CA33" s="37"/>
      <c r="CB33" s="37"/>
      <c r="CC33" s="37"/>
      <c r="CD33" s="37"/>
      <c r="CE33" s="37"/>
      <c r="CF33" s="37"/>
      <c r="CG33" s="37"/>
      <c r="CH33" s="37"/>
      <c r="CI33" s="37"/>
      <c r="CJ33" s="37"/>
      <c r="CK33" s="37"/>
      <c r="CL33" s="37"/>
      <c r="CM33" s="37"/>
      <c r="CN33" s="37"/>
      <c r="CO33" s="37"/>
      <c r="CP33" s="37"/>
      <c r="CQ33" s="37"/>
      <c r="CR33" s="37"/>
      <c r="CS33" s="37"/>
      <c r="CT33" s="37"/>
      <c r="CU33" s="37"/>
      <c r="CV33" s="37"/>
      <c r="CW33" s="37"/>
      <c r="CX33" s="37"/>
      <c r="CY33" s="37"/>
      <c r="CZ33" s="37"/>
      <c r="DA33" s="37"/>
      <c r="DB33" s="37"/>
      <c r="DC33" s="37"/>
      <c r="DD33" s="37"/>
      <c r="DE33" s="37"/>
      <c r="DF33" s="37"/>
      <c r="DG33" s="37"/>
      <c r="DH33" s="37"/>
      <c r="DI33" s="37"/>
      <c r="DJ33" s="37"/>
      <c r="DK33" s="37"/>
      <c r="DL33" s="37"/>
      <c r="DM33" s="37"/>
      <c r="DN33" s="37"/>
      <c r="DO33" s="37"/>
      <c r="DP33" s="37"/>
      <c r="DQ33" s="37"/>
      <c r="DR33" s="37"/>
      <c r="DS33" s="37"/>
      <c r="DT33" s="37"/>
      <c r="DU33" s="37"/>
      <c r="DV33" s="37"/>
      <c r="DW33" s="37"/>
      <c r="DX33" s="37"/>
      <c r="DY33" s="37"/>
      <c r="DZ33" s="37"/>
      <c r="EA33" s="37"/>
      <c r="EB33" s="37"/>
      <c r="EC33" s="37"/>
      <c r="ED33" s="37"/>
      <c r="EE33" s="37"/>
      <c r="EF33" s="37"/>
      <c r="EG33" s="37"/>
      <c r="EH33" s="37"/>
      <c r="EI33" s="37"/>
      <c r="EJ33" s="37"/>
      <c r="EK33" s="37"/>
      <c r="EL33" s="37"/>
      <c r="EM33" s="37"/>
      <c r="EN33" s="37"/>
      <c r="EO33" s="37"/>
      <c r="EP33" s="37"/>
      <c r="EQ33" s="37"/>
      <c r="ER33" s="37"/>
      <c r="ES33" s="37"/>
      <c r="ET33" s="192"/>
    </row>
    <row r="34" spans="1:150" hidden="1">
      <c r="A34" s="192"/>
      <c r="B34" s="807" t="str">
        <f>B10</f>
        <v>2x2.5</v>
      </c>
      <c r="C34" s="36">
        <f t="shared" ref="C34:M34" si="54">C10-C19</f>
        <v>0</v>
      </c>
      <c r="D34" s="36">
        <f t="shared" si="54"/>
        <v>0</v>
      </c>
      <c r="E34" s="36">
        <f t="shared" si="54"/>
        <v>0</v>
      </c>
      <c r="F34" s="36">
        <f t="shared" si="54"/>
        <v>0</v>
      </c>
      <c r="G34" s="36">
        <f t="shared" si="54"/>
        <v>0</v>
      </c>
      <c r="H34" s="36">
        <f t="shared" si="54"/>
        <v>0</v>
      </c>
      <c r="I34" s="36">
        <f t="shared" si="54"/>
        <v>0</v>
      </c>
      <c r="J34" s="36">
        <f t="shared" si="54"/>
        <v>0</v>
      </c>
      <c r="K34" s="36">
        <f t="shared" si="54"/>
        <v>0</v>
      </c>
      <c r="L34" s="36">
        <f t="shared" si="54"/>
        <v>0</v>
      </c>
      <c r="M34" s="36">
        <f t="shared" si="54"/>
        <v>0</v>
      </c>
      <c r="N34" s="192"/>
      <c r="O34" s="36">
        <f>SUMIF($C$5:$M$5,$O$6,$C34:$M34)</f>
        <v>0</v>
      </c>
      <c r="P34" s="192"/>
      <c r="Q34" s="36"/>
      <c r="R34" s="819">
        <f t="shared" ref="R34:AW34" si="55">R10-R19</f>
        <v>0</v>
      </c>
      <c r="S34" s="819">
        <f t="shared" si="55"/>
        <v>0</v>
      </c>
      <c r="T34" s="819">
        <f t="shared" si="55"/>
        <v>0</v>
      </c>
      <c r="U34" s="819">
        <f t="shared" si="55"/>
        <v>0</v>
      </c>
      <c r="V34" s="819">
        <f t="shared" si="55"/>
        <v>0</v>
      </c>
      <c r="W34" s="819">
        <f t="shared" si="55"/>
        <v>0</v>
      </c>
      <c r="X34" s="819">
        <f t="shared" si="55"/>
        <v>0</v>
      </c>
      <c r="Y34" s="819">
        <f t="shared" si="55"/>
        <v>0</v>
      </c>
      <c r="Z34" s="819">
        <f t="shared" si="55"/>
        <v>0</v>
      </c>
      <c r="AA34" s="819">
        <f t="shared" si="55"/>
        <v>0</v>
      </c>
      <c r="AB34" s="819">
        <f t="shared" si="55"/>
        <v>0</v>
      </c>
      <c r="AC34" s="819">
        <f t="shared" si="55"/>
        <v>0</v>
      </c>
      <c r="AD34" s="819">
        <f t="shared" si="55"/>
        <v>0</v>
      </c>
      <c r="AE34" s="819">
        <f t="shared" si="55"/>
        <v>0</v>
      </c>
      <c r="AF34" s="819">
        <f t="shared" si="55"/>
        <v>0</v>
      </c>
      <c r="AG34" s="819">
        <f t="shared" si="55"/>
        <v>0</v>
      </c>
      <c r="AH34" s="819">
        <f t="shared" si="55"/>
        <v>0</v>
      </c>
      <c r="AI34" s="819">
        <f t="shared" si="55"/>
        <v>0</v>
      </c>
      <c r="AJ34" s="819">
        <f t="shared" si="55"/>
        <v>0</v>
      </c>
      <c r="AK34" s="819">
        <f t="shared" si="55"/>
        <v>0</v>
      </c>
      <c r="AL34" s="819">
        <f t="shared" si="55"/>
        <v>0</v>
      </c>
      <c r="AM34" s="819">
        <f t="shared" si="55"/>
        <v>0</v>
      </c>
      <c r="AN34" s="819">
        <f t="shared" si="55"/>
        <v>0</v>
      </c>
      <c r="AO34" s="819">
        <f t="shared" si="55"/>
        <v>0</v>
      </c>
      <c r="AP34" s="819">
        <f t="shared" si="55"/>
        <v>0</v>
      </c>
      <c r="AQ34" s="819">
        <f t="shared" si="55"/>
        <v>0</v>
      </c>
      <c r="AR34" s="819">
        <f t="shared" si="55"/>
        <v>0</v>
      </c>
      <c r="AS34" s="819">
        <f t="shared" si="55"/>
        <v>0</v>
      </c>
      <c r="AT34" s="819">
        <f t="shared" si="55"/>
        <v>0</v>
      </c>
      <c r="AU34" s="819">
        <f t="shared" si="55"/>
        <v>0</v>
      </c>
      <c r="AV34" s="819">
        <f t="shared" si="55"/>
        <v>0</v>
      </c>
      <c r="AW34" s="819">
        <f t="shared" si="55"/>
        <v>0</v>
      </c>
      <c r="AX34" s="819">
        <f t="shared" ref="AX34:CC34" si="56">AX10-AX19</f>
        <v>0</v>
      </c>
      <c r="AY34" s="819">
        <f t="shared" si="56"/>
        <v>0</v>
      </c>
      <c r="AZ34" s="819">
        <f t="shared" si="56"/>
        <v>0</v>
      </c>
      <c r="BA34" s="819">
        <f t="shared" si="56"/>
        <v>0</v>
      </c>
      <c r="BB34" s="819">
        <f t="shared" si="56"/>
        <v>0</v>
      </c>
      <c r="BC34" s="819">
        <f t="shared" si="56"/>
        <v>0</v>
      </c>
      <c r="BD34" s="819">
        <f t="shared" si="56"/>
        <v>0</v>
      </c>
      <c r="BE34" s="819">
        <f t="shared" si="56"/>
        <v>0</v>
      </c>
      <c r="BF34" s="819">
        <f t="shared" si="56"/>
        <v>0</v>
      </c>
      <c r="BG34" s="819">
        <f t="shared" si="56"/>
        <v>0</v>
      </c>
      <c r="BH34" s="819">
        <f t="shared" si="56"/>
        <v>0</v>
      </c>
      <c r="BI34" s="819">
        <f t="shared" si="56"/>
        <v>0</v>
      </c>
      <c r="BJ34" s="819">
        <f t="shared" si="56"/>
        <v>0</v>
      </c>
      <c r="BK34" s="819">
        <f t="shared" si="56"/>
        <v>0</v>
      </c>
      <c r="BL34" s="819">
        <f t="shared" si="56"/>
        <v>0</v>
      </c>
      <c r="BM34" s="819">
        <f t="shared" si="56"/>
        <v>0</v>
      </c>
      <c r="BN34" s="819">
        <f t="shared" si="56"/>
        <v>0</v>
      </c>
      <c r="BO34" s="819">
        <f t="shared" si="56"/>
        <v>0</v>
      </c>
      <c r="BP34" s="819">
        <f t="shared" si="56"/>
        <v>0</v>
      </c>
      <c r="BQ34" s="819">
        <f t="shared" si="56"/>
        <v>0</v>
      </c>
      <c r="BR34" s="819">
        <f t="shared" si="56"/>
        <v>0</v>
      </c>
      <c r="BS34" s="819">
        <f t="shared" si="56"/>
        <v>0</v>
      </c>
      <c r="BT34" s="819">
        <f t="shared" si="56"/>
        <v>0</v>
      </c>
      <c r="BU34" s="819">
        <f t="shared" si="56"/>
        <v>0</v>
      </c>
      <c r="BV34" s="819">
        <f t="shared" si="56"/>
        <v>0</v>
      </c>
      <c r="BW34" s="819">
        <f t="shared" si="56"/>
        <v>0</v>
      </c>
      <c r="BX34" s="819">
        <f t="shared" si="56"/>
        <v>0</v>
      </c>
      <c r="BY34" s="819">
        <f t="shared" si="56"/>
        <v>0</v>
      </c>
      <c r="BZ34" s="819">
        <f t="shared" si="56"/>
        <v>0</v>
      </c>
      <c r="CA34" s="819">
        <f t="shared" si="56"/>
        <v>0</v>
      </c>
      <c r="CB34" s="819">
        <f t="shared" si="56"/>
        <v>0</v>
      </c>
      <c r="CC34" s="819">
        <f t="shared" si="56"/>
        <v>0</v>
      </c>
      <c r="CD34" s="819">
        <f t="shared" ref="CD34:DI34" si="57">CD10-CD19</f>
        <v>0</v>
      </c>
      <c r="CE34" s="819">
        <f t="shared" si="57"/>
        <v>0</v>
      </c>
      <c r="CF34" s="819">
        <f t="shared" si="57"/>
        <v>0</v>
      </c>
      <c r="CG34" s="819">
        <f t="shared" si="57"/>
        <v>0</v>
      </c>
      <c r="CH34" s="819">
        <f t="shared" si="57"/>
        <v>0</v>
      </c>
      <c r="CI34" s="819">
        <f t="shared" si="57"/>
        <v>0</v>
      </c>
      <c r="CJ34" s="819">
        <f t="shared" si="57"/>
        <v>0</v>
      </c>
      <c r="CK34" s="819">
        <f t="shared" si="57"/>
        <v>0</v>
      </c>
      <c r="CL34" s="819">
        <f t="shared" si="57"/>
        <v>0</v>
      </c>
      <c r="CM34" s="819">
        <f t="shared" si="57"/>
        <v>0</v>
      </c>
      <c r="CN34" s="819">
        <f t="shared" si="57"/>
        <v>0</v>
      </c>
      <c r="CO34" s="819">
        <f t="shared" si="57"/>
        <v>0</v>
      </c>
      <c r="CP34" s="819">
        <f t="shared" si="57"/>
        <v>0</v>
      </c>
      <c r="CQ34" s="819">
        <f t="shared" si="57"/>
        <v>0</v>
      </c>
      <c r="CR34" s="819">
        <f t="shared" si="57"/>
        <v>0</v>
      </c>
      <c r="CS34" s="819">
        <f t="shared" si="57"/>
        <v>0</v>
      </c>
      <c r="CT34" s="819">
        <f t="shared" si="57"/>
        <v>0</v>
      </c>
      <c r="CU34" s="819">
        <f t="shared" si="57"/>
        <v>0</v>
      </c>
      <c r="CV34" s="819">
        <f t="shared" si="57"/>
        <v>0</v>
      </c>
      <c r="CW34" s="819">
        <f t="shared" si="57"/>
        <v>0</v>
      </c>
      <c r="CX34" s="819">
        <f t="shared" si="57"/>
        <v>0</v>
      </c>
      <c r="CY34" s="819">
        <f t="shared" si="57"/>
        <v>0</v>
      </c>
      <c r="CZ34" s="819">
        <f t="shared" si="57"/>
        <v>0</v>
      </c>
      <c r="DA34" s="819">
        <f t="shared" si="57"/>
        <v>0</v>
      </c>
      <c r="DB34" s="819">
        <f t="shared" si="57"/>
        <v>0</v>
      </c>
      <c r="DC34" s="819">
        <f t="shared" si="57"/>
        <v>0</v>
      </c>
      <c r="DD34" s="819">
        <f t="shared" si="57"/>
        <v>0</v>
      </c>
      <c r="DE34" s="819">
        <f t="shared" si="57"/>
        <v>0</v>
      </c>
      <c r="DF34" s="819">
        <f t="shared" si="57"/>
        <v>0</v>
      </c>
      <c r="DG34" s="819">
        <f t="shared" si="57"/>
        <v>0</v>
      </c>
      <c r="DH34" s="819">
        <f t="shared" si="57"/>
        <v>0</v>
      </c>
      <c r="DI34" s="819">
        <f t="shared" si="57"/>
        <v>0</v>
      </c>
      <c r="DJ34" s="819">
        <f t="shared" ref="DJ34:ES34" si="58">DJ10-DJ19</f>
        <v>0</v>
      </c>
      <c r="DK34" s="819">
        <f t="shared" si="58"/>
        <v>0</v>
      </c>
      <c r="DL34" s="819">
        <f t="shared" si="58"/>
        <v>0</v>
      </c>
      <c r="DM34" s="819">
        <f t="shared" si="58"/>
        <v>0</v>
      </c>
      <c r="DN34" s="819">
        <f t="shared" si="58"/>
        <v>0</v>
      </c>
      <c r="DO34" s="819">
        <f t="shared" si="58"/>
        <v>0</v>
      </c>
      <c r="DP34" s="819">
        <f t="shared" si="58"/>
        <v>0</v>
      </c>
      <c r="DQ34" s="819">
        <f t="shared" si="58"/>
        <v>0</v>
      </c>
      <c r="DR34" s="819">
        <f t="shared" si="58"/>
        <v>0</v>
      </c>
      <c r="DS34" s="819">
        <f t="shared" si="58"/>
        <v>0</v>
      </c>
      <c r="DT34" s="819">
        <f t="shared" si="58"/>
        <v>0</v>
      </c>
      <c r="DU34" s="819">
        <f t="shared" si="58"/>
        <v>0</v>
      </c>
      <c r="DV34" s="819">
        <f t="shared" si="58"/>
        <v>0</v>
      </c>
      <c r="DW34" s="819">
        <f t="shared" si="58"/>
        <v>0</v>
      </c>
      <c r="DX34" s="819">
        <f t="shared" si="58"/>
        <v>0</v>
      </c>
      <c r="DY34" s="819">
        <f t="shared" si="58"/>
        <v>0</v>
      </c>
      <c r="DZ34" s="819">
        <f t="shared" si="58"/>
        <v>0</v>
      </c>
      <c r="EA34" s="819">
        <f t="shared" si="58"/>
        <v>0</v>
      </c>
      <c r="EB34" s="819">
        <f t="shared" si="58"/>
        <v>0</v>
      </c>
      <c r="EC34" s="819">
        <f t="shared" si="58"/>
        <v>0</v>
      </c>
      <c r="ED34" s="819">
        <f t="shared" si="58"/>
        <v>0</v>
      </c>
      <c r="EE34" s="819">
        <f t="shared" si="58"/>
        <v>0</v>
      </c>
      <c r="EF34" s="819">
        <f t="shared" si="58"/>
        <v>0</v>
      </c>
      <c r="EG34" s="819">
        <f t="shared" si="58"/>
        <v>0</v>
      </c>
      <c r="EH34" s="819">
        <f t="shared" si="58"/>
        <v>0</v>
      </c>
      <c r="EI34" s="819">
        <f t="shared" si="58"/>
        <v>0</v>
      </c>
      <c r="EJ34" s="819">
        <f t="shared" si="58"/>
        <v>0</v>
      </c>
      <c r="EK34" s="819">
        <f t="shared" si="58"/>
        <v>0</v>
      </c>
      <c r="EL34" s="819">
        <f t="shared" si="58"/>
        <v>0</v>
      </c>
      <c r="EM34" s="819">
        <f t="shared" si="58"/>
        <v>0</v>
      </c>
      <c r="EN34" s="819">
        <f t="shared" si="58"/>
        <v>0</v>
      </c>
      <c r="EO34" s="819">
        <f t="shared" si="58"/>
        <v>0</v>
      </c>
      <c r="EP34" s="819">
        <f t="shared" si="58"/>
        <v>0</v>
      </c>
      <c r="EQ34" s="819">
        <f t="shared" si="58"/>
        <v>0</v>
      </c>
      <c r="ER34" s="819">
        <f t="shared" si="58"/>
        <v>0</v>
      </c>
      <c r="ES34" s="819">
        <f t="shared" si="58"/>
        <v>0</v>
      </c>
      <c r="ET34" s="192"/>
    </row>
    <row r="35" spans="1:150" hidden="1">
      <c r="A35" s="192"/>
      <c r="B35" s="807" t="str">
        <f>B11</f>
        <v>3x3.5</v>
      </c>
      <c r="C35" s="36">
        <f t="shared" ref="C35:M35" si="59">C11-C20</f>
        <v>0</v>
      </c>
      <c r="D35" s="36">
        <f t="shared" si="59"/>
        <v>0</v>
      </c>
      <c r="E35" s="36">
        <f t="shared" si="59"/>
        <v>0</v>
      </c>
      <c r="F35" s="36">
        <f t="shared" si="59"/>
        <v>0</v>
      </c>
      <c r="G35" s="36">
        <f t="shared" si="59"/>
        <v>0</v>
      </c>
      <c r="H35" s="36">
        <f t="shared" si="59"/>
        <v>0</v>
      </c>
      <c r="I35" s="36">
        <f t="shared" si="59"/>
        <v>0</v>
      </c>
      <c r="J35" s="36">
        <f t="shared" si="59"/>
        <v>0</v>
      </c>
      <c r="K35" s="36">
        <f t="shared" si="59"/>
        <v>0</v>
      </c>
      <c r="L35" s="36">
        <f t="shared" si="59"/>
        <v>0</v>
      </c>
      <c r="M35" s="36">
        <f t="shared" si="59"/>
        <v>0</v>
      </c>
      <c r="N35" s="192"/>
      <c r="O35" s="36">
        <f>SUMIF($C$5:$M$5,$O$6,$C35:$M35)</f>
        <v>0</v>
      </c>
      <c r="P35" s="192"/>
      <c r="Q35" s="36"/>
      <c r="R35" s="819">
        <f t="shared" ref="R35:AW35" si="60">R11-R20</f>
        <v>0</v>
      </c>
      <c r="S35" s="819">
        <f t="shared" si="60"/>
        <v>0</v>
      </c>
      <c r="T35" s="819">
        <f t="shared" si="60"/>
        <v>0</v>
      </c>
      <c r="U35" s="819">
        <f t="shared" si="60"/>
        <v>0</v>
      </c>
      <c r="V35" s="819">
        <f t="shared" si="60"/>
        <v>0</v>
      </c>
      <c r="W35" s="819">
        <f t="shared" si="60"/>
        <v>0</v>
      </c>
      <c r="X35" s="819">
        <f t="shared" si="60"/>
        <v>0</v>
      </c>
      <c r="Y35" s="819">
        <f t="shared" si="60"/>
        <v>0</v>
      </c>
      <c r="Z35" s="819">
        <f t="shared" si="60"/>
        <v>0</v>
      </c>
      <c r="AA35" s="819">
        <f t="shared" si="60"/>
        <v>0</v>
      </c>
      <c r="AB35" s="819">
        <f t="shared" si="60"/>
        <v>0</v>
      </c>
      <c r="AC35" s="819">
        <f t="shared" si="60"/>
        <v>0</v>
      </c>
      <c r="AD35" s="819">
        <f t="shared" si="60"/>
        <v>0</v>
      </c>
      <c r="AE35" s="819">
        <f t="shared" si="60"/>
        <v>0</v>
      </c>
      <c r="AF35" s="819">
        <f t="shared" si="60"/>
        <v>0</v>
      </c>
      <c r="AG35" s="819">
        <f t="shared" si="60"/>
        <v>0</v>
      </c>
      <c r="AH35" s="819">
        <f t="shared" si="60"/>
        <v>0</v>
      </c>
      <c r="AI35" s="819">
        <f t="shared" si="60"/>
        <v>0</v>
      </c>
      <c r="AJ35" s="819">
        <f t="shared" si="60"/>
        <v>0</v>
      </c>
      <c r="AK35" s="819">
        <f t="shared" si="60"/>
        <v>0</v>
      </c>
      <c r="AL35" s="819">
        <f t="shared" si="60"/>
        <v>0</v>
      </c>
      <c r="AM35" s="819">
        <f t="shared" si="60"/>
        <v>0</v>
      </c>
      <c r="AN35" s="819">
        <f t="shared" si="60"/>
        <v>0</v>
      </c>
      <c r="AO35" s="819">
        <f t="shared" si="60"/>
        <v>0</v>
      </c>
      <c r="AP35" s="819">
        <f t="shared" si="60"/>
        <v>0</v>
      </c>
      <c r="AQ35" s="819">
        <f t="shared" si="60"/>
        <v>0</v>
      </c>
      <c r="AR35" s="819">
        <f t="shared" si="60"/>
        <v>0</v>
      </c>
      <c r="AS35" s="819">
        <f t="shared" si="60"/>
        <v>0</v>
      </c>
      <c r="AT35" s="819">
        <f t="shared" si="60"/>
        <v>0</v>
      </c>
      <c r="AU35" s="819">
        <f t="shared" si="60"/>
        <v>0</v>
      </c>
      <c r="AV35" s="819">
        <f t="shared" si="60"/>
        <v>0</v>
      </c>
      <c r="AW35" s="819">
        <f t="shared" si="60"/>
        <v>0</v>
      </c>
      <c r="AX35" s="819">
        <f t="shared" ref="AX35:CC35" si="61">AX11-AX20</f>
        <v>0</v>
      </c>
      <c r="AY35" s="819">
        <f t="shared" si="61"/>
        <v>0</v>
      </c>
      <c r="AZ35" s="819">
        <f t="shared" si="61"/>
        <v>0</v>
      </c>
      <c r="BA35" s="819">
        <f t="shared" si="61"/>
        <v>0</v>
      </c>
      <c r="BB35" s="819">
        <f t="shared" si="61"/>
        <v>0</v>
      </c>
      <c r="BC35" s="819">
        <f t="shared" si="61"/>
        <v>0</v>
      </c>
      <c r="BD35" s="819">
        <f t="shared" si="61"/>
        <v>0</v>
      </c>
      <c r="BE35" s="819">
        <f t="shared" si="61"/>
        <v>0</v>
      </c>
      <c r="BF35" s="819">
        <f t="shared" si="61"/>
        <v>0</v>
      </c>
      <c r="BG35" s="819">
        <f t="shared" si="61"/>
        <v>0</v>
      </c>
      <c r="BH35" s="819">
        <f t="shared" si="61"/>
        <v>0</v>
      </c>
      <c r="BI35" s="819">
        <f t="shared" si="61"/>
        <v>0</v>
      </c>
      <c r="BJ35" s="819">
        <f t="shared" si="61"/>
        <v>0</v>
      </c>
      <c r="BK35" s="819">
        <f t="shared" si="61"/>
        <v>0</v>
      </c>
      <c r="BL35" s="819">
        <f t="shared" si="61"/>
        <v>0</v>
      </c>
      <c r="BM35" s="819">
        <f t="shared" si="61"/>
        <v>0</v>
      </c>
      <c r="BN35" s="819">
        <f t="shared" si="61"/>
        <v>0</v>
      </c>
      <c r="BO35" s="819">
        <f t="shared" si="61"/>
        <v>0</v>
      </c>
      <c r="BP35" s="819">
        <f t="shared" si="61"/>
        <v>0</v>
      </c>
      <c r="BQ35" s="819">
        <f t="shared" si="61"/>
        <v>0</v>
      </c>
      <c r="BR35" s="819">
        <f t="shared" si="61"/>
        <v>0</v>
      </c>
      <c r="BS35" s="819">
        <f t="shared" si="61"/>
        <v>0</v>
      </c>
      <c r="BT35" s="819">
        <f t="shared" si="61"/>
        <v>0</v>
      </c>
      <c r="BU35" s="819">
        <f t="shared" si="61"/>
        <v>0</v>
      </c>
      <c r="BV35" s="819">
        <f t="shared" si="61"/>
        <v>0</v>
      </c>
      <c r="BW35" s="819">
        <f t="shared" si="61"/>
        <v>0</v>
      </c>
      <c r="BX35" s="819">
        <f t="shared" si="61"/>
        <v>0</v>
      </c>
      <c r="BY35" s="819">
        <f t="shared" si="61"/>
        <v>0</v>
      </c>
      <c r="BZ35" s="819">
        <f t="shared" si="61"/>
        <v>0</v>
      </c>
      <c r="CA35" s="819">
        <f t="shared" si="61"/>
        <v>0</v>
      </c>
      <c r="CB35" s="819">
        <f t="shared" si="61"/>
        <v>0</v>
      </c>
      <c r="CC35" s="819">
        <f t="shared" si="61"/>
        <v>0</v>
      </c>
      <c r="CD35" s="819">
        <f t="shared" ref="CD35:DI35" si="62">CD11-CD20</f>
        <v>0</v>
      </c>
      <c r="CE35" s="819">
        <f t="shared" si="62"/>
        <v>0</v>
      </c>
      <c r="CF35" s="819">
        <f t="shared" si="62"/>
        <v>0</v>
      </c>
      <c r="CG35" s="819">
        <f t="shared" si="62"/>
        <v>0</v>
      </c>
      <c r="CH35" s="819">
        <f t="shared" si="62"/>
        <v>0</v>
      </c>
      <c r="CI35" s="819">
        <f t="shared" si="62"/>
        <v>0</v>
      </c>
      <c r="CJ35" s="819">
        <f t="shared" si="62"/>
        <v>0</v>
      </c>
      <c r="CK35" s="819">
        <f t="shared" si="62"/>
        <v>0</v>
      </c>
      <c r="CL35" s="819">
        <f t="shared" si="62"/>
        <v>0</v>
      </c>
      <c r="CM35" s="819">
        <f t="shared" si="62"/>
        <v>0</v>
      </c>
      <c r="CN35" s="819">
        <f t="shared" si="62"/>
        <v>0</v>
      </c>
      <c r="CO35" s="819">
        <f t="shared" si="62"/>
        <v>0</v>
      </c>
      <c r="CP35" s="819">
        <f t="shared" si="62"/>
        <v>0</v>
      </c>
      <c r="CQ35" s="819">
        <f t="shared" si="62"/>
        <v>0</v>
      </c>
      <c r="CR35" s="819">
        <f t="shared" si="62"/>
        <v>0</v>
      </c>
      <c r="CS35" s="819">
        <f t="shared" si="62"/>
        <v>0</v>
      </c>
      <c r="CT35" s="819">
        <f t="shared" si="62"/>
        <v>0</v>
      </c>
      <c r="CU35" s="819">
        <f t="shared" si="62"/>
        <v>0</v>
      </c>
      <c r="CV35" s="819">
        <f t="shared" si="62"/>
        <v>0</v>
      </c>
      <c r="CW35" s="819">
        <f t="shared" si="62"/>
        <v>0</v>
      </c>
      <c r="CX35" s="819">
        <f t="shared" si="62"/>
        <v>0</v>
      </c>
      <c r="CY35" s="819">
        <f t="shared" si="62"/>
        <v>0</v>
      </c>
      <c r="CZ35" s="819">
        <f t="shared" si="62"/>
        <v>0</v>
      </c>
      <c r="DA35" s="819">
        <f t="shared" si="62"/>
        <v>0</v>
      </c>
      <c r="DB35" s="819">
        <f t="shared" si="62"/>
        <v>0</v>
      </c>
      <c r="DC35" s="819">
        <f t="shared" si="62"/>
        <v>0</v>
      </c>
      <c r="DD35" s="819">
        <f t="shared" si="62"/>
        <v>0</v>
      </c>
      <c r="DE35" s="819">
        <f t="shared" si="62"/>
        <v>0</v>
      </c>
      <c r="DF35" s="819">
        <f t="shared" si="62"/>
        <v>0</v>
      </c>
      <c r="DG35" s="819">
        <f t="shared" si="62"/>
        <v>0</v>
      </c>
      <c r="DH35" s="819">
        <f t="shared" si="62"/>
        <v>0</v>
      </c>
      <c r="DI35" s="819">
        <f t="shared" si="62"/>
        <v>0</v>
      </c>
      <c r="DJ35" s="819">
        <f t="shared" ref="DJ35:ES35" si="63">DJ11-DJ20</f>
        <v>0</v>
      </c>
      <c r="DK35" s="819">
        <f t="shared" si="63"/>
        <v>0</v>
      </c>
      <c r="DL35" s="819">
        <f t="shared" si="63"/>
        <v>0</v>
      </c>
      <c r="DM35" s="819">
        <f t="shared" si="63"/>
        <v>0</v>
      </c>
      <c r="DN35" s="819">
        <f t="shared" si="63"/>
        <v>0</v>
      </c>
      <c r="DO35" s="819">
        <f t="shared" si="63"/>
        <v>0</v>
      </c>
      <c r="DP35" s="819">
        <f t="shared" si="63"/>
        <v>0</v>
      </c>
      <c r="DQ35" s="819">
        <f t="shared" si="63"/>
        <v>0</v>
      </c>
      <c r="DR35" s="819">
        <f t="shared" si="63"/>
        <v>0</v>
      </c>
      <c r="DS35" s="819">
        <f t="shared" si="63"/>
        <v>0</v>
      </c>
      <c r="DT35" s="819">
        <f t="shared" si="63"/>
        <v>0</v>
      </c>
      <c r="DU35" s="819">
        <f t="shared" si="63"/>
        <v>0</v>
      </c>
      <c r="DV35" s="819">
        <f t="shared" si="63"/>
        <v>0</v>
      </c>
      <c r="DW35" s="819">
        <f t="shared" si="63"/>
        <v>0</v>
      </c>
      <c r="DX35" s="819">
        <f t="shared" si="63"/>
        <v>0</v>
      </c>
      <c r="DY35" s="819">
        <f t="shared" si="63"/>
        <v>0</v>
      </c>
      <c r="DZ35" s="819">
        <f t="shared" si="63"/>
        <v>0</v>
      </c>
      <c r="EA35" s="819">
        <f t="shared" si="63"/>
        <v>0</v>
      </c>
      <c r="EB35" s="819">
        <f t="shared" si="63"/>
        <v>0</v>
      </c>
      <c r="EC35" s="819">
        <f t="shared" si="63"/>
        <v>0</v>
      </c>
      <c r="ED35" s="819">
        <f t="shared" si="63"/>
        <v>0</v>
      </c>
      <c r="EE35" s="819">
        <f t="shared" si="63"/>
        <v>0</v>
      </c>
      <c r="EF35" s="819">
        <f t="shared" si="63"/>
        <v>0</v>
      </c>
      <c r="EG35" s="819">
        <f t="shared" si="63"/>
        <v>0</v>
      </c>
      <c r="EH35" s="819">
        <f t="shared" si="63"/>
        <v>0</v>
      </c>
      <c r="EI35" s="819">
        <f t="shared" si="63"/>
        <v>0</v>
      </c>
      <c r="EJ35" s="819">
        <f t="shared" si="63"/>
        <v>0</v>
      </c>
      <c r="EK35" s="819">
        <f t="shared" si="63"/>
        <v>0</v>
      </c>
      <c r="EL35" s="819">
        <f t="shared" si="63"/>
        <v>0</v>
      </c>
      <c r="EM35" s="819">
        <f t="shared" si="63"/>
        <v>0</v>
      </c>
      <c r="EN35" s="819">
        <f t="shared" si="63"/>
        <v>0</v>
      </c>
      <c r="EO35" s="819">
        <f t="shared" si="63"/>
        <v>0</v>
      </c>
      <c r="EP35" s="819">
        <f t="shared" si="63"/>
        <v>0</v>
      </c>
      <c r="EQ35" s="819">
        <f t="shared" si="63"/>
        <v>0</v>
      </c>
      <c r="ER35" s="819">
        <f t="shared" si="63"/>
        <v>0</v>
      </c>
      <c r="ES35" s="819">
        <f t="shared" si="63"/>
        <v>0</v>
      </c>
      <c r="ET35" s="192"/>
    </row>
    <row r="36" spans="1:150" ht="1.5" hidden="1" customHeight="1">
      <c r="A36" s="192"/>
      <c r="B36" s="36"/>
      <c r="C36" s="36"/>
      <c r="D36" s="36"/>
      <c r="E36" s="36"/>
      <c r="F36" s="36"/>
      <c r="G36" s="36"/>
      <c r="H36" s="36"/>
      <c r="I36" s="36"/>
      <c r="J36" s="36"/>
      <c r="K36" s="36"/>
      <c r="L36" s="36"/>
      <c r="M36" s="36"/>
      <c r="N36" s="192"/>
      <c r="O36" s="36"/>
      <c r="P36" s="192"/>
      <c r="Q36" s="36"/>
      <c r="R36" s="36"/>
      <c r="S36" s="36"/>
      <c r="T36" s="36"/>
      <c r="U36" s="36"/>
      <c r="V36" s="36"/>
      <c r="W36" s="36"/>
      <c r="X36" s="36"/>
      <c r="Y36" s="36"/>
      <c r="Z36" s="36"/>
      <c r="AA36" s="36"/>
      <c r="AB36" s="36"/>
      <c r="AC36" s="36"/>
      <c r="AD36" s="36"/>
      <c r="AE36" s="36"/>
      <c r="AF36" s="36"/>
      <c r="AG36" s="36"/>
      <c r="AH36" s="36"/>
      <c r="AI36" s="36"/>
      <c r="AJ36" s="36"/>
      <c r="AK36" s="36"/>
      <c r="AL36" s="36"/>
      <c r="AM36" s="36"/>
      <c r="AN36" s="36"/>
      <c r="AO36" s="36"/>
      <c r="AP36" s="36"/>
      <c r="AQ36" s="36"/>
      <c r="AR36" s="36"/>
      <c r="AS36" s="36"/>
      <c r="AT36" s="36"/>
      <c r="AU36" s="36"/>
      <c r="AV36" s="36"/>
      <c r="AW36" s="36"/>
      <c r="AX36" s="36"/>
      <c r="AY36" s="36"/>
      <c r="AZ36" s="36"/>
      <c r="BA36" s="36"/>
      <c r="BB36" s="36"/>
      <c r="BC36" s="36"/>
      <c r="BD36" s="36"/>
      <c r="BE36" s="36"/>
      <c r="BF36" s="36"/>
      <c r="BG36" s="36"/>
      <c r="BH36" s="36"/>
      <c r="BI36" s="36"/>
      <c r="BJ36" s="36"/>
      <c r="BK36" s="36"/>
      <c r="BL36" s="36"/>
      <c r="BM36" s="36"/>
      <c r="BN36" s="36"/>
      <c r="BO36" s="36"/>
      <c r="BP36" s="36"/>
      <c r="BQ36" s="36"/>
      <c r="BR36" s="36"/>
      <c r="BS36" s="36"/>
      <c r="BT36" s="36"/>
      <c r="BU36" s="36"/>
      <c r="BV36" s="36"/>
      <c r="BW36" s="36"/>
      <c r="BX36" s="36"/>
      <c r="BY36" s="36"/>
      <c r="BZ36" s="36"/>
      <c r="CA36" s="36"/>
      <c r="CB36" s="36"/>
      <c r="CC36" s="36"/>
      <c r="CD36" s="36"/>
      <c r="CE36" s="36"/>
      <c r="CF36" s="36"/>
      <c r="CG36" s="36"/>
      <c r="CH36" s="36"/>
      <c r="CI36" s="36"/>
      <c r="CJ36" s="36"/>
      <c r="CK36" s="36"/>
      <c r="CL36" s="36"/>
      <c r="CM36" s="36"/>
      <c r="CN36" s="36"/>
      <c r="CO36" s="36"/>
      <c r="CP36" s="36"/>
      <c r="CQ36" s="36"/>
      <c r="CR36" s="36"/>
      <c r="CS36" s="36"/>
      <c r="CT36" s="36"/>
      <c r="CU36" s="36"/>
      <c r="CV36" s="36"/>
      <c r="CW36" s="36"/>
      <c r="CX36" s="36"/>
      <c r="CY36" s="36"/>
      <c r="CZ36" s="36"/>
      <c r="DA36" s="36"/>
      <c r="DB36" s="36"/>
      <c r="DC36" s="36"/>
      <c r="DD36" s="36"/>
      <c r="DE36" s="36"/>
      <c r="DF36" s="36"/>
      <c r="DG36" s="36"/>
      <c r="DH36" s="36"/>
      <c r="DI36" s="36"/>
      <c r="DJ36" s="36"/>
      <c r="DK36" s="36"/>
      <c r="DL36" s="36"/>
      <c r="DM36" s="36"/>
      <c r="DN36" s="36"/>
      <c r="DO36" s="36"/>
      <c r="DP36" s="36"/>
      <c r="DQ36" s="36"/>
      <c r="DR36" s="36"/>
      <c r="DS36" s="36"/>
      <c r="DT36" s="36"/>
      <c r="DU36" s="36"/>
      <c r="DV36" s="36"/>
      <c r="DW36" s="36"/>
      <c r="DX36" s="36"/>
      <c r="DY36" s="36"/>
      <c r="DZ36" s="36"/>
      <c r="EA36" s="36"/>
      <c r="EB36" s="36"/>
      <c r="EC36" s="36"/>
      <c r="ED36" s="36"/>
      <c r="EE36" s="36"/>
      <c r="EF36" s="36"/>
      <c r="EG36" s="36"/>
      <c r="EH36" s="36"/>
      <c r="EI36" s="36"/>
      <c r="EJ36" s="36"/>
      <c r="EK36" s="36"/>
      <c r="EL36" s="36"/>
      <c r="EM36" s="36"/>
      <c r="EN36" s="36"/>
      <c r="EO36" s="36"/>
      <c r="EP36" s="36"/>
      <c r="EQ36" s="36"/>
      <c r="ER36" s="36"/>
      <c r="ES36" s="36"/>
      <c r="ET36" s="192"/>
    </row>
    <row r="37" spans="1:150" hidden="1" collapsed="1">
      <c r="A37" s="192"/>
      <c r="B37" s="810" t="s">
        <v>557</v>
      </c>
      <c r="C37" s="811">
        <f t="shared" ref="C37:M37" si="64">SUM(C34:C36)</f>
        <v>0</v>
      </c>
      <c r="D37" s="811">
        <f t="shared" si="64"/>
        <v>0</v>
      </c>
      <c r="E37" s="811">
        <f t="shared" si="64"/>
        <v>0</v>
      </c>
      <c r="F37" s="811">
        <f t="shared" si="64"/>
        <v>0</v>
      </c>
      <c r="G37" s="811">
        <f t="shared" si="64"/>
        <v>0</v>
      </c>
      <c r="H37" s="811">
        <f t="shared" si="64"/>
        <v>0</v>
      </c>
      <c r="I37" s="811">
        <f t="shared" si="64"/>
        <v>0</v>
      </c>
      <c r="J37" s="811">
        <f t="shared" si="64"/>
        <v>0</v>
      </c>
      <c r="K37" s="811">
        <f t="shared" si="64"/>
        <v>0</v>
      </c>
      <c r="L37" s="811">
        <f t="shared" si="64"/>
        <v>0</v>
      </c>
      <c r="M37" s="811">
        <f t="shared" si="64"/>
        <v>0</v>
      </c>
      <c r="N37" s="812"/>
      <c r="O37" s="811">
        <f>SUM(O34:O36)</f>
        <v>0</v>
      </c>
      <c r="P37" s="812"/>
      <c r="Q37" s="811"/>
      <c r="R37" s="821">
        <f t="shared" ref="R37:AW37" si="65">SUM(R34:R36)</f>
        <v>0</v>
      </c>
      <c r="S37" s="821">
        <f t="shared" si="65"/>
        <v>0</v>
      </c>
      <c r="T37" s="821">
        <f t="shared" si="65"/>
        <v>0</v>
      </c>
      <c r="U37" s="821">
        <f t="shared" si="65"/>
        <v>0</v>
      </c>
      <c r="V37" s="821">
        <f t="shared" si="65"/>
        <v>0</v>
      </c>
      <c r="W37" s="821">
        <f t="shared" si="65"/>
        <v>0</v>
      </c>
      <c r="X37" s="821">
        <f t="shared" si="65"/>
        <v>0</v>
      </c>
      <c r="Y37" s="821">
        <f t="shared" si="65"/>
        <v>0</v>
      </c>
      <c r="Z37" s="821">
        <f t="shared" si="65"/>
        <v>0</v>
      </c>
      <c r="AA37" s="821">
        <f t="shared" si="65"/>
        <v>0</v>
      </c>
      <c r="AB37" s="821">
        <f t="shared" si="65"/>
        <v>0</v>
      </c>
      <c r="AC37" s="821">
        <f t="shared" si="65"/>
        <v>0</v>
      </c>
      <c r="AD37" s="821">
        <f t="shared" si="65"/>
        <v>0</v>
      </c>
      <c r="AE37" s="821">
        <f t="shared" si="65"/>
        <v>0</v>
      </c>
      <c r="AF37" s="821">
        <f t="shared" si="65"/>
        <v>0</v>
      </c>
      <c r="AG37" s="821">
        <f t="shared" si="65"/>
        <v>0</v>
      </c>
      <c r="AH37" s="821">
        <f t="shared" si="65"/>
        <v>0</v>
      </c>
      <c r="AI37" s="821">
        <f t="shared" si="65"/>
        <v>0</v>
      </c>
      <c r="AJ37" s="821">
        <f t="shared" si="65"/>
        <v>0</v>
      </c>
      <c r="AK37" s="821">
        <f t="shared" si="65"/>
        <v>0</v>
      </c>
      <c r="AL37" s="821">
        <f t="shared" si="65"/>
        <v>0</v>
      </c>
      <c r="AM37" s="821">
        <f t="shared" si="65"/>
        <v>0</v>
      </c>
      <c r="AN37" s="821">
        <f t="shared" si="65"/>
        <v>0</v>
      </c>
      <c r="AO37" s="821">
        <f t="shared" si="65"/>
        <v>0</v>
      </c>
      <c r="AP37" s="821">
        <f t="shared" si="65"/>
        <v>0</v>
      </c>
      <c r="AQ37" s="821">
        <f t="shared" si="65"/>
        <v>0</v>
      </c>
      <c r="AR37" s="821">
        <f t="shared" si="65"/>
        <v>0</v>
      </c>
      <c r="AS37" s="821">
        <f t="shared" si="65"/>
        <v>0</v>
      </c>
      <c r="AT37" s="821">
        <f t="shared" si="65"/>
        <v>0</v>
      </c>
      <c r="AU37" s="821">
        <f t="shared" si="65"/>
        <v>0</v>
      </c>
      <c r="AV37" s="821">
        <f t="shared" si="65"/>
        <v>0</v>
      </c>
      <c r="AW37" s="821">
        <f t="shared" si="65"/>
        <v>0</v>
      </c>
      <c r="AX37" s="821">
        <f t="shared" ref="AX37:CC37" si="66">SUM(AX34:AX36)</f>
        <v>0</v>
      </c>
      <c r="AY37" s="821">
        <f t="shared" si="66"/>
        <v>0</v>
      </c>
      <c r="AZ37" s="821">
        <f t="shared" si="66"/>
        <v>0</v>
      </c>
      <c r="BA37" s="821">
        <f t="shared" si="66"/>
        <v>0</v>
      </c>
      <c r="BB37" s="821">
        <f t="shared" si="66"/>
        <v>0</v>
      </c>
      <c r="BC37" s="821">
        <f t="shared" si="66"/>
        <v>0</v>
      </c>
      <c r="BD37" s="821">
        <f t="shared" si="66"/>
        <v>0</v>
      </c>
      <c r="BE37" s="821">
        <f t="shared" si="66"/>
        <v>0</v>
      </c>
      <c r="BF37" s="821">
        <f t="shared" si="66"/>
        <v>0</v>
      </c>
      <c r="BG37" s="821">
        <f t="shared" si="66"/>
        <v>0</v>
      </c>
      <c r="BH37" s="821">
        <f t="shared" si="66"/>
        <v>0</v>
      </c>
      <c r="BI37" s="821">
        <f t="shared" si="66"/>
        <v>0</v>
      </c>
      <c r="BJ37" s="821">
        <f t="shared" si="66"/>
        <v>0</v>
      </c>
      <c r="BK37" s="821">
        <f t="shared" si="66"/>
        <v>0</v>
      </c>
      <c r="BL37" s="821">
        <f t="shared" si="66"/>
        <v>0</v>
      </c>
      <c r="BM37" s="821">
        <f t="shared" si="66"/>
        <v>0</v>
      </c>
      <c r="BN37" s="821">
        <f t="shared" si="66"/>
        <v>0</v>
      </c>
      <c r="BO37" s="821">
        <f t="shared" si="66"/>
        <v>0</v>
      </c>
      <c r="BP37" s="821">
        <f t="shared" si="66"/>
        <v>0</v>
      </c>
      <c r="BQ37" s="821">
        <f t="shared" si="66"/>
        <v>0</v>
      </c>
      <c r="BR37" s="821">
        <f t="shared" si="66"/>
        <v>0</v>
      </c>
      <c r="BS37" s="821">
        <f t="shared" si="66"/>
        <v>0</v>
      </c>
      <c r="BT37" s="821">
        <f t="shared" si="66"/>
        <v>0</v>
      </c>
      <c r="BU37" s="821">
        <f t="shared" si="66"/>
        <v>0</v>
      </c>
      <c r="BV37" s="821">
        <f t="shared" si="66"/>
        <v>0</v>
      </c>
      <c r="BW37" s="821">
        <f t="shared" si="66"/>
        <v>0</v>
      </c>
      <c r="BX37" s="821">
        <f t="shared" si="66"/>
        <v>0</v>
      </c>
      <c r="BY37" s="821">
        <f t="shared" si="66"/>
        <v>0</v>
      </c>
      <c r="BZ37" s="821">
        <f t="shared" si="66"/>
        <v>0</v>
      </c>
      <c r="CA37" s="821">
        <f t="shared" si="66"/>
        <v>0</v>
      </c>
      <c r="CB37" s="821">
        <f t="shared" si="66"/>
        <v>0</v>
      </c>
      <c r="CC37" s="821">
        <f t="shared" si="66"/>
        <v>0</v>
      </c>
      <c r="CD37" s="821">
        <f t="shared" ref="CD37:DI37" si="67">SUM(CD34:CD36)</f>
        <v>0</v>
      </c>
      <c r="CE37" s="821">
        <f t="shared" si="67"/>
        <v>0</v>
      </c>
      <c r="CF37" s="821">
        <f t="shared" si="67"/>
        <v>0</v>
      </c>
      <c r="CG37" s="821">
        <f t="shared" si="67"/>
        <v>0</v>
      </c>
      <c r="CH37" s="821">
        <f t="shared" si="67"/>
        <v>0</v>
      </c>
      <c r="CI37" s="821">
        <f t="shared" si="67"/>
        <v>0</v>
      </c>
      <c r="CJ37" s="821">
        <f t="shared" si="67"/>
        <v>0</v>
      </c>
      <c r="CK37" s="821">
        <f t="shared" si="67"/>
        <v>0</v>
      </c>
      <c r="CL37" s="821">
        <f t="shared" si="67"/>
        <v>0</v>
      </c>
      <c r="CM37" s="821">
        <f t="shared" si="67"/>
        <v>0</v>
      </c>
      <c r="CN37" s="821">
        <f t="shared" si="67"/>
        <v>0</v>
      </c>
      <c r="CO37" s="821">
        <f t="shared" si="67"/>
        <v>0</v>
      </c>
      <c r="CP37" s="821">
        <f t="shared" si="67"/>
        <v>0</v>
      </c>
      <c r="CQ37" s="821">
        <f t="shared" si="67"/>
        <v>0</v>
      </c>
      <c r="CR37" s="821">
        <f t="shared" si="67"/>
        <v>0</v>
      </c>
      <c r="CS37" s="821">
        <f t="shared" si="67"/>
        <v>0</v>
      </c>
      <c r="CT37" s="821">
        <f t="shared" si="67"/>
        <v>0</v>
      </c>
      <c r="CU37" s="821">
        <f t="shared" si="67"/>
        <v>0</v>
      </c>
      <c r="CV37" s="821">
        <f t="shared" si="67"/>
        <v>0</v>
      </c>
      <c r="CW37" s="821">
        <f t="shared" si="67"/>
        <v>0</v>
      </c>
      <c r="CX37" s="821">
        <f t="shared" si="67"/>
        <v>0</v>
      </c>
      <c r="CY37" s="821">
        <f t="shared" si="67"/>
        <v>0</v>
      </c>
      <c r="CZ37" s="821">
        <f t="shared" si="67"/>
        <v>0</v>
      </c>
      <c r="DA37" s="821">
        <f t="shared" si="67"/>
        <v>0</v>
      </c>
      <c r="DB37" s="821">
        <f t="shared" si="67"/>
        <v>0</v>
      </c>
      <c r="DC37" s="821">
        <f t="shared" si="67"/>
        <v>0</v>
      </c>
      <c r="DD37" s="821">
        <f t="shared" si="67"/>
        <v>0</v>
      </c>
      <c r="DE37" s="821">
        <f t="shared" si="67"/>
        <v>0</v>
      </c>
      <c r="DF37" s="821">
        <f t="shared" si="67"/>
        <v>0</v>
      </c>
      <c r="DG37" s="821">
        <f t="shared" si="67"/>
        <v>0</v>
      </c>
      <c r="DH37" s="821">
        <f t="shared" si="67"/>
        <v>0</v>
      </c>
      <c r="DI37" s="821">
        <f t="shared" si="67"/>
        <v>0</v>
      </c>
      <c r="DJ37" s="821">
        <f t="shared" ref="DJ37:EO37" si="68">SUM(DJ34:DJ36)</f>
        <v>0</v>
      </c>
      <c r="DK37" s="821">
        <f t="shared" si="68"/>
        <v>0</v>
      </c>
      <c r="DL37" s="821">
        <f t="shared" si="68"/>
        <v>0</v>
      </c>
      <c r="DM37" s="821">
        <f t="shared" si="68"/>
        <v>0</v>
      </c>
      <c r="DN37" s="821">
        <f t="shared" si="68"/>
        <v>0</v>
      </c>
      <c r="DO37" s="821">
        <f t="shared" si="68"/>
        <v>0</v>
      </c>
      <c r="DP37" s="821">
        <f t="shared" si="68"/>
        <v>0</v>
      </c>
      <c r="DQ37" s="821">
        <f t="shared" si="68"/>
        <v>0</v>
      </c>
      <c r="DR37" s="821">
        <f t="shared" si="68"/>
        <v>0</v>
      </c>
      <c r="DS37" s="821">
        <f t="shared" si="68"/>
        <v>0</v>
      </c>
      <c r="DT37" s="821">
        <f t="shared" si="68"/>
        <v>0</v>
      </c>
      <c r="DU37" s="821">
        <f t="shared" si="68"/>
        <v>0</v>
      </c>
      <c r="DV37" s="821">
        <f t="shared" si="68"/>
        <v>0</v>
      </c>
      <c r="DW37" s="821">
        <f t="shared" si="68"/>
        <v>0</v>
      </c>
      <c r="DX37" s="821">
        <f t="shared" si="68"/>
        <v>0</v>
      </c>
      <c r="DY37" s="821">
        <f t="shared" si="68"/>
        <v>0</v>
      </c>
      <c r="DZ37" s="821">
        <f t="shared" si="68"/>
        <v>0</v>
      </c>
      <c r="EA37" s="821">
        <f t="shared" si="68"/>
        <v>0</v>
      </c>
      <c r="EB37" s="821">
        <f t="shared" si="68"/>
        <v>0</v>
      </c>
      <c r="EC37" s="821">
        <f t="shared" si="68"/>
        <v>0</v>
      </c>
      <c r="ED37" s="821">
        <f t="shared" si="68"/>
        <v>0</v>
      </c>
      <c r="EE37" s="821">
        <f t="shared" si="68"/>
        <v>0</v>
      </c>
      <c r="EF37" s="821">
        <f t="shared" si="68"/>
        <v>0</v>
      </c>
      <c r="EG37" s="821">
        <f t="shared" si="68"/>
        <v>0</v>
      </c>
      <c r="EH37" s="821">
        <f t="shared" si="68"/>
        <v>0</v>
      </c>
      <c r="EI37" s="821">
        <f t="shared" si="68"/>
        <v>0</v>
      </c>
      <c r="EJ37" s="821">
        <f t="shared" si="68"/>
        <v>0</v>
      </c>
      <c r="EK37" s="821">
        <f t="shared" si="68"/>
        <v>0</v>
      </c>
      <c r="EL37" s="821">
        <f t="shared" si="68"/>
        <v>0</v>
      </c>
      <c r="EM37" s="821">
        <f t="shared" si="68"/>
        <v>0</v>
      </c>
      <c r="EN37" s="821">
        <f t="shared" si="68"/>
        <v>0</v>
      </c>
      <c r="EO37" s="821">
        <f t="shared" si="68"/>
        <v>0</v>
      </c>
      <c r="EP37" s="821">
        <f t="shared" ref="EP37:FU37" si="69">SUM(EP34:EP36)</f>
        <v>0</v>
      </c>
      <c r="EQ37" s="821">
        <f t="shared" si="69"/>
        <v>0</v>
      </c>
      <c r="ER37" s="821">
        <f t="shared" si="69"/>
        <v>0</v>
      </c>
      <c r="ES37" s="821">
        <f t="shared" si="69"/>
        <v>0</v>
      </c>
      <c r="ET37" s="192"/>
    </row>
    <row r="38" spans="1:150" hidden="1">
      <c r="A38" s="192"/>
      <c r="B38" s="36"/>
      <c r="C38" s="37"/>
      <c r="D38" s="37"/>
      <c r="E38" s="37"/>
      <c r="F38" s="37"/>
      <c r="G38" s="37"/>
      <c r="H38" s="37"/>
      <c r="I38" s="37"/>
      <c r="J38" s="37"/>
      <c r="K38" s="37"/>
      <c r="L38" s="37"/>
      <c r="M38" s="37"/>
      <c r="N38" s="192"/>
      <c r="O38" s="37"/>
      <c r="P38" s="192"/>
      <c r="Q38" s="37"/>
      <c r="R38" s="37"/>
      <c r="S38" s="37"/>
      <c r="T38" s="37"/>
      <c r="U38" s="37"/>
      <c r="V38" s="37"/>
      <c r="W38" s="37"/>
      <c r="X38" s="37"/>
      <c r="Y38" s="37"/>
      <c r="Z38" s="37"/>
      <c r="AA38" s="37"/>
      <c r="AB38" s="37"/>
      <c r="AC38" s="37"/>
      <c r="AD38" s="37"/>
      <c r="AE38" s="37"/>
      <c r="AF38" s="37"/>
      <c r="AG38" s="37"/>
      <c r="AH38" s="37"/>
      <c r="AI38" s="37"/>
      <c r="AJ38" s="37"/>
      <c r="AK38" s="37"/>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c r="BT38" s="37"/>
      <c r="BU38" s="37"/>
      <c r="BV38" s="37"/>
      <c r="BW38" s="37"/>
      <c r="BX38" s="37"/>
      <c r="BY38" s="37"/>
      <c r="BZ38" s="37"/>
      <c r="CA38" s="37"/>
      <c r="CB38" s="37"/>
      <c r="CC38" s="37"/>
      <c r="CD38" s="37"/>
      <c r="CE38" s="37"/>
      <c r="CF38" s="37"/>
      <c r="CG38" s="37"/>
      <c r="CH38" s="37"/>
      <c r="CI38" s="37"/>
      <c r="CJ38" s="37"/>
      <c r="CK38" s="37"/>
      <c r="CL38" s="37"/>
      <c r="CM38" s="37"/>
      <c r="CN38" s="37"/>
      <c r="CO38" s="37"/>
      <c r="CP38" s="37"/>
      <c r="CQ38" s="37"/>
      <c r="CR38" s="37"/>
      <c r="CS38" s="37"/>
      <c r="CT38" s="37"/>
      <c r="CU38" s="37"/>
      <c r="CV38" s="37"/>
      <c r="CW38" s="37"/>
      <c r="CX38" s="37"/>
      <c r="CY38" s="37"/>
      <c r="CZ38" s="37"/>
      <c r="DA38" s="37"/>
      <c r="DB38" s="37"/>
      <c r="DC38" s="37"/>
      <c r="DD38" s="37"/>
      <c r="DE38" s="37"/>
      <c r="DF38" s="37"/>
      <c r="DG38" s="37"/>
      <c r="DH38" s="37"/>
      <c r="DI38" s="37"/>
      <c r="DJ38" s="37"/>
      <c r="DK38" s="37"/>
      <c r="DL38" s="37"/>
      <c r="DM38" s="37"/>
      <c r="DN38" s="37"/>
      <c r="DO38" s="37"/>
      <c r="DP38" s="37"/>
      <c r="DQ38" s="37"/>
      <c r="DR38" s="37"/>
      <c r="DS38" s="37"/>
      <c r="DT38" s="37"/>
      <c r="DU38" s="37"/>
      <c r="DV38" s="37"/>
      <c r="DW38" s="37"/>
      <c r="DX38" s="37"/>
      <c r="DY38" s="37"/>
      <c r="DZ38" s="37"/>
      <c r="EA38" s="37"/>
      <c r="EB38" s="37"/>
      <c r="EC38" s="37"/>
      <c r="ED38" s="37"/>
      <c r="EE38" s="37"/>
      <c r="EF38" s="37"/>
      <c r="EG38" s="37"/>
      <c r="EH38" s="37"/>
      <c r="EI38" s="37"/>
      <c r="EJ38" s="37"/>
      <c r="EK38" s="37"/>
      <c r="EL38" s="37"/>
      <c r="EM38" s="37"/>
      <c r="EN38" s="37"/>
      <c r="EO38" s="37"/>
      <c r="EP38" s="37"/>
      <c r="EQ38" s="37"/>
      <c r="ER38" s="37"/>
      <c r="ES38" s="37"/>
      <c r="ET38" s="192"/>
    </row>
    <row r="39" spans="1:150" hidden="1">
      <c r="A39" s="192"/>
      <c r="B39" s="192"/>
      <c r="C39" s="192"/>
      <c r="D39" s="192"/>
      <c r="E39" s="192"/>
      <c r="F39" s="192"/>
      <c r="G39" s="192"/>
      <c r="H39" s="192"/>
      <c r="I39" s="192"/>
      <c r="J39" s="192"/>
      <c r="K39" s="192"/>
      <c r="L39" s="192"/>
      <c r="M39" s="192"/>
      <c r="N39" s="192"/>
      <c r="O39" s="192"/>
      <c r="P39" s="192"/>
      <c r="Q39" s="192"/>
      <c r="R39" s="192"/>
      <c r="S39" s="192"/>
      <c r="T39" s="192"/>
      <c r="U39" s="192"/>
      <c r="V39" s="192"/>
      <c r="W39" s="192"/>
      <c r="X39" s="192"/>
      <c r="Y39" s="192"/>
      <c r="Z39" s="192"/>
      <c r="AA39" s="192"/>
      <c r="AB39" s="192"/>
      <c r="AC39" s="192"/>
      <c r="AD39" s="192"/>
      <c r="AE39" s="192"/>
      <c r="AF39" s="192"/>
      <c r="AG39" s="192"/>
      <c r="AH39" s="192"/>
      <c r="AI39" s="192"/>
      <c r="AJ39" s="192"/>
      <c r="AK39" s="192"/>
      <c r="AL39" s="192"/>
      <c r="AM39" s="192"/>
      <c r="AN39" s="192"/>
      <c r="AO39" s="192"/>
      <c r="AP39" s="192"/>
      <c r="AQ39" s="192"/>
      <c r="AR39" s="192"/>
      <c r="AS39" s="192"/>
      <c r="AT39" s="192"/>
      <c r="AU39" s="192"/>
      <c r="AV39" s="192"/>
      <c r="AW39" s="192"/>
      <c r="AX39" s="192"/>
      <c r="AY39" s="192"/>
      <c r="AZ39" s="192"/>
      <c r="BA39" s="192"/>
      <c r="BB39" s="192"/>
      <c r="BC39" s="192"/>
      <c r="BD39" s="192"/>
      <c r="BE39" s="192"/>
      <c r="BF39" s="192"/>
      <c r="BG39" s="192"/>
      <c r="BH39" s="192"/>
      <c r="BI39" s="192"/>
      <c r="BJ39" s="192"/>
      <c r="BK39" s="192"/>
      <c r="BL39" s="192"/>
      <c r="BM39" s="192"/>
      <c r="BN39" s="192"/>
      <c r="BO39" s="192"/>
      <c r="BP39" s="192"/>
      <c r="BQ39" s="192"/>
      <c r="BR39" s="192"/>
      <c r="BS39" s="192"/>
      <c r="BT39" s="192"/>
      <c r="BU39" s="192"/>
      <c r="BV39" s="192"/>
      <c r="BW39" s="192"/>
      <c r="BX39" s="192"/>
      <c r="BY39" s="192"/>
      <c r="BZ39" s="192"/>
      <c r="CA39" s="192"/>
      <c r="CB39" s="192"/>
      <c r="CC39" s="192"/>
      <c r="CD39" s="192"/>
      <c r="CE39" s="192"/>
      <c r="CF39" s="192"/>
      <c r="CG39" s="192"/>
      <c r="CH39" s="192"/>
      <c r="CI39" s="192"/>
      <c r="CJ39" s="192"/>
      <c r="CK39" s="192"/>
      <c r="CL39" s="192"/>
      <c r="CM39" s="192"/>
      <c r="CN39" s="192"/>
      <c r="CO39" s="192"/>
      <c r="CP39" s="192"/>
      <c r="CQ39" s="192"/>
      <c r="CR39" s="192"/>
      <c r="CS39" s="192"/>
      <c r="CT39" s="192"/>
      <c r="CU39" s="192"/>
      <c r="CV39" s="192"/>
      <c r="CW39" s="192"/>
      <c r="CX39" s="192"/>
      <c r="CY39" s="192"/>
      <c r="CZ39" s="192"/>
      <c r="DA39" s="192"/>
      <c r="DB39" s="192"/>
      <c r="DC39" s="192"/>
      <c r="DD39" s="192"/>
      <c r="DE39" s="192"/>
      <c r="DF39" s="192"/>
      <c r="DG39" s="192"/>
      <c r="DH39" s="192"/>
      <c r="DI39" s="192"/>
      <c r="DJ39" s="192"/>
      <c r="DK39" s="192"/>
      <c r="DL39" s="192"/>
      <c r="DM39" s="192"/>
      <c r="DN39" s="192"/>
      <c r="DO39" s="192"/>
      <c r="DP39" s="192"/>
      <c r="DQ39" s="192"/>
      <c r="DR39" s="192"/>
      <c r="DS39" s="192"/>
      <c r="DT39" s="192"/>
      <c r="DU39" s="192"/>
      <c r="DV39" s="192"/>
      <c r="DW39" s="192"/>
      <c r="DX39" s="192"/>
      <c r="DY39" s="192"/>
      <c r="DZ39" s="192"/>
      <c r="EA39" s="192"/>
      <c r="EB39" s="192"/>
      <c r="EC39" s="192"/>
      <c r="ED39" s="192"/>
      <c r="EE39" s="192"/>
      <c r="EF39" s="192"/>
      <c r="EG39" s="192"/>
      <c r="EH39" s="192"/>
      <c r="EI39" s="192"/>
      <c r="EJ39" s="192"/>
      <c r="EK39" s="192"/>
      <c r="EL39" s="192"/>
      <c r="EM39" s="192"/>
      <c r="EN39" s="192"/>
      <c r="EO39" s="192"/>
      <c r="EP39" s="192"/>
      <c r="EQ39" s="192"/>
      <c r="ER39" s="192"/>
      <c r="ES39" s="192"/>
      <c r="ET39" s="192"/>
    </row>
    <row r="40" spans="1:150" hidden="1">
      <c r="A40" s="192"/>
      <c r="B40" s="192"/>
      <c r="C40" s="192"/>
      <c r="D40" s="192"/>
      <c r="E40" s="192"/>
      <c r="F40" s="192"/>
      <c r="G40" s="192"/>
      <c r="H40" s="192"/>
      <c r="I40" s="192"/>
      <c r="J40" s="192"/>
      <c r="K40" s="192"/>
      <c r="L40" s="192"/>
      <c r="M40" s="192"/>
      <c r="N40" s="192"/>
      <c r="O40" s="192"/>
      <c r="P40" s="192"/>
      <c r="Q40" s="192"/>
      <c r="R40" s="192"/>
      <c r="S40" s="192"/>
      <c r="T40" s="192"/>
      <c r="U40" s="192"/>
      <c r="V40" s="192"/>
      <c r="W40" s="192"/>
      <c r="X40" s="192"/>
      <c r="Y40" s="192"/>
      <c r="Z40" s="192"/>
      <c r="AA40" s="192"/>
      <c r="AB40" s="192"/>
      <c r="AC40" s="192"/>
      <c r="AD40" s="192"/>
      <c r="AE40" s="192"/>
      <c r="AF40" s="192"/>
      <c r="AG40" s="192"/>
      <c r="AH40" s="192"/>
      <c r="AI40" s="192"/>
      <c r="AJ40" s="192"/>
      <c r="AK40" s="192"/>
      <c r="AL40" s="192"/>
      <c r="AM40" s="192"/>
      <c r="AN40" s="192"/>
      <c r="AO40" s="192"/>
      <c r="AP40" s="192"/>
      <c r="AQ40" s="192"/>
      <c r="AR40" s="192"/>
      <c r="AS40" s="192"/>
      <c r="AT40" s="192"/>
      <c r="AU40" s="192"/>
      <c r="AV40" s="192"/>
      <c r="AW40" s="192"/>
      <c r="AX40" s="192"/>
      <c r="AY40" s="192"/>
      <c r="AZ40" s="192"/>
      <c r="BA40" s="192"/>
      <c r="BB40" s="192"/>
      <c r="BC40" s="192"/>
      <c r="BD40" s="192"/>
      <c r="BE40" s="192"/>
      <c r="BF40" s="192"/>
      <c r="BG40" s="192"/>
      <c r="BH40" s="192"/>
      <c r="BI40" s="192"/>
      <c r="BJ40" s="192"/>
      <c r="BK40" s="192"/>
      <c r="BL40" s="192"/>
      <c r="BM40" s="192"/>
      <c r="BN40" s="192"/>
      <c r="BO40" s="192"/>
      <c r="BP40" s="192"/>
      <c r="BQ40" s="192"/>
      <c r="BR40" s="192"/>
      <c r="BS40" s="192"/>
      <c r="BT40" s="192"/>
      <c r="BU40" s="192"/>
      <c r="BV40" s="192"/>
      <c r="BW40" s="192"/>
      <c r="BX40" s="192"/>
      <c r="BY40" s="192"/>
      <c r="BZ40" s="192"/>
      <c r="CA40" s="192"/>
      <c r="CB40" s="192"/>
      <c r="CC40" s="192"/>
      <c r="CD40" s="192"/>
      <c r="CE40" s="192"/>
      <c r="CF40" s="192"/>
      <c r="CG40" s="192"/>
      <c r="CH40" s="192"/>
      <c r="CI40" s="192"/>
      <c r="CJ40" s="192"/>
      <c r="CK40" s="192"/>
      <c r="CL40" s="192"/>
      <c r="CM40" s="192"/>
      <c r="CN40" s="192"/>
      <c r="CO40" s="192"/>
      <c r="CP40" s="192"/>
      <c r="CQ40" s="192"/>
      <c r="CR40" s="192"/>
      <c r="CS40" s="192"/>
      <c r="CT40" s="192"/>
      <c r="CU40" s="192"/>
      <c r="CV40" s="192"/>
      <c r="CW40" s="192"/>
      <c r="CX40" s="192"/>
      <c r="CY40" s="192"/>
      <c r="CZ40" s="192"/>
      <c r="DA40" s="192"/>
      <c r="DB40" s="192"/>
      <c r="DC40" s="192"/>
      <c r="DD40" s="192"/>
      <c r="DE40" s="192"/>
      <c r="DF40" s="192"/>
      <c r="DG40" s="192"/>
      <c r="DH40" s="192"/>
      <c r="DI40" s="192"/>
      <c r="DJ40" s="192"/>
      <c r="DK40" s="192"/>
      <c r="DL40" s="192"/>
      <c r="DM40" s="192"/>
      <c r="DN40" s="192"/>
      <c r="DO40" s="192"/>
      <c r="DP40" s="192"/>
      <c r="DQ40" s="192"/>
      <c r="DR40" s="192"/>
      <c r="DS40" s="192"/>
      <c r="DT40" s="192"/>
      <c r="DU40" s="192"/>
      <c r="DV40" s="192"/>
      <c r="DW40" s="192"/>
      <c r="DX40" s="192"/>
      <c r="DY40" s="192"/>
      <c r="DZ40" s="192"/>
      <c r="EA40" s="192"/>
      <c r="EB40" s="192"/>
      <c r="EC40" s="192"/>
      <c r="ED40" s="192"/>
      <c r="EE40" s="192"/>
      <c r="EF40" s="192"/>
      <c r="EG40" s="192"/>
      <c r="EH40" s="192"/>
      <c r="EI40" s="192"/>
      <c r="EJ40" s="192"/>
      <c r="EK40" s="192"/>
      <c r="EL40" s="192"/>
      <c r="EM40" s="192"/>
      <c r="EN40" s="192"/>
      <c r="EO40" s="192"/>
      <c r="EP40" s="192"/>
      <c r="EQ40" s="192"/>
      <c r="ER40" s="192"/>
      <c r="ES40" s="192"/>
      <c r="ET40" s="192"/>
    </row>
    <row r="41" spans="1:150" s="192" customFormat="1" ht="15.75" customHeight="1">
      <c r="B41" s="1034" t="s">
        <v>558</v>
      </c>
      <c r="C41" s="1019"/>
      <c r="D41" s="1019"/>
      <c r="E41" s="1019"/>
      <c r="F41" s="1019"/>
      <c r="G41" s="1019"/>
      <c r="H41" s="1019"/>
      <c r="I41" s="1019"/>
      <c r="J41" s="1019"/>
      <c r="K41" s="1019"/>
      <c r="L41" s="1019"/>
      <c r="M41" s="1019"/>
      <c r="O41" s="1019"/>
      <c r="Q41" s="1034" t="s">
        <v>559</v>
      </c>
      <c r="R41" s="1019"/>
      <c r="S41" s="1019"/>
      <c r="T41" s="1019"/>
      <c r="U41" s="1019"/>
      <c r="V41" s="1019"/>
      <c r="W41" s="1019"/>
      <c r="X41" s="1019"/>
      <c r="Y41" s="1019"/>
      <c r="Z41" s="1019"/>
      <c r="AA41" s="1019"/>
      <c r="AB41" s="1019"/>
      <c r="AC41" s="1019"/>
      <c r="AD41" s="1019"/>
      <c r="AE41" s="1019"/>
      <c r="AF41" s="1019"/>
      <c r="AG41" s="1019"/>
      <c r="AH41" s="1019"/>
      <c r="AI41" s="1019"/>
      <c r="AJ41" s="1019"/>
      <c r="AK41" s="1019"/>
      <c r="AL41" s="1019"/>
      <c r="AM41" s="1019"/>
      <c r="AN41" s="1019"/>
      <c r="AO41" s="1019"/>
      <c r="AP41" s="1019"/>
      <c r="AQ41" s="1019"/>
      <c r="AR41" s="1019"/>
      <c r="AS41" s="1019"/>
      <c r="AT41" s="1019"/>
      <c r="AU41" s="1019"/>
      <c r="AV41" s="1019"/>
      <c r="AW41" s="1019"/>
      <c r="AX41" s="1019"/>
      <c r="AY41" s="1019"/>
      <c r="AZ41" s="1019"/>
      <c r="BA41" s="1019"/>
      <c r="BB41" s="1019"/>
      <c r="BC41" s="1019"/>
      <c r="BD41" s="1019"/>
      <c r="BE41" s="1019"/>
      <c r="BF41" s="1019"/>
      <c r="BG41" s="1019"/>
      <c r="BH41" s="1019"/>
      <c r="BI41" s="1019"/>
      <c r="BJ41" s="1019"/>
      <c r="BK41" s="1019"/>
      <c r="BL41" s="1019"/>
      <c r="BM41" s="1019"/>
      <c r="BN41" s="1019"/>
      <c r="BO41" s="1019"/>
      <c r="BP41" s="1019"/>
      <c r="BQ41" s="1019"/>
      <c r="BR41" s="1019"/>
      <c r="BS41" s="1019"/>
      <c r="BT41" s="1019"/>
      <c r="BU41" s="1019"/>
      <c r="BV41" s="1019"/>
      <c r="BW41" s="1019"/>
      <c r="BX41" s="1019"/>
      <c r="BY41" s="1019"/>
      <c r="BZ41" s="1019"/>
      <c r="CA41" s="1019"/>
      <c r="CB41" s="1019"/>
      <c r="CC41" s="1019"/>
      <c r="CD41" s="1019"/>
      <c r="CE41" s="1019"/>
      <c r="CF41" s="1019"/>
      <c r="CG41" s="1019"/>
      <c r="CH41" s="1019"/>
      <c r="CI41" s="1019"/>
      <c r="CJ41" s="1019"/>
      <c r="CK41" s="1019"/>
      <c r="CL41" s="1019"/>
      <c r="CM41" s="1019"/>
      <c r="CN41" s="1019"/>
      <c r="CO41" s="1019"/>
      <c r="CP41" s="1019"/>
      <c r="CQ41" s="1019"/>
      <c r="CR41" s="1019"/>
      <c r="CS41" s="1019"/>
      <c r="CT41" s="1019"/>
      <c r="CU41" s="1019"/>
      <c r="CV41" s="1019"/>
      <c r="CW41" s="1019"/>
      <c r="CX41" s="1019"/>
      <c r="CY41" s="1019"/>
      <c r="CZ41" s="1019"/>
      <c r="DA41" s="1019"/>
      <c r="DB41" s="1019"/>
      <c r="DC41" s="1019"/>
      <c r="DD41" s="1019"/>
      <c r="DE41" s="1019"/>
      <c r="DF41" s="1019"/>
      <c r="DG41" s="1019"/>
      <c r="DH41" s="1019"/>
      <c r="DI41" s="1019"/>
      <c r="DJ41" s="1019"/>
      <c r="DK41" s="1019"/>
      <c r="DL41" s="1019"/>
      <c r="DM41" s="1019"/>
      <c r="DN41" s="1019"/>
      <c r="DO41" s="1019"/>
      <c r="DP41" s="1019"/>
      <c r="DQ41" s="1019"/>
      <c r="DR41" s="1019"/>
      <c r="DS41" s="1019"/>
      <c r="DT41" s="1019"/>
      <c r="DU41" s="1019"/>
      <c r="DV41" s="1019"/>
      <c r="DW41" s="1019"/>
      <c r="DX41" s="1019"/>
      <c r="DY41" s="1019"/>
      <c r="DZ41" s="1019"/>
      <c r="EA41" s="1019"/>
      <c r="EB41" s="1019"/>
      <c r="EC41" s="1019"/>
      <c r="ED41" s="1019"/>
      <c r="EE41" s="1019"/>
      <c r="EF41" s="1019"/>
      <c r="EG41" s="1019"/>
      <c r="EH41" s="1019"/>
      <c r="EI41" s="1019"/>
      <c r="EJ41" s="1019"/>
      <c r="EK41" s="1019"/>
      <c r="EL41" s="1019"/>
      <c r="EM41" s="1019"/>
      <c r="EN41" s="1019"/>
      <c r="EO41" s="1019"/>
      <c r="EP41" s="1019"/>
      <c r="EQ41" s="1019"/>
      <c r="ER41" s="1019"/>
      <c r="ES41" s="1019"/>
    </row>
    <row r="42" spans="1:150" ht="15.75" customHeight="1">
      <c r="A42" s="192"/>
      <c r="B42" s="192"/>
      <c r="C42" s="192"/>
      <c r="D42" s="192"/>
      <c r="E42" s="192"/>
      <c r="F42" s="192"/>
      <c r="G42" s="192"/>
      <c r="H42" s="192"/>
      <c r="I42" s="192"/>
      <c r="J42" s="192"/>
      <c r="K42" s="192"/>
      <c r="L42" s="192"/>
      <c r="M42" s="192"/>
      <c r="N42" s="192"/>
      <c r="O42" s="192"/>
      <c r="P42" s="192"/>
      <c r="Q42" s="192"/>
      <c r="R42" s="192"/>
      <c r="S42" s="192"/>
      <c r="T42" s="192"/>
      <c r="U42" s="192"/>
      <c r="V42" s="192"/>
      <c r="W42" s="192"/>
      <c r="X42" s="192"/>
      <c r="Y42" s="192"/>
      <c r="Z42" s="192"/>
      <c r="AA42" s="192"/>
      <c r="AB42" s="192"/>
      <c r="AC42" s="192"/>
      <c r="AD42" s="192"/>
      <c r="AE42" s="192"/>
      <c r="AF42" s="192"/>
      <c r="AG42" s="192"/>
      <c r="AH42" s="192"/>
      <c r="AI42" s="192"/>
      <c r="AJ42" s="192"/>
      <c r="AK42" s="192"/>
      <c r="AL42" s="192"/>
      <c r="AM42" s="192"/>
      <c r="AN42" s="192"/>
      <c r="AO42" s="192"/>
      <c r="AP42" s="192"/>
      <c r="AQ42" s="192"/>
      <c r="AR42" s="192"/>
      <c r="AS42" s="192"/>
      <c r="AT42" s="192"/>
      <c r="AU42" s="192"/>
      <c r="AV42" s="192"/>
      <c r="AW42" s="192"/>
      <c r="AX42" s="192"/>
      <c r="AY42" s="192"/>
      <c r="AZ42" s="192"/>
      <c r="BA42" s="192"/>
      <c r="BB42" s="192"/>
      <c r="BC42" s="192"/>
      <c r="BD42" s="192"/>
      <c r="BE42" s="192"/>
      <c r="BF42" s="192"/>
      <c r="BG42" s="192"/>
      <c r="BH42" s="192"/>
      <c r="BI42" s="192"/>
      <c r="BJ42" s="192"/>
      <c r="BK42" s="192"/>
      <c r="BL42" s="192"/>
      <c r="BM42" s="192"/>
      <c r="BN42" s="192"/>
      <c r="BO42" s="192"/>
      <c r="BP42" s="192"/>
      <c r="BQ42" s="192"/>
      <c r="BR42" s="192"/>
      <c r="BS42" s="192"/>
      <c r="BT42" s="192"/>
      <c r="BU42" s="192"/>
      <c r="BV42" s="192"/>
      <c r="BW42" s="192"/>
      <c r="BX42" s="192"/>
      <c r="BY42" s="192"/>
      <c r="BZ42" s="192"/>
      <c r="CA42" s="192"/>
      <c r="CB42" s="192"/>
      <c r="CC42" s="192"/>
      <c r="CD42" s="192"/>
      <c r="CE42" s="192"/>
      <c r="CF42" s="192"/>
      <c r="CG42" s="192"/>
      <c r="CH42" s="192"/>
      <c r="CI42" s="192"/>
      <c r="CJ42" s="192"/>
      <c r="CK42" s="192"/>
      <c r="CL42" s="192"/>
      <c r="CM42" s="192"/>
      <c r="CN42" s="192"/>
      <c r="CO42" s="192"/>
      <c r="CP42" s="192"/>
      <c r="CQ42" s="192"/>
      <c r="CR42" s="192"/>
      <c r="CS42" s="192"/>
      <c r="CT42" s="192"/>
      <c r="CU42" s="192"/>
      <c r="CV42" s="192"/>
      <c r="CW42" s="192"/>
      <c r="CX42" s="192"/>
      <c r="CY42" s="192"/>
      <c r="CZ42" s="192"/>
      <c r="DA42" s="192"/>
      <c r="DB42" s="192"/>
      <c r="DC42" s="192"/>
      <c r="DD42" s="192"/>
      <c r="DE42" s="192"/>
      <c r="DF42" s="192"/>
      <c r="DG42" s="192"/>
      <c r="DH42" s="192"/>
      <c r="DI42" s="192"/>
      <c r="DJ42" s="192"/>
      <c r="DK42" s="192"/>
      <c r="DL42" s="192"/>
      <c r="DM42" s="192"/>
      <c r="DN42" s="192"/>
      <c r="DO42" s="192"/>
      <c r="DP42" s="192"/>
      <c r="DQ42" s="192"/>
      <c r="DR42" s="192"/>
      <c r="DS42" s="192"/>
      <c r="DT42" s="192"/>
      <c r="DU42" s="192"/>
      <c r="DV42" s="192"/>
      <c r="DW42" s="192"/>
      <c r="DX42" s="192"/>
      <c r="DY42" s="192"/>
      <c r="DZ42" s="192"/>
      <c r="EA42" s="192"/>
      <c r="EB42" s="192"/>
      <c r="EC42" s="192"/>
      <c r="ED42" s="192"/>
      <c r="EE42" s="192"/>
      <c r="EF42" s="192"/>
      <c r="EG42" s="192"/>
      <c r="EH42" s="192"/>
      <c r="EI42" s="192"/>
      <c r="EJ42" s="192"/>
      <c r="EK42" s="192"/>
      <c r="EL42" s="192"/>
      <c r="EM42" s="192"/>
      <c r="EN42" s="192"/>
      <c r="EO42" s="192"/>
      <c r="EP42" s="192"/>
      <c r="EQ42" s="192"/>
      <c r="ER42" s="192"/>
      <c r="ES42" s="192"/>
      <c r="ET42" s="192"/>
    </row>
    <row r="43" spans="1:150" s="192" customFormat="1" ht="14.25" customHeight="1">
      <c r="B43" s="1043" t="s">
        <v>560</v>
      </c>
      <c r="C43" s="196"/>
      <c r="D43" s="197"/>
      <c r="E43" s="197"/>
      <c r="F43" s="197"/>
      <c r="G43" s="197"/>
      <c r="H43" s="197"/>
      <c r="I43" s="197"/>
      <c r="J43" s="197"/>
      <c r="K43" s="197"/>
      <c r="L43" s="197"/>
      <c r="M43" s="197"/>
      <c r="O43" s="197"/>
      <c r="Q43" s="197"/>
      <c r="R43" s="197"/>
      <c r="S43" s="197"/>
      <c r="T43" s="197"/>
      <c r="U43" s="197"/>
      <c r="V43" s="197"/>
      <c r="W43" s="197"/>
      <c r="X43" s="197"/>
      <c r="Y43" s="197"/>
      <c r="Z43" s="197"/>
      <c r="AA43" s="197"/>
      <c r="AB43" s="197"/>
      <c r="AC43" s="197"/>
      <c r="AD43" s="197"/>
      <c r="AE43" s="197"/>
      <c r="AF43" s="197"/>
      <c r="AG43" s="197"/>
      <c r="AH43" s="197"/>
      <c r="AI43" s="197"/>
      <c r="AJ43" s="197"/>
      <c r="AK43" s="197"/>
      <c r="AL43" s="197"/>
      <c r="AM43" s="197"/>
      <c r="AN43" s="197"/>
      <c r="AO43" s="197"/>
      <c r="AP43" s="197"/>
      <c r="AQ43" s="197"/>
      <c r="AR43" s="197"/>
      <c r="AS43" s="197"/>
      <c r="AT43" s="197"/>
      <c r="AU43" s="197"/>
      <c r="AV43" s="197"/>
      <c r="AW43" s="197"/>
      <c r="AX43" s="197"/>
      <c r="AY43" s="197"/>
      <c r="AZ43" s="197"/>
      <c r="BA43" s="197"/>
      <c r="BB43" s="197"/>
      <c r="BC43" s="197"/>
      <c r="BD43" s="197"/>
      <c r="BE43" s="197"/>
      <c r="BF43" s="197"/>
      <c r="BG43" s="197"/>
      <c r="BH43" s="197"/>
      <c r="BI43" s="197"/>
      <c r="BJ43" s="197"/>
      <c r="BK43" s="197"/>
      <c r="BL43" s="197"/>
      <c r="BM43" s="197"/>
      <c r="BN43" s="197"/>
      <c r="BO43" s="197"/>
      <c r="BP43" s="197"/>
      <c r="BQ43" s="197"/>
      <c r="BR43" s="197"/>
      <c r="BS43" s="197"/>
      <c r="BT43" s="197"/>
      <c r="BU43" s="197"/>
      <c r="BV43" s="197"/>
      <c r="BW43" s="197"/>
      <c r="BX43" s="197"/>
      <c r="BY43" s="197"/>
      <c r="BZ43" s="197"/>
      <c r="CA43" s="197"/>
      <c r="CB43" s="197"/>
      <c r="CC43" s="197"/>
      <c r="CD43" s="197"/>
      <c r="CE43" s="197"/>
      <c r="CF43" s="197"/>
      <c r="CG43" s="197"/>
      <c r="CH43" s="197"/>
      <c r="CI43" s="197"/>
      <c r="CJ43" s="197"/>
      <c r="CK43" s="197"/>
      <c r="CL43" s="197"/>
      <c r="CM43" s="197"/>
      <c r="CN43" s="197"/>
      <c r="CO43" s="197"/>
      <c r="CP43" s="197"/>
      <c r="CQ43" s="197"/>
      <c r="CR43" s="197"/>
      <c r="CS43" s="197"/>
      <c r="CT43" s="197"/>
      <c r="CU43" s="197"/>
      <c r="CV43" s="197"/>
      <c r="CW43" s="197"/>
      <c r="CX43" s="197"/>
      <c r="CY43" s="197"/>
      <c r="CZ43" s="197"/>
      <c r="DA43" s="197"/>
      <c r="DB43" s="197"/>
      <c r="DC43" s="197"/>
      <c r="DD43" s="197"/>
      <c r="DE43" s="197"/>
      <c r="DF43" s="197"/>
      <c r="DG43" s="197"/>
      <c r="DH43" s="197"/>
      <c r="DI43" s="197"/>
      <c r="DJ43" s="197"/>
      <c r="DK43" s="197"/>
      <c r="DL43" s="197"/>
      <c r="DM43" s="197"/>
      <c r="DN43" s="197"/>
      <c r="DO43" s="197"/>
      <c r="DP43" s="197"/>
      <c r="DQ43" s="197"/>
      <c r="DR43" s="197"/>
      <c r="DS43" s="197"/>
      <c r="DT43" s="197"/>
      <c r="DU43" s="197"/>
      <c r="DV43" s="197"/>
      <c r="DW43" s="197"/>
      <c r="DX43" s="197"/>
      <c r="DY43" s="197"/>
      <c r="DZ43" s="197"/>
      <c r="EA43" s="197"/>
      <c r="EB43" s="197"/>
      <c r="EC43" s="197"/>
      <c r="ED43" s="197"/>
      <c r="EE43" s="197"/>
      <c r="EF43" s="197"/>
      <c r="EG43" s="197"/>
      <c r="EH43" s="197"/>
      <c r="EI43" s="197"/>
      <c r="EJ43" s="197"/>
      <c r="EK43" s="197"/>
      <c r="EL43" s="197"/>
      <c r="EM43" s="197"/>
      <c r="EN43" s="197"/>
      <c r="EO43" s="197"/>
      <c r="EP43" s="197"/>
      <c r="EQ43" s="197"/>
      <c r="ER43" s="197"/>
      <c r="ES43" s="197"/>
    </row>
    <row r="44" spans="1:150">
      <c r="A44" s="192"/>
      <c r="B44" s="1051" t="s">
        <v>561</v>
      </c>
      <c r="C44" s="37"/>
      <c r="D44" s="37"/>
      <c r="E44" s="37"/>
      <c r="F44" s="37"/>
      <c r="G44" s="37"/>
      <c r="H44" s="37"/>
      <c r="I44" s="37"/>
      <c r="J44" s="37"/>
      <c r="K44" s="37"/>
      <c r="L44" s="37"/>
      <c r="M44" s="37"/>
      <c r="N44" s="192"/>
      <c r="O44" s="37"/>
      <c r="P44" s="192"/>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822"/>
      <c r="BC44" s="37"/>
      <c r="BD44" s="37"/>
      <c r="BE44" s="37"/>
      <c r="BF44" s="37"/>
      <c r="BG44" s="37"/>
      <c r="BH44" s="37"/>
      <c r="BI44" s="37"/>
      <c r="BJ44" s="37"/>
      <c r="BK44" s="37"/>
      <c r="BL44" s="37"/>
      <c r="BM44" s="37"/>
      <c r="BN44" s="37"/>
      <c r="BO44" s="37"/>
      <c r="BP44" s="37"/>
      <c r="BQ44" s="37"/>
      <c r="BR44" s="37"/>
      <c r="BS44" s="37"/>
      <c r="BT44" s="37"/>
      <c r="BU44" s="37"/>
      <c r="BV44" s="37"/>
      <c r="BW44" s="37"/>
      <c r="BX44" s="37"/>
      <c r="BY44" s="37"/>
      <c r="BZ44" s="37"/>
      <c r="CA44" s="37"/>
      <c r="CB44" s="37"/>
      <c r="CC44" s="37"/>
      <c r="CD44" s="37"/>
      <c r="CE44" s="37"/>
      <c r="CF44" s="37"/>
      <c r="CG44" s="37"/>
      <c r="CH44" s="37"/>
      <c r="CI44" s="37"/>
      <c r="CJ44" s="37"/>
      <c r="CK44" s="37"/>
      <c r="CL44" s="37"/>
      <c r="CM44" s="37"/>
      <c r="CN44" s="37"/>
      <c r="CO44" s="37"/>
      <c r="CP44" s="37"/>
      <c r="CQ44" s="37"/>
      <c r="CR44" s="37"/>
      <c r="CS44" s="37"/>
      <c r="CT44" s="37"/>
      <c r="CU44" s="37"/>
      <c r="CV44" s="37"/>
      <c r="CW44" s="37"/>
      <c r="CX44" s="37"/>
      <c r="CY44" s="37"/>
      <c r="CZ44" s="37"/>
      <c r="DA44" s="37"/>
      <c r="DB44" s="37"/>
      <c r="DC44" s="37"/>
      <c r="DD44" s="37"/>
      <c r="DE44" s="37"/>
      <c r="DF44" s="37"/>
      <c r="DG44" s="37"/>
      <c r="DH44" s="37"/>
      <c r="DI44" s="37"/>
      <c r="DJ44" s="37"/>
      <c r="DK44" s="37"/>
      <c r="DL44" s="37"/>
      <c r="DM44" s="37"/>
      <c r="DN44" s="37"/>
      <c r="DO44" s="37"/>
      <c r="DP44" s="37"/>
      <c r="DQ44" s="37"/>
      <c r="DR44" s="37"/>
      <c r="DS44" s="37"/>
      <c r="DT44" s="37"/>
      <c r="DU44" s="37"/>
      <c r="DV44" s="37"/>
      <c r="DW44" s="37"/>
      <c r="DX44" s="37"/>
      <c r="DY44" s="37"/>
      <c r="DZ44" s="37"/>
      <c r="EA44" s="37"/>
      <c r="EB44" s="37"/>
      <c r="EC44" s="37"/>
      <c r="ED44" s="37"/>
      <c r="EE44" s="37"/>
      <c r="EF44" s="37"/>
      <c r="EG44" s="37"/>
      <c r="EH44" s="37"/>
      <c r="EI44" s="37"/>
      <c r="EJ44" s="37"/>
      <c r="EK44" s="37"/>
      <c r="EL44" s="37"/>
      <c r="EM44" s="37"/>
      <c r="EN44" s="37"/>
      <c r="EO44" s="37"/>
      <c r="EP44" s="37"/>
      <c r="EQ44" s="37"/>
      <c r="ER44" s="37"/>
      <c r="ES44" s="37"/>
      <c r="ET44" s="192"/>
    </row>
    <row r="45" spans="1:150">
      <c r="A45" s="353" t="b">
        <f>AND(Input!$N53&lt;&gt;"",Input!$N53&lt;&gt;LeaseTypeMarket)</f>
        <v>0</v>
      </c>
      <c r="B45" s="807" t="str">
        <f>B10</f>
        <v>2x2.5</v>
      </c>
      <c r="C45" s="635">
        <f t="shared" ref="C45:M46" si="70">AVERAGEIF($Q$6:$ES$6,C$5,$Q45:$ES45)</f>
        <v>1649.0952380952401</v>
      </c>
      <c r="D45" s="635">
        <f t="shared" si="70"/>
        <v>1666.9063874674866</v>
      </c>
      <c r="E45" s="635">
        <f t="shared" si="70"/>
        <v>1709.287460972135</v>
      </c>
      <c r="F45" s="635">
        <f t="shared" si="70"/>
        <v>1760.5660848013013</v>
      </c>
      <c r="G45" s="635">
        <f t="shared" si="70"/>
        <v>1813.3830673453419</v>
      </c>
      <c r="H45" s="635">
        <f t="shared" si="70"/>
        <v>1867.7845593657039</v>
      </c>
      <c r="I45" s="635">
        <f t="shared" si="70"/>
        <v>1923.8180961466771</v>
      </c>
      <c r="J45" s="635">
        <f t="shared" si="70"/>
        <v>1981.5326390310795</v>
      </c>
      <c r="K45" s="635">
        <f t="shared" si="70"/>
        <v>2040.9786182020136</v>
      </c>
      <c r="L45" s="635">
        <f t="shared" si="70"/>
        <v>2102.2079767480773</v>
      </c>
      <c r="M45" s="635">
        <f t="shared" si="70"/>
        <v>2165.2742160505222</v>
      </c>
      <c r="N45" s="192"/>
      <c r="O45" s="635">
        <f>AVERAGEIF($Q$6:$ES$6,O$6,$Q45:$ES45)</f>
        <v>1981.5326390310795</v>
      </c>
      <c r="P45" s="192"/>
      <c r="Q45" s="635">
        <f>Input!P53</f>
        <v>1649.0952380952399</v>
      </c>
      <c r="R45" s="823">
        <f t="shared" ref="R45:BA45" si="71">Q45*IF($A45,R$160,R$159)</f>
        <v>1649.0952380952399</v>
      </c>
      <c r="S45" s="635">
        <f t="shared" si="71"/>
        <v>1649.0952380952399</v>
      </c>
      <c r="T45" s="635">
        <f t="shared" si="71"/>
        <v>1649.0952380952399</v>
      </c>
      <c r="U45" s="635">
        <f t="shared" si="71"/>
        <v>1649.0952380952399</v>
      </c>
      <c r="V45" s="635">
        <f t="shared" si="71"/>
        <v>1649.0952380952399</v>
      </c>
      <c r="W45" s="635">
        <f t="shared" si="71"/>
        <v>1649.0952380952399</v>
      </c>
      <c r="X45" s="635">
        <f t="shared" si="71"/>
        <v>1649.0952380952399</v>
      </c>
      <c r="Y45" s="635">
        <f t="shared" si="71"/>
        <v>1649.0952380952399</v>
      </c>
      <c r="Z45" s="635">
        <f t="shared" si="71"/>
        <v>1649.0952380952399</v>
      </c>
      <c r="AA45" s="635">
        <f t="shared" si="71"/>
        <v>1649.0952380952399</v>
      </c>
      <c r="AB45" s="635">
        <f t="shared" si="71"/>
        <v>1649.0952380952399</v>
      </c>
      <c r="AC45" s="635">
        <f t="shared" si="71"/>
        <v>1649.0952380952399</v>
      </c>
      <c r="AD45" s="635">
        <f t="shared" si="71"/>
        <v>1651.8188529555637</v>
      </c>
      <c r="AE45" s="635">
        <f t="shared" si="71"/>
        <v>1654.5469660872643</v>
      </c>
      <c r="AF45" s="635">
        <f t="shared" si="71"/>
        <v>1657.2795849196029</v>
      </c>
      <c r="AG45" s="635">
        <f t="shared" si="71"/>
        <v>1660.0167168941102</v>
      </c>
      <c r="AH45" s="635">
        <f t="shared" si="71"/>
        <v>1662.7583694646075</v>
      </c>
      <c r="AI45" s="635">
        <f t="shared" si="71"/>
        <v>1665.5045500972267</v>
      </c>
      <c r="AJ45" s="635">
        <f t="shared" si="71"/>
        <v>1668.2552662704304</v>
      </c>
      <c r="AK45" s="635">
        <f t="shared" si="71"/>
        <v>1671.0105254750326</v>
      </c>
      <c r="AL45" s="635">
        <f t="shared" si="71"/>
        <v>1673.7703352142191</v>
      </c>
      <c r="AM45" s="635">
        <f t="shared" si="71"/>
        <v>1676.5347030035678</v>
      </c>
      <c r="AN45" s="635">
        <f t="shared" si="71"/>
        <v>1679.3036363710689</v>
      </c>
      <c r="AO45" s="635">
        <f t="shared" si="71"/>
        <v>1682.0771428571461</v>
      </c>
      <c r="AP45" s="635">
        <f t="shared" si="71"/>
        <v>1686.2255988692577</v>
      </c>
      <c r="AQ45" s="635">
        <f t="shared" si="71"/>
        <v>1690.3842860930338</v>
      </c>
      <c r="AR45" s="635">
        <f t="shared" si="71"/>
        <v>1694.5532297614022</v>
      </c>
      <c r="AS45" s="635">
        <f t="shared" si="71"/>
        <v>1698.7324551695224</v>
      </c>
      <c r="AT45" s="635">
        <f t="shared" si="71"/>
        <v>1702.9219876749382</v>
      </c>
      <c r="AU45" s="635">
        <f t="shared" si="71"/>
        <v>1707.1218526977323</v>
      </c>
      <c r="AV45" s="635">
        <f t="shared" si="71"/>
        <v>1711.3320757206798</v>
      </c>
      <c r="AW45" s="635">
        <f t="shared" si="71"/>
        <v>1715.5526822894035</v>
      </c>
      <c r="AX45" s="635">
        <f t="shared" si="71"/>
        <v>1719.7836980125282</v>
      </c>
      <c r="AY45" s="635">
        <f t="shared" si="71"/>
        <v>1724.0251485618371</v>
      </c>
      <c r="AZ45" s="635">
        <f t="shared" si="71"/>
        <v>1728.2770596724265</v>
      </c>
      <c r="BA45" s="635">
        <f t="shared" si="71"/>
        <v>1732.5394571428626</v>
      </c>
      <c r="BB45" s="823">
        <f>IF(IF($A45,OtherRentGrowthType,MarketRentGrowthType)=52,AVERAGEIF($R$6:BA$6,BB$6-1,$R45:BA45),BA45)*IF($A45,BB$160,BB$159)</f>
        <v>1736.8123668353376</v>
      </c>
      <c r="BC45" s="635">
        <f>IF(IF($A45,OtherRentGrowthType,MarketRentGrowthType)=52,AVERAGEIF($R$6:BB$6,BC$6-1,$R45:BB45),BB45)*IF($A45,BC$160,BC$159)</f>
        <v>1741.0958146758269</v>
      </c>
      <c r="BD45" s="635">
        <f>IF(IF($A45,OtherRentGrowthType,MarketRentGrowthType)=52,AVERAGEIF($R$6:BC$6,BD$6-1,$R45:BC45),BC45)*IF($A45,BD$160,BD$159)</f>
        <v>1745.3898266542462</v>
      </c>
      <c r="BE45" s="635">
        <f>IF(IF($A45,OtherRentGrowthType,MarketRentGrowthType)=52,AVERAGEIF($R$6:BD$6,BE$6-1,$R45:BD45),BD45)*IF($A45,BE$160,BE$159)</f>
        <v>1749.69442882461</v>
      </c>
      <c r="BF45" s="635">
        <f>IF(IF($A45,OtherRentGrowthType,MarketRentGrowthType)=52,AVERAGEIF($R$6:BE$6,BF$6-1,$R45:BE45),BE45)*IF($A45,BF$160,BF$159)</f>
        <v>1754.0096473051883</v>
      </c>
      <c r="BG45" s="635">
        <f>IF(IF($A45,OtherRentGrowthType,MarketRentGrowthType)=52,AVERAGEIF($R$6:BF$6,BG$6-1,$R45:BF45),BF45)*IF($A45,BG$160,BG$159)</f>
        <v>1758.3355082786661</v>
      </c>
      <c r="BH45" s="635">
        <f>IF(IF($A45,OtherRentGrowthType,MarketRentGrowthType)=52,AVERAGEIF($R$6:BG$6,BH$6-1,$R45:BG45),BG45)*IF($A45,BH$160,BH$159)</f>
        <v>1762.672037992302</v>
      </c>
      <c r="BI45" s="635">
        <f>IF(IF($A45,OtherRentGrowthType,MarketRentGrowthType)=52,AVERAGEIF($R$6:BH$6,BI$6-1,$R45:BH45),BH45)*IF($A45,BI$160,BI$159)</f>
        <v>1767.0192627580873</v>
      </c>
      <c r="BJ45" s="635">
        <f>IF(IF($A45,OtherRentGrowthType,MarketRentGrowthType)=52,AVERAGEIF($R$6:BI$6,BJ$6-1,$R45:BI45),BI45)*IF($A45,BJ$160,BJ$159)</f>
        <v>1771.3772089529059</v>
      </c>
      <c r="BK45" s="635">
        <f>IF(IF($A45,OtherRentGrowthType,MarketRentGrowthType)=52,AVERAGEIF($R$6:BJ$6,BK$6-1,$R45:BJ45),BJ45)*IF($A45,BK$160,BK$159)</f>
        <v>1775.7459030186942</v>
      </c>
      <c r="BL45" s="635">
        <f>IF(IF($A45,OtherRentGrowthType,MarketRentGrowthType)=52,AVERAGEIF($R$6:BK$6,BL$6-1,$R45:BK45),BK45)*IF($A45,BL$160,BL$159)</f>
        <v>1780.1253714626014</v>
      </c>
      <c r="BM45" s="635">
        <f>IF(IF($A45,OtherRentGrowthType,MarketRentGrowthType)=52,AVERAGEIF($R$6:BL$6,BM$6-1,$R45:BL45),BL45)*IF($A45,BM$160,BM$159)</f>
        <v>1784.5156408571504</v>
      </c>
      <c r="BN45" s="635">
        <f>IF(IF($A45,OtherRentGrowthType,MarketRentGrowthType)=52,AVERAGEIF($R$6:BM$6,BN$6-1,$R45:BM45),BM45)*IF($A45,BN$160,BN$159)</f>
        <v>1788.9167378403995</v>
      </c>
      <c r="BO45" s="635">
        <f>IF(IF($A45,OtherRentGrowthType,MarketRentGrowthType)=52,AVERAGEIF($R$6:BN$6,BO$6-1,$R45:BN45),BN45)*IF($A45,BO$160,BO$159)</f>
        <v>1793.3286891161033</v>
      </c>
      <c r="BP45" s="635">
        <f>IF(IF($A45,OtherRentGrowthType,MarketRentGrowthType)=52,AVERAGEIF($R$6:BO$6,BP$6-1,$R45:BO45),BO45)*IF($A45,BP$160,BP$159)</f>
        <v>1797.7515214538753</v>
      </c>
      <c r="BQ45" s="635">
        <f>IF(IF($A45,OtherRentGrowthType,MarketRentGrowthType)=52,AVERAGEIF($R$6:BP$6,BQ$6-1,$R45:BP45),BP45)*IF($A45,BQ$160,BQ$159)</f>
        <v>1802.18526168935</v>
      </c>
      <c r="BR45" s="635">
        <f>IF(IF($A45,OtherRentGrowthType,MarketRentGrowthType)=52,AVERAGEIF($R$6:BQ$6,BR$6-1,$R45:BQ45),BQ45)*IF($A45,BR$160,BR$159)</f>
        <v>1806.6299367243457</v>
      </c>
      <c r="BS45" s="635">
        <f>IF(IF($A45,OtherRentGrowthType,MarketRentGrowthType)=52,AVERAGEIF($R$6:BR$6,BS$6-1,$R45:BR45),BR45)*IF($A45,BS$160,BS$159)</f>
        <v>1811.0855735270279</v>
      </c>
      <c r="BT45" s="635">
        <f>IF(IF($A45,OtherRentGrowthType,MarketRentGrowthType)=52,AVERAGEIF($R$6:BS$6,BT$6-1,$R45:BS45),BS45)*IF($A45,BT$160,BT$159)</f>
        <v>1815.5521991320729</v>
      </c>
      <c r="BU45" s="635">
        <f>IF(IF($A45,OtherRentGrowthType,MarketRentGrowthType)=52,AVERAGEIF($R$6:BT$6,BU$6-1,$R45:BT45),BT45)*IF($A45,BU$160,BU$159)</f>
        <v>1820.0298406408319</v>
      </c>
      <c r="BV45" s="635">
        <f>IF(IF($A45,OtherRentGrowthType,MarketRentGrowthType)=52,AVERAGEIF($R$6:BU$6,BV$6-1,$R45:BU45),BU45)*IF($A45,BV$160,BV$159)</f>
        <v>1824.5185252214951</v>
      </c>
      <c r="BW45" s="635">
        <f>IF(IF($A45,OtherRentGrowthType,MarketRentGrowthType)=52,AVERAGEIF($R$6:BV$6,BW$6-1,$R45:BV45),BV45)*IF($A45,BW$160,BW$159)</f>
        <v>1829.0182801092569</v>
      </c>
      <c r="BX45" s="635">
        <f>IF(IF($A45,OtherRentGrowthType,MarketRentGrowthType)=52,AVERAGEIF($R$6:BW$6,BX$6-1,$R45:BW45),BW45)*IF($A45,BX$160,BX$159)</f>
        <v>1833.5291326064812</v>
      </c>
      <c r="BY45" s="635">
        <f>IF(IF($A45,OtherRentGrowthType,MarketRentGrowthType)=52,AVERAGEIF($R$6:BX$6,BY$6-1,$R45:BX45),BX45)*IF($A45,BY$160,BY$159)</f>
        <v>1838.0511100828667</v>
      </c>
      <c r="BZ45" s="635">
        <f>IF(IF($A45,OtherRentGrowthType,MarketRentGrowthType)=52,AVERAGEIF($R$6:BY$6,BZ$6-1,$R45:BY45),BY45)*IF($A45,BZ$160,BZ$159)</f>
        <v>1842.5842399756132</v>
      </c>
      <c r="CA45" s="635">
        <f>IF(IF($A45,OtherRentGrowthType,MarketRentGrowthType)=52,AVERAGEIF($R$6:BZ$6,CA$6-1,$R45:BZ45),BZ45)*IF($A45,CA$160,CA$159)</f>
        <v>1847.1285497895881</v>
      </c>
      <c r="CB45" s="635">
        <f>IF(IF($A45,OtherRentGrowthType,MarketRentGrowthType)=52,AVERAGEIF($R$6:CA$6,CB$6-1,$R45:CA45),CA45)*IF($A45,CB$160,CB$159)</f>
        <v>1851.6840670974932</v>
      </c>
      <c r="CC45" s="635">
        <f>IF(IF($A45,OtherRentGrowthType,MarketRentGrowthType)=52,AVERAGEIF($R$6:CB$6,CC$6-1,$R45:CB45),CB45)*IF($A45,CC$160,CC$159)</f>
        <v>1856.2508195400321</v>
      </c>
      <c r="CD45" s="635">
        <f>IF(IF($A45,OtherRentGrowthType,MarketRentGrowthType)=52,AVERAGEIF($R$6:CC$6,CD$6-1,$R45:CC45),CC45)*IF($A45,CD$160,CD$159)</f>
        <v>1860.8288348260776</v>
      </c>
      <c r="CE45" s="635">
        <f>IF(IF($A45,OtherRentGrowthType,MarketRentGrowthType)=52,AVERAGEIF($R$6:CD$6,CE$6-1,$R45:CD45),CD45)*IF($A45,CE$160,CE$159)</f>
        <v>1865.4181407328401</v>
      </c>
      <c r="CF45" s="635">
        <f>IF(IF($A45,OtherRentGrowthType,MarketRentGrowthType)=52,AVERAGEIF($R$6:CE$6,CF$6-1,$R45:CE45),CE45)*IF($A45,CF$160,CF$159)</f>
        <v>1870.0187651060364</v>
      </c>
      <c r="CG45" s="635">
        <f>IF(IF($A45,OtherRentGrowthType,MarketRentGrowthType)=52,AVERAGEIF($R$6:CF$6,CG$6-1,$R45:CF45),CF45)*IF($A45,CG$160,CG$159)</f>
        <v>1874.6307358600582</v>
      </c>
      <c r="CH45" s="635">
        <f>IF(IF($A45,OtherRentGrowthType,MarketRentGrowthType)=52,AVERAGEIF($R$6:CG$6,CH$6-1,$R45:CG45),CG45)*IF($A45,CH$160,CH$159)</f>
        <v>1879.2540809781412</v>
      </c>
      <c r="CI45" s="635">
        <f>IF(IF($A45,OtherRentGrowthType,MarketRentGrowthType)=52,AVERAGEIF($R$6:CH$6,CI$6-1,$R45:CH45),CH45)*IF($A45,CI$160,CI$159)</f>
        <v>1883.8888285125361</v>
      </c>
      <c r="CJ45" s="635">
        <f>IF(IF($A45,OtherRentGrowthType,MarketRentGrowthType)=52,AVERAGEIF($R$6:CI$6,CJ$6-1,$R45:CI45),CI45)*IF($A45,CJ$160,CJ$159)</f>
        <v>1888.5350065846771</v>
      </c>
      <c r="CK45" s="635">
        <f>IF(IF($A45,OtherRentGrowthType,MarketRentGrowthType)=52,AVERAGEIF($R$6:CJ$6,CK$6-1,$R45:CJ45),CJ45)*IF($A45,CK$160,CK$159)</f>
        <v>1893.1926433853544</v>
      </c>
      <c r="CL45" s="635">
        <f>IF(IF($A45,OtherRentGrowthType,MarketRentGrowthType)=52,AVERAGEIF($R$6:CK$6,CL$6-1,$R45:CK45),CK45)*IF($A45,CL$160,CL$159)</f>
        <v>1897.8617671748834</v>
      </c>
      <c r="CM45" s="635">
        <f>IF(IF($A45,OtherRentGrowthType,MarketRentGrowthType)=52,AVERAGEIF($R$6:CL$6,CM$6-1,$R45:CL45),CL45)*IF($A45,CM$160,CM$159)</f>
        <v>1902.5424062832776</v>
      </c>
      <c r="CN45" s="635">
        <f>IF(IF($A45,OtherRentGrowthType,MarketRentGrowthType)=52,AVERAGEIF($R$6:CM$6,CN$6-1,$R45:CM45),CM45)*IF($A45,CN$160,CN$159)</f>
        <v>1907.2345891104201</v>
      </c>
      <c r="CO45" s="635">
        <f>IF(IF($A45,OtherRentGrowthType,MarketRentGrowthType)=52,AVERAGEIF($R$6:CN$6,CO$6-1,$R45:CN45),CN45)*IF($A45,CO$160,CO$159)</f>
        <v>1911.9383441262351</v>
      </c>
      <c r="CP45" s="635">
        <f>IF(IF($A45,OtherRentGrowthType,MarketRentGrowthType)=52,AVERAGEIF($R$6:CO$6,CP$6-1,$R45:CO45),CO45)*IF($A45,CP$160,CP$159)</f>
        <v>1916.6536998708621</v>
      </c>
      <c r="CQ45" s="635">
        <f>IF(IF($A45,OtherRentGrowthType,MarketRentGrowthType)=52,AVERAGEIF($R$6:CP$6,CQ$6-1,$R45:CP45),CP45)*IF($A45,CQ$160,CQ$159)</f>
        <v>1921.3806849548275</v>
      </c>
      <c r="CR45" s="635">
        <f>IF(IF($A45,OtherRentGrowthType,MarketRentGrowthType)=52,AVERAGEIF($R$6:CQ$6,CR$6-1,$R45:CQ45),CQ45)*IF($A45,CR$160,CR$159)</f>
        <v>1926.1193280592197</v>
      </c>
      <c r="CS45" s="635">
        <f>IF(IF($A45,OtherRentGrowthType,MarketRentGrowthType)=52,AVERAGEIF($R$6:CR$6,CS$6-1,$R45:CR45),CR45)*IF($A45,CS$160,CS$159)</f>
        <v>1930.8696579358621</v>
      </c>
      <c r="CT45" s="635">
        <f>IF(IF($A45,OtherRentGrowthType,MarketRentGrowthType)=52,AVERAGEIF($R$6:CS$6,CT$6-1,$R45:CS45),CS45)*IF($A45,CT$160,CT$159)</f>
        <v>1935.6317034074875</v>
      </c>
      <c r="CU45" s="635">
        <f>IF(IF($A45,OtherRentGrowthType,MarketRentGrowthType)=52,AVERAGEIF($R$6:CT$6,CU$6-1,$R45:CT45),CT45)*IF($A45,CU$160,CU$159)</f>
        <v>1940.405493367914</v>
      </c>
      <c r="CV45" s="635">
        <f>IF(IF($A45,OtherRentGrowthType,MarketRentGrowthType)=52,AVERAGEIF($R$6:CU$6,CV$6-1,$R45:CU45),CU45)*IF($A45,CV$160,CV$159)</f>
        <v>1945.1910567822192</v>
      </c>
      <c r="CW45" s="635">
        <f>IF(IF($A45,OtherRentGrowthType,MarketRentGrowthType)=52,AVERAGEIF($R$6:CV$6,CW$6-1,$R45:CV45),CV45)*IF($A45,CW$160,CW$159)</f>
        <v>1949.9884226869167</v>
      </c>
      <c r="CX45" s="635">
        <f>IF(IF($A45,OtherRentGrowthType,MarketRentGrowthType)=52,AVERAGEIF($R$6:CW$6,CX$6-1,$R45:CW45),CW45)*IF($A45,CX$160,CX$159)</f>
        <v>1954.7976201901315</v>
      </c>
      <c r="CY45" s="635">
        <f>IF(IF($A45,OtherRentGrowthType,MarketRentGrowthType)=52,AVERAGEIF($R$6:CX$6,CY$6-1,$R45:CX45),CX45)*IF($A45,CY$160,CY$159)</f>
        <v>1959.6186784717777</v>
      </c>
      <c r="CZ45" s="635">
        <f>IF(IF($A45,OtherRentGrowthType,MarketRentGrowthType)=52,AVERAGEIF($R$6:CY$6,CZ$6-1,$R45:CY45),CY45)*IF($A45,CZ$160,CZ$159)</f>
        <v>1964.4516267837344</v>
      </c>
      <c r="DA45" s="635">
        <f>IF(IF($A45,OtherRentGrowthType,MarketRentGrowthType)=52,AVERAGEIF($R$6:CZ$6,DA$6-1,$R45:CZ45),CZ45)*IF($A45,DA$160,DA$159)</f>
        <v>1969.2964944500238</v>
      </c>
      <c r="DB45" s="635">
        <f>IF(IF($A45,OtherRentGrowthType,MarketRentGrowthType)=52,AVERAGEIF($R$6:DA$6,DB$6-1,$R45:DA45),DA45)*IF($A45,DB$160,DB$159)</f>
        <v>1974.1533108669896</v>
      </c>
      <c r="DC45" s="635">
        <f>IF(IF($A45,OtherRentGrowthType,MarketRentGrowthType)=52,AVERAGEIF($R$6:DB$6,DC$6-1,$R45:DB45),DB45)*IF($A45,DC$160,DC$159)</f>
        <v>1979.0221055034742</v>
      </c>
      <c r="DD45" s="635">
        <f>IF(IF($A45,OtherRentGrowthType,MarketRentGrowthType)=52,AVERAGEIF($R$6:DC$6,DD$6-1,$R45:DC45),DC45)*IF($A45,DD$160,DD$159)</f>
        <v>1983.9029079009983</v>
      </c>
      <c r="DE45" s="635">
        <f>IF(IF($A45,OtherRentGrowthType,MarketRentGrowthType)=52,AVERAGEIF($R$6:DD$6,DE$6-1,$R45:DD45),DD45)*IF($A45,DE$160,DE$159)</f>
        <v>1988.79574767394</v>
      </c>
      <c r="DF45" s="635">
        <f>IF(IF($A45,OtherRentGrowthType,MarketRentGrowthType)=52,AVERAGEIF($R$6:DE$6,DF$6-1,$R45:DE45),DE45)*IF($A45,DF$160,DF$159)</f>
        <v>1993.7006545097145</v>
      </c>
      <c r="DG45" s="635">
        <f>IF(IF($A45,OtherRentGrowthType,MarketRentGrowthType)=52,AVERAGEIF($R$6:DF$6,DG$6-1,$R45:DF45),DF45)*IF($A45,DG$160,DG$159)</f>
        <v>1998.6176581689538</v>
      </c>
      <c r="DH45" s="635">
        <f>IF(IF($A45,OtherRentGrowthType,MarketRentGrowthType)=52,AVERAGEIF($R$6:DG$6,DH$6-1,$R45:DG45),DG45)*IF($A45,DH$160,DH$159)</f>
        <v>2003.5467884856882</v>
      </c>
      <c r="DI45" s="635">
        <f>IF(IF($A45,OtherRentGrowthType,MarketRentGrowthType)=52,AVERAGEIF($R$6:DH$6,DI$6-1,$R45:DH45),DH45)*IF($A45,DI$160,DI$159)</f>
        <v>2008.4880753675266</v>
      </c>
      <c r="DJ45" s="635">
        <f>IF(IF($A45,OtherRentGrowthType,MarketRentGrowthType)=52,AVERAGEIF($R$6:DI$6,DJ$6-1,$R45:DI45),DI45)*IF($A45,DJ$160,DJ$159)</f>
        <v>2013.4415487958379</v>
      </c>
      <c r="DK45" s="635">
        <f>IF(IF($A45,OtherRentGrowthType,MarketRentGrowthType)=52,AVERAGEIF($R$6:DJ$6,DK$6-1,$R45:DJ45),DJ45)*IF($A45,DK$160,DK$159)</f>
        <v>2018.4072388259333</v>
      </c>
      <c r="DL45" s="635">
        <f>IF(IF($A45,OtherRentGrowthType,MarketRentGrowthType)=52,AVERAGEIF($R$6:DK$6,DL$6-1,$R45:DK45),DK45)*IF($A45,DL$160,DL$159)</f>
        <v>2023.3851755872486</v>
      </c>
      <c r="DM45" s="635">
        <f>IF(IF($A45,OtherRentGrowthType,MarketRentGrowthType)=52,AVERAGEIF($R$6:DL$6,DM$6-1,$R45:DL45),DL45)*IF($A45,DM$160,DM$159)</f>
        <v>2028.3753892835268</v>
      </c>
      <c r="DN45" s="635">
        <f>IF(IF($A45,OtherRentGrowthType,MarketRentGrowthType)=52,AVERAGEIF($R$6:DM$6,DN$6-1,$R45:DM45),DM45)*IF($A45,DN$160,DN$159)</f>
        <v>2033.3779101930015</v>
      </c>
      <c r="DO45" s="635">
        <f>IF(IF($A45,OtherRentGrowthType,MarketRentGrowthType)=52,AVERAGEIF($R$6:DN$6,DO$6-1,$R45:DN45),DN45)*IF($A45,DO$160,DO$159)</f>
        <v>2038.3927686685806</v>
      </c>
      <c r="DP45" s="635">
        <f>IF(IF($A45,OtherRentGrowthType,MarketRentGrowthType)=52,AVERAGEIF($R$6:DO$6,DP$6-1,$R45:DO45),DO45)*IF($A45,DP$160,DP$159)</f>
        <v>2043.4199951380303</v>
      </c>
      <c r="DQ45" s="635">
        <f>IF(IF($A45,OtherRentGrowthType,MarketRentGrowthType)=52,AVERAGEIF($R$6:DP$6,DQ$6-1,$R45:DP45),DP45)*IF($A45,DQ$160,DQ$159)</f>
        <v>2048.4596201041604</v>
      </c>
      <c r="DR45" s="635">
        <f>IF(IF($A45,OtherRentGrowthType,MarketRentGrowthType)=52,AVERAGEIF($R$6:DQ$6,DR$6-1,$R45:DQ45),DQ45)*IF($A45,DR$160,DR$159)</f>
        <v>2053.5116741450079</v>
      </c>
      <c r="DS45" s="635">
        <f>IF(IF($A45,OtherRentGrowthType,MarketRentGrowthType)=52,AVERAGEIF($R$6:DR$6,DS$6-1,$R45:DR45),DR45)*IF($A45,DS$160,DS$159)</f>
        <v>2058.5761879140246</v>
      </c>
      <c r="DT45" s="635">
        <f>IF(IF($A45,OtherRentGrowthType,MarketRentGrowthType)=52,AVERAGEIF($R$6:DS$6,DT$6-1,$R45:DS45),DS45)*IF($A45,DT$160,DT$159)</f>
        <v>2063.6531921402611</v>
      </c>
      <c r="DU45" s="635">
        <f>IF(IF($A45,OtherRentGrowthType,MarketRentGrowthType)=52,AVERAGEIF($R$6:DT$6,DU$6-1,$R45:DT45),DT45)*IF($A45,DU$160,DU$159)</f>
        <v>2068.7427176285546</v>
      </c>
      <c r="DV45" s="635">
        <f>IF(IF($A45,OtherRentGrowthType,MarketRentGrowthType)=52,AVERAGEIF($R$6:DU$6,DV$6-1,$R45:DU45),DU45)*IF($A45,DV$160,DV$159)</f>
        <v>2073.8447952597153</v>
      </c>
      <c r="DW45" s="635">
        <f>IF(IF($A45,OtherRentGrowthType,MarketRentGrowthType)=52,AVERAGEIF($R$6:DV$6,DW$6-1,$R45:DV45),DV45)*IF($A45,DW$160,DW$159)</f>
        <v>2078.9594559907136</v>
      </c>
      <c r="DX45" s="635">
        <f>IF(IF($A45,OtherRentGrowthType,MarketRentGrowthType)=52,AVERAGEIF($R$6:DW$6,DX$6-1,$R45:DW45),DW45)*IF($A45,DX$160,DX$159)</f>
        <v>2084.0867308548686</v>
      </c>
      <c r="DY45" s="635">
        <f>IF(IF($A45,OtherRentGrowthType,MarketRentGrowthType)=52,AVERAGEIF($R$6:DX$6,DY$6-1,$R45:DX45),DX45)*IF($A45,DY$160,DY$159)</f>
        <v>2089.2266509620354</v>
      </c>
      <c r="DZ45" s="635">
        <f>IF(IF($A45,OtherRentGrowthType,MarketRentGrowthType)=52,AVERAGEIF($R$6:DY$6,DZ$6-1,$R45:DY45),DY45)*IF($A45,DZ$160,DZ$159)</f>
        <v>2094.3792474987945</v>
      </c>
      <c r="EA45" s="635">
        <f>IF(IF($A45,OtherRentGrowthType,MarketRentGrowthType)=52,AVERAGEIF($R$6:DZ$6,EA$6-1,$R45:DZ45),DZ45)*IF($A45,EA$160,EA$159)</f>
        <v>2099.5445517286407</v>
      </c>
      <c r="EB45" s="635">
        <f>IF(IF($A45,OtherRentGrowthType,MarketRentGrowthType)=52,AVERAGEIF($R$6:EA$6,EB$6-1,$R45:EA45),EA45)*IF($A45,EB$160,EB$159)</f>
        <v>2104.722594992174</v>
      </c>
      <c r="EC45" s="635">
        <f>IF(IF($A45,OtherRentGrowthType,MarketRentGrowthType)=52,AVERAGEIF($R$6:EB$6,EC$6-1,$R45:EB45),EB45)*IF($A45,EC$160,EC$159)</f>
        <v>2109.9134087072875</v>
      </c>
      <c r="ED45" s="635">
        <f>IF(IF($A45,OtherRentGrowthType,MarketRentGrowthType)=52,AVERAGEIF($R$6:EC$6,ED$6-1,$R45:EC45),EC45)*IF($A45,ED$160,ED$159)</f>
        <v>2115.1170243693605</v>
      </c>
      <c r="EE45" s="635">
        <f>IF(IF($A45,OtherRentGrowthType,MarketRentGrowthType)=52,AVERAGEIF($R$6:ED$6,EE$6-1,$R45:ED45),ED45)*IF($A45,EE$160,EE$159)</f>
        <v>2120.3334735514477</v>
      </c>
      <c r="EF45" s="635">
        <f>IF(IF($A45,OtherRentGrowthType,MarketRentGrowthType)=52,AVERAGEIF($R$6:EE$6,EF$6-1,$R45:EE45),EE45)*IF($A45,EF$160,EF$159)</f>
        <v>2125.5627879044714</v>
      </c>
      <c r="EG45" s="635">
        <f>IF(IF($A45,OtherRentGrowthType,MarketRentGrowthType)=52,AVERAGEIF($R$6:EF$6,EG$6-1,$R45:EF45),EF45)*IF($A45,EG$160,EG$159)</f>
        <v>2130.8049991574139</v>
      </c>
      <c r="EH45" s="635">
        <f>IF(IF($A45,OtherRentGrowthType,MarketRentGrowthType)=52,AVERAGEIF($R$6:EG$6,EH$6-1,$R45:EG45),EG45)*IF($A45,EH$160,EH$159)</f>
        <v>2136.0601391175096</v>
      </c>
      <c r="EI45" s="635">
        <f>IF(IF($A45,OtherRentGrowthType,MarketRentGrowthType)=52,AVERAGEIF($R$6:EH$6,EI$6-1,$R45:EH45),EH45)*IF($A45,EI$160,EI$159)</f>
        <v>2141.3282396704381</v>
      </c>
      <c r="EJ45" s="635">
        <f>IF(IF($A45,OtherRentGrowthType,MarketRentGrowthType)=52,AVERAGEIF($R$6:EI$6,EJ$6-1,$R45:EI45),EI45)*IF($A45,EJ$160,EJ$159)</f>
        <v>2146.6093327805174</v>
      </c>
      <c r="EK45" s="635">
        <f>IF(IF($A45,OtherRentGrowthType,MarketRentGrowthType)=52,AVERAGEIF($R$6:EJ$6,EK$6-1,$R45:EJ45),EJ45)*IF($A45,EK$160,EK$159)</f>
        <v>2151.9034504908991</v>
      </c>
      <c r="EL45" s="635">
        <f>IF(IF($A45,OtherRentGrowthType,MarketRentGrowthType)=52,AVERAGEIF($R$6:EK$6,EL$6-1,$R45:EK45),EK45)*IF($A45,EL$160,EL$159)</f>
        <v>2157.2106249237609</v>
      </c>
      <c r="EM45" s="635">
        <f>IF(IF($A45,OtherRentGrowthType,MarketRentGrowthType)=52,AVERAGEIF($R$6:EL$6,EM$6-1,$R45:EL45),EL45)*IF($A45,EM$160,EM$159)</f>
        <v>2162.5308882805025</v>
      </c>
      <c r="EN45" s="635">
        <f>IF(IF($A45,OtherRentGrowthType,MarketRentGrowthType)=52,AVERAGEIF($R$6:EM$6,EN$6-1,$R45:EM45),EM45)*IF($A45,EN$160,EN$159)</f>
        <v>2167.8642728419418</v>
      </c>
      <c r="EO45" s="635">
        <f>IF(IF($A45,OtherRentGrowthType,MarketRentGrowthType)=52,AVERAGEIF($R$6:EN$6,EO$6-1,$R45:EN45),EN45)*IF($A45,EO$160,EO$159)</f>
        <v>2173.2108109685091</v>
      </c>
      <c r="EP45" s="635">
        <f>IF(IF($A45,OtherRentGrowthType,MarketRentGrowthType)=52,AVERAGEIF($R$6:EO$6,EP$6-1,$R45:EO45),EO45)*IF($A45,EP$160,EP$159)</f>
        <v>2178.5705351004444</v>
      </c>
      <c r="EQ45" s="635">
        <f>IF(IF($A45,OtherRentGrowthType,MarketRentGrowthType)=52,AVERAGEIF($R$6:EP$6,EQ$6-1,$R45:EP45),EP45)*IF($A45,EQ$160,EQ$159)</f>
        <v>2183.9434777579941</v>
      </c>
      <c r="ER45" s="635">
        <f>IF(IF($A45,OtherRentGrowthType,MarketRentGrowthType)=52,AVERAGEIF($R$6:EQ$6,ER$6-1,$R45:EQ45),EQ45)*IF($A45,ER$160,ER$159)</f>
        <v>2189.3296715416086</v>
      </c>
      <c r="ES45" s="635">
        <f>IF(IF($A45,OtherRentGrowthType,MarketRentGrowthType)=52,AVERAGEIF($R$6:ER$6,ES$6-1,$R45:ER45),ER45)*IF($A45,ES$160,ES$159)</f>
        <v>2194.7291491321394</v>
      </c>
      <c r="ET45" s="192"/>
    </row>
    <row r="46" spans="1:150">
      <c r="A46" s="353" t="b">
        <f>AND(Input!$N54&lt;&gt;"",Input!$N54&lt;&gt;LeaseTypeMarket)</f>
        <v>0</v>
      </c>
      <c r="B46" s="807" t="str">
        <f>B11</f>
        <v>3x3.5</v>
      </c>
      <c r="C46" s="635">
        <f t="shared" si="70"/>
        <v>1748.7647058823497</v>
      </c>
      <c r="D46" s="635">
        <f t="shared" si="70"/>
        <v>1767.6523411588669</v>
      </c>
      <c r="E46" s="635">
        <f t="shared" si="70"/>
        <v>1812.5948792429247</v>
      </c>
      <c r="F46" s="635">
        <f t="shared" si="70"/>
        <v>1866.9727256202148</v>
      </c>
      <c r="G46" s="635">
        <f t="shared" si="70"/>
        <v>1922.9819073888232</v>
      </c>
      <c r="H46" s="635">
        <f t="shared" si="70"/>
        <v>1980.6713646104902</v>
      </c>
      <c r="I46" s="635">
        <f t="shared" si="70"/>
        <v>2040.0915055488074</v>
      </c>
      <c r="J46" s="635">
        <f t="shared" si="70"/>
        <v>2101.2942507152725</v>
      </c>
      <c r="K46" s="635">
        <f t="shared" si="70"/>
        <v>2164.3330782367329</v>
      </c>
      <c r="L46" s="635">
        <f t="shared" si="70"/>
        <v>2229.263070583836</v>
      </c>
      <c r="M46" s="635">
        <f t="shared" si="70"/>
        <v>2296.1409627013531</v>
      </c>
      <c r="N46" s="192"/>
      <c r="O46" s="635">
        <f>AVERAGEIF($Q$6:$ES$6,O$6,$Q46:$ES46)</f>
        <v>2101.2942507152725</v>
      </c>
      <c r="P46" s="192"/>
      <c r="Q46" s="635">
        <f>Input!P54</f>
        <v>1748.76470588235</v>
      </c>
      <c r="R46" s="823">
        <f t="shared" ref="R46:BA46" si="72">Q46*IF($A46,R$160,R$159)</f>
        <v>1748.76470588235</v>
      </c>
      <c r="S46" s="635">
        <f t="shared" si="72"/>
        <v>1748.76470588235</v>
      </c>
      <c r="T46" s="635">
        <f t="shared" si="72"/>
        <v>1748.76470588235</v>
      </c>
      <c r="U46" s="635">
        <f t="shared" si="72"/>
        <v>1748.76470588235</v>
      </c>
      <c r="V46" s="635">
        <f t="shared" si="72"/>
        <v>1748.76470588235</v>
      </c>
      <c r="W46" s="635">
        <f t="shared" si="72"/>
        <v>1748.76470588235</v>
      </c>
      <c r="X46" s="635">
        <f t="shared" si="72"/>
        <v>1748.76470588235</v>
      </c>
      <c r="Y46" s="635">
        <f t="shared" si="72"/>
        <v>1748.76470588235</v>
      </c>
      <c r="Z46" s="635">
        <f t="shared" si="72"/>
        <v>1748.76470588235</v>
      </c>
      <c r="AA46" s="635">
        <f t="shared" si="72"/>
        <v>1748.76470588235</v>
      </c>
      <c r="AB46" s="635">
        <f t="shared" si="72"/>
        <v>1748.76470588235</v>
      </c>
      <c r="AC46" s="635">
        <f t="shared" si="72"/>
        <v>1748.76470588235</v>
      </c>
      <c r="AD46" s="635">
        <f t="shared" si="72"/>
        <v>1751.6529329720433</v>
      </c>
      <c r="AE46" s="635">
        <f t="shared" si="72"/>
        <v>1754.5459302035938</v>
      </c>
      <c r="AF46" s="635">
        <f t="shared" si="72"/>
        <v>1757.4437054552782</v>
      </c>
      <c r="AG46" s="635">
        <f t="shared" si="72"/>
        <v>1760.3462666183855</v>
      </c>
      <c r="AH46" s="635">
        <f t="shared" si="72"/>
        <v>1763.2536215972375</v>
      </c>
      <c r="AI46" s="635">
        <f t="shared" si="72"/>
        <v>1766.1657783092105</v>
      </c>
      <c r="AJ46" s="635">
        <f t="shared" si="72"/>
        <v>1769.0827446847575</v>
      </c>
      <c r="AK46" s="635">
        <f t="shared" si="72"/>
        <v>1772.0045286674285</v>
      </c>
      <c r="AL46" s="635">
        <f t="shared" si="72"/>
        <v>1774.9311382138935</v>
      </c>
      <c r="AM46" s="635">
        <f t="shared" si="72"/>
        <v>1777.8625812939636</v>
      </c>
      <c r="AN46" s="635">
        <f t="shared" si="72"/>
        <v>1780.7988658906122</v>
      </c>
      <c r="AO46" s="635">
        <f t="shared" si="72"/>
        <v>1783.739999999998</v>
      </c>
      <c r="AP46" s="635">
        <f t="shared" si="72"/>
        <v>1788.139184043647</v>
      </c>
      <c r="AQ46" s="635">
        <f t="shared" si="72"/>
        <v>1792.5492176619257</v>
      </c>
      <c r="AR46" s="635">
        <f t="shared" si="72"/>
        <v>1796.9701276128119</v>
      </c>
      <c r="AS46" s="635">
        <f t="shared" si="72"/>
        <v>1801.4019407202761</v>
      </c>
      <c r="AT46" s="635">
        <f t="shared" si="72"/>
        <v>1805.8446838744437</v>
      </c>
      <c r="AU46" s="635">
        <f t="shared" si="72"/>
        <v>1810.2983840317586</v>
      </c>
      <c r="AV46" s="635">
        <f t="shared" si="72"/>
        <v>1814.7630682151464</v>
      </c>
      <c r="AW46" s="635">
        <f t="shared" si="72"/>
        <v>1819.2387635141786</v>
      </c>
      <c r="AX46" s="635">
        <f t="shared" si="72"/>
        <v>1823.7254970852368</v>
      </c>
      <c r="AY46" s="635">
        <f t="shared" si="72"/>
        <v>1828.2232961516777</v>
      </c>
      <c r="AZ46" s="635">
        <f t="shared" si="72"/>
        <v>1832.7321880039981</v>
      </c>
      <c r="BA46" s="635">
        <f t="shared" si="72"/>
        <v>1837.2522000000004</v>
      </c>
      <c r="BB46" s="823">
        <f>IF(IF($A46,OtherRentGrowthType,MarketRentGrowthType)=52,AVERAGEIF($R$6:BA$6,BB$6-1,$R46:BA46),BA46)*IF($A46,BB$160,BB$159)</f>
        <v>1841.7833595649588</v>
      </c>
      <c r="BC46" s="635">
        <f>IF(IF($A46,OtherRentGrowthType,MarketRentGrowthType)=52,AVERAGEIF($R$6:BB$6,BC$6-1,$R46:BB46),BB46)*IF($A46,BC$160,BC$159)</f>
        <v>1846.3256941917857</v>
      </c>
      <c r="BD46" s="635">
        <f>IF(IF($A46,OtherRentGrowthType,MarketRentGrowthType)=52,AVERAGEIF($R$6:BC$6,BD$6-1,$R46:BC46),BC46)*IF($A46,BD$160,BD$159)</f>
        <v>1850.8792314411985</v>
      </c>
      <c r="BE46" s="635">
        <f>IF(IF($A46,OtherRentGrowthType,MarketRentGrowthType)=52,AVERAGEIF($R$6:BD$6,BE$6-1,$R46:BD46),BD46)*IF($A46,BE$160,BE$159)</f>
        <v>1855.4439989418865</v>
      </c>
      <c r="BF46" s="635">
        <f>IF(IF($A46,OtherRentGrowthType,MarketRentGrowthType)=52,AVERAGEIF($R$6:BE$6,BF$6-1,$R46:BE46),BE46)*IF($A46,BF$160,BF$159)</f>
        <v>1860.0200243906793</v>
      </c>
      <c r="BG46" s="635">
        <f>IF(IF($A46,OtherRentGrowthType,MarketRentGrowthType)=52,AVERAGEIF($R$6:BF$6,BG$6-1,$R46:BF46),BF46)*IF($A46,BG$160,BG$159)</f>
        <v>1864.6073355527135</v>
      </c>
      <c r="BH46" s="635">
        <f>IF(IF($A46,OtherRentGrowthType,MarketRentGrowthType)=52,AVERAGEIF($R$6:BG$6,BH$6-1,$R46:BG46),BG46)*IF($A46,BH$160,BH$159)</f>
        <v>1869.205960261603</v>
      </c>
      <c r="BI46" s="635">
        <f>IF(IF($A46,OtherRentGrowthType,MarketRentGrowthType)=52,AVERAGEIF($R$6:BH$6,BI$6-1,$R46:BH46),BH46)*IF($A46,BI$160,BI$159)</f>
        <v>1873.8159264196061</v>
      </c>
      <c r="BJ46" s="635">
        <f>IF(IF($A46,OtherRentGrowthType,MarketRentGrowthType)=52,AVERAGEIF($R$6:BI$6,BJ$6-1,$R46:BI46),BI46)*IF($A46,BJ$160,BJ$159)</f>
        <v>1878.437261997796</v>
      </c>
      <c r="BK46" s="635">
        <f>IF(IF($A46,OtherRentGrowthType,MarketRentGrowthType)=52,AVERAGEIF($R$6:BJ$6,BK$6-1,$R46:BJ46),BJ46)*IF($A46,BK$160,BK$159)</f>
        <v>1883.06999503623</v>
      </c>
      <c r="BL46" s="635">
        <f>IF(IF($A46,OtherRentGrowthType,MarketRentGrowthType)=52,AVERAGEIF($R$6:BK$6,BL$6-1,$R46:BK46),BK46)*IF($A46,BL$160,BL$159)</f>
        <v>1887.71415364412</v>
      </c>
      <c r="BM46" s="635">
        <f>IF(IF($A46,OtherRentGrowthType,MarketRentGrowthType)=52,AVERAGEIF($R$6:BL$6,BM$6-1,$R46:BL46),BL46)*IF($A46,BM$160,BM$159)</f>
        <v>1892.3697660000023</v>
      </c>
      <c r="BN46" s="635">
        <f>IF(IF($A46,OtherRentGrowthType,MarketRentGrowthType)=52,AVERAGEIF($R$6:BM$6,BN$6-1,$R46:BM46),BM46)*IF($A46,BN$160,BN$159)</f>
        <v>1897.0368603519096</v>
      </c>
      <c r="BO46" s="635">
        <f>IF(IF($A46,OtherRentGrowthType,MarketRentGrowthType)=52,AVERAGEIF($R$6:BN$6,BO$6-1,$R46:BN46),BN46)*IF($A46,BO$160,BO$159)</f>
        <v>1901.7154650175414</v>
      </c>
      <c r="BP46" s="635">
        <f>IF(IF($A46,OtherRentGrowthType,MarketRentGrowthType)=52,AVERAGEIF($R$6:BO$6,BP$6-1,$R46:BO46),BO46)*IF($A46,BP$160,BP$159)</f>
        <v>1906.4056083844366</v>
      </c>
      <c r="BQ46" s="635">
        <f>IF(IF($A46,OtherRentGrowthType,MarketRentGrowthType)=52,AVERAGEIF($R$6:BP$6,BQ$6-1,$R46:BP46),BP46)*IF($A46,BQ$160,BQ$159)</f>
        <v>1911.1073189101453</v>
      </c>
      <c r="BR46" s="635">
        <f>IF(IF($A46,OtherRentGrowthType,MarketRentGrowthType)=52,AVERAGEIF($R$6:BQ$6,BR$6-1,$R46:BQ46),BQ46)*IF($A46,BR$160,BR$159)</f>
        <v>1915.8206251224017</v>
      </c>
      <c r="BS46" s="635">
        <f>IF(IF($A46,OtherRentGrowthType,MarketRentGrowthType)=52,AVERAGEIF($R$6:BR$6,BS$6-1,$R46:BR46),BR46)*IF($A46,BS$160,BS$159)</f>
        <v>1920.5455556192969</v>
      </c>
      <c r="BT46" s="635">
        <f>IF(IF($A46,OtherRentGrowthType,MarketRentGrowthType)=52,AVERAGEIF($R$6:BS$6,BT$6-1,$R46:BS46),BS46)*IF($A46,BT$160,BT$159)</f>
        <v>1925.282139069453</v>
      </c>
      <c r="BU46" s="635">
        <f>IF(IF($A46,OtherRentGrowthType,MarketRentGrowthType)=52,AVERAGEIF($R$6:BT$6,BU$6-1,$R46:BT46),BT46)*IF($A46,BU$160,BU$159)</f>
        <v>1930.0304042121961</v>
      </c>
      <c r="BV46" s="635">
        <f>IF(IF($A46,OtherRentGrowthType,MarketRentGrowthType)=52,AVERAGEIF($R$6:BU$6,BV$6-1,$R46:BU46),BU46)*IF($A46,BV$160,BV$159)</f>
        <v>1934.7903798577318</v>
      </c>
      <c r="BW46" s="635">
        <f>IF(IF($A46,OtherRentGrowthType,MarketRentGrowthType)=52,AVERAGEIF($R$6:BV$6,BW$6-1,$R46:BV46),BV46)*IF($A46,BW$160,BW$159)</f>
        <v>1939.5620948873188</v>
      </c>
      <c r="BX46" s="635">
        <f>IF(IF($A46,OtherRentGrowthType,MarketRentGrowthType)=52,AVERAGEIF($R$6:BW$6,BX$6-1,$R46:BW46),BW46)*IF($A46,BX$160,BX$159)</f>
        <v>1944.3455782534454</v>
      </c>
      <c r="BY46" s="635">
        <f>IF(IF($A46,OtherRentGrowthType,MarketRentGrowthType)=52,AVERAGEIF($R$6:BX$6,BY$6-1,$R46:BX46),BX46)*IF($A46,BY$160,BY$159)</f>
        <v>1949.1408589800042</v>
      </c>
      <c r="BZ46" s="635">
        <f>IF(IF($A46,OtherRentGrowthType,MarketRentGrowthType)=52,AVERAGEIF($R$6:BY$6,BZ$6-1,$R46:BY46),BY46)*IF($A46,BZ$160,BZ$159)</f>
        <v>1953.9479661624687</v>
      </c>
      <c r="CA46" s="635">
        <f>IF(IF($A46,OtherRentGrowthType,MarketRentGrowthType)=52,AVERAGEIF($R$6:BZ$6,CA$6-1,$R46:BZ46),BZ46)*IF($A46,CA$160,CA$159)</f>
        <v>1958.7669289680694</v>
      </c>
      <c r="CB46" s="635">
        <f>IF(IF($A46,OtherRentGrowthType,MarketRentGrowthType)=52,AVERAGEIF($R$6:CA$6,CB$6-1,$R46:CA46),CA46)*IF($A46,CB$160,CB$159)</f>
        <v>1963.5977766359715</v>
      </c>
      <c r="CC46" s="635">
        <f>IF(IF($A46,OtherRentGrowthType,MarketRentGrowthType)=52,AVERAGEIF($R$6:CB$6,CC$6-1,$R46:CB46),CB46)*IF($A46,CC$160,CC$159)</f>
        <v>1968.4405384774516</v>
      </c>
      <c r="CD46" s="635">
        <f>IF(IF($A46,OtherRentGrowthType,MarketRentGrowthType)=52,AVERAGEIF($R$6:CC$6,CD$6-1,$R46:CC46),CC46)*IF($A46,CD$160,CD$159)</f>
        <v>1973.2952438760758</v>
      </c>
      <c r="CE46" s="635">
        <f>IF(IF($A46,OtherRentGrowthType,MarketRentGrowthType)=52,AVERAGEIF($R$6:CD$6,CE$6-1,$R46:CD46),CD46)*IF($A46,CE$160,CE$159)</f>
        <v>1978.161922287878</v>
      </c>
      <c r="CF46" s="635">
        <f>IF(IF($A46,OtherRentGrowthType,MarketRentGrowthType)=52,AVERAGEIF($R$6:CE$6,CF$6-1,$R46:CE46),CE46)*IF($A46,CF$160,CF$159)</f>
        <v>1983.0406032415387</v>
      </c>
      <c r="CG46" s="635">
        <f>IF(IF($A46,OtherRentGrowthType,MarketRentGrowthType)=52,AVERAGEIF($R$6:CF$6,CG$6-1,$R46:CF46),CF46)*IF($A46,CG$160,CG$159)</f>
        <v>1987.9313163385643</v>
      </c>
      <c r="CH46" s="635">
        <f>IF(IF($A46,OtherRentGrowthType,MarketRentGrowthType)=52,AVERAGEIF($R$6:CG$6,CH$6-1,$R46:CG46),CG46)*IF($A46,CH$160,CH$159)</f>
        <v>1992.8340912534661</v>
      </c>
      <c r="CI46" s="635">
        <f>IF(IF($A46,OtherRentGrowthType,MarketRentGrowthType)=52,AVERAGEIF($R$6:CH$6,CI$6-1,$R46:CH46),CH46)*IF($A46,CI$160,CI$159)</f>
        <v>1997.7489577339409</v>
      </c>
      <c r="CJ46" s="635">
        <f>IF(IF($A46,OtherRentGrowthType,MarketRentGrowthType)=52,AVERAGEIF($R$6:CI$6,CJ$6-1,$R46:CI46),CI46)*IF($A46,CJ$160,CJ$159)</f>
        <v>2002.6759456010514</v>
      </c>
      <c r="CK46" s="635">
        <f>IF(IF($A46,OtherRentGrowthType,MarketRentGrowthType)=52,AVERAGEIF($R$6:CJ$6,CK$6-1,$R46:CJ46),CJ46)*IF($A46,CK$160,CK$159)</f>
        <v>2007.6150847494068</v>
      </c>
      <c r="CL46" s="635">
        <f>IF(IF($A46,OtherRentGrowthType,MarketRentGrowthType)=52,AVERAGEIF($R$6:CK$6,CL$6-1,$R46:CK46),CK46)*IF($A46,CL$160,CL$159)</f>
        <v>2012.5664051473452</v>
      </c>
      <c r="CM46" s="635">
        <f>IF(IF($A46,OtherRentGrowthType,MarketRentGrowthType)=52,AVERAGEIF($R$6:CL$6,CM$6-1,$R46:CL46),CL46)*IF($A46,CM$160,CM$159)</f>
        <v>2017.5299368371141</v>
      </c>
      <c r="CN46" s="635">
        <f>IF(IF($A46,OtherRentGrowthType,MarketRentGrowthType)=52,AVERAGEIF($R$6:CM$6,CN$6-1,$R46:CM46),CM46)*IF($A46,CN$160,CN$159)</f>
        <v>2022.5057099350531</v>
      </c>
      <c r="CO46" s="635">
        <f>IF(IF($A46,OtherRentGrowthType,MarketRentGrowthType)=52,AVERAGEIF($R$6:CN$6,CO$6-1,$R46:CN46),CN46)*IF($A46,CO$160,CO$159)</f>
        <v>2027.4937546317776</v>
      </c>
      <c r="CP46" s="635">
        <f>IF(IF($A46,OtherRentGrowthType,MarketRentGrowthType)=52,AVERAGEIF($R$6:CO$6,CP$6-1,$R46:CO46),CO46)*IF($A46,CP$160,CP$159)</f>
        <v>2032.4941011923604</v>
      </c>
      <c r="CQ46" s="635">
        <f>IF(IF($A46,OtherRentGrowthType,MarketRentGrowthType)=52,AVERAGEIF($R$6:CP$6,CQ$6-1,$R46:CP46),CP46)*IF($A46,CQ$160,CQ$159)</f>
        <v>2037.5067799565168</v>
      </c>
      <c r="CR46" s="635">
        <f>IF(IF($A46,OtherRentGrowthType,MarketRentGrowthType)=52,AVERAGEIF($R$6:CQ$6,CR$6-1,$R46:CQ46),CQ46)*IF($A46,CR$160,CR$159)</f>
        <v>2042.5318213387873</v>
      </c>
      <c r="CS46" s="635">
        <f>IF(IF($A46,OtherRentGrowthType,MarketRentGrowthType)=52,AVERAGEIF($R$6:CR$6,CS$6-1,$R46:CR46),CR46)*IF($A46,CS$160,CS$159)</f>
        <v>2047.5692558287235</v>
      </c>
      <c r="CT46" s="635">
        <f>IF(IF($A46,OtherRentGrowthType,MarketRentGrowthType)=52,AVERAGEIF($R$6:CS$6,CT$6-1,$R46:CS46),CS46)*IF($A46,CT$160,CT$159)</f>
        <v>2052.619113991072</v>
      </c>
      <c r="CU46" s="635">
        <f>IF(IF($A46,OtherRentGrowthType,MarketRentGrowthType)=52,AVERAGEIF($R$6:CT$6,CU$6-1,$R46:CT46),CT46)*IF($A46,CU$160,CU$159)</f>
        <v>2057.6814264659611</v>
      </c>
      <c r="CV46" s="635">
        <f>IF(IF($A46,OtherRentGrowthType,MarketRentGrowthType)=52,AVERAGEIF($R$6:CU$6,CV$6-1,$R46:CU46),CU46)*IF($A46,CV$160,CV$159)</f>
        <v>2062.7562239690847</v>
      </c>
      <c r="CW46" s="635">
        <f>IF(IF($A46,OtherRentGrowthType,MarketRentGrowthType)=52,AVERAGEIF($R$6:CV$6,CW$6-1,$R46:CV46),CV46)*IF($A46,CW$160,CW$159)</f>
        <v>2067.8435372918907</v>
      </c>
      <c r="CX46" s="635">
        <f>IF(IF($A46,OtherRentGrowthType,MarketRentGrowthType)=52,AVERAGEIF($R$6:CW$6,CX$6-1,$R46:CW46),CW46)*IF($A46,CX$160,CX$159)</f>
        <v>2072.9433973017672</v>
      </c>
      <c r="CY46" s="635">
        <f>IF(IF($A46,OtherRentGrowthType,MarketRentGrowthType)=52,AVERAGEIF($R$6:CX$6,CY$6-1,$R46:CX46),CX46)*IF($A46,CY$160,CY$159)</f>
        <v>2078.055834942229</v>
      </c>
      <c r="CZ46" s="635">
        <f>IF(IF($A46,OtherRentGrowthType,MarketRentGrowthType)=52,AVERAGEIF($R$6:CY$6,CZ$6-1,$R46:CY46),CY46)*IF($A46,CZ$160,CZ$159)</f>
        <v>2083.1808812331064</v>
      </c>
      <c r="DA46" s="635">
        <f>IF(IF($A46,OtherRentGrowthType,MarketRentGrowthType)=52,AVERAGEIF($R$6:CZ$6,DA$6-1,$R46:CZ46),CZ46)*IF($A46,DA$160,DA$159)</f>
        <v>2088.3185672707327</v>
      </c>
      <c r="DB46" s="635">
        <f>IF(IF($A46,OtherRentGrowthType,MarketRentGrowthType)=52,AVERAGEIF($R$6:DA$6,DB$6-1,$R46:DA46),DA46)*IF($A46,DB$160,DB$159)</f>
        <v>2093.4689242281329</v>
      </c>
      <c r="DC46" s="635">
        <f>IF(IF($A46,OtherRentGrowthType,MarketRentGrowthType)=52,AVERAGEIF($R$6:DB$6,DC$6-1,$R46:DB46),DB46)*IF($A46,DC$160,DC$159)</f>
        <v>2098.6319833552138</v>
      </c>
      <c r="DD46" s="635">
        <f>IF(IF($A46,OtherRentGrowthType,MarketRentGrowthType)=52,AVERAGEIF($R$6:DC$6,DD$6-1,$R46:DC46),DC46)*IF($A46,DD$160,DD$159)</f>
        <v>2103.8077759789526</v>
      </c>
      <c r="DE46" s="635">
        <f>IF(IF($A46,OtherRentGrowthType,MarketRentGrowthType)=52,AVERAGEIF($R$6:DD$6,DE$6-1,$R46:DD46),DD46)*IF($A46,DE$160,DE$159)</f>
        <v>2108.9963335035868</v>
      </c>
      <c r="DF46" s="635">
        <f>IF(IF($A46,OtherRentGrowthType,MarketRentGrowthType)=52,AVERAGEIF($R$6:DE$6,DF$6-1,$R46:DE46),DE46)*IF($A46,DF$160,DF$159)</f>
        <v>2114.1976874108059</v>
      </c>
      <c r="DG46" s="635">
        <f>IF(IF($A46,OtherRentGrowthType,MarketRentGrowthType)=52,AVERAGEIF($R$6:DF$6,DG$6-1,$R46:DF46),DF46)*IF($A46,DG$160,DG$159)</f>
        <v>2119.4118692599413</v>
      </c>
      <c r="DH46" s="635">
        <f>IF(IF($A46,OtherRentGrowthType,MarketRentGrowthType)=52,AVERAGEIF($R$6:DG$6,DH$6-1,$R46:DG46),DG46)*IF($A46,DH$160,DH$159)</f>
        <v>2124.6389106881588</v>
      </c>
      <c r="DI46" s="635">
        <f>IF(IF($A46,OtherRentGrowthType,MarketRentGrowthType)=52,AVERAGEIF($R$6:DH$6,DI$6-1,$R46:DH46),DH46)*IF($A46,DI$160,DI$159)</f>
        <v>2129.8788434106491</v>
      </c>
      <c r="DJ46" s="635">
        <f>IF(IF($A46,OtherRentGrowthType,MarketRentGrowthType)=52,AVERAGEIF($R$6:DI$6,DJ$6-1,$R46:DI46),DI46)*IF($A46,DJ$160,DJ$159)</f>
        <v>2135.1316992208217</v>
      </c>
      <c r="DK46" s="635">
        <f>IF(IF($A46,OtherRentGrowthType,MarketRentGrowthType)=52,AVERAGEIF($R$6:DJ$6,DK$6-1,$R46:DJ46),DJ46)*IF($A46,DK$160,DK$159)</f>
        <v>2140.3975099904974</v>
      </c>
      <c r="DL46" s="635">
        <f>IF(IF($A46,OtherRentGrowthType,MarketRentGrowthType)=52,AVERAGEIF($R$6:DK$6,DL$6-1,$R46:DK46),DK46)*IF($A46,DL$160,DL$159)</f>
        <v>2145.6763076701009</v>
      </c>
      <c r="DM46" s="635">
        <f>IF(IF($A46,OtherRentGrowthType,MarketRentGrowthType)=52,AVERAGEIF($R$6:DL$6,DM$6-1,$R46:DL46),DL46)*IF($A46,DM$160,DM$159)</f>
        <v>2150.968124288856</v>
      </c>
      <c r="DN46" s="635">
        <f>IF(IF($A46,OtherRentGrowthType,MarketRentGrowthType)=52,AVERAGEIF($R$6:DM$6,DN$6-1,$R46:DM46),DM46)*IF($A46,DN$160,DN$159)</f>
        <v>2156.2729919549784</v>
      </c>
      <c r="DO46" s="635">
        <f>IF(IF($A46,OtherRentGrowthType,MarketRentGrowthType)=52,AVERAGEIF($R$6:DN$6,DO$6-1,$R46:DN46),DN46)*IF($A46,DO$160,DO$159)</f>
        <v>2161.5909428558716</v>
      </c>
      <c r="DP46" s="635">
        <f>IF(IF($A46,OtherRentGrowthType,MarketRentGrowthType)=52,AVERAGEIF($R$6:DO$6,DP$6-1,$R46:DO46),DO46)*IF($A46,DP$160,DP$159)</f>
        <v>2166.9220092583223</v>
      </c>
      <c r="DQ46" s="635">
        <f>IF(IF($A46,OtherRentGrowthType,MarketRentGrowthType)=52,AVERAGEIF($R$6:DP$6,DQ$6-1,$R46:DP46),DP46)*IF($A46,DQ$160,DQ$159)</f>
        <v>2172.2662235086955</v>
      </c>
      <c r="DR46" s="635">
        <f>IF(IF($A46,OtherRentGrowthType,MarketRentGrowthType)=52,AVERAGEIF($R$6:DQ$6,DR$6-1,$R46:DQ46),DQ46)*IF($A46,DR$160,DR$159)</f>
        <v>2177.6236180331312</v>
      </c>
      <c r="DS46" s="635">
        <f>IF(IF($A46,OtherRentGrowthType,MarketRentGrowthType)=52,AVERAGEIF($R$6:DR$6,DS$6-1,$R46:DR46),DR46)*IF($A46,DS$160,DS$159)</f>
        <v>2182.9942253377408</v>
      </c>
      <c r="DT46" s="635">
        <f>IF(IF($A46,OtherRentGrowthType,MarketRentGrowthType)=52,AVERAGEIF($R$6:DS$6,DT$6-1,$R46:DS46),DS46)*IF($A46,DT$160,DT$159)</f>
        <v>2188.3780780088046</v>
      </c>
      <c r="DU46" s="635">
        <f>IF(IF($A46,OtherRentGrowthType,MarketRentGrowthType)=52,AVERAGEIF($R$6:DT$6,DU$6-1,$R46:DT46),DT46)*IF($A46,DU$160,DU$159)</f>
        <v>2193.7752087129697</v>
      </c>
      <c r="DV46" s="635">
        <f>IF(IF($A46,OtherRentGrowthType,MarketRentGrowthType)=52,AVERAGEIF($R$6:DU$6,DV$6-1,$R46:DU46),DU46)*IF($A46,DV$160,DV$159)</f>
        <v>2199.1856501974476</v>
      </c>
      <c r="DW46" s="635">
        <f>IF(IF($A46,OtherRentGrowthType,MarketRentGrowthType)=52,AVERAGEIF($R$6:DV$6,DW$6-1,$R46:DV46),DV46)*IF($A46,DW$160,DW$159)</f>
        <v>2204.6094352902137</v>
      </c>
      <c r="DX46" s="635">
        <f>IF(IF($A46,OtherRentGrowthType,MarketRentGrowthType)=52,AVERAGEIF($R$6:DW$6,DX$6-1,$R46:DW46),DW46)*IF($A46,DX$160,DX$159)</f>
        <v>2210.0465969002053</v>
      </c>
      <c r="DY46" s="635">
        <f>IF(IF($A46,OtherRentGrowthType,MarketRentGrowthType)=52,AVERAGEIF($R$6:DX$6,DY$6-1,$R46:DX46),DX46)*IF($A46,DY$160,DY$159)</f>
        <v>2215.4971680175227</v>
      </c>
      <c r="DZ46" s="635">
        <f>IF(IF($A46,OtherRentGrowthType,MarketRentGrowthType)=52,AVERAGEIF($R$6:DY$6,DZ$6-1,$R46:DY46),DY46)*IF($A46,DZ$160,DZ$159)</f>
        <v>2220.9611817136288</v>
      </c>
      <c r="EA46" s="635">
        <f>IF(IF($A46,OtherRentGrowthType,MarketRentGrowthType)=52,AVERAGEIF($R$6:DZ$6,EA$6-1,$R46:DZ46),DZ46)*IF($A46,EA$160,EA$159)</f>
        <v>2226.4386711415491</v>
      </c>
      <c r="EB46" s="635">
        <f>IF(IF($A46,OtherRentGrowthType,MarketRentGrowthType)=52,AVERAGEIF($R$6:EA$6,EB$6-1,$R46:EA46),EA46)*IF($A46,EB$160,EB$159)</f>
        <v>2231.9296695360736</v>
      </c>
      <c r="EC46" s="635">
        <f>IF(IF($A46,OtherRentGrowthType,MarketRentGrowthType)=52,AVERAGEIF($R$6:EB$6,EC$6-1,$R46:EB46),EB46)*IF($A46,EC$160,EC$159)</f>
        <v>2237.4342102139581</v>
      </c>
      <c r="ED46" s="635">
        <f>IF(IF($A46,OtherRentGrowthType,MarketRentGrowthType)=52,AVERAGEIF($R$6:EC$6,ED$6-1,$R46:EC46),EC46)*IF($A46,ED$160,ED$159)</f>
        <v>2242.9523265741268</v>
      </c>
      <c r="EE46" s="635">
        <f>IF(IF($A46,OtherRentGrowthType,MarketRentGrowthType)=52,AVERAGEIF($R$6:ED$6,EE$6-1,$R46:ED46),ED46)*IF($A46,EE$160,EE$159)</f>
        <v>2248.4840520978746</v>
      </c>
      <c r="EF46" s="635">
        <f>IF(IF($A46,OtherRentGrowthType,MarketRentGrowthType)=52,AVERAGEIF($R$6:EE$6,EF$6-1,$R46:EE46),EE46)*IF($A46,EF$160,EF$159)</f>
        <v>2254.0294203490703</v>
      </c>
      <c r="EG46" s="635">
        <f>IF(IF($A46,OtherRentGrowthType,MarketRentGrowthType)=52,AVERAGEIF($R$6:EF$6,EG$6-1,$R46:EF46),EF46)*IF($A46,EG$160,EG$159)</f>
        <v>2259.5884649743602</v>
      </c>
      <c r="EH46" s="635">
        <f>IF(IF($A46,OtherRentGrowthType,MarketRentGrowthType)=52,AVERAGEIF($R$6:EG$6,EH$6-1,$R46:EG46),EG46)*IF($A46,EH$160,EH$159)</f>
        <v>2265.1612197033728</v>
      </c>
      <c r="EI46" s="635">
        <f>IF(IF($A46,OtherRentGrowthType,MarketRentGrowthType)=52,AVERAGEIF($R$6:EH$6,EI$6-1,$R46:EH46),EH46)*IF($A46,EI$160,EI$159)</f>
        <v>2270.7477183489218</v>
      </c>
      <c r="EJ46" s="635">
        <f>IF(IF($A46,OtherRentGrowthType,MarketRentGrowthType)=52,AVERAGEIF($R$6:EI$6,EJ$6-1,$R46:EI46),EI46)*IF($A46,EJ$160,EJ$159)</f>
        <v>2276.3479948072131</v>
      </c>
      <c r="EK46" s="635">
        <f>IF(IF($A46,OtherRentGrowthType,MarketRentGrowthType)=52,AVERAGEIF($R$6:EJ$6,EK$6-1,$R46:EJ46),EJ46)*IF($A46,EK$160,EK$159)</f>
        <v>2281.9620830580502</v>
      </c>
      <c r="EL46" s="635">
        <f>IF(IF($A46,OtherRentGrowthType,MarketRentGrowthType)=52,AVERAGEIF($R$6:EK$6,EL$6-1,$R46:EK46),EK46)*IF($A46,EL$160,EL$159)</f>
        <v>2287.5900171650396</v>
      </c>
      <c r="EM46" s="635">
        <f>IF(IF($A46,OtherRentGrowthType,MarketRentGrowthType)=52,AVERAGEIF($R$6:EL$6,EM$6-1,$R46:EL46),EL46)*IF($A46,EM$160,EM$159)</f>
        <v>2293.2318312757975</v>
      </c>
      <c r="EN46" s="635">
        <f>IF(IF($A46,OtherRentGrowthType,MarketRentGrowthType)=52,AVERAGEIF($R$6:EM$6,EN$6-1,$R46:EM46),EM46)*IF($A46,EN$160,EN$159)</f>
        <v>2298.8875596221578</v>
      </c>
      <c r="EO46" s="635">
        <f>IF(IF($A46,OtherRentGrowthType,MarketRentGrowthType)=52,AVERAGEIF($R$6:EN$6,EO$6-1,$R46:EN46),EN46)*IF($A46,EO$160,EO$159)</f>
        <v>2304.5572365203789</v>
      </c>
      <c r="EP46" s="635">
        <f>IF(IF($A46,OtherRentGrowthType,MarketRentGrowthType)=52,AVERAGEIF($R$6:EO$6,EP$6-1,$R46:EO46),EO46)*IF($A46,EP$160,EP$159)</f>
        <v>2310.2408963713528</v>
      </c>
      <c r="EQ46" s="635">
        <f>IF(IF($A46,OtherRentGrowthType,MarketRentGrowthType)=52,AVERAGEIF($R$6:EP$6,EQ$6-1,$R46:EP46),EP46)*IF($A46,EQ$160,EQ$159)</f>
        <v>2315.9385736608133</v>
      </c>
      <c r="ER46" s="635">
        <f>IF(IF($A46,OtherRentGrowthType,MarketRentGrowthType)=52,AVERAGEIF($R$6:EQ$6,ER$6-1,$R46:EQ46),EQ46)*IF($A46,ER$160,ER$159)</f>
        <v>2321.6503029595451</v>
      </c>
      <c r="ES46" s="635">
        <f>IF(IF($A46,OtherRentGrowthType,MarketRentGrowthType)=52,AVERAGEIF($R$6:ER$6,ES$6-1,$R46:ER46),ER46)*IF($A46,ES$160,ES$159)</f>
        <v>2327.3761189235938</v>
      </c>
      <c r="ET46" s="192"/>
    </row>
    <row r="47" spans="1:150" ht="2.1" customHeight="1">
      <c r="A47" s="192"/>
      <c r="B47" s="36"/>
      <c r="C47" s="635"/>
      <c r="D47" s="635"/>
      <c r="E47" s="635"/>
      <c r="F47" s="635"/>
      <c r="G47" s="635"/>
      <c r="H47" s="635"/>
      <c r="I47" s="635"/>
      <c r="J47" s="635"/>
      <c r="K47" s="635"/>
      <c r="L47" s="635"/>
      <c r="M47" s="635"/>
      <c r="N47" s="192"/>
      <c r="O47" s="635"/>
      <c r="P47" s="192"/>
      <c r="Q47" s="635"/>
      <c r="R47" s="635"/>
      <c r="S47" s="635"/>
      <c r="T47" s="635"/>
      <c r="U47" s="635"/>
      <c r="V47" s="635"/>
      <c r="W47" s="635"/>
      <c r="X47" s="635"/>
      <c r="Y47" s="635"/>
      <c r="Z47" s="635"/>
      <c r="AA47" s="635"/>
      <c r="AB47" s="635"/>
      <c r="AC47" s="635"/>
      <c r="AD47" s="635"/>
      <c r="AE47" s="635"/>
      <c r="AF47" s="635"/>
      <c r="AG47" s="635"/>
      <c r="AH47" s="635"/>
      <c r="AI47" s="635"/>
      <c r="AJ47" s="635"/>
      <c r="AK47" s="635"/>
      <c r="AL47" s="635"/>
      <c r="AM47" s="635"/>
      <c r="AN47" s="635"/>
      <c r="AO47" s="635"/>
      <c r="AP47" s="635"/>
      <c r="AQ47" s="635"/>
      <c r="AR47" s="635"/>
      <c r="AS47" s="635"/>
      <c r="AT47" s="635"/>
      <c r="AU47" s="635"/>
      <c r="AV47" s="635"/>
      <c r="AW47" s="635"/>
      <c r="AX47" s="635"/>
      <c r="AY47" s="635"/>
      <c r="AZ47" s="635"/>
      <c r="BA47" s="635"/>
      <c r="BB47" s="37"/>
      <c r="BC47" s="37"/>
      <c r="BD47" s="37"/>
      <c r="BE47" s="37"/>
      <c r="BF47" s="37"/>
      <c r="BG47" s="37"/>
      <c r="BH47" s="37"/>
      <c r="BI47" s="37"/>
      <c r="BJ47" s="37"/>
      <c r="BK47" s="37"/>
      <c r="BL47" s="37"/>
      <c r="BM47" s="37"/>
      <c r="BN47" s="37"/>
      <c r="BO47" s="37"/>
      <c r="BP47" s="37"/>
      <c r="BQ47" s="37"/>
      <c r="BR47" s="37"/>
      <c r="BS47" s="37"/>
      <c r="BT47" s="37"/>
      <c r="BU47" s="37"/>
      <c r="BV47" s="37"/>
      <c r="BW47" s="37"/>
      <c r="BX47" s="37"/>
      <c r="BY47" s="37"/>
      <c r="BZ47" s="37"/>
      <c r="CA47" s="37"/>
      <c r="CB47" s="37"/>
      <c r="CC47" s="37"/>
      <c r="CD47" s="37"/>
      <c r="CE47" s="37"/>
      <c r="CF47" s="37"/>
      <c r="CG47" s="37"/>
      <c r="CH47" s="37"/>
      <c r="CI47" s="37"/>
      <c r="CJ47" s="37"/>
      <c r="CK47" s="37"/>
      <c r="CL47" s="37"/>
      <c r="CM47" s="37"/>
      <c r="CN47" s="37"/>
      <c r="CO47" s="37"/>
      <c r="CP47" s="37"/>
      <c r="CQ47" s="37"/>
      <c r="CR47" s="37"/>
      <c r="CS47" s="37"/>
      <c r="CT47" s="37"/>
      <c r="CU47" s="37"/>
      <c r="CV47" s="37"/>
      <c r="CW47" s="37"/>
      <c r="CX47" s="37"/>
      <c r="CY47" s="37"/>
      <c r="CZ47" s="37"/>
      <c r="DA47" s="37"/>
      <c r="DB47" s="37"/>
      <c r="DC47" s="37"/>
      <c r="DD47" s="37"/>
      <c r="DE47" s="37"/>
      <c r="DF47" s="37"/>
      <c r="DG47" s="37"/>
      <c r="DH47" s="37"/>
      <c r="DI47" s="37"/>
      <c r="DJ47" s="37"/>
      <c r="DK47" s="37"/>
      <c r="DL47" s="37"/>
      <c r="DM47" s="37"/>
      <c r="DN47" s="37"/>
      <c r="DO47" s="37"/>
      <c r="DP47" s="37"/>
      <c r="DQ47" s="37"/>
      <c r="DR47" s="37"/>
      <c r="DS47" s="37"/>
      <c r="DT47" s="37"/>
      <c r="DU47" s="37"/>
      <c r="DV47" s="37"/>
      <c r="DW47" s="37"/>
      <c r="DX47" s="37"/>
      <c r="DY47" s="37"/>
      <c r="DZ47" s="37"/>
      <c r="EA47" s="37"/>
      <c r="EB47" s="37"/>
      <c r="EC47" s="37"/>
      <c r="ED47" s="37"/>
      <c r="EE47" s="37"/>
      <c r="EF47" s="37"/>
      <c r="EG47" s="37"/>
      <c r="EH47" s="37"/>
      <c r="EI47" s="37"/>
      <c r="EJ47" s="37"/>
      <c r="EK47" s="37"/>
      <c r="EL47" s="37"/>
      <c r="EM47" s="37"/>
      <c r="EN47" s="37"/>
      <c r="EO47" s="37"/>
      <c r="EP47" s="37"/>
      <c r="EQ47" s="37"/>
      <c r="ER47" s="37"/>
      <c r="ES47" s="37"/>
      <c r="ET47" s="192"/>
    </row>
    <row r="48" spans="1:150">
      <c r="A48" s="192"/>
      <c r="B48" s="810" t="s">
        <v>562</v>
      </c>
      <c r="C48" s="824">
        <f t="shared" ref="C48:M48" si="73">IFERROR(AVERAGEIFS($Q48:$ES48,$Q$6:$ES$6,C$5,$Q48:$ES48,"&gt;0"),)</f>
        <v>1670.2750000000012</v>
      </c>
      <c r="D48" s="824">
        <f t="shared" si="73"/>
        <v>1688.314902626905</v>
      </c>
      <c r="E48" s="824">
        <f t="shared" si="73"/>
        <v>1731.240287354678</v>
      </c>
      <c r="F48" s="824">
        <f t="shared" si="73"/>
        <v>1783.1774959753204</v>
      </c>
      <c r="G48" s="824">
        <f t="shared" si="73"/>
        <v>1836.6728208545819</v>
      </c>
      <c r="H48" s="824">
        <f t="shared" si="73"/>
        <v>1891.7730054802207</v>
      </c>
      <c r="I48" s="824">
        <f t="shared" si="73"/>
        <v>1948.5261956446295</v>
      </c>
      <c r="J48" s="824">
        <f t="shared" si="73"/>
        <v>2006.9819815139708</v>
      </c>
      <c r="K48" s="824">
        <f t="shared" si="73"/>
        <v>2067.1914409593919</v>
      </c>
      <c r="L48" s="824">
        <f t="shared" si="73"/>
        <v>2129.2071841881752</v>
      </c>
      <c r="M48" s="824">
        <f t="shared" si="73"/>
        <v>2193.0833997138238</v>
      </c>
      <c r="N48" s="812"/>
      <c r="O48" s="824">
        <f>IFERROR(AVERAGEIFS($Q48:$ES48,$Q$6:$ES$6,O$6,$Q48:$ES48,"&gt;0"),)</f>
        <v>2006.9819815139708</v>
      </c>
      <c r="P48" s="812"/>
      <c r="Q48" s="824">
        <f t="shared" ref="Q48:AV48" si="74">IF(Q$22,SUMPRODUCT(Q45:Q47,Q$19:Q$21)/Q$22,)</f>
        <v>1670.2750000000008</v>
      </c>
      <c r="R48" s="824">
        <f t="shared" si="74"/>
        <v>1670.2750000000008</v>
      </c>
      <c r="S48" s="824">
        <f t="shared" si="74"/>
        <v>1670.2750000000008</v>
      </c>
      <c r="T48" s="824">
        <f t="shared" si="74"/>
        <v>1670.2750000000008</v>
      </c>
      <c r="U48" s="824">
        <f t="shared" si="74"/>
        <v>1670.2750000000008</v>
      </c>
      <c r="V48" s="824">
        <f t="shared" si="74"/>
        <v>1670.2750000000008</v>
      </c>
      <c r="W48" s="824">
        <f t="shared" si="74"/>
        <v>1670.2750000000008</v>
      </c>
      <c r="X48" s="824">
        <f t="shared" si="74"/>
        <v>1670.2750000000008</v>
      </c>
      <c r="Y48" s="824">
        <f t="shared" si="74"/>
        <v>1670.2750000000008</v>
      </c>
      <c r="Z48" s="824">
        <f t="shared" si="74"/>
        <v>1670.2750000000008</v>
      </c>
      <c r="AA48" s="824">
        <f t="shared" si="74"/>
        <v>1670.2750000000008</v>
      </c>
      <c r="AB48" s="824">
        <f t="shared" si="74"/>
        <v>1670.2750000000008</v>
      </c>
      <c r="AC48" s="824">
        <f t="shared" si="74"/>
        <v>1670.2750000000008</v>
      </c>
      <c r="AD48" s="824">
        <f t="shared" si="74"/>
        <v>1673.0335949590656</v>
      </c>
      <c r="AE48" s="824">
        <f t="shared" si="74"/>
        <v>1675.7967459619842</v>
      </c>
      <c r="AF48" s="824">
        <f t="shared" si="74"/>
        <v>1678.5644605334339</v>
      </c>
      <c r="AG48" s="824">
        <f t="shared" si="74"/>
        <v>1681.3367462105186</v>
      </c>
      <c r="AH48" s="824">
        <f t="shared" si="74"/>
        <v>1684.1136105427915</v>
      </c>
      <c r="AI48" s="824">
        <f t="shared" si="74"/>
        <v>1686.895061092273</v>
      </c>
      <c r="AJ48" s="824">
        <f t="shared" si="74"/>
        <v>1689.6811054334751</v>
      </c>
      <c r="AK48" s="824">
        <f t="shared" si="74"/>
        <v>1692.4717511534168</v>
      </c>
      <c r="AL48" s="824">
        <f t="shared" si="74"/>
        <v>1695.2670058516501</v>
      </c>
      <c r="AM48" s="824">
        <f t="shared" si="74"/>
        <v>1698.0668771402768</v>
      </c>
      <c r="AN48" s="824">
        <f t="shared" si="74"/>
        <v>1700.8713726439717</v>
      </c>
      <c r="AO48" s="824">
        <f t="shared" si="74"/>
        <v>1703.6805000000022</v>
      </c>
      <c r="AP48" s="824">
        <f t="shared" si="74"/>
        <v>1707.8822357188153</v>
      </c>
      <c r="AQ48" s="824">
        <f t="shared" si="74"/>
        <v>1712.0943340514234</v>
      </c>
      <c r="AR48" s="824">
        <f t="shared" si="74"/>
        <v>1716.3168205548268</v>
      </c>
      <c r="AS48" s="824">
        <f t="shared" si="74"/>
        <v>1720.5497208490574</v>
      </c>
      <c r="AT48" s="824">
        <f t="shared" si="74"/>
        <v>1724.7930606173329</v>
      </c>
      <c r="AU48" s="824">
        <f t="shared" si="74"/>
        <v>1729.0468656062126</v>
      </c>
      <c r="AV48" s="824">
        <f t="shared" si="74"/>
        <v>1733.3111616257538</v>
      </c>
      <c r="AW48" s="824">
        <f t="shared" ref="AW48:CB48" si="75">IF(AW$22,SUMPRODUCT(AW45:AW47,AW$19:AW$21)/AW$22,)</f>
        <v>1737.585974549668</v>
      </c>
      <c r="AX48" s="824">
        <f t="shared" si="75"/>
        <v>1741.8713303154789</v>
      </c>
      <c r="AY48" s="824">
        <f t="shared" si="75"/>
        <v>1746.1672549246782</v>
      </c>
      <c r="AZ48" s="824">
        <f t="shared" si="75"/>
        <v>1750.4737744428853</v>
      </c>
      <c r="BA48" s="824">
        <f t="shared" si="75"/>
        <v>1754.7909150000044</v>
      </c>
      <c r="BB48" s="824">
        <f t="shared" si="75"/>
        <v>1759.118702790382</v>
      </c>
      <c r="BC48" s="824">
        <f t="shared" si="75"/>
        <v>1763.4571640729682</v>
      </c>
      <c r="BD48" s="824">
        <f t="shared" si="75"/>
        <v>1767.8063251714734</v>
      </c>
      <c r="BE48" s="824">
        <f t="shared" si="75"/>
        <v>1772.1662124745312</v>
      </c>
      <c r="BF48" s="824">
        <f t="shared" si="75"/>
        <v>1776.5368524358553</v>
      </c>
      <c r="BG48" s="824">
        <f t="shared" si="75"/>
        <v>1780.9182715744014</v>
      </c>
      <c r="BH48" s="824">
        <f t="shared" si="75"/>
        <v>1785.3104964745282</v>
      </c>
      <c r="BI48" s="824">
        <f t="shared" si="75"/>
        <v>1789.71355378616</v>
      </c>
      <c r="BJ48" s="824">
        <f t="shared" si="75"/>
        <v>1794.1274702249452</v>
      </c>
      <c r="BK48" s="824">
        <f t="shared" si="75"/>
        <v>1798.5522725724209</v>
      </c>
      <c r="BL48" s="824">
        <f t="shared" si="75"/>
        <v>1802.987987676174</v>
      </c>
      <c r="BM48" s="824">
        <f t="shared" si="75"/>
        <v>1807.4346424500065</v>
      </c>
      <c r="BN48" s="824">
        <f t="shared" si="75"/>
        <v>1811.8922638740955</v>
      </c>
      <c r="BO48" s="824">
        <f t="shared" si="75"/>
        <v>1816.3608789951591</v>
      </c>
      <c r="BP48" s="824">
        <f t="shared" si="75"/>
        <v>1820.8405149266196</v>
      </c>
      <c r="BQ48" s="824">
        <f t="shared" si="75"/>
        <v>1825.331198848769</v>
      </c>
      <c r="BR48" s="824">
        <f t="shared" si="75"/>
        <v>1829.8329580089326</v>
      </c>
      <c r="BS48" s="824">
        <f t="shared" si="75"/>
        <v>1834.3458197216351</v>
      </c>
      <c r="BT48" s="824">
        <f t="shared" si="75"/>
        <v>1838.8698113687665</v>
      </c>
      <c r="BU48" s="824">
        <f t="shared" si="75"/>
        <v>1843.4049603997469</v>
      </c>
      <c r="BV48" s="824">
        <f t="shared" si="75"/>
        <v>1847.9512943316954</v>
      </c>
      <c r="BW48" s="824">
        <f t="shared" si="75"/>
        <v>1852.508840749595</v>
      </c>
      <c r="BX48" s="824">
        <f t="shared" si="75"/>
        <v>1857.0776273064614</v>
      </c>
      <c r="BY48" s="824">
        <f t="shared" si="75"/>
        <v>1861.6576817235084</v>
      </c>
      <c r="BZ48" s="824">
        <f t="shared" si="75"/>
        <v>1866.24903179032</v>
      </c>
      <c r="CA48" s="824">
        <f t="shared" si="75"/>
        <v>1870.8517053650153</v>
      </c>
      <c r="CB48" s="824">
        <f t="shared" si="75"/>
        <v>1875.46573037442</v>
      </c>
      <c r="CC48" s="824">
        <f t="shared" ref="CC48:DH48" si="76">IF(CC$22,SUMPRODUCT(CC45:CC47,CC$19:CC$21)/CC$22,)</f>
        <v>1880.0911348142338</v>
      </c>
      <c r="CD48" s="824">
        <f t="shared" si="76"/>
        <v>1884.7279467492021</v>
      </c>
      <c r="CE48" s="824">
        <f t="shared" si="76"/>
        <v>1889.3761943132856</v>
      </c>
      <c r="CF48" s="824">
        <f t="shared" si="76"/>
        <v>1894.0359057098308</v>
      </c>
      <c r="CG48" s="824">
        <f t="shared" si="76"/>
        <v>1898.7071092117408</v>
      </c>
      <c r="CH48" s="824">
        <f t="shared" si="76"/>
        <v>1903.3898331616479</v>
      </c>
      <c r="CI48" s="824">
        <f t="shared" si="76"/>
        <v>1908.0841059720847</v>
      </c>
      <c r="CJ48" s="824">
        <f t="shared" si="76"/>
        <v>1912.7899561256568</v>
      </c>
      <c r="CK48" s="824">
        <f t="shared" si="76"/>
        <v>1917.5074121752157</v>
      </c>
      <c r="CL48" s="824">
        <f t="shared" si="76"/>
        <v>1922.2365027440314</v>
      </c>
      <c r="CM48" s="824">
        <f t="shared" si="76"/>
        <v>1926.9772565259677</v>
      </c>
      <c r="CN48" s="824">
        <f t="shared" si="76"/>
        <v>1931.7297022856546</v>
      </c>
      <c r="CO48" s="824">
        <f t="shared" si="76"/>
        <v>1936.4938688586631</v>
      </c>
      <c r="CP48" s="824">
        <f t="shared" si="76"/>
        <v>1941.2697851516805</v>
      </c>
      <c r="CQ48" s="824">
        <f t="shared" si="76"/>
        <v>1946.0574801426865</v>
      </c>
      <c r="CR48" s="824">
        <f t="shared" si="76"/>
        <v>1950.8569828811276</v>
      </c>
      <c r="CS48" s="824">
        <f t="shared" si="76"/>
        <v>1955.6683224880951</v>
      </c>
      <c r="CT48" s="824">
        <f t="shared" si="76"/>
        <v>1960.4915281564995</v>
      </c>
      <c r="CU48" s="824">
        <f t="shared" si="76"/>
        <v>1965.3266291512489</v>
      </c>
      <c r="CV48" s="824">
        <f t="shared" si="76"/>
        <v>1970.1736548094282</v>
      </c>
      <c r="CW48" s="824">
        <f t="shared" si="76"/>
        <v>1975.0326345404737</v>
      </c>
      <c r="CX48" s="824">
        <f t="shared" si="76"/>
        <v>1979.9035978263541</v>
      </c>
      <c r="CY48" s="824">
        <f t="shared" si="76"/>
        <v>1984.7865742217487</v>
      </c>
      <c r="CZ48" s="824">
        <f t="shared" si="76"/>
        <v>1989.6815933542262</v>
      </c>
      <c r="DA48" s="824">
        <f t="shared" si="76"/>
        <v>1994.5886849244246</v>
      </c>
      <c r="DB48" s="824">
        <f t="shared" si="76"/>
        <v>1999.5078787062325</v>
      </c>
      <c r="DC48" s="824">
        <f t="shared" si="76"/>
        <v>2004.439204546969</v>
      </c>
      <c r="DD48" s="824">
        <f t="shared" si="76"/>
        <v>2009.3826923675638</v>
      </c>
      <c r="DE48" s="824">
        <f t="shared" si="76"/>
        <v>2014.3383721627401</v>
      </c>
      <c r="DF48" s="824">
        <f t="shared" si="76"/>
        <v>2019.3062740011962</v>
      </c>
      <c r="DG48" s="824">
        <f t="shared" si="76"/>
        <v>2024.2864280257886</v>
      </c>
      <c r="DH48" s="824">
        <f t="shared" si="76"/>
        <v>2029.2788644537134</v>
      </c>
      <c r="DI48" s="824">
        <f t="shared" ref="DI48:EN48" si="77">IF(DI$22,SUMPRODUCT(DI45:DI47,DI$19:DI$21)/DI$22,)</f>
        <v>2034.2836135766902</v>
      </c>
      <c r="DJ48" s="824">
        <f t="shared" si="77"/>
        <v>2039.3007057611471</v>
      </c>
      <c r="DK48" s="824">
        <f t="shared" si="77"/>
        <v>2044.330171448403</v>
      </c>
      <c r="DL48" s="824">
        <f t="shared" si="77"/>
        <v>2049.3720411548547</v>
      </c>
      <c r="DM48" s="824">
        <f t="shared" si="77"/>
        <v>2054.4263454721595</v>
      </c>
      <c r="DN48" s="824">
        <f t="shared" si="77"/>
        <v>2059.4931150674215</v>
      </c>
      <c r="DO48" s="824">
        <f t="shared" si="77"/>
        <v>2064.5723806833803</v>
      </c>
      <c r="DP48" s="824">
        <f t="shared" si="77"/>
        <v>2069.6641731385926</v>
      </c>
      <c r="DQ48" s="824">
        <f t="shared" si="77"/>
        <v>2074.7685233276243</v>
      </c>
      <c r="DR48" s="824">
        <f t="shared" si="77"/>
        <v>2079.8854622212339</v>
      </c>
      <c r="DS48" s="824">
        <f t="shared" si="77"/>
        <v>2085.0150208665646</v>
      </c>
      <c r="DT48" s="824">
        <f t="shared" si="77"/>
        <v>2090.1572303873263</v>
      </c>
      <c r="DU48" s="824">
        <f t="shared" si="77"/>
        <v>2095.3121219839932</v>
      </c>
      <c r="DV48" s="824">
        <f t="shared" si="77"/>
        <v>2100.4797269339833</v>
      </c>
      <c r="DW48" s="824">
        <f t="shared" si="77"/>
        <v>2105.6600765918574</v>
      </c>
      <c r="DX48" s="824">
        <f t="shared" si="77"/>
        <v>2110.8532023895027</v>
      </c>
      <c r="DY48" s="824">
        <f t="shared" si="77"/>
        <v>2116.0591358363263</v>
      </c>
      <c r="DZ48" s="824">
        <f t="shared" si="77"/>
        <v>2121.277908519447</v>
      </c>
      <c r="EA48" s="824">
        <f t="shared" si="77"/>
        <v>2126.5095521038838</v>
      </c>
      <c r="EB48" s="824">
        <f t="shared" si="77"/>
        <v>2131.7540983327526</v>
      </c>
      <c r="EC48" s="824">
        <f t="shared" si="77"/>
        <v>2137.0115790274549</v>
      </c>
      <c r="ED48" s="824">
        <f t="shared" si="77"/>
        <v>2142.2820260878734</v>
      </c>
      <c r="EE48" s="824">
        <f t="shared" si="77"/>
        <v>2147.5654714925636</v>
      </c>
      <c r="EF48" s="824">
        <f t="shared" si="77"/>
        <v>2152.861947298949</v>
      </c>
      <c r="EG48" s="824">
        <f t="shared" si="77"/>
        <v>2158.1714856435151</v>
      </c>
      <c r="EH48" s="824">
        <f t="shared" si="77"/>
        <v>2163.4941187420054</v>
      </c>
      <c r="EI48" s="824">
        <f t="shared" si="77"/>
        <v>2168.8298788896159</v>
      </c>
      <c r="EJ48" s="824">
        <f t="shared" si="77"/>
        <v>2174.1787984611901</v>
      </c>
      <c r="EK48" s="824">
        <f t="shared" si="77"/>
        <v>2179.5409099114186</v>
      </c>
      <c r="EL48" s="824">
        <f t="shared" si="77"/>
        <v>2184.9162457750326</v>
      </c>
      <c r="EM48" s="824">
        <f t="shared" si="77"/>
        <v>2190.3048386670025</v>
      </c>
      <c r="EN48" s="824">
        <f t="shared" si="77"/>
        <v>2195.7067212827378</v>
      </c>
      <c r="EO48" s="824">
        <f t="shared" ref="EO48:FT48" si="78">IF(EO$22,SUMPRODUCT(EO45:EO47,EO$19:EO$21)/EO$22,)</f>
        <v>2201.1219263982812</v>
      </c>
      <c r="EP48" s="824">
        <f t="shared" si="78"/>
        <v>2206.5504868705125</v>
      </c>
      <c r="EQ48" s="824">
        <f t="shared" si="78"/>
        <v>2211.9924356373431</v>
      </c>
      <c r="ER48" s="824">
        <f t="shared" si="78"/>
        <v>2217.4478057179199</v>
      </c>
      <c r="ES48" s="824">
        <f t="shared" si="78"/>
        <v>2222.9166302128233</v>
      </c>
      <c r="ET48" s="192"/>
    </row>
    <row r="49" spans="1:150">
      <c r="A49" s="192"/>
      <c r="B49" s="36"/>
      <c r="C49" s="635"/>
      <c r="D49" s="635"/>
      <c r="E49" s="635"/>
      <c r="F49" s="635"/>
      <c r="G49" s="635"/>
      <c r="H49" s="635"/>
      <c r="I49" s="635"/>
      <c r="J49" s="635"/>
      <c r="K49" s="635"/>
      <c r="L49" s="635"/>
      <c r="M49" s="635"/>
      <c r="N49" s="192"/>
      <c r="O49" s="635"/>
      <c r="P49" s="192"/>
      <c r="Q49" s="635"/>
      <c r="R49" s="635"/>
      <c r="S49" s="635"/>
      <c r="T49" s="635"/>
      <c r="U49" s="635"/>
      <c r="V49" s="635"/>
      <c r="W49" s="635"/>
      <c r="X49" s="635"/>
      <c r="Y49" s="635"/>
      <c r="Z49" s="635"/>
      <c r="AA49" s="635"/>
      <c r="AB49" s="635"/>
      <c r="AC49" s="635"/>
      <c r="AD49" s="635"/>
      <c r="AE49" s="635"/>
      <c r="AF49" s="635"/>
      <c r="AG49" s="635"/>
      <c r="AH49" s="635"/>
      <c r="AI49" s="635"/>
      <c r="AJ49" s="635"/>
      <c r="AK49" s="635"/>
      <c r="AL49" s="635"/>
      <c r="AM49" s="635"/>
      <c r="AN49" s="635"/>
      <c r="AO49" s="635"/>
      <c r="AP49" s="635"/>
      <c r="AQ49" s="635"/>
      <c r="AR49" s="635"/>
      <c r="AS49" s="635"/>
      <c r="AT49" s="635"/>
      <c r="AU49" s="635"/>
      <c r="AV49" s="635"/>
      <c r="AW49" s="635"/>
      <c r="AX49" s="635"/>
      <c r="AY49" s="635"/>
      <c r="AZ49" s="635"/>
      <c r="BA49" s="635"/>
      <c r="BB49" s="37"/>
      <c r="BC49" s="37"/>
      <c r="BD49" s="37"/>
      <c r="BE49" s="37"/>
      <c r="BF49" s="37"/>
      <c r="BG49" s="37"/>
      <c r="BH49" s="37"/>
      <c r="BI49" s="37"/>
      <c r="BJ49" s="37"/>
      <c r="BK49" s="37"/>
      <c r="BL49" s="37"/>
      <c r="BM49" s="37"/>
      <c r="BN49" s="37"/>
      <c r="BO49" s="37"/>
      <c r="BP49" s="37"/>
      <c r="BQ49" s="37"/>
      <c r="BR49" s="37"/>
      <c r="BS49" s="37"/>
      <c r="BT49" s="37"/>
      <c r="BU49" s="37"/>
      <c r="BV49" s="37"/>
      <c r="BW49" s="37"/>
      <c r="BX49" s="37"/>
      <c r="BY49" s="37"/>
      <c r="BZ49" s="37"/>
      <c r="CA49" s="37"/>
      <c r="CB49" s="37"/>
      <c r="CC49" s="37"/>
      <c r="CD49" s="37"/>
      <c r="CE49" s="37"/>
      <c r="CF49" s="37"/>
      <c r="CG49" s="37"/>
      <c r="CH49" s="37"/>
      <c r="CI49" s="37"/>
      <c r="CJ49" s="37"/>
      <c r="CK49" s="37"/>
      <c r="CL49" s="37"/>
      <c r="CM49" s="37"/>
      <c r="CN49" s="37"/>
      <c r="CO49" s="37"/>
      <c r="CP49" s="37"/>
      <c r="CQ49" s="37"/>
      <c r="CR49" s="37"/>
      <c r="CS49" s="37"/>
      <c r="CT49" s="37"/>
      <c r="CU49" s="37"/>
      <c r="CV49" s="37"/>
      <c r="CW49" s="37"/>
      <c r="CX49" s="37"/>
      <c r="CY49" s="37"/>
      <c r="CZ49" s="37"/>
      <c r="DA49" s="37"/>
      <c r="DB49" s="37"/>
      <c r="DC49" s="37"/>
      <c r="DD49" s="37"/>
      <c r="DE49" s="37"/>
      <c r="DF49" s="37"/>
      <c r="DG49" s="37"/>
      <c r="DH49" s="37"/>
      <c r="DI49" s="37"/>
      <c r="DJ49" s="37"/>
      <c r="DK49" s="37"/>
      <c r="DL49" s="37"/>
      <c r="DM49" s="37"/>
      <c r="DN49" s="37"/>
      <c r="DO49" s="37"/>
      <c r="DP49" s="37"/>
      <c r="DQ49" s="37"/>
      <c r="DR49" s="37"/>
      <c r="DS49" s="37"/>
      <c r="DT49" s="37"/>
      <c r="DU49" s="37"/>
      <c r="DV49" s="37"/>
      <c r="DW49" s="37"/>
      <c r="DX49" s="37"/>
      <c r="DY49" s="37"/>
      <c r="DZ49" s="37"/>
      <c r="EA49" s="37"/>
      <c r="EB49" s="37"/>
      <c r="EC49" s="37"/>
      <c r="ED49" s="37"/>
      <c r="EE49" s="37"/>
      <c r="EF49" s="37"/>
      <c r="EG49" s="37"/>
      <c r="EH49" s="37"/>
      <c r="EI49" s="37"/>
      <c r="EJ49" s="37"/>
      <c r="EK49" s="37"/>
      <c r="EL49" s="37"/>
      <c r="EM49" s="37"/>
      <c r="EN49" s="37"/>
      <c r="EO49" s="37"/>
      <c r="EP49" s="37"/>
      <c r="EQ49" s="37"/>
      <c r="ER49" s="37"/>
      <c r="ES49" s="37"/>
      <c r="ET49" s="192"/>
    </row>
    <row r="50" spans="1:150" ht="10.5" customHeight="1">
      <c r="A50" s="192"/>
      <c r="B50" s="192"/>
      <c r="C50" s="192"/>
      <c r="D50" s="192"/>
      <c r="E50" s="192"/>
      <c r="F50" s="192"/>
      <c r="G50" s="192"/>
      <c r="H50" s="192"/>
      <c r="I50" s="192"/>
      <c r="J50" s="192"/>
      <c r="K50" s="192"/>
      <c r="L50" s="192"/>
      <c r="M50" s="192"/>
      <c r="N50" s="192"/>
      <c r="O50" s="192"/>
      <c r="P50" s="192"/>
      <c r="Q50" s="192"/>
      <c r="R50" s="192"/>
      <c r="S50" s="192"/>
      <c r="T50" s="192"/>
      <c r="U50" s="192"/>
      <c r="V50" s="192"/>
      <c r="W50" s="192"/>
      <c r="X50" s="192"/>
      <c r="Y50" s="192"/>
      <c r="Z50" s="192"/>
      <c r="AA50" s="192"/>
      <c r="AB50" s="192"/>
      <c r="AC50" s="192"/>
      <c r="AD50" s="192"/>
      <c r="AE50" s="192"/>
      <c r="AF50" s="192"/>
      <c r="AG50" s="192"/>
      <c r="AH50" s="192"/>
      <c r="AI50" s="192"/>
      <c r="AJ50" s="192"/>
      <c r="AK50" s="192"/>
      <c r="AL50" s="192"/>
      <c r="AM50" s="192"/>
      <c r="AN50" s="192"/>
      <c r="AO50" s="192"/>
      <c r="AP50" s="192"/>
      <c r="AQ50" s="192"/>
      <c r="AR50" s="192"/>
      <c r="AS50" s="192"/>
      <c r="AT50" s="192"/>
      <c r="AU50" s="192"/>
      <c r="AV50" s="192"/>
      <c r="AW50" s="192"/>
      <c r="AX50" s="192"/>
      <c r="AY50" s="192"/>
      <c r="AZ50" s="192"/>
      <c r="BA50" s="192"/>
      <c r="BB50" s="192"/>
      <c r="BC50" s="192"/>
      <c r="BD50" s="192"/>
      <c r="BE50" s="192"/>
      <c r="BF50" s="192"/>
      <c r="BG50" s="192"/>
      <c r="BH50" s="192"/>
      <c r="BI50" s="192"/>
      <c r="BJ50" s="192"/>
      <c r="BK50" s="192"/>
      <c r="BL50" s="192"/>
      <c r="BM50" s="192"/>
      <c r="BN50" s="192"/>
      <c r="BO50" s="192"/>
      <c r="BP50" s="192"/>
      <c r="BQ50" s="192"/>
      <c r="BR50" s="192"/>
      <c r="BS50" s="192"/>
      <c r="BT50" s="192"/>
      <c r="BU50" s="192"/>
      <c r="BV50" s="192"/>
      <c r="BW50" s="192"/>
      <c r="BX50" s="192"/>
      <c r="BY50" s="192"/>
      <c r="BZ50" s="192"/>
      <c r="CA50" s="192"/>
      <c r="CB50" s="192"/>
      <c r="CC50" s="192"/>
      <c r="CD50" s="192"/>
      <c r="CE50" s="192"/>
      <c r="CF50" s="192"/>
      <c r="CG50" s="192"/>
      <c r="CH50" s="192"/>
      <c r="CI50" s="192"/>
      <c r="CJ50" s="192"/>
      <c r="CK50" s="192"/>
      <c r="CL50" s="192"/>
      <c r="CM50" s="192"/>
      <c r="CN50" s="192"/>
      <c r="CO50" s="192"/>
      <c r="CP50" s="192"/>
      <c r="CQ50" s="192"/>
      <c r="CR50" s="192"/>
      <c r="CS50" s="192"/>
      <c r="CT50" s="192"/>
      <c r="CU50" s="192"/>
      <c r="CV50" s="192"/>
      <c r="CW50" s="192"/>
      <c r="CX50" s="192"/>
      <c r="CY50" s="192"/>
      <c r="CZ50" s="192"/>
      <c r="DA50" s="192"/>
      <c r="DB50" s="192"/>
      <c r="DC50" s="192"/>
      <c r="DD50" s="192"/>
      <c r="DE50" s="192"/>
      <c r="DF50" s="192"/>
      <c r="DG50" s="192"/>
      <c r="DH50" s="192"/>
      <c r="DI50" s="192"/>
      <c r="DJ50" s="192"/>
      <c r="DK50" s="192"/>
      <c r="DL50" s="192"/>
      <c r="DM50" s="192"/>
      <c r="DN50" s="192"/>
      <c r="DO50" s="192"/>
      <c r="DP50" s="192"/>
      <c r="DQ50" s="192"/>
      <c r="DR50" s="192"/>
      <c r="DS50" s="192"/>
      <c r="DT50" s="192"/>
      <c r="DU50" s="192"/>
      <c r="DV50" s="192"/>
      <c r="DW50" s="192"/>
      <c r="DX50" s="192"/>
      <c r="DY50" s="192"/>
      <c r="DZ50" s="192"/>
      <c r="EA50" s="192"/>
      <c r="EB50" s="192"/>
      <c r="EC50" s="192"/>
      <c r="ED50" s="192"/>
      <c r="EE50" s="192"/>
      <c r="EF50" s="192"/>
      <c r="EG50" s="192"/>
      <c r="EH50" s="192"/>
      <c r="EI50" s="192"/>
      <c r="EJ50" s="192"/>
      <c r="EK50" s="192"/>
      <c r="EL50" s="192"/>
      <c r="EM50" s="192"/>
      <c r="EN50" s="192"/>
      <c r="EO50" s="192"/>
      <c r="EP50" s="192"/>
      <c r="EQ50" s="192"/>
      <c r="ER50" s="192"/>
      <c r="ES50" s="192"/>
      <c r="ET50" s="192"/>
    </row>
    <row r="51" spans="1:150" ht="10.5" customHeight="1">
      <c r="A51" s="192"/>
      <c r="B51" s="192"/>
      <c r="C51" s="192"/>
      <c r="D51" s="192"/>
      <c r="E51" s="192"/>
      <c r="F51" s="192"/>
      <c r="G51" s="192"/>
      <c r="H51" s="192"/>
      <c r="I51" s="192"/>
      <c r="J51" s="192"/>
      <c r="K51" s="192"/>
      <c r="L51" s="192"/>
      <c r="M51" s="192"/>
      <c r="N51" s="192"/>
      <c r="O51" s="192"/>
      <c r="P51" s="192"/>
      <c r="Q51" s="192"/>
      <c r="R51" s="192"/>
      <c r="S51" s="192"/>
      <c r="T51" s="192"/>
      <c r="U51" s="192"/>
      <c r="V51" s="192"/>
      <c r="W51" s="192"/>
      <c r="X51" s="192"/>
      <c r="Y51" s="192"/>
      <c r="Z51" s="192"/>
      <c r="AA51" s="192"/>
      <c r="AB51" s="192"/>
      <c r="AC51" s="192"/>
      <c r="AD51" s="192"/>
      <c r="AE51" s="192"/>
      <c r="AF51" s="192"/>
      <c r="AG51" s="192"/>
      <c r="AH51" s="192"/>
      <c r="AI51" s="192"/>
      <c r="AJ51" s="192"/>
      <c r="AK51" s="192"/>
      <c r="AL51" s="192"/>
      <c r="AM51" s="192"/>
      <c r="AN51" s="192"/>
      <c r="AO51" s="192"/>
      <c r="AP51" s="192"/>
      <c r="AQ51" s="192"/>
      <c r="AR51" s="192"/>
      <c r="AS51" s="192"/>
      <c r="AT51" s="192"/>
      <c r="AU51" s="192"/>
      <c r="AV51" s="192"/>
      <c r="AW51" s="192"/>
      <c r="AX51" s="192"/>
      <c r="AY51" s="192"/>
      <c r="AZ51" s="192"/>
      <c r="BA51" s="192"/>
      <c r="BB51" s="192"/>
      <c r="BC51" s="192"/>
      <c r="BD51" s="192"/>
      <c r="BE51" s="192"/>
      <c r="BF51" s="192"/>
      <c r="BG51" s="192"/>
      <c r="BH51" s="192"/>
      <c r="BI51" s="192"/>
      <c r="BJ51" s="192"/>
      <c r="BK51" s="192"/>
      <c r="BL51" s="192"/>
      <c r="BM51" s="192"/>
      <c r="BN51" s="192"/>
      <c r="BO51" s="192"/>
      <c r="BP51" s="192"/>
      <c r="BQ51" s="192"/>
      <c r="BR51" s="192"/>
      <c r="BS51" s="192"/>
      <c r="BT51" s="192"/>
      <c r="BU51" s="192"/>
      <c r="BV51" s="192"/>
      <c r="BW51" s="192"/>
      <c r="BX51" s="192"/>
      <c r="BY51" s="192"/>
      <c r="BZ51" s="192"/>
      <c r="CA51" s="192"/>
      <c r="CB51" s="192"/>
      <c r="CC51" s="192"/>
      <c r="CD51" s="192"/>
      <c r="CE51" s="192"/>
      <c r="CF51" s="192"/>
      <c r="CG51" s="192"/>
      <c r="CH51" s="192"/>
      <c r="CI51" s="192"/>
      <c r="CJ51" s="192"/>
      <c r="CK51" s="192"/>
      <c r="CL51" s="192"/>
      <c r="CM51" s="192"/>
      <c r="CN51" s="192"/>
      <c r="CO51" s="192"/>
      <c r="CP51" s="192"/>
      <c r="CQ51" s="192"/>
      <c r="CR51" s="192"/>
      <c r="CS51" s="192"/>
      <c r="CT51" s="192"/>
      <c r="CU51" s="192"/>
      <c r="CV51" s="192"/>
      <c r="CW51" s="192"/>
      <c r="CX51" s="192"/>
      <c r="CY51" s="192"/>
      <c r="CZ51" s="192"/>
      <c r="DA51" s="192"/>
      <c r="DB51" s="192"/>
      <c r="DC51" s="192"/>
      <c r="DD51" s="192"/>
      <c r="DE51" s="192"/>
      <c r="DF51" s="192"/>
      <c r="DG51" s="192"/>
      <c r="DH51" s="192"/>
      <c r="DI51" s="192"/>
      <c r="DJ51" s="192"/>
      <c r="DK51" s="192"/>
      <c r="DL51" s="192"/>
      <c r="DM51" s="192"/>
      <c r="DN51" s="192"/>
      <c r="DO51" s="192"/>
      <c r="DP51" s="192"/>
      <c r="DQ51" s="192"/>
      <c r="DR51" s="192"/>
      <c r="DS51" s="192"/>
      <c r="DT51" s="192"/>
      <c r="DU51" s="192"/>
      <c r="DV51" s="192"/>
      <c r="DW51" s="192"/>
      <c r="DX51" s="192"/>
      <c r="DY51" s="192"/>
      <c r="DZ51" s="192"/>
      <c r="EA51" s="192"/>
      <c r="EB51" s="192"/>
      <c r="EC51" s="192"/>
      <c r="ED51" s="192"/>
      <c r="EE51" s="192"/>
      <c r="EF51" s="192"/>
      <c r="EG51" s="192"/>
      <c r="EH51" s="192"/>
      <c r="EI51" s="192"/>
      <c r="EJ51" s="192"/>
      <c r="EK51" s="192"/>
      <c r="EL51" s="192"/>
      <c r="EM51" s="192"/>
      <c r="EN51" s="192"/>
      <c r="EO51" s="192"/>
      <c r="EP51" s="192"/>
      <c r="EQ51" s="192"/>
      <c r="ER51" s="192"/>
      <c r="ES51" s="192"/>
      <c r="ET51" s="192"/>
    </row>
    <row r="52" spans="1:150" s="192" customFormat="1" ht="14.25" hidden="1" customHeight="1">
      <c r="B52" s="1043" t="s">
        <v>563</v>
      </c>
      <c r="C52" s="196"/>
      <c r="D52" s="197"/>
      <c r="E52" s="197"/>
      <c r="F52" s="197"/>
      <c r="G52" s="197"/>
      <c r="H52" s="197"/>
      <c r="I52" s="197"/>
      <c r="J52" s="197"/>
      <c r="K52" s="197"/>
      <c r="L52" s="197"/>
      <c r="M52" s="197"/>
      <c r="O52" s="197"/>
      <c r="Q52" s="197"/>
      <c r="R52" s="197"/>
      <c r="S52" s="197"/>
      <c r="T52" s="197"/>
      <c r="U52" s="197"/>
      <c r="V52" s="197"/>
      <c r="W52" s="197"/>
      <c r="X52" s="197"/>
      <c r="Y52" s="197"/>
      <c r="Z52" s="197"/>
      <c r="AA52" s="197"/>
      <c r="AB52" s="197"/>
      <c r="AC52" s="197"/>
      <c r="AD52" s="197"/>
      <c r="AE52" s="197"/>
      <c r="AF52" s="197"/>
      <c r="AG52" s="197"/>
      <c r="AH52" s="197"/>
      <c r="AI52" s="197"/>
      <c r="AJ52" s="197"/>
      <c r="AK52" s="197"/>
      <c r="AL52" s="197"/>
      <c r="AM52" s="197"/>
      <c r="AN52" s="197"/>
      <c r="AO52" s="197"/>
      <c r="AP52" s="197"/>
      <c r="AQ52" s="197"/>
      <c r="AR52" s="197"/>
      <c r="AS52" s="197"/>
      <c r="AT52" s="197"/>
      <c r="AU52" s="197"/>
      <c r="AV52" s="197"/>
      <c r="AW52" s="197"/>
      <c r="AX52" s="197"/>
      <c r="AY52" s="197"/>
      <c r="AZ52" s="197"/>
      <c r="BA52" s="197"/>
      <c r="BB52" s="197"/>
      <c r="BC52" s="197"/>
      <c r="BD52" s="197"/>
      <c r="BE52" s="197"/>
      <c r="BF52" s="197"/>
      <c r="BG52" s="197"/>
      <c r="BH52" s="197"/>
      <c r="BI52" s="197"/>
      <c r="BJ52" s="197"/>
      <c r="BK52" s="197"/>
      <c r="BL52" s="197"/>
      <c r="BM52" s="197"/>
      <c r="BN52" s="197"/>
      <c r="BO52" s="197"/>
      <c r="BP52" s="197"/>
      <c r="BQ52" s="197"/>
      <c r="BR52" s="197"/>
      <c r="BS52" s="197"/>
      <c r="BT52" s="197"/>
      <c r="BU52" s="197"/>
      <c r="BV52" s="197"/>
      <c r="BW52" s="197"/>
      <c r="BX52" s="197"/>
      <c r="BY52" s="197"/>
      <c r="BZ52" s="197"/>
      <c r="CA52" s="197"/>
      <c r="CB52" s="197"/>
      <c r="CC52" s="197"/>
      <c r="CD52" s="197"/>
      <c r="CE52" s="197"/>
      <c r="CF52" s="197"/>
      <c r="CG52" s="197"/>
      <c r="CH52" s="197"/>
      <c r="CI52" s="197"/>
      <c r="CJ52" s="197"/>
      <c r="CK52" s="197"/>
      <c r="CL52" s="197"/>
      <c r="CM52" s="197"/>
      <c r="CN52" s="197"/>
      <c r="CO52" s="197"/>
      <c r="CP52" s="197"/>
      <c r="CQ52" s="197"/>
      <c r="CR52" s="197"/>
      <c r="CS52" s="197"/>
      <c r="CT52" s="197"/>
      <c r="CU52" s="197"/>
      <c r="CV52" s="197"/>
      <c r="CW52" s="197"/>
      <c r="CX52" s="197"/>
      <c r="CY52" s="197"/>
      <c r="CZ52" s="197"/>
      <c r="DA52" s="197"/>
      <c r="DB52" s="197"/>
      <c r="DC52" s="197"/>
      <c r="DD52" s="197"/>
      <c r="DE52" s="197"/>
      <c r="DF52" s="197"/>
      <c r="DG52" s="197"/>
      <c r="DH52" s="197"/>
      <c r="DI52" s="197"/>
      <c r="DJ52" s="197"/>
      <c r="DK52" s="197"/>
      <c r="DL52" s="197"/>
      <c r="DM52" s="197"/>
      <c r="DN52" s="197"/>
      <c r="DO52" s="197"/>
      <c r="DP52" s="197"/>
      <c r="DQ52" s="197"/>
      <c r="DR52" s="197"/>
      <c r="DS52" s="197"/>
      <c r="DT52" s="197"/>
      <c r="DU52" s="197"/>
      <c r="DV52" s="197"/>
      <c r="DW52" s="197"/>
      <c r="DX52" s="197"/>
      <c r="DY52" s="197"/>
      <c r="DZ52" s="197"/>
      <c r="EA52" s="197"/>
      <c r="EB52" s="197"/>
      <c r="EC52" s="197"/>
      <c r="ED52" s="197"/>
      <c r="EE52" s="197"/>
      <c r="EF52" s="197"/>
      <c r="EG52" s="197"/>
      <c r="EH52" s="197"/>
      <c r="EI52" s="197"/>
      <c r="EJ52" s="197"/>
      <c r="EK52" s="197"/>
      <c r="EL52" s="197"/>
      <c r="EM52" s="197"/>
      <c r="EN52" s="197"/>
      <c r="EO52" s="197"/>
      <c r="EP52" s="197"/>
      <c r="EQ52" s="197"/>
      <c r="ER52" s="197"/>
      <c r="ES52" s="197"/>
    </row>
    <row r="53" spans="1:150" ht="12.75" hidden="1" customHeight="1">
      <c r="A53" s="192"/>
      <c r="B53" s="1051" t="s">
        <v>564</v>
      </c>
      <c r="C53" s="825"/>
      <c r="D53" s="825"/>
      <c r="E53" s="825"/>
      <c r="F53" s="825"/>
      <c r="G53" s="825"/>
      <c r="H53" s="825"/>
      <c r="I53" s="825"/>
      <c r="J53" s="825"/>
      <c r="K53" s="825"/>
      <c r="L53" s="825"/>
      <c r="M53" s="825"/>
      <c r="N53" s="192"/>
      <c r="O53" s="825"/>
      <c r="P53" s="192"/>
      <c r="Q53" s="635"/>
      <c r="R53" s="635"/>
      <c r="S53" s="635"/>
      <c r="T53" s="635"/>
      <c r="U53" s="635"/>
      <c r="V53" s="635"/>
      <c r="W53" s="635"/>
      <c r="X53" s="635"/>
      <c r="Y53" s="635"/>
      <c r="Z53" s="635"/>
      <c r="AA53" s="635"/>
      <c r="AB53" s="635"/>
      <c r="AC53" s="635"/>
      <c r="AD53" s="635"/>
      <c r="AE53" s="635"/>
      <c r="AF53" s="635"/>
      <c r="AG53" s="635"/>
      <c r="AH53" s="635"/>
      <c r="AI53" s="635"/>
      <c r="AJ53" s="635"/>
      <c r="AK53" s="635"/>
      <c r="AL53" s="635"/>
      <c r="AM53" s="635"/>
      <c r="AN53" s="635"/>
      <c r="AO53" s="635"/>
      <c r="AP53" s="635"/>
      <c r="AQ53" s="635"/>
      <c r="AR53" s="635"/>
      <c r="AS53" s="635"/>
      <c r="AT53" s="635"/>
      <c r="AU53" s="635"/>
      <c r="AV53" s="635"/>
      <c r="AW53" s="635"/>
      <c r="AX53" s="635"/>
      <c r="AY53" s="635"/>
      <c r="AZ53" s="635"/>
      <c r="BA53" s="635"/>
      <c r="BB53" s="37"/>
      <c r="BC53" s="37"/>
      <c r="BD53" s="37"/>
      <c r="BE53" s="37"/>
      <c r="BF53" s="37"/>
      <c r="BG53" s="37"/>
      <c r="BH53" s="37"/>
      <c r="BI53" s="37"/>
      <c r="BJ53" s="37"/>
      <c r="BK53" s="37"/>
      <c r="BL53" s="37"/>
      <c r="BM53" s="37"/>
      <c r="BN53" s="37"/>
      <c r="BO53" s="37"/>
      <c r="BP53" s="37"/>
      <c r="BQ53" s="37"/>
      <c r="BR53" s="37"/>
      <c r="BS53" s="37"/>
      <c r="BT53" s="37"/>
      <c r="BU53" s="37"/>
      <c r="BV53" s="37"/>
      <c r="BW53" s="37"/>
      <c r="BX53" s="37"/>
      <c r="BY53" s="37"/>
      <c r="BZ53" s="37"/>
      <c r="CA53" s="37"/>
      <c r="CB53" s="37"/>
      <c r="CC53" s="37"/>
      <c r="CD53" s="37"/>
      <c r="CE53" s="37"/>
      <c r="CF53" s="37"/>
      <c r="CG53" s="37"/>
      <c r="CH53" s="37"/>
      <c r="CI53" s="37"/>
      <c r="CJ53" s="37"/>
      <c r="CK53" s="37"/>
      <c r="CL53" s="37"/>
      <c r="CM53" s="37"/>
      <c r="CN53" s="37"/>
      <c r="CO53" s="37"/>
      <c r="CP53" s="37"/>
      <c r="CQ53" s="37"/>
      <c r="CR53" s="37"/>
      <c r="CS53" s="37"/>
      <c r="CT53" s="37"/>
      <c r="CU53" s="37"/>
      <c r="CV53" s="37"/>
      <c r="CW53" s="37"/>
      <c r="CX53" s="37"/>
      <c r="CY53" s="37"/>
      <c r="CZ53" s="37"/>
      <c r="DA53" s="37"/>
      <c r="DB53" s="37"/>
      <c r="DC53" s="37"/>
      <c r="DD53" s="37"/>
      <c r="DE53" s="37"/>
      <c r="DF53" s="37"/>
      <c r="DG53" s="37"/>
      <c r="DH53" s="37"/>
      <c r="DI53" s="37"/>
      <c r="DJ53" s="37"/>
      <c r="DK53" s="37"/>
      <c r="DL53" s="37"/>
      <c r="DM53" s="37"/>
      <c r="DN53" s="37"/>
      <c r="DO53" s="37"/>
      <c r="DP53" s="37"/>
      <c r="DQ53" s="37"/>
      <c r="DR53" s="37"/>
      <c r="DS53" s="37"/>
      <c r="DT53" s="37"/>
      <c r="DU53" s="37"/>
      <c r="DV53" s="37"/>
      <c r="DW53" s="37"/>
      <c r="DX53" s="37"/>
      <c r="DY53" s="37"/>
      <c r="DZ53" s="37"/>
      <c r="EA53" s="37"/>
      <c r="EB53" s="37"/>
      <c r="EC53" s="37"/>
      <c r="ED53" s="37"/>
      <c r="EE53" s="37"/>
      <c r="EF53" s="37"/>
      <c r="EG53" s="37"/>
      <c r="EH53" s="37"/>
      <c r="EI53" s="37"/>
      <c r="EJ53" s="37"/>
      <c r="EK53" s="37"/>
      <c r="EL53" s="37"/>
      <c r="EM53" s="37"/>
      <c r="EN53" s="37"/>
      <c r="EO53" s="37"/>
      <c r="EP53" s="37"/>
      <c r="EQ53" s="37"/>
      <c r="ER53" s="37"/>
      <c r="ES53" s="37"/>
      <c r="ET53" s="192"/>
    </row>
    <row r="54" spans="1:150" ht="12.75" hidden="1" customHeight="1">
      <c r="A54" s="353" t="b">
        <f>AND(Input!$N53&lt;&gt;"",Input!$N53&lt;&gt;LeaseTypeMarket)</f>
        <v>0</v>
      </c>
      <c r="B54" s="807" t="str">
        <f>B10</f>
        <v>2x2.5</v>
      </c>
      <c r="C54" s="635">
        <f t="shared" ref="C54:M55" si="79">AVERAGEIF($Q$6:$ES$6,C$5,$Q54:$ES54)</f>
        <v>1649.0952380952401</v>
      </c>
      <c r="D54" s="635">
        <f t="shared" si="79"/>
        <v>1666.9063874674866</v>
      </c>
      <c r="E54" s="635">
        <f t="shared" si="79"/>
        <v>1709.287460972135</v>
      </c>
      <c r="F54" s="635">
        <f t="shared" si="79"/>
        <v>1760.5660848013013</v>
      </c>
      <c r="G54" s="635">
        <f t="shared" si="79"/>
        <v>1813.3830673453419</v>
      </c>
      <c r="H54" s="635">
        <f t="shared" si="79"/>
        <v>1867.7845593657039</v>
      </c>
      <c r="I54" s="635">
        <f t="shared" si="79"/>
        <v>1923.8180961466771</v>
      </c>
      <c r="J54" s="635">
        <f t="shared" si="79"/>
        <v>1981.5326390310795</v>
      </c>
      <c r="K54" s="635">
        <f t="shared" si="79"/>
        <v>2040.9786182020136</v>
      </c>
      <c r="L54" s="635">
        <f t="shared" si="79"/>
        <v>2102.2079767480773</v>
      </c>
      <c r="M54" s="635">
        <f t="shared" si="79"/>
        <v>2165.2742160505222</v>
      </c>
      <c r="N54" s="192"/>
      <c r="O54" s="635">
        <f>AVERAGEIF($Q$6:$ES$6,O$6,$Q54:$ES54)</f>
        <v>1981.5326390310795</v>
      </c>
      <c r="P54" s="192"/>
      <c r="Q54" s="635">
        <f>Input!F78</f>
        <v>1649.0952380952399</v>
      </c>
      <c r="R54" s="823">
        <f t="shared" ref="R54:BA54" si="80">Q54*IF($A54,R$160,R$159)</f>
        <v>1649.0952380952399</v>
      </c>
      <c r="S54" s="635">
        <f t="shared" si="80"/>
        <v>1649.0952380952399</v>
      </c>
      <c r="T54" s="635">
        <f t="shared" si="80"/>
        <v>1649.0952380952399</v>
      </c>
      <c r="U54" s="635">
        <f t="shared" si="80"/>
        <v>1649.0952380952399</v>
      </c>
      <c r="V54" s="635">
        <f t="shared" si="80"/>
        <v>1649.0952380952399</v>
      </c>
      <c r="W54" s="635">
        <f t="shared" si="80"/>
        <v>1649.0952380952399</v>
      </c>
      <c r="X54" s="635">
        <f t="shared" si="80"/>
        <v>1649.0952380952399</v>
      </c>
      <c r="Y54" s="635">
        <f t="shared" si="80"/>
        <v>1649.0952380952399</v>
      </c>
      <c r="Z54" s="635">
        <f t="shared" si="80"/>
        <v>1649.0952380952399</v>
      </c>
      <c r="AA54" s="635">
        <f t="shared" si="80"/>
        <v>1649.0952380952399</v>
      </c>
      <c r="AB54" s="635">
        <f t="shared" si="80"/>
        <v>1649.0952380952399</v>
      </c>
      <c r="AC54" s="635">
        <f t="shared" si="80"/>
        <v>1649.0952380952399</v>
      </c>
      <c r="AD54" s="635">
        <f t="shared" si="80"/>
        <v>1651.8188529555637</v>
      </c>
      <c r="AE54" s="635">
        <f t="shared" si="80"/>
        <v>1654.5469660872643</v>
      </c>
      <c r="AF54" s="635">
        <f t="shared" si="80"/>
        <v>1657.2795849196029</v>
      </c>
      <c r="AG54" s="635">
        <f t="shared" si="80"/>
        <v>1660.0167168941102</v>
      </c>
      <c r="AH54" s="635">
        <f t="shared" si="80"/>
        <v>1662.7583694646075</v>
      </c>
      <c r="AI54" s="635">
        <f t="shared" si="80"/>
        <v>1665.5045500972267</v>
      </c>
      <c r="AJ54" s="635">
        <f t="shared" si="80"/>
        <v>1668.2552662704304</v>
      </c>
      <c r="AK54" s="635">
        <f t="shared" si="80"/>
        <v>1671.0105254750326</v>
      </c>
      <c r="AL54" s="635">
        <f t="shared" si="80"/>
        <v>1673.7703352142191</v>
      </c>
      <c r="AM54" s="635">
        <f t="shared" si="80"/>
        <v>1676.5347030035678</v>
      </c>
      <c r="AN54" s="635">
        <f t="shared" si="80"/>
        <v>1679.3036363710689</v>
      </c>
      <c r="AO54" s="635">
        <f t="shared" si="80"/>
        <v>1682.0771428571461</v>
      </c>
      <c r="AP54" s="635">
        <f t="shared" si="80"/>
        <v>1686.2255988692577</v>
      </c>
      <c r="AQ54" s="635">
        <f t="shared" si="80"/>
        <v>1690.3842860930338</v>
      </c>
      <c r="AR54" s="635">
        <f t="shared" si="80"/>
        <v>1694.5532297614022</v>
      </c>
      <c r="AS54" s="635">
        <f t="shared" si="80"/>
        <v>1698.7324551695224</v>
      </c>
      <c r="AT54" s="635">
        <f t="shared" si="80"/>
        <v>1702.9219876749382</v>
      </c>
      <c r="AU54" s="635">
        <f t="shared" si="80"/>
        <v>1707.1218526977323</v>
      </c>
      <c r="AV54" s="635">
        <f t="shared" si="80"/>
        <v>1711.3320757206798</v>
      </c>
      <c r="AW54" s="635">
        <f t="shared" si="80"/>
        <v>1715.5526822894035</v>
      </c>
      <c r="AX54" s="635">
        <f t="shared" si="80"/>
        <v>1719.7836980125282</v>
      </c>
      <c r="AY54" s="635">
        <f t="shared" si="80"/>
        <v>1724.0251485618371</v>
      </c>
      <c r="AZ54" s="635">
        <f t="shared" si="80"/>
        <v>1728.2770596724265</v>
      </c>
      <c r="BA54" s="635">
        <f t="shared" si="80"/>
        <v>1732.5394571428626</v>
      </c>
      <c r="BB54" s="823">
        <f>IF(IF($A54,OtherRentGrowthType,MarketRentGrowthType)=52,AVERAGEIF($R$6:BA$6,BB$6-1,$R54:BA54),BA54)*IF($A54,BB$160,BB$159)</f>
        <v>1736.8123668353376</v>
      </c>
      <c r="BC54" s="635">
        <f>IF(IF($A54,OtherRentGrowthType,MarketRentGrowthType)=52,AVERAGEIF($R$6:BB$6,BC$6-1,$R54:BB54),BB54)*IF($A54,BC$160,BC$159)</f>
        <v>1741.0958146758269</v>
      </c>
      <c r="BD54" s="635">
        <f>IF(IF($A54,OtherRentGrowthType,MarketRentGrowthType)=52,AVERAGEIF($R$6:BC$6,BD$6-1,$R54:BC54),BC54)*IF($A54,BD$160,BD$159)</f>
        <v>1745.3898266542462</v>
      </c>
      <c r="BE54" s="635">
        <f>IF(IF($A54,OtherRentGrowthType,MarketRentGrowthType)=52,AVERAGEIF($R$6:BD$6,BE$6-1,$R54:BD54),BD54)*IF($A54,BE$160,BE$159)</f>
        <v>1749.69442882461</v>
      </c>
      <c r="BF54" s="635">
        <f>IF(IF($A54,OtherRentGrowthType,MarketRentGrowthType)=52,AVERAGEIF($R$6:BE$6,BF$6-1,$R54:BE54),BE54)*IF($A54,BF$160,BF$159)</f>
        <v>1754.0096473051883</v>
      </c>
      <c r="BG54" s="635">
        <f>IF(IF($A54,OtherRentGrowthType,MarketRentGrowthType)=52,AVERAGEIF($R$6:BF$6,BG$6-1,$R54:BF54),BF54)*IF($A54,BG$160,BG$159)</f>
        <v>1758.3355082786661</v>
      </c>
      <c r="BH54" s="635">
        <f>IF(IF($A54,OtherRentGrowthType,MarketRentGrowthType)=52,AVERAGEIF($R$6:BG$6,BH$6-1,$R54:BG54),BG54)*IF($A54,BH$160,BH$159)</f>
        <v>1762.672037992302</v>
      </c>
      <c r="BI54" s="635">
        <f>IF(IF($A54,OtherRentGrowthType,MarketRentGrowthType)=52,AVERAGEIF($R$6:BH$6,BI$6-1,$R54:BH54),BH54)*IF($A54,BI$160,BI$159)</f>
        <v>1767.0192627580873</v>
      </c>
      <c r="BJ54" s="635">
        <f>IF(IF($A54,OtherRentGrowthType,MarketRentGrowthType)=52,AVERAGEIF($R$6:BI$6,BJ$6-1,$R54:BI54),BI54)*IF($A54,BJ$160,BJ$159)</f>
        <v>1771.3772089529059</v>
      </c>
      <c r="BK54" s="635">
        <f>IF(IF($A54,OtherRentGrowthType,MarketRentGrowthType)=52,AVERAGEIF($R$6:BJ$6,BK$6-1,$R54:BJ54),BJ54)*IF($A54,BK$160,BK$159)</f>
        <v>1775.7459030186942</v>
      </c>
      <c r="BL54" s="635">
        <f>IF(IF($A54,OtherRentGrowthType,MarketRentGrowthType)=52,AVERAGEIF($R$6:BK$6,BL$6-1,$R54:BK54),BK54)*IF($A54,BL$160,BL$159)</f>
        <v>1780.1253714626014</v>
      </c>
      <c r="BM54" s="635">
        <f>IF(IF($A54,OtherRentGrowthType,MarketRentGrowthType)=52,AVERAGEIF($R$6:BL$6,BM$6-1,$R54:BL54),BL54)*IF($A54,BM$160,BM$159)</f>
        <v>1784.5156408571504</v>
      </c>
      <c r="BN54" s="635">
        <f>IF(IF($A54,OtherRentGrowthType,MarketRentGrowthType)=52,AVERAGEIF($R$6:BM$6,BN$6-1,$R54:BM54),BM54)*IF($A54,BN$160,BN$159)</f>
        <v>1788.9167378403995</v>
      </c>
      <c r="BO54" s="635">
        <f>IF(IF($A54,OtherRentGrowthType,MarketRentGrowthType)=52,AVERAGEIF($R$6:BN$6,BO$6-1,$R54:BN54),BN54)*IF($A54,BO$160,BO$159)</f>
        <v>1793.3286891161033</v>
      </c>
      <c r="BP54" s="635">
        <f>IF(IF($A54,OtherRentGrowthType,MarketRentGrowthType)=52,AVERAGEIF($R$6:BO$6,BP$6-1,$R54:BO54),BO54)*IF($A54,BP$160,BP$159)</f>
        <v>1797.7515214538753</v>
      </c>
      <c r="BQ54" s="635">
        <f>IF(IF($A54,OtherRentGrowthType,MarketRentGrowthType)=52,AVERAGEIF($R$6:BP$6,BQ$6-1,$R54:BP54),BP54)*IF($A54,BQ$160,BQ$159)</f>
        <v>1802.18526168935</v>
      </c>
      <c r="BR54" s="635">
        <f>IF(IF($A54,OtherRentGrowthType,MarketRentGrowthType)=52,AVERAGEIF($R$6:BQ$6,BR$6-1,$R54:BQ54),BQ54)*IF($A54,BR$160,BR$159)</f>
        <v>1806.6299367243457</v>
      </c>
      <c r="BS54" s="635">
        <f>IF(IF($A54,OtherRentGrowthType,MarketRentGrowthType)=52,AVERAGEIF($R$6:BR$6,BS$6-1,$R54:BR54),BR54)*IF($A54,BS$160,BS$159)</f>
        <v>1811.0855735270279</v>
      </c>
      <c r="BT54" s="635">
        <f>IF(IF($A54,OtherRentGrowthType,MarketRentGrowthType)=52,AVERAGEIF($R$6:BS$6,BT$6-1,$R54:BS54),BS54)*IF($A54,BT$160,BT$159)</f>
        <v>1815.5521991320729</v>
      </c>
      <c r="BU54" s="635">
        <f>IF(IF($A54,OtherRentGrowthType,MarketRentGrowthType)=52,AVERAGEIF($R$6:BT$6,BU$6-1,$R54:BT54),BT54)*IF($A54,BU$160,BU$159)</f>
        <v>1820.0298406408319</v>
      </c>
      <c r="BV54" s="635">
        <f>IF(IF($A54,OtherRentGrowthType,MarketRentGrowthType)=52,AVERAGEIF($R$6:BU$6,BV$6-1,$R54:BU54),BU54)*IF($A54,BV$160,BV$159)</f>
        <v>1824.5185252214951</v>
      </c>
      <c r="BW54" s="635">
        <f>IF(IF($A54,OtherRentGrowthType,MarketRentGrowthType)=52,AVERAGEIF($R$6:BV$6,BW$6-1,$R54:BV54),BV54)*IF($A54,BW$160,BW$159)</f>
        <v>1829.0182801092569</v>
      </c>
      <c r="BX54" s="635">
        <f>IF(IF($A54,OtherRentGrowthType,MarketRentGrowthType)=52,AVERAGEIF($R$6:BW$6,BX$6-1,$R54:BW54),BW54)*IF($A54,BX$160,BX$159)</f>
        <v>1833.5291326064812</v>
      </c>
      <c r="BY54" s="635">
        <f>IF(IF($A54,OtherRentGrowthType,MarketRentGrowthType)=52,AVERAGEIF($R$6:BX$6,BY$6-1,$R54:BX54),BX54)*IF($A54,BY$160,BY$159)</f>
        <v>1838.0511100828667</v>
      </c>
      <c r="BZ54" s="635">
        <f>IF(IF($A54,OtherRentGrowthType,MarketRentGrowthType)=52,AVERAGEIF($R$6:BY$6,BZ$6-1,$R54:BY54),BY54)*IF($A54,BZ$160,BZ$159)</f>
        <v>1842.5842399756132</v>
      </c>
      <c r="CA54" s="635">
        <f>IF(IF($A54,OtherRentGrowthType,MarketRentGrowthType)=52,AVERAGEIF($R$6:BZ$6,CA$6-1,$R54:BZ54),BZ54)*IF($A54,CA$160,CA$159)</f>
        <v>1847.1285497895881</v>
      </c>
      <c r="CB54" s="635">
        <f>IF(IF($A54,OtherRentGrowthType,MarketRentGrowthType)=52,AVERAGEIF($R$6:CA$6,CB$6-1,$R54:CA54),CA54)*IF($A54,CB$160,CB$159)</f>
        <v>1851.6840670974932</v>
      </c>
      <c r="CC54" s="635">
        <f>IF(IF($A54,OtherRentGrowthType,MarketRentGrowthType)=52,AVERAGEIF($R$6:CB$6,CC$6-1,$R54:CB54),CB54)*IF($A54,CC$160,CC$159)</f>
        <v>1856.2508195400321</v>
      </c>
      <c r="CD54" s="635">
        <f>IF(IF($A54,OtherRentGrowthType,MarketRentGrowthType)=52,AVERAGEIF($R$6:CC$6,CD$6-1,$R54:CC54),CC54)*IF($A54,CD$160,CD$159)</f>
        <v>1860.8288348260776</v>
      </c>
      <c r="CE54" s="635">
        <f>IF(IF($A54,OtherRentGrowthType,MarketRentGrowthType)=52,AVERAGEIF($R$6:CD$6,CE$6-1,$R54:CD54),CD54)*IF($A54,CE$160,CE$159)</f>
        <v>1865.4181407328401</v>
      </c>
      <c r="CF54" s="635">
        <f>IF(IF($A54,OtherRentGrowthType,MarketRentGrowthType)=52,AVERAGEIF($R$6:CE$6,CF$6-1,$R54:CE54),CE54)*IF($A54,CF$160,CF$159)</f>
        <v>1870.0187651060364</v>
      </c>
      <c r="CG54" s="635">
        <f>IF(IF($A54,OtherRentGrowthType,MarketRentGrowthType)=52,AVERAGEIF($R$6:CF$6,CG$6-1,$R54:CF54),CF54)*IF($A54,CG$160,CG$159)</f>
        <v>1874.6307358600582</v>
      </c>
      <c r="CH54" s="635">
        <f>IF(IF($A54,OtherRentGrowthType,MarketRentGrowthType)=52,AVERAGEIF($R$6:CG$6,CH$6-1,$R54:CG54),CG54)*IF($A54,CH$160,CH$159)</f>
        <v>1879.2540809781412</v>
      </c>
      <c r="CI54" s="635">
        <f>IF(IF($A54,OtherRentGrowthType,MarketRentGrowthType)=52,AVERAGEIF($R$6:CH$6,CI$6-1,$R54:CH54),CH54)*IF($A54,CI$160,CI$159)</f>
        <v>1883.8888285125361</v>
      </c>
      <c r="CJ54" s="635">
        <f>IF(IF($A54,OtherRentGrowthType,MarketRentGrowthType)=52,AVERAGEIF($R$6:CI$6,CJ$6-1,$R54:CI54),CI54)*IF($A54,CJ$160,CJ$159)</f>
        <v>1888.5350065846771</v>
      </c>
      <c r="CK54" s="635">
        <f>IF(IF($A54,OtherRentGrowthType,MarketRentGrowthType)=52,AVERAGEIF($R$6:CJ$6,CK$6-1,$R54:CJ54),CJ54)*IF($A54,CK$160,CK$159)</f>
        <v>1893.1926433853544</v>
      </c>
      <c r="CL54" s="635">
        <f>IF(IF($A54,OtherRentGrowthType,MarketRentGrowthType)=52,AVERAGEIF($R$6:CK$6,CL$6-1,$R54:CK54),CK54)*IF($A54,CL$160,CL$159)</f>
        <v>1897.8617671748834</v>
      </c>
      <c r="CM54" s="635">
        <f>IF(IF($A54,OtherRentGrowthType,MarketRentGrowthType)=52,AVERAGEIF($R$6:CL$6,CM$6-1,$R54:CL54),CL54)*IF($A54,CM$160,CM$159)</f>
        <v>1902.5424062832776</v>
      </c>
      <c r="CN54" s="635">
        <f>IF(IF($A54,OtherRentGrowthType,MarketRentGrowthType)=52,AVERAGEIF($R$6:CM$6,CN$6-1,$R54:CM54),CM54)*IF($A54,CN$160,CN$159)</f>
        <v>1907.2345891104201</v>
      </c>
      <c r="CO54" s="635">
        <f>IF(IF($A54,OtherRentGrowthType,MarketRentGrowthType)=52,AVERAGEIF($R$6:CN$6,CO$6-1,$R54:CN54),CN54)*IF($A54,CO$160,CO$159)</f>
        <v>1911.9383441262351</v>
      </c>
      <c r="CP54" s="635">
        <f>IF(IF($A54,OtherRentGrowthType,MarketRentGrowthType)=52,AVERAGEIF($R$6:CO$6,CP$6-1,$R54:CO54),CO54)*IF($A54,CP$160,CP$159)</f>
        <v>1916.6536998708621</v>
      </c>
      <c r="CQ54" s="635">
        <f>IF(IF($A54,OtherRentGrowthType,MarketRentGrowthType)=52,AVERAGEIF($R$6:CP$6,CQ$6-1,$R54:CP54),CP54)*IF($A54,CQ$160,CQ$159)</f>
        <v>1921.3806849548275</v>
      </c>
      <c r="CR54" s="635">
        <f>IF(IF($A54,OtherRentGrowthType,MarketRentGrowthType)=52,AVERAGEIF($R$6:CQ$6,CR$6-1,$R54:CQ54),CQ54)*IF($A54,CR$160,CR$159)</f>
        <v>1926.1193280592197</v>
      </c>
      <c r="CS54" s="635">
        <f>IF(IF($A54,OtherRentGrowthType,MarketRentGrowthType)=52,AVERAGEIF($R$6:CR$6,CS$6-1,$R54:CR54),CR54)*IF($A54,CS$160,CS$159)</f>
        <v>1930.8696579358621</v>
      </c>
      <c r="CT54" s="635">
        <f>IF(IF($A54,OtherRentGrowthType,MarketRentGrowthType)=52,AVERAGEIF($R$6:CS$6,CT$6-1,$R54:CS54),CS54)*IF($A54,CT$160,CT$159)</f>
        <v>1935.6317034074875</v>
      </c>
      <c r="CU54" s="635">
        <f>IF(IF($A54,OtherRentGrowthType,MarketRentGrowthType)=52,AVERAGEIF($R$6:CT$6,CU$6-1,$R54:CT54),CT54)*IF($A54,CU$160,CU$159)</f>
        <v>1940.405493367914</v>
      </c>
      <c r="CV54" s="635">
        <f>IF(IF($A54,OtherRentGrowthType,MarketRentGrowthType)=52,AVERAGEIF($R$6:CU$6,CV$6-1,$R54:CU54),CU54)*IF($A54,CV$160,CV$159)</f>
        <v>1945.1910567822192</v>
      </c>
      <c r="CW54" s="635">
        <f>IF(IF($A54,OtherRentGrowthType,MarketRentGrowthType)=52,AVERAGEIF($R$6:CV$6,CW$6-1,$R54:CV54),CV54)*IF($A54,CW$160,CW$159)</f>
        <v>1949.9884226869167</v>
      </c>
      <c r="CX54" s="635">
        <f>IF(IF($A54,OtherRentGrowthType,MarketRentGrowthType)=52,AVERAGEIF($R$6:CW$6,CX$6-1,$R54:CW54),CW54)*IF($A54,CX$160,CX$159)</f>
        <v>1954.7976201901315</v>
      </c>
      <c r="CY54" s="635">
        <f>IF(IF($A54,OtherRentGrowthType,MarketRentGrowthType)=52,AVERAGEIF($R$6:CX$6,CY$6-1,$R54:CX54),CX54)*IF($A54,CY$160,CY$159)</f>
        <v>1959.6186784717777</v>
      </c>
      <c r="CZ54" s="635">
        <f>IF(IF($A54,OtherRentGrowthType,MarketRentGrowthType)=52,AVERAGEIF($R$6:CY$6,CZ$6-1,$R54:CY54),CY54)*IF($A54,CZ$160,CZ$159)</f>
        <v>1964.4516267837344</v>
      </c>
      <c r="DA54" s="635">
        <f>IF(IF($A54,OtherRentGrowthType,MarketRentGrowthType)=52,AVERAGEIF($R$6:CZ$6,DA$6-1,$R54:CZ54),CZ54)*IF($A54,DA$160,DA$159)</f>
        <v>1969.2964944500238</v>
      </c>
      <c r="DB54" s="635">
        <f>IF(IF($A54,OtherRentGrowthType,MarketRentGrowthType)=52,AVERAGEIF($R$6:DA$6,DB$6-1,$R54:DA54),DA54)*IF($A54,DB$160,DB$159)</f>
        <v>1974.1533108669896</v>
      </c>
      <c r="DC54" s="635">
        <f>IF(IF($A54,OtherRentGrowthType,MarketRentGrowthType)=52,AVERAGEIF($R$6:DB$6,DC$6-1,$R54:DB54),DB54)*IF($A54,DC$160,DC$159)</f>
        <v>1979.0221055034742</v>
      </c>
      <c r="DD54" s="635">
        <f>IF(IF($A54,OtherRentGrowthType,MarketRentGrowthType)=52,AVERAGEIF($R$6:DC$6,DD$6-1,$R54:DC54),DC54)*IF($A54,DD$160,DD$159)</f>
        <v>1983.9029079009983</v>
      </c>
      <c r="DE54" s="635">
        <f>IF(IF($A54,OtherRentGrowthType,MarketRentGrowthType)=52,AVERAGEIF($R$6:DD$6,DE$6-1,$R54:DD54),DD54)*IF($A54,DE$160,DE$159)</f>
        <v>1988.79574767394</v>
      </c>
      <c r="DF54" s="635">
        <f>IF(IF($A54,OtherRentGrowthType,MarketRentGrowthType)=52,AVERAGEIF($R$6:DE$6,DF$6-1,$R54:DE54),DE54)*IF($A54,DF$160,DF$159)</f>
        <v>1993.7006545097145</v>
      </c>
      <c r="DG54" s="635">
        <f>IF(IF($A54,OtherRentGrowthType,MarketRentGrowthType)=52,AVERAGEIF($R$6:DF$6,DG$6-1,$R54:DF54),DF54)*IF($A54,DG$160,DG$159)</f>
        <v>1998.6176581689538</v>
      </c>
      <c r="DH54" s="635">
        <f>IF(IF($A54,OtherRentGrowthType,MarketRentGrowthType)=52,AVERAGEIF($R$6:DG$6,DH$6-1,$R54:DG54),DG54)*IF($A54,DH$160,DH$159)</f>
        <v>2003.5467884856882</v>
      </c>
      <c r="DI54" s="635">
        <f>IF(IF($A54,OtherRentGrowthType,MarketRentGrowthType)=52,AVERAGEIF($R$6:DH$6,DI$6-1,$R54:DH54),DH54)*IF($A54,DI$160,DI$159)</f>
        <v>2008.4880753675266</v>
      </c>
      <c r="DJ54" s="635">
        <f>IF(IF($A54,OtherRentGrowthType,MarketRentGrowthType)=52,AVERAGEIF($R$6:DI$6,DJ$6-1,$R54:DI54),DI54)*IF($A54,DJ$160,DJ$159)</f>
        <v>2013.4415487958379</v>
      </c>
      <c r="DK54" s="635">
        <f>IF(IF($A54,OtherRentGrowthType,MarketRentGrowthType)=52,AVERAGEIF($R$6:DJ$6,DK$6-1,$R54:DJ54),DJ54)*IF($A54,DK$160,DK$159)</f>
        <v>2018.4072388259333</v>
      </c>
      <c r="DL54" s="635">
        <f>IF(IF($A54,OtherRentGrowthType,MarketRentGrowthType)=52,AVERAGEIF($R$6:DK$6,DL$6-1,$R54:DK54),DK54)*IF($A54,DL$160,DL$159)</f>
        <v>2023.3851755872486</v>
      </c>
      <c r="DM54" s="635">
        <f>IF(IF($A54,OtherRentGrowthType,MarketRentGrowthType)=52,AVERAGEIF($R$6:DL$6,DM$6-1,$R54:DL54),DL54)*IF($A54,DM$160,DM$159)</f>
        <v>2028.3753892835268</v>
      </c>
      <c r="DN54" s="635">
        <f>IF(IF($A54,OtherRentGrowthType,MarketRentGrowthType)=52,AVERAGEIF($R$6:DM$6,DN$6-1,$R54:DM54),DM54)*IF($A54,DN$160,DN$159)</f>
        <v>2033.3779101930015</v>
      </c>
      <c r="DO54" s="635">
        <f>IF(IF($A54,OtherRentGrowthType,MarketRentGrowthType)=52,AVERAGEIF($R$6:DN$6,DO$6-1,$R54:DN54),DN54)*IF($A54,DO$160,DO$159)</f>
        <v>2038.3927686685806</v>
      </c>
      <c r="DP54" s="635">
        <f>IF(IF($A54,OtherRentGrowthType,MarketRentGrowthType)=52,AVERAGEIF($R$6:DO$6,DP$6-1,$R54:DO54),DO54)*IF($A54,DP$160,DP$159)</f>
        <v>2043.4199951380303</v>
      </c>
      <c r="DQ54" s="635">
        <f>IF(IF($A54,OtherRentGrowthType,MarketRentGrowthType)=52,AVERAGEIF($R$6:DP$6,DQ$6-1,$R54:DP54),DP54)*IF($A54,DQ$160,DQ$159)</f>
        <v>2048.4596201041604</v>
      </c>
      <c r="DR54" s="635">
        <f>IF(IF($A54,OtherRentGrowthType,MarketRentGrowthType)=52,AVERAGEIF($R$6:DQ$6,DR$6-1,$R54:DQ54),DQ54)*IF($A54,DR$160,DR$159)</f>
        <v>2053.5116741450079</v>
      </c>
      <c r="DS54" s="635">
        <f>IF(IF($A54,OtherRentGrowthType,MarketRentGrowthType)=52,AVERAGEIF($R$6:DR$6,DS$6-1,$R54:DR54),DR54)*IF($A54,DS$160,DS$159)</f>
        <v>2058.5761879140246</v>
      </c>
      <c r="DT54" s="635">
        <f>IF(IF($A54,OtherRentGrowthType,MarketRentGrowthType)=52,AVERAGEIF($R$6:DS$6,DT$6-1,$R54:DS54),DS54)*IF($A54,DT$160,DT$159)</f>
        <v>2063.6531921402611</v>
      </c>
      <c r="DU54" s="635">
        <f>IF(IF($A54,OtherRentGrowthType,MarketRentGrowthType)=52,AVERAGEIF($R$6:DT$6,DU$6-1,$R54:DT54),DT54)*IF($A54,DU$160,DU$159)</f>
        <v>2068.7427176285546</v>
      </c>
      <c r="DV54" s="635">
        <f>IF(IF($A54,OtherRentGrowthType,MarketRentGrowthType)=52,AVERAGEIF($R$6:DU$6,DV$6-1,$R54:DU54),DU54)*IF($A54,DV$160,DV$159)</f>
        <v>2073.8447952597153</v>
      </c>
      <c r="DW54" s="635">
        <f>IF(IF($A54,OtherRentGrowthType,MarketRentGrowthType)=52,AVERAGEIF($R$6:DV$6,DW$6-1,$R54:DV54),DV54)*IF($A54,DW$160,DW$159)</f>
        <v>2078.9594559907136</v>
      </c>
      <c r="DX54" s="635">
        <f>IF(IF($A54,OtherRentGrowthType,MarketRentGrowthType)=52,AVERAGEIF($R$6:DW$6,DX$6-1,$R54:DW54),DW54)*IF($A54,DX$160,DX$159)</f>
        <v>2084.0867308548686</v>
      </c>
      <c r="DY54" s="635">
        <f>IF(IF($A54,OtherRentGrowthType,MarketRentGrowthType)=52,AVERAGEIF($R$6:DX$6,DY$6-1,$R54:DX54),DX54)*IF($A54,DY$160,DY$159)</f>
        <v>2089.2266509620354</v>
      </c>
      <c r="DZ54" s="635">
        <f>IF(IF($A54,OtherRentGrowthType,MarketRentGrowthType)=52,AVERAGEIF($R$6:DY$6,DZ$6-1,$R54:DY54),DY54)*IF($A54,DZ$160,DZ$159)</f>
        <v>2094.3792474987945</v>
      </c>
      <c r="EA54" s="635">
        <f>IF(IF($A54,OtherRentGrowthType,MarketRentGrowthType)=52,AVERAGEIF($R$6:DZ$6,EA$6-1,$R54:DZ54),DZ54)*IF($A54,EA$160,EA$159)</f>
        <v>2099.5445517286407</v>
      </c>
      <c r="EB54" s="635">
        <f>IF(IF($A54,OtherRentGrowthType,MarketRentGrowthType)=52,AVERAGEIF($R$6:EA$6,EB$6-1,$R54:EA54),EA54)*IF($A54,EB$160,EB$159)</f>
        <v>2104.722594992174</v>
      </c>
      <c r="EC54" s="635">
        <f>IF(IF($A54,OtherRentGrowthType,MarketRentGrowthType)=52,AVERAGEIF($R$6:EB$6,EC$6-1,$R54:EB54),EB54)*IF($A54,EC$160,EC$159)</f>
        <v>2109.9134087072875</v>
      </c>
      <c r="ED54" s="635">
        <f>IF(IF($A54,OtherRentGrowthType,MarketRentGrowthType)=52,AVERAGEIF($R$6:EC$6,ED$6-1,$R54:EC54),EC54)*IF($A54,ED$160,ED$159)</f>
        <v>2115.1170243693605</v>
      </c>
      <c r="EE54" s="635">
        <f>IF(IF($A54,OtherRentGrowthType,MarketRentGrowthType)=52,AVERAGEIF($R$6:ED$6,EE$6-1,$R54:ED54),ED54)*IF($A54,EE$160,EE$159)</f>
        <v>2120.3334735514477</v>
      </c>
      <c r="EF54" s="635">
        <f>IF(IF($A54,OtherRentGrowthType,MarketRentGrowthType)=52,AVERAGEIF($R$6:EE$6,EF$6-1,$R54:EE54),EE54)*IF($A54,EF$160,EF$159)</f>
        <v>2125.5627879044714</v>
      </c>
      <c r="EG54" s="635">
        <f>IF(IF($A54,OtherRentGrowthType,MarketRentGrowthType)=52,AVERAGEIF($R$6:EF$6,EG$6-1,$R54:EF54),EF54)*IF($A54,EG$160,EG$159)</f>
        <v>2130.8049991574139</v>
      </c>
      <c r="EH54" s="635">
        <f>IF(IF($A54,OtherRentGrowthType,MarketRentGrowthType)=52,AVERAGEIF($R$6:EG$6,EH$6-1,$R54:EG54),EG54)*IF($A54,EH$160,EH$159)</f>
        <v>2136.0601391175096</v>
      </c>
      <c r="EI54" s="635">
        <f>IF(IF($A54,OtherRentGrowthType,MarketRentGrowthType)=52,AVERAGEIF($R$6:EH$6,EI$6-1,$R54:EH54),EH54)*IF($A54,EI$160,EI$159)</f>
        <v>2141.3282396704381</v>
      </c>
      <c r="EJ54" s="635">
        <f>IF(IF($A54,OtherRentGrowthType,MarketRentGrowthType)=52,AVERAGEIF($R$6:EI$6,EJ$6-1,$R54:EI54),EI54)*IF($A54,EJ$160,EJ$159)</f>
        <v>2146.6093327805174</v>
      </c>
      <c r="EK54" s="635">
        <f>IF(IF($A54,OtherRentGrowthType,MarketRentGrowthType)=52,AVERAGEIF($R$6:EJ$6,EK$6-1,$R54:EJ54),EJ54)*IF($A54,EK$160,EK$159)</f>
        <v>2151.9034504908991</v>
      </c>
      <c r="EL54" s="635">
        <f>IF(IF($A54,OtherRentGrowthType,MarketRentGrowthType)=52,AVERAGEIF($R$6:EK$6,EL$6-1,$R54:EK54),EK54)*IF($A54,EL$160,EL$159)</f>
        <v>2157.2106249237609</v>
      </c>
      <c r="EM54" s="635">
        <f>IF(IF($A54,OtherRentGrowthType,MarketRentGrowthType)=52,AVERAGEIF($R$6:EL$6,EM$6-1,$R54:EL54),EL54)*IF($A54,EM$160,EM$159)</f>
        <v>2162.5308882805025</v>
      </c>
      <c r="EN54" s="635">
        <f>IF(IF($A54,OtherRentGrowthType,MarketRentGrowthType)=52,AVERAGEIF($R$6:EM$6,EN$6-1,$R54:EM54),EM54)*IF($A54,EN$160,EN$159)</f>
        <v>2167.8642728419418</v>
      </c>
      <c r="EO54" s="635">
        <f>IF(IF($A54,OtherRentGrowthType,MarketRentGrowthType)=52,AVERAGEIF($R$6:EN$6,EO$6-1,$R54:EN54),EN54)*IF($A54,EO$160,EO$159)</f>
        <v>2173.2108109685091</v>
      </c>
      <c r="EP54" s="635">
        <f>IF(IF($A54,OtherRentGrowthType,MarketRentGrowthType)=52,AVERAGEIF($R$6:EO$6,EP$6-1,$R54:EO54),EO54)*IF($A54,EP$160,EP$159)</f>
        <v>2178.5705351004444</v>
      </c>
      <c r="EQ54" s="635">
        <f>IF(IF($A54,OtherRentGrowthType,MarketRentGrowthType)=52,AVERAGEIF($R$6:EP$6,EQ$6-1,$R54:EP54),EP54)*IF($A54,EQ$160,EQ$159)</f>
        <v>2183.9434777579941</v>
      </c>
      <c r="ER54" s="635">
        <f>IF(IF($A54,OtherRentGrowthType,MarketRentGrowthType)=52,AVERAGEIF($R$6:EQ$6,ER$6-1,$R54:EQ54),EQ54)*IF($A54,ER$160,ER$159)</f>
        <v>2189.3296715416086</v>
      </c>
      <c r="ES54" s="635">
        <f>IF(IF($A54,OtherRentGrowthType,MarketRentGrowthType)=52,AVERAGEIF($R$6:ER$6,ES$6-1,$R54:ER54),ER54)*IF($A54,ES$160,ES$159)</f>
        <v>2194.7291491321394</v>
      </c>
      <c r="ET54" s="192"/>
    </row>
    <row r="55" spans="1:150" ht="12.75" hidden="1" customHeight="1">
      <c r="A55" s="353" t="b">
        <f>AND(Input!$N54&lt;&gt;"",Input!$N54&lt;&gt;LeaseTypeMarket)</f>
        <v>0</v>
      </c>
      <c r="B55" s="807" t="str">
        <f>B11</f>
        <v>3x3.5</v>
      </c>
      <c r="C55" s="635">
        <f t="shared" si="79"/>
        <v>1748.7647058823497</v>
      </c>
      <c r="D55" s="635">
        <f t="shared" si="79"/>
        <v>1767.6523411588669</v>
      </c>
      <c r="E55" s="635">
        <f t="shared" si="79"/>
        <v>1812.5948792429247</v>
      </c>
      <c r="F55" s="635">
        <f t="shared" si="79"/>
        <v>1866.9727256202148</v>
      </c>
      <c r="G55" s="635">
        <f t="shared" si="79"/>
        <v>1922.9819073888232</v>
      </c>
      <c r="H55" s="635">
        <f t="shared" si="79"/>
        <v>1980.6713646104902</v>
      </c>
      <c r="I55" s="635">
        <f t="shared" si="79"/>
        <v>2040.0915055488074</v>
      </c>
      <c r="J55" s="635">
        <f t="shared" si="79"/>
        <v>2101.2942507152725</v>
      </c>
      <c r="K55" s="635">
        <f t="shared" si="79"/>
        <v>2164.3330782367329</v>
      </c>
      <c r="L55" s="635">
        <f t="shared" si="79"/>
        <v>2229.263070583836</v>
      </c>
      <c r="M55" s="635">
        <f t="shared" si="79"/>
        <v>2296.1409627013531</v>
      </c>
      <c r="N55" s="192"/>
      <c r="O55" s="635">
        <f>AVERAGEIF($Q$6:$ES$6,O$6,$Q55:$ES55)</f>
        <v>2101.2942507152725</v>
      </c>
      <c r="P55" s="192"/>
      <c r="Q55" s="635">
        <f>Input!F79</f>
        <v>1748.76470588235</v>
      </c>
      <c r="R55" s="823">
        <f t="shared" ref="R55:BA55" si="81">Q55*IF($A55,R$160,R$159)</f>
        <v>1748.76470588235</v>
      </c>
      <c r="S55" s="635">
        <f t="shared" si="81"/>
        <v>1748.76470588235</v>
      </c>
      <c r="T55" s="635">
        <f t="shared" si="81"/>
        <v>1748.76470588235</v>
      </c>
      <c r="U55" s="635">
        <f t="shared" si="81"/>
        <v>1748.76470588235</v>
      </c>
      <c r="V55" s="635">
        <f t="shared" si="81"/>
        <v>1748.76470588235</v>
      </c>
      <c r="W55" s="635">
        <f t="shared" si="81"/>
        <v>1748.76470588235</v>
      </c>
      <c r="X55" s="635">
        <f t="shared" si="81"/>
        <v>1748.76470588235</v>
      </c>
      <c r="Y55" s="635">
        <f t="shared" si="81"/>
        <v>1748.76470588235</v>
      </c>
      <c r="Z55" s="635">
        <f t="shared" si="81"/>
        <v>1748.76470588235</v>
      </c>
      <c r="AA55" s="635">
        <f t="shared" si="81"/>
        <v>1748.76470588235</v>
      </c>
      <c r="AB55" s="635">
        <f t="shared" si="81"/>
        <v>1748.76470588235</v>
      </c>
      <c r="AC55" s="635">
        <f t="shared" si="81"/>
        <v>1748.76470588235</v>
      </c>
      <c r="AD55" s="635">
        <f t="shared" si="81"/>
        <v>1751.6529329720433</v>
      </c>
      <c r="AE55" s="635">
        <f t="shared" si="81"/>
        <v>1754.5459302035938</v>
      </c>
      <c r="AF55" s="635">
        <f t="shared" si="81"/>
        <v>1757.4437054552782</v>
      </c>
      <c r="AG55" s="635">
        <f t="shared" si="81"/>
        <v>1760.3462666183855</v>
      </c>
      <c r="AH55" s="635">
        <f t="shared" si="81"/>
        <v>1763.2536215972375</v>
      </c>
      <c r="AI55" s="635">
        <f t="shared" si="81"/>
        <v>1766.1657783092105</v>
      </c>
      <c r="AJ55" s="635">
        <f t="shared" si="81"/>
        <v>1769.0827446847575</v>
      </c>
      <c r="AK55" s="635">
        <f t="shared" si="81"/>
        <v>1772.0045286674285</v>
      </c>
      <c r="AL55" s="635">
        <f t="shared" si="81"/>
        <v>1774.9311382138935</v>
      </c>
      <c r="AM55" s="635">
        <f t="shared" si="81"/>
        <v>1777.8625812939636</v>
      </c>
      <c r="AN55" s="635">
        <f t="shared" si="81"/>
        <v>1780.7988658906122</v>
      </c>
      <c r="AO55" s="635">
        <f t="shared" si="81"/>
        <v>1783.739999999998</v>
      </c>
      <c r="AP55" s="635">
        <f t="shared" si="81"/>
        <v>1788.139184043647</v>
      </c>
      <c r="AQ55" s="635">
        <f t="shared" si="81"/>
        <v>1792.5492176619257</v>
      </c>
      <c r="AR55" s="635">
        <f t="shared" si="81"/>
        <v>1796.9701276128119</v>
      </c>
      <c r="AS55" s="635">
        <f t="shared" si="81"/>
        <v>1801.4019407202761</v>
      </c>
      <c r="AT55" s="635">
        <f t="shared" si="81"/>
        <v>1805.8446838744437</v>
      </c>
      <c r="AU55" s="635">
        <f t="shared" si="81"/>
        <v>1810.2983840317586</v>
      </c>
      <c r="AV55" s="635">
        <f t="shared" si="81"/>
        <v>1814.7630682151464</v>
      </c>
      <c r="AW55" s="635">
        <f t="shared" si="81"/>
        <v>1819.2387635141786</v>
      </c>
      <c r="AX55" s="635">
        <f t="shared" si="81"/>
        <v>1823.7254970852368</v>
      </c>
      <c r="AY55" s="635">
        <f t="shared" si="81"/>
        <v>1828.2232961516777</v>
      </c>
      <c r="AZ55" s="635">
        <f t="shared" si="81"/>
        <v>1832.7321880039981</v>
      </c>
      <c r="BA55" s="635">
        <f t="shared" si="81"/>
        <v>1837.2522000000004</v>
      </c>
      <c r="BB55" s="823">
        <f>IF(IF($A55,OtherRentGrowthType,MarketRentGrowthType)=52,AVERAGEIF($R$6:BA$6,BB$6-1,$R55:BA55),BA55)*IF($A55,BB$160,BB$159)</f>
        <v>1841.7833595649588</v>
      </c>
      <c r="BC55" s="635">
        <f>IF(IF($A55,OtherRentGrowthType,MarketRentGrowthType)=52,AVERAGEIF($R$6:BB$6,BC$6-1,$R55:BB55),BB55)*IF($A55,BC$160,BC$159)</f>
        <v>1846.3256941917857</v>
      </c>
      <c r="BD55" s="635">
        <f>IF(IF($A55,OtherRentGrowthType,MarketRentGrowthType)=52,AVERAGEIF($R$6:BC$6,BD$6-1,$R55:BC55),BC55)*IF($A55,BD$160,BD$159)</f>
        <v>1850.8792314411985</v>
      </c>
      <c r="BE55" s="635">
        <f>IF(IF($A55,OtherRentGrowthType,MarketRentGrowthType)=52,AVERAGEIF($R$6:BD$6,BE$6-1,$R55:BD55),BD55)*IF($A55,BE$160,BE$159)</f>
        <v>1855.4439989418865</v>
      </c>
      <c r="BF55" s="635">
        <f>IF(IF($A55,OtherRentGrowthType,MarketRentGrowthType)=52,AVERAGEIF($R$6:BE$6,BF$6-1,$R55:BE55),BE55)*IF($A55,BF$160,BF$159)</f>
        <v>1860.0200243906793</v>
      </c>
      <c r="BG55" s="635">
        <f>IF(IF($A55,OtherRentGrowthType,MarketRentGrowthType)=52,AVERAGEIF($R$6:BF$6,BG$6-1,$R55:BF55),BF55)*IF($A55,BG$160,BG$159)</f>
        <v>1864.6073355527135</v>
      </c>
      <c r="BH55" s="635">
        <f>IF(IF($A55,OtherRentGrowthType,MarketRentGrowthType)=52,AVERAGEIF($R$6:BG$6,BH$6-1,$R55:BG55),BG55)*IF($A55,BH$160,BH$159)</f>
        <v>1869.205960261603</v>
      </c>
      <c r="BI55" s="635">
        <f>IF(IF($A55,OtherRentGrowthType,MarketRentGrowthType)=52,AVERAGEIF($R$6:BH$6,BI$6-1,$R55:BH55),BH55)*IF($A55,BI$160,BI$159)</f>
        <v>1873.8159264196061</v>
      </c>
      <c r="BJ55" s="635">
        <f>IF(IF($A55,OtherRentGrowthType,MarketRentGrowthType)=52,AVERAGEIF($R$6:BI$6,BJ$6-1,$R55:BI55),BI55)*IF($A55,BJ$160,BJ$159)</f>
        <v>1878.437261997796</v>
      </c>
      <c r="BK55" s="635">
        <f>IF(IF($A55,OtherRentGrowthType,MarketRentGrowthType)=52,AVERAGEIF($R$6:BJ$6,BK$6-1,$R55:BJ55),BJ55)*IF($A55,BK$160,BK$159)</f>
        <v>1883.06999503623</v>
      </c>
      <c r="BL55" s="635">
        <f>IF(IF($A55,OtherRentGrowthType,MarketRentGrowthType)=52,AVERAGEIF($R$6:BK$6,BL$6-1,$R55:BK55),BK55)*IF($A55,BL$160,BL$159)</f>
        <v>1887.71415364412</v>
      </c>
      <c r="BM55" s="635">
        <f>IF(IF($A55,OtherRentGrowthType,MarketRentGrowthType)=52,AVERAGEIF($R$6:BL$6,BM$6-1,$R55:BL55),BL55)*IF($A55,BM$160,BM$159)</f>
        <v>1892.3697660000023</v>
      </c>
      <c r="BN55" s="635">
        <f>IF(IF($A55,OtherRentGrowthType,MarketRentGrowthType)=52,AVERAGEIF($R$6:BM$6,BN$6-1,$R55:BM55),BM55)*IF($A55,BN$160,BN$159)</f>
        <v>1897.0368603519096</v>
      </c>
      <c r="BO55" s="635">
        <f>IF(IF($A55,OtherRentGrowthType,MarketRentGrowthType)=52,AVERAGEIF($R$6:BN$6,BO$6-1,$R55:BN55),BN55)*IF($A55,BO$160,BO$159)</f>
        <v>1901.7154650175414</v>
      </c>
      <c r="BP55" s="635">
        <f>IF(IF($A55,OtherRentGrowthType,MarketRentGrowthType)=52,AVERAGEIF($R$6:BO$6,BP$6-1,$R55:BO55),BO55)*IF($A55,BP$160,BP$159)</f>
        <v>1906.4056083844366</v>
      </c>
      <c r="BQ55" s="635">
        <f>IF(IF($A55,OtherRentGrowthType,MarketRentGrowthType)=52,AVERAGEIF($R$6:BP$6,BQ$6-1,$R55:BP55),BP55)*IF($A55,BQ$160,BQ$159)</f>
        <v>1911.1073189101453</v>
      </c>
      <c r="BR55" s="635">
        <f>IF(IF($A55,OtherRentGrowthType,MarketRentGrowthType)=52,AVERAGEIF($R$6:BQ$6,BR$6-1,$R55:BQ55),BQ55)*IF($A55,BR$160,BR$159)</f>
        <v>1915.8206251224017</v>
      </c>
      <c r="BS55" s="635">
        <f>IF(IF($A55,OtherRentGrowthType,MarketRentGrowthType)=52,AVERAGEIF($R$6:BR$6,BS$6-1,$R55:BR55),BR55)*IF($A55,BS$160,BS$159)</f>
        <v>1920.5455556192969</v>
      </c>
      <c r="BT55" s="635">
        <f>IF(IF($A55,OtherRentGrowthType,MarketRentGrowthType)=52,AVERAGEIF($R$6:BS$6,BT$6-1,$R55:BS55),BS55)*IF($A55,BT$160,BT$159)</f>
        <v>1925.282139069453</v>
      </c>
      <c r="BU55" s="635">
        <f>IF(IF($A55,OtherRentGrowthType,MarketRentGrowthType)=52,AVERAGEIF($R$6:BT$6,BU$6-1,$R55:BT55),BT55)*IF($A55,BU$160,BU$159)</f>
        <v>1930.0304042121961</v>
      </c>
      <c r="BV55" s="635">
        <f>IF(IF($A55,OtherRentGrowthType,MarketRentGrowthType)=52,AVERAGEIF($R$6:BU$6,BV$6-1,$R55:BU55),BU55)*IF($A55,BV$160,BV$159)</f>
        <v>1934.7903798577318</v>
      </c>
      <c r="BW55" s="635">
        <f>IF(IF($A55,OtherRentGrowthType,MarketRentGrowthType)=52,AVERAGEIF($R$6:BV$6,BW$6-1,$R55:BV55),BV55)*IF($A55,BW$160,BW$159)</f>
        <v>1939.5620948873188</v>
      </c>
      <c r="BX55" s="635">
        <f>IF(IF($A55,OtherRentGrowthType,MarketRentGrowthType)=52,AVERAGEIF($R$6:BW$6,BX$6-1,$R55:BW55),BW55)*IF($A55,BX$160,BX$159)</f>
        <v>1944.3455782534454</v>
      </c>
      <c r="BY55" s="635">
        <f>IF(IF($A55,OtherRentGrowthType,MarketRentGrowthType)=52,AVERAGEIF($R$6:BX$6,BY$6-1,$R55:BX55),BX55)*IF($A55,BY$160,BY$159)</f>
        <v>1949.1408589800042</v>
      </c>
      <c r="BZ55" s="635">
        <f>IF(IF($A55,OtherRentGrowthType,MarketRentGrowthType)=52,AVERAGEIF($R$6:BY$6,BZ$6-1,$R55:BY55),BY55)*IF($A55,BZ$160,BZ$159)</f>
        <v>1953.9479661624687</v>
      </c>
      <c r="CA55" s="635">
        <f>IF(IF($A55,OtherRentGrowthType,MarketRentGrowthType)=52,AVERAGEIF($R$6:BZ$6,CA$6-1,$R55:BZ55),BZ55)*IF($A55,CA$160,CA$159)</f>
        <v>1958.7669289680694</v>
      </c>
      <c r="CB55" s="635">
        <f>IF(IF($A55,OtherRentGrowthType,MarketRentGrowthType)=52,AVERAGEIF($R$6:CA$6,CB$6-1,$R55:CA55),CA55)*IF($A55,CB$160,CB$159)</f>
        <v>1963.5977766359715</v>
      </c>
      <c r="CC55" s="635">
        <f>IF(IF($A55,OtherRentGrowthType,MarketRentGrowthType)=52,AVERAGEIF($R$6:CB$6,CC$6-1,$R55:CB55),CB55)*IF($A55,CC$160,CC$159)</f>
        <v>1968.4405384774516</v>
      </c>
      <c r="CD55" s="635">
        <f>IF(IF($A55,OtherRentGrowthType,MarketRentGrowthType)=52,AVERAGEIF($R$6:CC$6,CD$6-1,$R55:CC55),CC55)*IF($A55,CD$160,CD$159)</f>
        <v>1973.2952438760758</v>
      </c>
      <c r="CE55" s="635">
        <f>IF(IF($A55,OtherRentGrowthType,MarketRentGrowthType)=52,AVERAGEIF($R$6:CD$6,CE$6-1,$R55:CD55),CD55)*IF($A55,CE$160,CE$159)</f>
        <v>1978.161922287878</v>
      </c>
      <c r="CF55" s="635">
        <f>IF(IF($A55,OtherRentGrowthType,MarketRentGrowthType)=52,AVERAGEIF($R$6:CE$6,CF$6-1,$R55:CE55),CE55)*IF($A55,CF$160,CF$159)</f>
        <v>1983.0406032415387</v>
      </c>
      <c r="CG55" s="635">
        <f>IF(IF($A55,OtherRentGrowthType,MarketRentGrowthType)=52,AVERAGEIF($R$6:CF$6,CG$6-1,$R55:CF55),CF55)*IF($A55,CG$160,CG$159)</f>
        <v>1987.9313163385643</v>
      </c>
      <c r="CH55" s="635">
        <f>IF(IF($A55,OtherRentGrowthType,MarketRentGrowthType)=52,AVERAGEIF($R$6:CG$6,CH$6-1,$R55:CG55),CG55)*IF($A55,CH$160,CH$159)</f>
        <v>1992.8340912534661</v>
      </c>
      <c r="CI55" s="635">
        <f>IF(IF($A55,OtherRentGrowthType,MarketRentGrowthType)=52,AVERAGEIF($R$6:CH$6,CI$6-1,$R55:CH55),CH55)*IF($A55,CI$160,CI$159)</f>
        <v>1997.7489577339409</v>
      </c>
      <c r="CJ55" s="635">
        <f>IF(IF($A55,OtherRentGrowthType,MarketRentGrowthType)=52,AVERAGEIF($R$6:CI$6,CJ$6-1,$R55:CI55),CI55)*IF($A55,CJ$160,CJ$159)</f>
        <v>2002.6759456010514</v>
      </c>
      <c r="CK55" s="635">
        <f>IF(IF($A55,OtherRentGrowthType,MarketRentGrowthType)=52,AVERAGEIF($R$6:CJ$6,CK$6-1,$R55:CJ55),CJ55)*IF($A55,CK$160,CK$159)</f>
        <v>2007.6150847494068</v>
      </c>
      <c r="CL55" s="635">
        <f>IF(IF($A55,OtherRentGrowthType,MarketRentGrowthType)=52,AVERAGEIF($R$6:CK$6,CL$6-1,$R55:CK55),CK55)*IF($A55,CL$160,CL$159)</f>
        <v>2012.5664051473452</v>
      </c>
      <c r="CM55" s="635">
        <f>IF(IF($A55,OtherRentGrowthType,MarketRentGrowthType)=52,AVERAGEIF($R$6:CL$6,CM$6-1,$R55:CL55),CL55)*IF($A55,CM$160,CM$159)</f>
        <v>2017.5299368371141</v>
      </c>
      <c r="CN55" s="635">
        <f>IF(IF($A55,OtherRentGrowthType,MarketRentGrowthType)=52,AVERAGEIF($R$6:CM$6,CN$6-1,$R55:CM55),CM55)*IF($A55,CN$160,CN$159)</f>
        <v>2022.5057099350531</v>
      </c>
      <c r="CO55" s="635">
        <f>IF(IF($A55,OtherRentGrowthType,MarketRentGrowthType)=52,AVERAGEIF($R$6:CN$6,CO$6-1,$R55:CN55),CN55)*IF($A55,CO$160,CO$159)</f>
        <v>2027.4937546317776</v>
      </c>
      <c r="CP55" s="635">
        <f>IF(IF($A55,OtherRentGrowthType,MarketRentGrowthType)=52,AVERAGEIF($R$6:CO$6,CP$6-1,$R55:CO55),CO55)*IF($A55,CP$160,CP$159)</f>
        <v>2032.4941011923604</v>
      </c>
      <c r="CQ55" s="635">
        <f>IF(IF($A55,OtherRentGrowthType,MarketRentGrowthType)=52,AVERAGEIF($R$6:CP$6,CQ$6-1,$R55:CP55),CP55)*IF($A55,CQ$160,CQ$159)</f>
        <v>2037.5067799565168</v>
      </c>
      <c r="CR55" s="635">
        <f>IF(IF($A55,OtherRentGrowthType,MarketRentGrowthType)=52,AVERAGEIF($R$6:CQ$6,CR$6-1,$R55:CQ55),CQ55)*IF($A55,CR$160,CR$159)</f>
        <v>2042.5318213387873</v>
      </c>
      <c r="CS55" s="635">
        <f>IF(IF($A55,OtherRentGrowthType,MarketRentGrowthType)=52,AVERAGEIF($R$6:CR$6,CS$6-1,$R55:CR55),CR55)*IF($A55,CS$160,CS$159)</f>
        <v>2047.5692558287235</v>
      </c>
      <c r="CT55" s="635">
        <f>IF(IF($A55,OtherRentGrowthType,MarketRentGrowthType)=52,AVERAGEIF($R$6:CS$6,CT$6-1,$R55:CS55),CS55)*IF($A55,CT$160,CT$159)</f>
        <v>2052.619113991072</v>
      </c>
      <c r="CU55" s="635">
        <f>IF(IF($A55,OtherRentGrowthType,MarketRentGrowthType)=52,AVERAGEIF($R$6:CT$6,CU$6-1,$R55:CT55),CT55)*IF($A55,CU$160,CU$159)</f>
        <v>2057.6814264659611</v>
      </c>
      <c r="CV55" s="635">
        <f>IF(IF($A55,OtherRentGrowthType,MarketRentGrowthType)=52,AVERAGEIF($R$6:CU$6,CV$6-1,$R55:CU55),CU55)*IF($A55,CV$160,CV$159)</f>
        <v>2062.7562239690847</v>
      </c>
      <c r="CW55" s="635">
        <f>IF(IF($A55,OtherRentGrowthType,MarketRentGrowthType)=52,AVERAGEIF($R$6:CV$6,CW$6-1,$R55:CV55),CV55)*IF($A55,CW$160,CW$159)</f>
        <v>2067.8435372918907</v>
      </c>
      <c r="CX55" s="635">
        <f>IF(IF($A55,OtherRentGrowthType,MarketRentGrowthType)=52,AVERAGEIF($R$6:CW$6,CX$6-1,$R55:CW55),CW55)*IF($A55,CX$160,CX$159)</f>
        <v>2072.9433973017672</v>
      </c>
      <c r="CY55" s="635">
        <f>IF(IF($A55,OtherRentGrowthType,MarketRentGrowthType)=52,AVERAGEIF($R$6:CX$6,CY$6-1,$R55:CX55),CX55)*IF($A55,CY$160,CY$159)</f>
        <v>2078.055834942229</v>
      </c>
      <c r="CZ55" s="635">
        <f>IF(IF($A55,OtherRentGrowthType,MarketRentGrowthType)=52,AVERAGEIF($R$6:CY$6,CZ$6-1,$R55:CY55),CY55)*IF($A55,CZ$160,CZ$159)</f>
        <v>2083.1808812331064</v>
      </c>
      <c r="DA55" s="635">
        <f>IF(IF($A55,OtherRentGrowthType,MarketRentGrowthType)=52,AVERAGEIF($R$6:CZ$6,DA$6-1,$R55:CZ55),CZ55)*IF($A55,DA$160,DA$159)</f>
        <v>2088.3185672707327</v>
      </c>
      <c r="DB55" s="635">
        <f>IF(IF($A55,OtherRentGrowthType,MarketRentGrowthType)=52,AVERAGEIF($R$6:DA$6,DB$6-1,$R55:DA55),DA55)*IF($A55,DB$160,DB$159)</f>
        <v>2093.4689242281329</v>
      </c>
      <c r="DC55" s="635">
        <f>IF(IF($A55,OtherRentGrowthType,MarketRentGrowthType)=52,AVERAGEIF($R$6:DB$6,DC$6-1,$R55:DB55),DB55)*IF($A55,DC$160,DC$159)</f>
        <v>2098.6319833552138</v>
      </c>
      <c r="DD55" s="635">
        <f>IF(IF($A55,OtherRentGrowthType,MarketRentGrowthType)=52,AVERAGEIF($R$6:DC$6,DD$6-1,$R55:DC55),DC55)*IF($A55,DD$160,DD$159)</f>
        <v>2103.8077759789526</v>
      </c>
      <c r="DE55" s="635">
        <f>IF(IF($A55,OtherRentGrowthType,MarketRentGrowthType)=52,AVERAGEIF($R$6:DD$6,DE$6-1,$R55:DD55),DD55)*IF($A55,DE$160,DE$159)</f>
        <v>2108.9963335035868</v>
      </c>
      <c r="DF55" s="635">
        <f>IF(IF($A55,OtherRentGrowthType,MarketRentGrowthType)=52,AVERAGEIF($R$6:DE$6,DF$6-1,$R55:DE55),DE55)*IF($A55,DF$160,DF$159)</f>
        <v>2114.1976874108059</v>
      </c>
      <c r="DG55" s="635">
        <f>IF(IF($A55,OtherRentGrowthType,MarketRentGrowthType)=52,AVERAGEIF($R$6:DF$6,DG$6-1,$R55:DF55),DF55)*IF($A55,DG$160,DG$159)</f>
        <v>2119.4118692599413</v>
      </c>
      <c r="DH55" s="635">
        <f>IF(IF($A55,OtherRentGrowthType,MarketRentGrowthType)=52,AVERAGEIF($R$6:DG$6,DH$6-1,$R55:DG55),DG55)*IF($A55,DH$160,DH$159)</f>
        <v>2124.6389106881588</v>
      </c>
      <c r="DI55" s="635">
        <f>IF(IF($A55,OtherRentGrowthType,MarketRentGrowthType)=52,AVERAGEIF($R$6:DH$6,DI$6-1,$R55:DH55),DH55)*IF($A55,DI$160,DI$159)</f>
        <v>2129.8788434106491</v>
      </c>
      <c r="DJ55" s="635">
        <f>IF(IF($A55,OtherRentGrowthType,MarketRentGrowthType)=52,AVERAGEIF($R$6:DI$6,DJ$6-1,$R55:DI55),DI55)*IF($A55,DJ$160,DJ$159)</f>
        <v>2135.1316992208217</v>
      </c>
      <c r="DK55" s="635">
        <f>IF(IF($A55,OtherRentGrowthType,MarketRentGrowthType)=52,AVERAGEIF($R$6:DJ$6,DK$6-1,$R55:DJ55),DJ55)*IF($A55,DK$160,DK$159)</f>
        <v>2140.3975099904974</v>
      </c>
      <c r="DL55" s="635">
        <f>IF(IF($A55,OtherRentGrowthType,MarketRentGrowthType)=52,AVERAGEIF($R$6:DK$6,DL$6-1,$R55:DK55),DK55)*IF($A55,DL$160,DL$159)</f>
        <v>2145.6763076701009</v>
      </c>
      <c r="DM55" s="635">
        <f>IF(IF($A55,OtherRentGrowthType,MarketRentGrowthType)=52,AVERAGEIF($R$6:DL$6,DM$6-1,$R55:DL55),DL55)*IF($A55,DM$160,DM$159)</f>
        <v>2150.968124288856</v>
      </c>
      <c r="DN55" s="635">
        <f>IF(IF($A55,OtherRentGrowthType,MarketRentGrowthType)=52,AVERAGEIF($R$6:DM$6,DN$6-1,$R55:DM55),DM55)*IF($A55,DN$160,DN$159)</f>
        <v>2156.2729919549784</v>
      </c>
      <c r="DO55" s="635">
        <f>IF(IF($A55,OtherRentGrowthType,MarketRentGrowthType)=52,AVERAGEIF($R$6:DN$6,DO$6-1,$R55:DN55),DN55)*IF($A55,DO$160,DO$159)</f>
        <v>2161.5909428558716</v>
      </c>
      <c r="DP55" s="635">
        <f>IF(IF($A55,OtherRentGrowthType,MarketRentGrowthType)=52,AVERAGEIF($R$6:DO$6,DP$6-1,$R55:DO55),DO55)*IF($A55,DP$160,DP$159)</f>
        <v>2166.9220092583223</v>
      </c>
      <c r="DQ55" s="635">
        <f>IF(IF($A55,OtherRentGrowthType,MarketRentGrowthType)=52,AVERAGEIF($R$6:DP$6,DQ$6-1,$R55:DP55),DP55)*IF($A55,DQ$160,DQ$159)</f>
        <v>2172.2662235086955</v>
      </c>
      <c r="DR55" s="635">
        <f>IF(IF($A55,OtherRentGrowthType,MarketRentGrowthType)=52,AVERAGEIF($R$6:DQ$6,DR$6-1,$R55:DQ55),DQ55)*IF($A55,DR$160,DR$159)</f>
        <v>2177.6236180331312</v>
      </c>
      <c r="DS55" s="635">
        <f>IF(IF($A55,OtherRentGrowthType,MarketRentGrowthType)=52,AVERAGEIF($R$6:DR$6,DS$6-1,$R55:DR55),DR55)*IF($A55,DS$160,DS$159)</f>
        <v>2182.9942253377408</v>
      </c>
      <c r="DT55" s="635">
        <f>IF(IF($A55,OtherRentGrowthType,MarketRentGrowthType)=52,AVERAGEIF($R$6:DS$6,DT$6-1,$R55:DS55),DS55)*IF($A55,DT$160,DT$159)</f>
        <v>2188.3780780088046</v>
      </c>
      <c r="DU55" s="635">
        <f>IF(IF($A55,OtherRentGrowthType,MarketRentGrowthType)=52,AVERAGEIF($R$6:DT$6,DU$6-1,$R55:DT55),DT55)*IF($A55,DU$160,DU$159)</f>
        <v>2193.7752087129697</v>
      </c>
      <c r="DV55" s="635">
        <f>IF(IF($A55,OtherRentGrowthType,MarketRentGrowthType)=52,AVERAGEIF($R$6:DU$6,DV$6-1,$R55:DU55),DU55)*IF($A55,DV$160,DV$159)</f>
        <v>2199.1856501974476</v>
      </c>
      <c r="DW55" s="635">
        <f>IF(IF($A55,OtherRentGrowthType,MarketRentGrowthType)=52,AVERAGEIF($R$6:DV$6,DW$6-1,$R55:DV55),DV55)*IF($A55,DW$160,DW$159)</f>
        <v>2204.6094352902137</v>
      </c>
      <c r="DX55" s="635">
        <f>IF(IF($A55,OtherRentGrowthType,MarketRentGrowthType)=52,AVERAGEIF($R$6:DW$6,DX$6-1,$R55:DW55),DW55)*IF($A55,DX$160,DX$159)</f>
        <v>2210.0465969002053</v>
      </c>
      <c r="DY55" s="635">
        <f>IF(IF($A55,OtherRentGrowthType,MarketRentGrowthType)=52,AVERAGEIF($R$6:DX$6,DY$6-1,$R55:DX55),DX55)*IF($A55,DY$160,DY$159)</f>
        <v>2215.4971680175227</v>
      </c>
      <c r="DZ55" s="635">
        <f>IF(IF($A55,OtherRentGrowthType,MarketRentGrowthType)=52,AVERAGEIF($R$6:DY$6,DZ$6-1,$R55:DY55),DY55)*IF($A55,DZ$160,DZ$159)</f>
        <v>2220.9611817136288</v>
      </c>
      <c r="EA55" s="635">
        <f>IF(IF($A55,OtherRentGrowthType,MarketRentGrowthType)=52,AVERAGEIF($R$6:DZ$6,EA$6-1,$R55:DZ55),DZ55)*IF($A55,EA$160,EA$159)</f>
        <v>2226.4386711415491</v>
      </c>
      <c r="EB55" s="635">
        <f>IF(IF($A55,OtherRentGrowthType,MarketRentGrowthType)=52,AVERAGEIF($R$6:EA$6,EB$6-1,$R55:EA55),EA55)*IF($A55,EB$160,EB$159)</f>
        <v>2231.9296695360736</v>
      </c>
      <c r="EC55" s="635">
        <f>IF(IF($A55,OtherRentGrowthType,MarketRentGrowthType)=52,AVERAGEIF($R$6:EB$6,EC$6-1,$R55:EB55),EB55)*IF($A55,EC$160,EC$159)</f>
        <v>2237.4342102139581</v>
      </c>
      <c r="ED55" s="635">
        <f>IF(IF($A55,OtherRentGrowthType,MarketRentGrowthType)=52,AVERAGEIF($R$6:EC$6,ED$6-1,$R55:EC55),EC55)*IF($A55,ED$160,ED$159)</f>
        <v>2242.9523265741268</v>
      </c>
      <c r="EE55" s="635">
        <f>IF(IF($A55,OtherRentGrowthType,MarketRentGrowthType)=52,AVERAGEIF($R$6:ED$6,EE$6-1,$R55:ED55),ED55)*IF($A55,EE$160,EE$159)</f>
        <v>2248.4840520978746</v>
      </c>
      <c r="EF55" s="635">
        <f>IF(IF($A55,OtherRentGrowthType,MarketRentGrowthType)=52,AVERAGEIF($R$6:EE$6,EF$6-1,$R55:EE55),EE55)*IF($A55,EF$160,EF$159)</f>
        <v>2254.0294203490703</v>
      </c>
      <c r="EG55" s="635">
        <f>IF(IF($A55,OtherRentGrowthType,MarketRentGrowthType)=52,AVERAGEIF($R$6:EF$6,EG$6-1,$R55:EF55),EF55)*IF($A55,EG$160,EG$159)</f>
        <v>2259.5884649743602</v>
      </c>
      <c r="EH55" s="635">
        <f>IF(IF($A55,OtherRentGrowthType,MarketRentGrowthType)=52,AVERAGEIF($R$6:EG$6,EH$6-1,$R55:EG55),EG55)*IF($A55,EH$160,EH$159)</f>
        <v>2265.1612197033728</v>
      </c>
      <c r="EI55" s="635">
        <f>IF(IF($A55,OtherRentGrowthType,MarketRentGrowthType)=52,AVERAGEIF($R$6:EH$6,EI$6-1,$R55:EH55),EH55)*IF($A55,EI$160,EI$159)</f>
        <v>2270.7477183489218</v>
      </c>
      <c r="EJ55" s="635">
        <f>IF(IF($A55,OtherRentGrowthType,MarketRentGrowthType)=52,AVERAGEIF($R$6:EI$6,EJ$6-1,$R55:EI55),EI55)*IF($A55,EJ$160,EJ$159)</f>
        <v>2276.3479948072131</v>
      </c>
      <c r="EK55" s="635">
        <f>IF(IF($A55,OtherRentGrowthType,MarketRentGrowthType)=52,AVERAGEIF($R$6:EJ$6,EK$6-1,$R55:EJ55),EJ55)*IF($A55,EK$160,EK$159)</f>
        <v>2281.9620830580502</v>
      </c>
      <c r="EL55" s="635">
        <f>IF(IF($A55,OtherRentGrowthType,MarketRentGrowthType)=52,AVERAGEIF($R$6:EK$6,EL$6-1,$R55:EK55),EK55)*IF($A55,EL$160,EL$159)</f>
        <v>2287.5900171650396</v>
      </c>
      <c r="EM55" s="635">
        <f>IF(IF($A55,OtherRentGrowthType,MarketRentGrowthType)=52,AVERAGEIF($R$6:EL$6,EM$6-1,$R55:EL55),EL55)*IF($A55,EM$160,EM$159)</f>
        <v>2293.2318312757975</v>
      </c>
      <c r="EN55" s="635">
        <f>IF(IF($A55,OtherRentGrowthType,MarketRentGrowthType)=52,AVERAGEIF($R$6:EM$6,EN$6-1,$R55:EM55),EM55)*IF($A55,EN$160,EN$159)</f>
        <v>2298.8875596221578</v>
      </c>
      <c r="EO55" s="635">
        <f>IF(IF($A55,OtherRentGrowthType,MarketRentGrowthType)=52,AVERAGEIF($R$6:EN$6,EO$6-1,$R55:EN55),EN55)*IF($A55,EO$160,EO$159)</f>
        <v>2304.5572365203789</v>
      </c>
      <c r="EP55" s="635">
        <f>IF(IF($A55,OtherRentGrowthType,MarketRentGrowthType)=52,AVERAGEIF($R$6:EO$6,EP$6-1,$R55:EO55),EO55)*IF($A55,EP$160,EP$159)</f>
        <v>2310.2408963713528</v>
      </c>
      <c r="EQ55" s="635">
        <f>IF(IF($A55,OtherRentGrowthType,MarketRentGrowthType)=52,AVERAGEIF($R$6:EP$6,EQ$6-1,$R55:EP55),EP55)*IF($A55,EQ$160,EQ$159)</f>
        <v>2315.9385736608133</v>
      </c>
      <c r="ER55" s="635">
        <f>IF(IF($A55,OtherRentGrowthType,MarketRentGrowthType)=52,AVERAGEIF($R$6:EQ$6,ER$6-1,$R55:EQ55),EQ55)*IF($A55,ER$160,ER$159)</f>
        <v>2321.6503029595451</v>
      </c>
      <c r="ES55" s="635">
        <f>IF(IF($A55,OtherRentGrowthType,MarketRentGrowthType)=52,AVERAGEIF($R$6:ER$6,ES$6-1,$R55:ER55),ER55)*IF($A55,ES$160,ES$159)</f>
        <v>2327.3761189235938</v>
      </c>
      <c r="ET55" s="192"/>
    </row>
    <row r="56" spans="1:150" ht="2.1" hidden="1" customHeight="1">
      <c r="A56" s="192"/>
      <c r="B56" s="36"/>
      <c r="C56" s="635"/>
      <c r="D56" s="635"/>
      <c r="E56" s="635"/>
      <c r="F56" s="635"/>
      <c r="G56" s="635"/>
      <c r="H56" s="635"/>
      <c r="I56" s="635"/>
      <c r="J56" s="635"/>
      <c r="K56" s="635"/>
      <c r="L56" s="635"/>
      <c r="M56" s="635"/>
      <c r="N56" s="192"/>
      <c r="O56" s="635"/>
      <c r="P56" s="192"/>
      <c r="Q56" s="635"/>
      <c r="R56" s="635"/>
      <c r="S56" s="635"/>
      <c r="T56" s="635"/>
      <c r="U56" s="635"/>
      <c r="V56" s="635"/>
      <c r="W56" s="635"/>
      <c r="X56" s="635"/>
      <c r="Y56" s="635"/>
      <c r="Z56" s="635"/>
      <c r="AA56" s="635"/>
      <c r="AB56" s="635"/>
      <c r="AC56" s="635"/>
      <c r="AD56" s="635"/>
      <c r="AE56" s="635"/>
      <c r="AF56" s="635"/>
      <c r="AG56" s="635"/>
      <c r="AH56" s="635"/>
      <c r="AI56" s="635"/>
      <c r="AJ56" s="635"/>
      <c r="AK56" s="635"/>
      <c r="AL56" s="635"/>
      <c r="AM56" s="635"/>
      <c r="AN56" s="635"/>
      <c r="AO56" s="635"/>
      <c r="AP56" s="635"/>
      <c r="AQ56" s="635"/>
      <c r="AR56" s="635"/>
      <c r="AS56" s="635"/>
      <c r="AT56" s="635"/>
      <c r="AU56" s="635"/>
      <c r="AV56" s="635"/>
      <c r="AW56" s="635"/>
      <c r="AX56" s="635"/>
      <c r="AY56" s="635"/>
      <c r="AZ56" s="635"/>
      <c r="BA56" s="635"/>
      <c r="BB56" s="37"/>
      <c r="BC56" s="37"/>
      <c r="BD56" s="37"/>
      <c r="BE56" s="37"/>
      <c r="BF56" s="37"/>
      <c r="BG56" s="37"/>
      <c r="BH56" s="37"/>
      <c r="BI56" s="37"/>
      <c r="BJ56" s="37"/>
      <c r="BK56" s="37"/>
      <c r="BL56" s="37"/>
      <c r="BM56" s="37"/>
      <c r="BN56" s="37"/>
      <c r="BO56" s="37"/>
      <c r="BP56" s="37"/>
      <c r="BQ56" s="37"/>
      <c r="BR56" s="37"/>
      <c r="BS56" s="37"/>
      <c r="BT56" s="37"/>
      <c r="BU56" s="37"/>
      <c r="BV56" s="37"/>
      <c r="BW56" s="37"/>
      <c r="BX56" s="37"/>
      <c r="BY56" s="37"/>
      <c r="BZ56" s="37"/>
      <c r="CA56" s="37"/>
      <c r="CB56" s="37"/>
      <c r="CC56" s="37"/>
      <c r="CD56" s="37"/>
      <c r="CE56" s="37"/>
      <c r="CF56" s="37"/>
      <c r="CG56" s="37"/>
      <c r="CH56" s="37"/>
      <c r="CI56" s="37"/>
      <c r="CJ56" s="37"/>
      <c r="CK56" s="37"/>
      <c r="CL56" s="37"/>
      <c r="CM56" s="37"/>
      <c r="CN56" s="37"/>
      <c r="CO56" s="37"/>
      <c r="CP56" s="37"/>
      <c r="CQ56" s="37"/>
      <c r="CR56" s="37"/>
      <c r="CS56" s="37"/>
      <c r="CT56" s="37"/>
      <c r="CU56" s="37"/>
      <c r="CV56" s="37"/>
      <c r="CW56" s="37"/>
      <c r="CX56" s="37"/>
      <c r="CY56" s="37"/>
      <c r="CZ56" s="37"/>
      <c r="DA56" s="37"/>
      <c r="DB56" s="37"/>
      <c r="DC56" s="37"/>
      <c r="DD56" s="37"/>
      <c r="DE56" s="37"/>
      <c r="DF56" s="37"/>
      <c r="DG56" s="37"/>
      <c r="DH56" s="37"/>
      <c r="DI56" s="37"/>
      <c r="DJ56" s="37"/>
      <c r="DK56" s="37"/>
      <c r="DL56" s="37"/>
      <c r="DM56" s="37"/>
      <c r="DN56" s="37"/>
      <c r="DO56" s="37"/>
      <c r="DP56" s="37"/>
      <c r="DQ56" s="37"/>
      <c r="DR56" s="37"/>
      <c r="DS56" s="37"/>
      <c r="DT56" s="37"/>
      <c r="DU56" s="37"/>
      <c r="DV56" s="37"/>
      <c r="DW56" s="37"/>
      <c r="DX56" s="37"/>
      <c r="DY56" s="37"/>
      <c r="DZ56" s="37"/>
      <c r="EA56" s="37"/>
      <c r="EB56" s="37"/>
      <c r="EC56" s="37"/>
      <c r="ED56" s="37"/>
      <c r="EE56" s="37"/>
      <c r="EF56" s="37"/>
      <c r="EG56" s="37"/>
      <c r="EH56" s="37"/>
      <c r="EI56" s="37"/>
      <c r="EJ56" s="37"/>
      <c r="EK56" s="37"/>
      <c r="EL56" s="37"/>
      <c r="EM56" s="37"/>
      <c r="EN56" s="37"/>
      <c r="EO56" s="37"/>
      <c r="EP56" s="37"/>
      <c r="EQ56" s="37"/>
      <c r="ER56" s="37"/>
      <c r="ES56" s="37"/>
      <c r="ET56" s="192"/>
    </row>
    <row r="57" spans="1:150" ht="12.75" hidden="1" customHeight="1" collapsed="1">
      <c r="A57" s="192"/>
      <c r="B57" s="810" t="s">
        <v>565</v>
      </c>
      <c r="C57" s="824">
        <f t="shared" ref="C57:M57" si="82">IFERROR(AVERAGEIFS($Q57:$ES57,$Q$6:$ES$6,C$5,$Q57:$ES57,"&gt;0"),)</f>
        <v>0</v>
      </c>
      <c r="D57" s="824">
        <f t="shared" si="82"/>
        <v>0</v>
      </c>
      <c r="E57" s="824">
        <f t="shared" si="82"/>
        <v>0</v>
      </c>
      <c r="F57" s="824">
        <f t="shared" si="82"/>
        <v>0</v>
      </c>
      <c r="G57" s="824">
        <f t="shared" si="82"/>
        <v>0</v>
      </c>
      <c r="H57" s="824">
        <f t="shared" si="82"/>
        <v>0</v>
      </c>
      <c r="I57" s="824">
        <f t="shared" si="82"/>
        <v>0</v>
      </c>
      <c r="J57" s="824">
        <f t="shared" si="82"/>
        <v>0</v>
      </c>
      <c r="K57" s="824">
        <f t="shared" si="82"/>
        <v>0</v>
      </c>
      <c r="L57" s="824">
        <f t="shared" si="82"/>
        <v>0</v>
      </c>
      <c r="M57" s="824">
        <f t="shared" si="82"/>
        <v>0</v>
      </c>
      <c r="N57" s="812"/>
      <c r="O57" s="824">
        <f>IFERROR(AVERAGEIFS($Q57:$ES57,$Q$6:$ES$6,O$6,$Q57:$ES57,"&gt;0"),)</f>
        <v>0</v>
      </c>
      <c r="P57" s="812"/>
      <c r="Q57" s="824">
        <f t="shared" ref="Q57:AV57" si="83">IF(Q$37,SUMPRODUCT(Q54:Q56,Q$34:Q$36)/Q$37,)</f>
        <v>0</v>
      </c>
      <c r="R57" s="824">
        <f t="shared" si="83"/>
        <v>0</v>
      </c>
      <c r="S57" s="824">
        <f t="shared" si="83"/>
        <v>0</v>
      </c>
      <c r="T57" s="824">
        <f t="shared" si="83"/>
        <v>0</v>
      </c>
      <c r="U57" s="824">
        <f t="shared" si="83"/>
        <v>0</v>
      </c>
      <c r="V57" s="824">
        <f t="shared" si="83"/>
        <v>0</v>
      </c>
      <c r="W57" s="824">
        <f t="shared" si="83"/>
        <v>0</v>
      </c>
      <c r="X57" s="824">
        <f t="shared" si="83"/>
        <v>0</v>
      </c>
      <c r="Y57" s="824">
        <f t="shared" si="83"/>
        <v>0</v>
      </c>
      <c r="Z57" s="824">
        <f t="shared" si="83"/>
        <v>0</v>
      </c>
      <c r="AA57" s="824">
        <f t="shared" si="83"/>
        <v>0</v>
      </c>
      <c r="AB57" s="824">
        <f t="shared" si="83"/>
        <v>0</v>
      </c>
      <c r="AC57" s="824">
        <f t="shared" si="83"/>
        <v>0</v>
      </c>
      <c r="AD57" s="824">
        <f t="shared" si="83"/>
        <v>0</v>
      </c>
      <c r="AE57" s="824">
        <f t="shared" si="83"/>
        <v>0</v>
      </c>
      <c r="AF57" s="824">
        <f t="shared" si="83"/>
        <v>0</v>
      </c>
      <c r="AG57" s="824">
        <f t="shared" si="83"/>
        <v>0</v>
      </c>
      <c r="AH57" s="824">
        <f t="shared" si="83"/>
        <v>0</v>
      </c>
      <c r="AI57" s="824">
        <f t="shared" si="83"/>
        <v>0</v>
      </c>
      <c r="AJ57" s="824">
        <f t="shared" si="83"/>
        <v>0</v>
      </c>
      <c r="AK57" s="824">
        <f t="shared" si="83"/>
        <v>0</v>
      </c>
      <c r="AL57" s="824">
        <f t="shared" si="83"/>
        <v>0</v>
      </c>
      <c r="AM57" s="824">
        <f t="shared" si="83"/>
        <v>0</v>
      </c>
      <c r="AN57" s="824">
        <f t="shared" si="83"/>
        <v>0</v>
      </c>
      <c r="AO57" s="824">
        <f t="shared" si="83"/>
        <v>0</v>
      </c>
      <c r="AP57" s="824">
        <f t="shared" si="83"/>
        <v>0</v>
      </c>
      <c r="AQ57" s="824">
        <f t="shared" si="83"/>
        <v>0</v>
      </c>
      <c r="AR57" s="824">
        <f t="shared" si="83"/>
        <v>0</v>
      </c>
      <c r="AS57" s="824">
        <f t="shared" si="83"/>
        <v>0</v>
      </c>
      <c r="AT57" s="824">
        <f t="shared" si="83"/>
        <v>0</v>
      </c>
      <c r="AU57" s="824">
        <f t="shared" si="83"/>
        <v>0</v>
      </c>
      <c r="AV57" s="824">
        <f t="shared" si="83"/>
        <v>0</v>
      </c>
      <c r="AW57" s="824">
        <f t="shared" ref="AW57:CB57" si="84">IF(AW$37,SUMPRODUCT(AW54:AW56,AW$34:AW$36)/AW$37,)</f>
        <v>0</v>
      </c>
      <c r="AX57" s="824">
        <f t="shared" si="84"/>
        <v>0</v>
      </c>
      <c r="AY57" s="824">
        <f t="shared" si="84"/>
        <v>0</v>
      </c>
      <c r="AZ57" s="824">
        <f t="shared" si="84"/>
        <v>0</v>
      </c>
      <c r="BA57" s="824">
        <f t="shared" si="84"/>
        <v>0</v>
      </c>
      <c r="BB57" s="824">
        <f t="shared" si="84"/>
        <v>0</v>
      </c>
      <c r="BC57" s="824">
        <f t="shared" si="84"/>
        <v>0</v>
      </c>
      <c r="BD57" s="824">
        <f t="shared" si="84"/>
        <v>0</v>
      </c>
      <c r="BE57" s="824">
        <f t="shared" si="84"/>
        <v>0</v>
      </c>
      <c r="BF57" s="824">
        <f t="shared" si="84"/>
        <v>0</v>
      </c>
      <c r="BG57" s="824">
        <f t="shared" si="84"/>
        <v>0</v>
      </c>
      <c r="BH57" s="824">
        <f t="shared" si="84"/>
        <v>0</v>
      </c>
      <c r="BI57" s="824">
        <f t="shared" si="84"/>
        <v>0</v>
      </c>
      <c r="BJ57" s="824">
        <f t="shared" si="84"/>
        <v>0</v>
      </c>
      <c r="BK57" s="824">
        <f t="shared" si="84"/>
        <v>0</v>
      </c>
      <c r="BL57" s="824">
        <f t="shared" si="84"/>
        <v>0</v>
      </c>
      <c r="BM57" s="824">
        <f t="shared" si="84"/>
        <v>0</v>
      </c>
      <c r="BN57" s="824">
        <f t="shared" si="84"/>
        <v>0</v>
      </c>
      <c r="BO57" s="824">
        <f t="shared" si="84"/>
        <v>0</v>
      </c>
      <c r="BP57" s="824">
        <f t="shared" si="84"/>
        <v>0</v>
      </c>
      <c r="BQ57" s="824">
        <f t="shared" si="84"/>
        <v>0</v>
      </c>
      <c r="BR57" s="824">
        <f t="shared" si="84"/>
        <v>0</v>
      </c>
      <c r="BS57" s="824">
        <f t="shared" si="84"/>
        <v>0</v>
      </c>
      <c r="BT57" s="824">
        <f t="shared" si="84"/>
        <v>0</v>
      </c>
      <c r="BU57" s="824">
        <f t="shared" si="84"/>
        <v>0</v>
      </c>
      <c r="BV57" s="824">
        <f t="shared" si="84"/>
        <v>0</v>
      </c>
      <c r="BW57" s="824">
        <f t="shared" si="84"/>
        <v>0</v>
      </c>
      <c r="BX57" s="824">
        <f t="shared" si="84"/>
        <v>0</v>
      </c>
      <c r="BY57" s="824">
        <f t="shared" si="84"/>
        <v>0</v>
      </c>
      <c r="BZ57" s="824">
        <f t="shared" si="84"/>
        <v>0</v>
      </c>
      <c r="CA57" s="824">
        <f t="shared" si="84"/>
        <v>0</v>
      </c>
      <c r="CB57" s="824">
        <f t="shared" si="84"/>
        <v>0</v>
      </c>
      <c r="CC57" s="824">
        <f t="shared" ref="CC57:DH57" si="85">IF(CC$37,SUMPRODUCT(CC54:CC56,CC$34:CC$36)/CC$37,)</f>
        <v>0</v>
      </c>
      <c r="CD57" s="824">
        <f t="shared" si="85"/>
        <v>0</v>
      </c>
      <c r="CE57" s="824">
        <f t="shared" si="85"/>
        <v>0</v>
      </c>
      <c r="CF57" s="824">
        <f t="shared" si="85"/>
        <v>0</v>
      </c>
      <c r="CG57" s="824">
        <f t="shared" si="85"/>
        <v>0</v>
      </c>
      <c r="CH57" s="824">
        <f t="shared" si="85"/>
        <v>0</v>
      </c>
      <c r="CI57" s="824">
        <f t="shared" si="85"/>
        <v>0</v>
      </c>
      <c r="CJ57" s="824">
        <f t="shared" si="85"/>
        <v>0</v>
      </c>
      <c r="CK57" s="824">
        <f t="shared" si="85"/>
        <v>0</v>
      </c>
      <c r="CL57" s="824">
        <f t="shared" si="85"/>
        <v>0</v>
      </c>
      <c r="CM57" s="824">
        <f t="shared" si="85"/>
        <v>0</v>
      </c>
      <c r="CN57" s="824">
        <f t="shared" si="85"/>
        <v>0</v>
      </c>
      <c r="CO57" s="824">
        <f t="shared" si="85"/>
        <v>0</v>
      </c>
      <c r="CP57" s="824">
        <f t="shared" si="85"/>
        <v>0</v>
      </c>
      <c r="CQ57" s="824">
        <f t="shared" si="85"/>
        <v>0</v>
      </c>
      <c r="CR57" s="824">
        <f t="shared" si="85"/>
        <v>0</v>
      </c>
      <c r="CS57" s="824">
        <f t="shared" si="85"/>
        <v>0</v>
      </c>
      <c r="CT57" s="824">
        <f t="shared" si="85"/>
        <v>0</v>
      </c>
      <c r="CU57" s="824">
        <f t="shared" si="85"/>
        <v>0</v>
      </c>
      <c r="CV57" s="824">
        <f t="shared" si="85"/>
        <v>0</v>
      </c>
      <c r="CW57" s="824">
        <f t="shared" si="85"/>
        <v>0</v>
      </c>
      <c r="CX57" s="824">
        <f t="shared" si="85"/>
        <v>0</v>
      </c>
      <c r="CY57" s="824">
        <f t="shared" si="85"/>
        <v>0</v>
      </c>
      <c r="CZ57" s="824">
        <f t="shared" si="85"/>
        <v>0</v>
      </c>
      <c r="DA57" s="824">
        <f t="shared" si="85"/>
        <v>0</v>
      </c>
      <c r="DB57" s="824">
        <f t="shared" si="85"/>
        <v>0</v>
      </c>
      <c r="DC57" s="824">
        <f t="shared" si="85"/>
        <v>0</v>
      </c>
      <c r="DD57" s="824">
        <f t="shared" si="85"/>
        <v>0</v>
      </c>
      <c r="DE57" s="824">
        <f t="shared" si="85"/>
        <v>0</v>
      </c>
      <c r="DF57" s="824">
        <f t="shared" si="85"/>
        <v>0</v>
      </c>
      <c r="DG57" s="824">
        <f t="shared" si="85"/>
        <v>0</v>
      </c>
      <c r="DH57" s="824">
        <f t="shared" si="85"/>
        <v>0</v>
      </c>
      <c r="DI57" s="824">
        <f t="shared" ref="DI57:EN57" si="86">IF(DI$37,SUMPRODUCT(DI54:DI56,DI$34:DI$36)/DI$37,)</f>
        <v>0</v>
      </c>
      <c r="DJ57" s="824">
        <f t="shared" si="86"/>
        <v>0</v>
      </c>
      <c r="DK57" s="824">
        <f t="shared" si="86"/>
        <v>0</v>
      </c>
      <c r="DL57" s="824">
        <f t="shared" si="86"/>
        <v>0</v>
      </c>
      <c r="DM57" s="824">
        <f t="shared" si="86"/>
        <v>0</v>
      </c>
      <c r="DN57" s="824">
        <f t="shared" si="86"/>
        <v>0</v>
      </c>
      <c r="DO57" s="824">
        <f t="shared" si="86"/>
        <v>0</v>
      </c>
      <c r="DP57" s="824">
        <f t="shared" si="86"/>
        <v>0</v>
      </c>
      <c r="DQ57" s="824">
        <f t="shared" si="86"/>
        <v>0</v>
      </c>
      <c r="DR57" s="824">
        <f t="shared" si="86"/>
        <v>0</v>
      </c>
      <c r="DS57" s="824">
        <f t="shared" si="86"/>
        <v>0</v>
      </c>
      <c r="DT57" s="824">
        <f t="shared" si="86"/>
        <v>0</v>
      </c>
      <c r="DU57" s="824">
        <f t="shared" si="86"/>
        <v>0</v>
      </c>
      <c r="DV57" s="824">
        <f t="shared" si="86"/>
        <v>0</v>
      </c>
      <c r="DW57" s="824">
        <f t="shared" si="86"/>
        <v>0</v>
      </c>
      <c r="DX57" s="824">
        <f t="shared" si="86"/>
        <v>0</v>
      </c>
      <c r="DY57" s="824">
        <f t="shared" si="86"/>
        <v>0</v>
      </c>
      <c r="DZ57" s="824">
        <f t="shared" si="86"/>
        <v>0</v>
      </c>
      <c r="EA57" s="824">
        <f t="shared" si="86"/>
        <v>0</v>
      </c>
      <c r="EB57" s="824">
        <f t="shared" si="86"/>
        <v>0</v>
      </c>
      <c r="EC57" s="824">
        <f t="shared" si="86"/>
        <v>0</v>
      </c>
      <c r="ED57" s="824">
        <f t="shared" si="86"/>
        <v>0</v>
      </c>
      <c r="EE57" s="824">
        <f t="shared" si="86"/>
        <v>0</v>
      </c>
      <c r="EF57" s="824">
        <f t="shared" si="86"/>
        <v>0</v>
      </c>
      <c r="EG57" s="824">
        <f t="shared" si="86"/>
        <v>0</v>
      </c>
      <c r="EH57" s="824">
        <f t="shared" si="86"/>
        <v>0</v>
      </c>
      <c r="EI57" s="824">
        <f t="shared" si="86"/>
        <v>0</v>
      </c>
      <c r="EJ57" s="824">
        <f t="shared" si="86"/>
        <v>0</v>
      </c>
      <c r="EK57" s="824">
        <f t="shared" si="86"/>
        <v>0</v>
      </c>
      <c r="EL57" s="824">
        <f t="shared" si="86"/>
        <v>0</v>
      </c>
      <c r="EM57" s="824">
        <f t="shared" si="86"/>
        <v>0</v>
      </c>
      <c r="EN57" s="824">
        <f t="shared" si="86"/>
        <v>0</v>
      </c>
      <c r="EO57" s="824">
        <f t="shared" ref="EO57:FT57" si="87">IF(EO$37,SUMPRODUCT(EO54:EO56,EO$34:EO$36)/EO$37,)</f>
        <v>0</v>
      </c>
      <c r="EP57" s="824">
        <f t="shared" si="87"/>
        <v>0</v>
      </c>
      <c r="EQ57" s="824">
        <f t="shared" si="87"/>
        <v>0</v>
      </c>
      <c r="ER57" s="824">
        <f t="shared" si="87"/>
        <v>0</v>
      </c>
      <c r="ES57" s="824">
        <f t="shared" si="87"/>
        <v>0</v>
      </c>
      <c r="ET57" s="192"/>
    </row>
    <row r="58" spans="1:150" ht="12.75" hidden="1" customHeight="1">
      <c r="A58" s="192"/>
      <c r="B58" s="36"/>
      <c r="C58" s="37"/>
      <c r="D58" s="37"/>
      <c r="E58" s="37"/>
      <c r="F58" s="37"/>
      <c r="G58" s="37"/>
      <c r="H58" s="37"/>
      <c r="I58" s="37"/>
      <c r="J58" s="37"/>
      <c r="K58" s="37"/>
      <c r="L58" s="37"/>
      <c r="M58" s="37"/>
      <c r="N58" s="192"/>
      <c r="O58" s="37"/>
      <c r="P58" s="192"/>
      <c r="Q58" s="37"/>
      <c r="R58" s="37"/>
      <c r="S58" s="37"/>
      <c r="T58" s="37"/>
      <c r="U58" s="37"/>
      <c r="V58" s="37"/>
      <c r="W58" s="37"/>
      <c r="X58" s="37"/>
      <c r="Y58" s="37"/>
      <c r="Z58" s="37"/>
      <c r="AA58" s="37"/>
      <c r="AB58" s="37"/>
      <c r="AC58" s="37"/>
      <c r="AD58" s="37"/>
      <c r="AE58" s="37"/>
      <c r="AF58" s="37"/>
      <c r="AG58" s="37"/>
      <c r="AH58" s="37"/>
      <c r="AI58" s="37"/>
      <c r="AJ58" s="37"/>
      <c r="AK58" s="37"/>
      <c r="AL58" s="37"/>
      <c r="AM58" s="37"/>
      <c r="AN58" s="37"/>
      <c r="AO58" s="37"/>
      <c r="AP58" s="37"/>
      <c r="AQ58" s="37"/>
      <c r="AR58" s="37"/>
      <c r="AS58" s="37"/>
      <c r="AT58" s="37"/>
      <c r="AU58" s="37"/>
      <c r="AV58" s="37"/>
      <c r="AW58" s="37"/>
      <c r="AX58" s="37"/>
      <c r="AY58" s="37"/>
      <c r="AZ58" s="37"/>
      <c r="BA58" s="37"/>
      <c r="BB58" s="37"/>
      <c r="BC58" s="37"/>
      <c r="BD58" s="37"/>
      <c r="BE58" s="37"/>
      <c r="BF58" s="37"/>
      <c r="BG58" s="37"/>
      <c r="BH58" s="37"/>
      <c r="BI58" s="37"/>
      <c r="BJ58" s="37"/>
      <c r="BK58" s="37"/>
      <c r="BL58" s="37"/>
      <c r="BM58" s="37"/>
      <c r="BN58" s="37"/>
      <c r="BO58" s="37"/>
      <c r="BP58" s="37"/>
      <c r="BQ58" s="37"/>
      <c r="BR58" s="37"/>
      <c r="BS58" s="37"/>
      <c r="BT58" s="37"/>
      <c r="BU58" s="37"/>
      <c r="BV58" s="37"/>
      <c r="BW58" s="37"/>
      <c r="BX58" s="37"/>
      <c r="BY58" s="37"/>
      <c r="BZ58" s="37"/>
      <c r="CA58" s="37"/>
      <c r="CB58" s="37"/>
      <c r="CC58" s="37"/>
      <c r="CD58" s="37"/>
      <c r="CE58" s="37"/>
      <c r="CF58" s="37"/>
      <c r="CG58" s="37"/>
      <c r="CH58" s="37"/>
      <c r="CI58" s="37"/>
      <c r="CJ58" s="37"/>
      <c r="CK58" s="37"/>
      <c r="CL58" s="37"/>
      <c r="CM58" s="37"/>
      <c r="CN58" s="37"/>
      <c r="CO58" s="37"/>
      <c r="CP58" s="37"/>
      <c r="CQ58" s="37"/>
      <c r="CR58" s="37"/>
      <c r="CS58" s="37"/>
      <c r="CT58" s="37"/>
      <c r="CU58" s="37"/>
      <c r="CV58" s="37"/>
      <c r="CW58" s="37"/>
      <c r="CX58" s="37"/>
      <c r="CY58" s="37"/>
      <c r="CZ58" s="37"/>
      <c r="DA58" s="37"/>
      <c r="DB58" s="37"/>
      <c r="DC58" s="37"/>
      <c r="DD58" s="37"/>
      <c r="DE58" s="37"/>
      <c r="DF58" s="37"/>
      <c r="DG58" s="37"/>
      <c r="DH58" s="37"/>
      <c r="DI58" s="37"/>
      <c r="DJ58" s="37"/>
      <c r="DK58" s="37"/>
      <c r="DL58" s="37"/>
      <c r="DM58" s="37"/>
      <c r="DN58" s="37"/>
      <c r="DO58" s="37"/>
      <c r="DP58" s="37"/>
      <c r="DQ58" s="37"/>
      <c r="DR58" s="37"/>
      <c r="DS58" s="37"/>
      <c r="DT58" s="37"/>
      <c r="DU58" s="37"/>
      <c r="DV58" s="37"/>
      <c r="DW58" s="37"/>
      <c r="DX58" s="37"/>
      <c r="DY58" s="37"/>
      <c r="DZ58" s="37"/>
      <c r="EA58" s="37"/>
      <c r="EB58" s="37"/>
      <c r="EC58" s="37"/>
      <c r="ED58" s="37"/>
      <c r="EE58" s="37"/>
      <c r="EF58" s="37"/>
      <c r="EG58" s="37"/>
      <c r="EH58" s="37"/>
      <c r="EI58" s="37"/>
      <c r="EJ58" s="37"/>
      <c r="EK58" s="37"/>
      <c r="EL58" s="37"/>
      <c r="EM58" s="37"/>
      <c r="EN58" s="37"/>
      <c r="EO58" s="37"/>
      <c r="EP58" s="37"/>
      <c r="EQ58" s="37"/>
      <c r="ER58" s="37"/>
      <c r="ES58" s="37"/>
      <c r="ET58" s="192"/>
    </row>
    <row r="59" spans="1:150" ht="10.5" hidden="1" customHeight="1">
      <c r="A59" s="192"/>
      <c r="B59" s="192"/>
      <c r="C59" s="192"/>
      <c r="D59" s="192"/>
      <c r="E59" s="192"/>
      <c r="F59" s="192"/>
      <c r="G59" s="192"/>
      <c r="H59" s="192"/>
      <c r="I59" s="192"/>
      <c r="J59" s="192"/>
      <c r="K59" s="192"/>
      <c r="L59" s="192"/>
      <c r="M59" s="192"/>
      <c r="N59" s="192"/>
      <c r="O59" s="192"/>
      <c r="P59" s="192"/>
      <c r="Q59" s="192"/>
      <c r="R59" s="192"/>
      <c r="S59" s="192"/>
      <c r="T59" s="192"/>
      <c r="U59" s="192"/>
      <c r="V59" s="192"/>
      <c r="W59" s="192"/>
      <c r="X59" s="192"/>
      <c r="Y59" s="192"/>
      <c r="Z59" s="192"/>
      <c r="AA59" s="192"/>
      <c r="AB59" s="192"/>
      <c r="AC59" s="192"/>
      <c r="AD59" s="192"/>
      <c r="AE59" s="192"/>
      <c r="AF59" s="192"/>
      <c r="AG59" s="192"/>
      <c r="AH59" s="192"/>
      <c r="AI59" s="192"/>
      <c r="AJ59" s="192"/>
      <c r="AK59" s="192"/>
      <c r="AL59" s="192"/>
      <c r="AM59" s="192"/>
      <c r="AN59" s="192"/>
      <c r="AO59" s="192"/>
      <c r="AP59" s="192"/>
      <c r="AQ59" s="192"/>
      <c r="AR59" s="192"/>
      <c r="AS59" s="192"/>
      <c r="AT59" s="192"/>
      <c r="AU59" s="192"/>
      <c r="AV59" s="192"/>
      <c r="AW59" s="192"/>
      <c r="AX59" s="192"/>
      <c r="AY59" s="192"/>
      <c r="AZ59" s="192"/>
      <c r="BA59" s="192"/>
      <c r="BB59" s="192"/>
      <c r="BC59" s="192"/>
      <c r="BD59" s="192"/>
      <c r="BE59" s="192"/>
      <c r="BF59" s="192"/>
      <c r="BG59" s="192"/>
      <c r="BH59" s="192"/>
      <c r="BI59" s="192"/>
      <c r="BJ59" s="192"/>
      <c r="BK59" s="192"/>
      <c r="BL59" s="192"/>
      <c r="BM59" s="192"/>
      <c r="BN59" s="192"/>
      <c r="BO59" s="192"/>
      <c r="BP59" s="192"/>
      <c r="BQ59" s="192"/>
      <c r="BR59" s="192"/>
      <c r="BS59" s="192"/>
      <c r="BT59" s="192"/>
      <c r="BU59" s="192"/>
      <c r="BV59" s="192"/>
      <c r="BW59" s="192"/>
      <c r="BX59" s="192"/>
      <c r="BY59" s="192"/>
      <c r="BZ59" s="192"/>
      <c r="CA59" s="192"/>
      <c r="CB59" s="192"/>
      <c r="CC59" s="192"/>
      <c r="CD59" s="192"/>
      <c r="CE59" s="192"/>
      <c r="CF59" s="192"/>
      <c r="CG59" s="192"/>
      <c r="CH59" s="192"/>
      <c r="CI59" s="192"/>
      <c r="CJ59" s="192"/>
      <c r="CK59" s="192"/>
      <c r="CL59" s="192"/>
      <c r="CM59" s="192"/>
      <c r="CN59" s="192"/>
      <c r="CO59" s="192"/>
      <c r="CP59" s="192"/>
      <c r="CQ59" s="192"/>
      <c r="CR59" s="192"/>
      <c r="CS59" s="192"/>
      <c r="CT59" s="192"/>
      <c r="CU59" s="192"/>
      <c r="CV59" s="192"/>
      <c r="CW59" s="192"/>
      <c r="CX59" s="192"/>
      <c r="CY59" s="192"/>
      <c r="CZ59" s="192"/>
      <c r="DA59" s="192"/>
      <c r="DB59" s="192"/>
      <c r="DC59" s="192"/>
      <c r="DD59" s="192"/>
      <c r="DE59" s="192"/>
      <c r="DF59" s="192"/>
      <c r="DG59" s="192"/>
      <c r="DH59" s="192"/>
      <c r="DI59" s="192"/>
      <c r="DJ59" s="192"/>
      <c r="DK59" s="192"/>
      <c r="DL59" s="192"/>
      <c r="DM59" s="192"/>
      <c r="DN59" s="192"/>
      <c r="DO59" s="192"/>
      <c r="DP59" s="192"/>
      <c r="DQ59" s="192"/>
      <c r="DR59" s="192"/>
      <c r="DS59" s="192"/>
      <c r="DT59" s="192"/>
      <c r="DU59" s="192"/>
      <c r="DV59" s="192"/>
      <c r="DW59" s="192"/>
      <c r="DX59" s="192"/>
      <c r="DY59" s="192"/>
      <c r="DZ59" s="192"/>
      <c r="EA59" s="192"/>
      <c r="EB59" s="192"/>
      <c r="EC59" s="192"/>
      <c r="ED59" s="192"/>
      <c r="EE59" s="192"/>
      <c r="EF59" s="192"/>
      <c r="EG59" s="192"/>
      <c r="EH59" s="192"/>
      <c r="EI59" s="192"/>
      <c r="EJ59" s="192"/>
      <c r="EK59" s="192"/>
      <c r="EL59" s="192"/>
      <c r="EM59" s="192"/>
      <c r="EN59" s="192"/>
      <c r="EO59" s="192"/>
      <c r="EP59" s="192"/>
      <c r="EQ59" s="192"/>
      <c r="ER59" s="192"/>
      <c r="ES59" s="192"/>
      <c r="ET59" s="192"/>
    </row>
    <row r="60" spans="1:150" ht="10.5" hidden="1" customHeight="1">
      <c r="A60" s="192"/>
      <c r="B60" s="192"/>
      <c r="C60" s="192"/>
      <c r="D60" s="192"/>
      <c r="E60" s="192"/>
      <c r="F60" s="192"/>
      <c r="G60" s="192"/>
      <c r="H60" s="192"/>
      <c r="I60" s="192"/>
      <c r="J60" s="192"/>
      <c r="K60" s="192"/>
      <c r="L60" s="192"/>
      <c r="M60" s="192"/>
      <c r="N60" s="192"/>
      <c r="O60" s="192"/>
      <c r="P60" s="192"/>
      <c r="Q60" s="192"/>
      <c r="R60" s="192"/>
      <c r="S60" s="192"/>
      <c r="T60" s="192"/>
      <c r="U60" s="192"/>
      <c r="V60" s="192"/>
      <c r="W60" s="192"/>
      <c r="X60" s="192"/>
      <c r="Y60" s="192"/>
      <c r="Z60" s="192"/>
      <c r="AA60" s="192"/>
      <c r="AB60" s="192"/>
      <c r="AC60" s="192"/>
      <c r="AD60" s="192"/>
      <c r="AE60" s="192"/>
      <c r="AF60" s="192"/>
      <c r="AG60" s="192"/>
      <c r="AH60" s="192"/>
      <c r="AI60" s="192"/>
      <c r="AJ60" s="192"/>
      <c r="AK60" s="192"/>
      <c r="AL60" s="192"/>
      <c r="AM60" s="192"/>
      <c r="AN60" s="192"/>
      <c r="AO60" s="192"/>
      <c r="AP60" s="192"/>
      <c r="AQ60" s="192"/>
      <c r="AR60" s="192"/>
      <c r="AS60" s="192"/>
      <c r="AT60" s="192"/>
      <c r="AU60" s="192"/>
      <c r="AV60" s="192"/>
      <c r="AW60" s="192"/>
      <c r="AX60" s="192"/>
      <c r="AY60" s="192"/>
      <c r="AZ60" s="192"/>
      <c r="BA60" s="192"/>
      <c r="BB60" s="192"/>
      <c r="BC60" s="192"/>
      <c r="BD60" s="192"/>
      <c r="BE60" s="192"/>
      <c r="BF60" s="192"/>
      <c r="BG60" s="192"/>
      <c r="BH60" s="192"/>
      <c r="BI60" s="192"/>
      <c r="BJ60" s="192"/>
      <c r="BK60" s="192"/>
      <c r="BL60" s="192"/>
      <c r="BM60" s="192"/>
      <c r="BN60" s="192"/>
      <c r="BO60" s="192"/>
      <c r="BP60" s="192"/>
      <c r="BQ60" s="192"/>
      <c r="BR60" s="192"/>
      <c r="BS60" s="192"/>
      <c r="BT60" s="192"/>
      <c r="BU60" s="192"/>
      <c r="BV60" s="192"/>
      <c r="BW60" s="192"/>
      <c r="BX60" s="192"/>
      <c r="BY60" s="192"/>
      <c r="BZ60" s="192"/>
      <c r="CA60" s="192"/>
      <c r="CB60" s="192"/>
      <c r="CC60" s="192"/>
      <c r="CD60" s="192"/>
      <c r="CE60" s="192"/>
      <c r="CF60" s="192"/>
      <c r="CG60" s="192"/>
      <c r="CH60" s="192"/>
      <c r="CI60" s="192"/>
      <c r="CJ60" s="192"/>
      <c r="CK60" s="192"/>
      <c r="CL60" s="192"/>
      <c r="CM60" s="192"/>
      <c r="CN60" s="192"/>
      <c r="CO60" s="192"/>
      <c r="CP60" s="192"/>
      <c r="CQ60" s="192"/>
      <c r="CR60" s="192"/>
      <c r="CS60" s="192"/>
      <c r="CT60" s="192"/>
      <c r="CU60" s="192"/>
      <c r="CV60" s="192"/>
      <c r="CW60" s="192"/>
      <c r="CX60" s="192"/>
      <c r="CY60" s="192"/>
      <c r="CZ60" s="192"/>
      <c r="DA60" s="192"/>
      <c r="DB60" s="192"/>
      <c r="DC60" s="192"/>
      <c r="DD60" s="192"/>
      <c r="DE60" s="192"/>
      <c r="DF60" s="192"/>
      <c r="DG60" s="192"/>
      <c r="DH60" s="192"/>
      <c r="DI60" s="192"/>
      <c r="DJ60" s="192"/>
      <c r="DK60" s="192"/>
      <c r="DL60" s="192"/>
      <c r="DM60" s="192"/>
      <c r="DN60" s="192"/>
      <c r="DO60" s="192"/>
      <c r="DP60" s="192"/>
      <c r="DQ60" s="192"/>
      <c r="DR60" s="192"/>
      <c r="DS60" s="192"/>
      <c r="DT60" s="192"/>
      <c r="DU60" s="192"/>
      <c r="DV60" s="192"/>
      <c r="DW60" s="192"/>
      <c r="DX60" s="192"/>
      <c r="DY60" s="192"/>
      <c r="DZ60" s="192"/>
      <c r="EA60" s="192"/>
      <c r="EB60" s="192"/>
      <c r="EC60" s="192"/>
      <c r="ED60" s="192"/>
      <c r="EE60" s="192"/>
      <c r="EF60" s="192"/>
      <c r="EG60" s="192"/>
      <c r="EH60" s="192"/>
      <c r="EI60" s="192"/>
      <c r="EJ60" s="192"/>
      <c r="EK60" s="192"/>
      <c r="EL60" s="192"/>
      <c r="EM60" s="192"/>
      <c r="EN60" s="192"/>
      <c r="EO60" s="192"/>
      <c r="EP60" s="192"/>
      <c r="EQ60" s="192"/>
      <c r="ER60" s="192"/>
      <c r="ES60" s="192"/>
      <c r="ET60" s="192"/>
    </row>
    <row r="61" spans="1:150" s="192" customFormat="1" ht="14.25" customHeight="1">
      <c r="B61" s="1043" t="s">
        <v>566</v>
      </c>
      <c r="C61" s="196"/>
      <c r="D61" s="197"/>
      <c r="E61" s="197"/>
      <c r="F61" s="197"/>
      <c r="G61" s="197"/>
      <c r="H61" s="197"/>
      <c r="I61" s="197"/>
      <c r="J61" s="197"/>
      <c r="K61" s="197"/>
      <c r="L61" s="197"/>
      <c r="M61" s="197"/>
      <c r="O61" s="197"/>
      <c r="Q61" s="197"/>
      <c r="R61" s="197"/>
      <c r="S61" s="197"/>
      <c r="T61" s="197"/>
      <c r="U61" s="197"/>
      <c r="V61" s="197"/>
      <c r="W61" s="197"/>
      <c r="X61" s="197"/>
      <c r="Y61" s="197"/>
      <c r="Z61" s="197"/>
      <c r="AA61" s="197"/>
      <c r="AB61" s="197"/>
      <c r="AC61" s="197"/>
      <c r="AD61" s="197"/>
      <c r="AE61" s="197"/>
      <c r="AF61" s="197"/>
      <c r="AG61" s="197"/>
      <c r="AH61" s="197"/>
      <c r="AI61" s="197"/>
      <c r="AJ61" s="197"/>
      <c r="AK61" s="197"/>
      <c r="AL61" s="197"/>
      <c r="AM61" s="197"/>
      <c r="AN61" s="197"/>
      <c r="AO61" s="197"/>
      <c r="AP61" s="197"/>
      <c r="AQ61" s="197"/>
      <c r="AR61" s="197"/>
      <c r="AS61" s="197"/>
      <c r="AT61" s="197"/>
      <c r="AU61" s="197"/>
      <c r="AV61" s="197"/>
      <c r="AW61" s="197"/>
      <c r="AX61" s="197"/>
      <c r="AY61" s="197"/>
      <c r="AZ61" s="197"/>
      <c r="BA61" s="197"/>
      <c r="BB61" s="197"/>
      <c r="BC61" s="197"/>
      <c r="BD61" s="197"/>
      <c r="BE61" s="197"/>
      <c r="BF61" s="197"/>
      <c r="BG61" s="197"/>
      <c r="BH61" s="197"/>
      <c r="BI61" s="197"/>
      <c r="BJ61" s="197"/>
      <c r="BK61" s="197"/>
      <c r="BL61" s="197"/>
      <c r="BM61" s="197"/>
      <c r="BN61" s="197"/>
      <c r="BO61" s="197"/>
      <c r="BP61" s="197"/>
      <c r="BQ61" s="197"/>
      <c r="BR61" s="197"/>
      <c r="BS61" s="197"/>
      <c r="BT61" s="197"/>
      <c r="BU61" s="197"/>
      <c r="BV61" s="197"/>
      <c r="BW61" s="197"/>
      <c r="BX61" s="197"/>
      <c r="BY61" s="197"/>
      <c r="BZ61" s="197"/>
      <c r="CA61" s="197"/>
      <c r="CB61" s="197"/>
      <c r="CC61" s="197"/>
      <c r="CD61" s="197"/>
      <c r="CE61" s="197"/>
      <c r="CF61" s="197"/>
      <c r="CG61" s="197"/>
      <c r="CH61" s="197"/>
      <c r="CI61" s="197"/>
      <c r="CJ61" s="197"/>
      <c r="CK61" s="197"/>
      <c r="CL61" s="197"/>
      <c r="CM61" s="197"/>
      <c r="CN61" s="197"/>
      <c r="CO61" s="197"/>
      <c r="CP61" s="197"/>
      <c r="CQ61" s="197"/>
      <c r="CR61" s="197"/>
      <c r="CS61" s="197"/>
      <c r="CT61" s="197"/>
      <c r="CU61" s="197"/>
      <c r="CV61" s="197"/>
      <c r="CW61" s="197"/>
      <c r="CX61" s="197"/>
      <c r="CY61" s="197"/>
      <c r="CZ61" s="197"/>
      <c r="DA61" s="197"/>
      <c r="DB61" s="197"/>
      <c r="DC61" s="197"/>
      <c r="DD61" s="197"/>
      <c r="DE61" s="197"/>
      <c r="DF61" s="197"/>
      <c r="DG61" s="197"/>
      <c r="DH61" s="197"/>
      <c r="DI61" s="197"/>
      <c r="DJ61" s="197"/>
      <c r="DK61" s="197"/>
      <c r="DL61" s="197"/>
      <c r="DM61" s="197"/>
      <c r="DN61" s="197"/>
      <c r="DO61" s="197"/>
      <c r="DP61" s="197"/>
      <c r="DQ61" s="197"/>
      <c r="DR61" s="197"/>
      <c r="DS61" s="197"/>
      <c r="DT61" s="197"/>
      <c r="DU61" s="197"/>
      <c r="DV61" s="197"/>
      <c r="DW61" s="197"/>
      <c r="DX61" s="197"/>
      <c r="DY61" s="197"/>
      <c r="DZ61" s="197"/>
      <c r="EA61" s="197"/>
      <c r="EB61" s="197"/>
      <c r="EC61" s="197"/>
      <c r="ED61" s="197"/>
      <c r="EE61" s="197"/>
      <c r="EF61" s="197"/>
      <c r="EG61" s="197"/>
      <c r="EH61" s="197"/>
      <c r="EI61" s="197"/>
      <c r="EJ61" s="197"/>
      <c r="EK61" s="197"/>
      <c r="EL61" s="197"/>
      <c r="EM61" s="197"/>
      <c r="EN61" s="197"/>
      <c r="EO61" s="197"/>
      <c r="EP61" s="197"/>
      <c r="EQ61" s="197"/>
      <c r="ER61" s="197"/>
      <c r="ES61" s="197"/>
    </row>
    <row r="62" spans="1:150">
      <c r="A62" s="192"/>
      <c r="B62" s="36" t="s">
        <v>567</v>
      </c>
      <c r="C62" s="635">
        <f t="shared" ref="C62:M62" si="88">AVERAGEIF($Q$6:$ES$6,C$5,$Q62:$ES62)</f>
        <v>1670.2750000000012</v>
      </c>
      <c r="D62" s="635">
        <f t="shared" si="88"/>
        <v>1688.314902626905</v>
      </c>
      <c r="E62" s="635">
        <f t="shared" si="88"/>
        <v>1731.240287354678</v>
      </c>
      <c r="F62" s="635">
        <f t="shared" si="88"/>
        <v>1783.1774959753204</v>
      </c>
      <c r="G62" s="635">
        <f t="shared" si="88"/>
        <v>1836.6728208545819</v>
      </c>
      <c r="H62" s="635">
        <f t="shared" si="88"/>
        <v>1891.7730054802207</v>
      </c>
      <c r="I62" s="635">
        <f t="shared" si="88"/>
        <v>1948.5261956446295</v>
      </c>
      <c r="J62" s="635">
        <f t="shared" si="88"/>
        <v>2006.9819815139708</v>
      </c>
      <c r="K62" s="635">
        <f t="shared" si="88"/>
        <v>2067.1914409593919</v>
      </c>
      <c r="L62" s="635">
        <f t="shared" si="88"/>
        <v>2129.2071841881752</v>
      </c>
      <c r="M62" s="635">
        <f t="shared" si="88"/>
        <v>2193.0833997138238</v>
      </c>
      <c r="N62" s="192"/>
      <c r="O62" s="635">
        <f>AVERAGEIF($Q$6:$ES$6,O$6,$Q62:$ES62)</f>
        <v>2006.9819815139708</v>
      </c>
      <c r="P62" s="192"/>
      <c r="Q62" s="635">
        <f t="shared" ref="Q62:AV62" si="89">IF(Q13,(Q48*Q22+Q57*Q37)/Q13,)</f>
        <v>1670.2750000000008</v>
      </c>
      <c r="R62" s="635">
        <f t="shared" si="89"/>
        <v>1670.2750000000008</v>
      </c>
      <c r="S62" s="635">
        <f t="shared" si="89"/>
        <v>1670.2750000000008</v>
      </c>
      <c r="T62" s="635">
        <f t="shared" si="89"/>
        <v>1670.2750000000008</v>
      </c>
      <c r="U62" s="635">
        <f t="shared" si="89"/>
        <v>1670.2750000000008</v>
      </c>
      <c r="V62" s="635">
        <f t="shared" si="89"/>
        <v>1670.2750000000008</v>
      </c>
      <c r="W62" s="635">
        <f t="shared" si="89"/>
        <v>1670.2750000000008</v>
      </c>
      <c r="X62" s="635">
        <f t="shared" si="89"/>
        <v>1670.2750000000008</v>
      </c>
      <c r="Y62" s="635">
        <f t="shared" si="89"/>
        <v>1670.2750000000008</v>
      </c>
      <c r="Z62" s="635">
        <f t="shared" si="89"/>
        <v>1670.2750000000008</v>
      </c>
      <c r="AA62" s="635">
        <f t="shared" si="89"/>
        <v>1670.2750000000008</v>
      </c>
      <c r="AB62" s="635">
        <f t="shared" si="89"/>
        <v>1670.2750000000008</v>
      </c>
      <c r="AC62" s="635">
        <f t="shared" si="89"/>
        <v>1670.2750000000008</v>
      </c>
      <c r="AD62" s="635">
        <f t="shared" si="89"/>
        <v>1673.0335949590656</v>
      </c>
      <c r="AE62" s="635">
        <f t="shared" si="89"/>
        <v>1675.7967459619842</v>
      </c>
      <c r="AF62" s="635">
        <f t="shared" si="89"/>
        <v>1678.5644605334339</v>
      </c>
      <c r="AG62" s="635">
        <f t="shared" si="89"/>
        <v>1681.3367462105186</v>
      </c>
      <c r="AH62" s="635">
        <f t="shared" si="89"/>
        <v>1684.1136105427915</v>
      </c>
      <c r="AI62" s="635">
        <f t="shared" si="89"/>
        <v>1686.895061092273</v>
      </c>
      <c r="AJ62" s="635">
        <f t="shared" si="89"/>
        <v>1689.6811054334751</v>
      </c>
      <c r="AK62" s="635">
        <f t="shared" si="89"/>
        <v>1692.4717511534168</v>
      </c>
      <c r="AL62" s="635">
        <f t="shared" si="89"/>
        <v>1695.2670058516501</v>
      </c>
      <c r="AM62" s="635">
        <f t="shared" si="89"/>
        <v>1698.0668771402768</v>
      </c>
      <c r="AN62" s="635">
        <f t="shared" si="89"/>
        <v>1700.8713726439717</v>
      </c>
      <c r="AO62" s="635">
        <f t="shared" si="89"/>
        <v>1703.6805000000022</v>
      </c>
      <c r="AP62" s="635">
        <f t="shared" si="89"/>
        <v>1707.8822357188153</v>
      </c>
      <c r="AQ62" s="635">
        <f t="shared" si="89"/>
        <v>1712.0943340514234</v>
      </c>
      <c r="AR62" s="635">
        <f t="shared" si="89"/>
        <v>1716.3168205548268</v>
      </c>
      <c r="AS62" s="635">
        <f t="shared" si="89"/>
        <v>1720.5497208490574</v>
      </c>
      <c r="AT62" s="635">
        <f t="shared" si="89"/>
        <v>1724.7930606173329</v>
      </c>
      <c r="AU62" s="635">
        <f t="shared" si="89"/>
        <v>1729.0468656062126</v>
      </c>
      <c r="AV62" s="635">
        <f t="shared" si="89"/>
        <v>1733.3111616257538</v>
      </c>
      <c r="AW62" s="635">
        <f t="shared" ref="AW62:CB62" si="90">IF(AW13,(AW48*AW22+AW57*AW37)/AW13,)</f>
        <v>1737.585974549668</v>
      </c>
      <c r="AX62" s="635">
        <f t="shared" si="90"/>
        <v>1741.8713303154789</v>
      </c>
      <c r="AY62" s="635">
        <f t="shared" si="90"/>
        <v>1746.1672549246782</v>
      </c>
      <c r="AZ62" s="635">
        <f t="shared" si="90"/>
        <v>1750.4737744428853</v>
      </c>
      <c r="BA62" s="635">
        <f t="shared" si="90"/>
        <v>1754.7909150000044</v>
      </c>
      <c r="BB62" s="635">
        <f t="shared" si="90"/>
        <v>1759.118702790382</v>
      </c>
      <c r="BC62" s="635">
        <f t="shared" si="90"/>
        <v>1763.4571640729682</v>
      </c>
      <c r="BD62" s="635">
        <f t="shared" si="90"/>
        <v>1767.8063251714734</v>
      </c>
      <c r="BE62" s="635">
        <f t="shared" si="90"/>
        <v>1772.1662124745312</v>
      </c>
      <c r="BF62" s="635">
        <f t="shared" si="90"/>
        <v>1776.5368524358553</v>
      </c>
      <c r="BG62" s="635">
        <f t="shared" si="90"/>
        <v>1780.9182715744014</v>
      </c>
      <c r="BH62" s="635">
        <f t="shared" si="90"/>
        <v>1785.3104964745282</v>
      </c>
      <c r="BI62" s="635">
        <f t="shared" si="90"/>
        <v>1789.71355378616</v>
      </c>
      <c r="BJ62" s="635">
        <f t="shared" si="90"/>
        <v>1794.1274702249452</v>
      </c>
      <c r="BK62" s="635">
        <f t="shared" si="90"/>
        <v>1798.5522725724209</v>
      </c>
      <c r="BL62" s="635">
        <f t="shared" si="90"/>
        <v>1802.987987676174</v>
      </c>
      <c r="BM62" s="635">
        <f t="shared" si="90"/>
        <v>1807.4346424500065</v>
      </c>
      <c r="BN62" s="635">
        <f t="shared" si="90"/>
        <v>1811.8922638740955</v>
      </c>
      <c r="BO62" s="635">
        <f t="shared" si="90"/>
        <v>1816.3608789951591</v>
      </c>
      <c r="BP62" s="635">
        <f t="shared" si="90"/>
        <v>1820.8405149266196</v>
      </c>
      <c r="BQ62" s="635">
        <f t="shared" si="90"/>
        <v>1825.331198848769</v>
      </c>
      <c r="BR62" s="635">
        <f t="shared" si="90"/>
        <v>1829.8329580089326</v>
      </c>
      <c r="BS62" s="635">
        <f t="shared" si="90"/>
        <v>1834.3458197216351</v>
      </c>
      <c r="BT62" s="635">
        <f t="shared" si="90"/>
        <v>1838.8698113687665</v>
      </c>
      <c r="BU62" s="635">
        <f t="shared" si="90"/>
        <v>1843.4049603997469</v>
      </c>
      <c r="BV62" s="635">
        <f t="shared" si="90"/>
        <v>1847.9512943316954</v>
      </c>
      <c r="BW62" s="635">
        <f t="shared" si="90"/>
        <v>1852.508840749595</v>
      </c>
      <c r="BX62" s="635">
        <f t="shared" si="90"/>
        <v>1857.0776273064614</v>
      </c>
      <c r="BY62" s="635">
        <f t="shared" si="90"/>
        <v>1861.6576817235084</v>
      </c>
      <c r="BZ62" s="635">
        <f t="shared" si="90"/>
        <v>1866.24903179032</v>
      </c>
      <c r="CA62" s="635">
        <f t="shared" si="90"/>
        <v>1870.8517053650153</v>
      </c>
      <c r="CB62" s="635">
        <f t="shared" si="90"/>
        <v>1875.46573037442</v>
      </c>
      <c r="CC62" s="635">
        <f t="shared" ref="CC62:DH62" si="91">IF(CC13,(CC48*CC22+CC57*CC37)/CC13,)</f>
        <v>1880.0911348142338</v>
      </c>
      <c r="CD62" s="635">
        <f t="shared" si="91"/>
        <v>1884.7279467492021</v>
      </c>
      <c r="CE62" s="635">
        <f t="shared" si="91"/>
        <v>1889.3761943132856</v>
      </c>
      <c r="CF62" s="635">
        <f t="shared" si="91"/>
        <v>1894.0359057098308</v>
      </c>
      <c r="CG62" s="635">
        <f t="shared" si="91"/>
        <v>1898.7071092117408</v>
      </c>
      <c r="CH62" s="635">
        <f t="shared" si="91"/>
        <v>1903.3898331616479</v>
      </c>
      <c r="CI62" s="635">
        <f t="shared" si="91"/>
        <v>1908.0841059720847</v>
      </c>
      <c r="CJ62" s="635">
        <f t="shared" si="91"/>
        <v>1912.7899561256568</v>
      </c>
      <c r="CK62" s="635">
        <f t="shared" si="91"/>
        <v>1917.5074121752157</v>
      </c>
      <c r="CL62" s="635">
        <f t="shared" si="91"/>
        <v>1922.2365027440314</v>
      </c>
      <c r="CM62" s="635">
        <f t="shared" si="91"/>
        <v>1926.9772565259677</v>
      </c>
      <c r="CN62" s="635">
        <f t="shared" si="91"/>
        <v>1931.7297022856546</v>
      </c>
      <c r="CO62" s="635">
        <f t="shared" si="91"/>
        <v>1936.4938688586631</v>
      </c>
      <c r="CP62" s="635">
        <f t="shared" si="91"/>
        <v>1941.2697851516805</v>
      </c>
      <c r="CQ62" s="635">
        <f t="shared" si="91"/>
        <v>1946.0574801426865</v>
      </c>
      <c r="CR62" s="635">
        <f t="shared" si="91"/>
        <v>1950.8569828811276</v>
      </c>
      <c r="CS62" s="635">
        <f t="shared" si="91"/>
        <v>1955.6683224880951</v>
      </c>
      <c r="CT62" s="635">
        <f t="shared" si="91"/>
        <v>1960.4915281564995</v>
      </c>
      <c r="CU62" s="635">
        <f t="shared" si="91"/>
        <v>1965.3266291512489</v>
      </c>
      <c r="CV62" s="635">
        <f t="shared" si="91"/>
        <v>1970.1736548094282</v>
      </c>
      <c r="CW62" s="635">
        <f t="shared" si="91"/>
        <v>1975.0326345404737</v>
      </c>
      <c r="CX62" s="635">
        <f t="shared" si="91"/>
        <v>1979.9035978263541</v>
      </c>
      <c r="CY62" s="635">
        <f t="shared" si="91"/>
        <v>1984.7865742217487</v>
      </c>
      <c r="CZ62" s="635">
        <f t="shared" si="91"/>
        <v>1989.6815933542262</v>
      </c>
      <c r="DA62" s="635">
        <f t="shared" si="91"/>
        <v>1994.5886849244246</v>
      </c>
      <c r="DB62" s="635">
        <f t="shared" si="91"/>
        <v>1999.5078787062325</v>
      </c>
      <c r="DC62" s="635">
        <f t="shared" si="91"/>
        <v>2004.439204546969</v>
      </c>
      <c r="DD62" s="635">
        <f t="shared" si="91"/>
        <v>2009.3826923675638</v>
      </c>
      <c r="DE62" s="635">
        <f t="shared" si="91"/>
        <v>2014.3383721627401</v>
      </c>
      <c r="DF62" s="635">
        <f t="shared" si="91"/>
        <v>2019.3062740011962</v>
      </c>
      <c r="DG62" s="635">
        <f t="shared" si="91"/>
        <v>2024.2864280257886</v>
      </c>
      <c r="DH62" s="635">
        <f t="shared" si="91"/>
        <v>2029.2788644537134</v>
      </c>
      <c r="DI62" s="635">
        <f t="shared" ref="DI62:ES62" si="92">IF(DI13,(DI48*DI22+DI57*DI37)/DI13,)</f>
        <v>2034.2836135766902</v>
      </c>
      <c r="DJ62" s="635">
        <f t="shared" si="92"/>
        <v>2039.3007057611471</v>
      </c>
      <c r="DK62" s="635">
        <f t="shared" si="92"/>
        <v>2044.330171448403</v>
      </c>
      <c r="DL62" s="635">
        <f t="shared" si="92"/>
        <v>2049.3720411548547</v>
      </c>
      <c r="DM62" s="635">
        <f t="shared" si="92"/>
        <v>2054.4263454721595</v>
      </c>
      <c r="DN62" s="635">
        <f t="shared" si="92"/>
        <v>2059.4931150674215</v>
      </c>
      <c r="DO62" s="635">
        <f t="shared" si="92"/>
        <v>2064.5723806833803</v>
      </c>
      <c r="DP62" s="635">
        <f t="shared" si="92"/>
        <v>2069.6641731385926</v>
      </c>
      <c r="DQ62" s="635">
        <f t="shared" si="92"/>
        <v>2074.7685233276243</v>
      </c>
      <c r="DR62" s="635">
        <f t="shared" si="92"/>
        <v>2079.8854622212339</v>
      </c>
      <c r="DS62" s="635">
        <f t="shared" si="92"/>
        <v>2085.0150208665646</v>
      </c>
      <c r="DT62" s="635">
        <f t="shared" si="92"/>
        <v>2090.1572303873263</v>
      </c>
      <c r="DU62" s="635">
        <f t="shared" si="92"/>
        <v>2095.3121219839932</v>
      </c>
      <c r="DV62" s="635">
        <f t="shared" si="92"/>
        <v>2100.4797269339833</v>
      </c>
      <c r="DW62" s="635">
        <f t="shared" si="92"/>
        <v>2105.6600765918574</v>
      </c>
      <c r="DX62" s="635">
        <f t="shared" si="92"/>
        <v>2110.8532023895027</v>
      </c>
      <c r="DY62" s="635">
        <f t="shared" si="92"/>
        <v>2116.0591358363263</v>
      </c>
      <c r="DZ62" s="635">
        <f t="shared" si="92"/>
        <v>2121.277908519447</v>
      </c>
      <c r="EA62" s="635">
        <f t="shared" si="92"/>
        <v>2126.5095521038838</v>
      </c>
      <c r="EB62" s="635">
        <f t="shared" si="92"/>
        <v>2131.7540983327526</v>
      </c>
      <c r="EC62" s="635">
        <f t="shared" si="92"/>
        <v>2137.0115790274549</v>
      </c>
      <c r="ED62" s="635">
        <f t="shared" si="92"/>
        <v>2142.2820260878734</v>
      </c>
      <c r="EE62" s="635">
        <f t="shared" si="92"/>
        <v>2147.5654714925636</v>
      </c>
      <c r="EF62" s="635">
        <f t="shared" si="92"/>
        <v>2152.861947298949</v>
      </c>
      <c r="EG62" s="635">
        <f t="shared" si="92"/>
        <v>2158.1714856435151</v>
      </c>
      <c r="EH62" s="635">
        <f t="shared" si="92"/>
        <v>2163.4941187420054</v>
      </c>
      <c r="EI62" s="635">
        <f t="shared" si="92"/>
        <v>2168.8298788896159</v>
      </c>
      <c r="EJ62" s="635">
        <f t="shared" si="92"/>
        <v>2174.1787984611901</v>
      </c>
      <c r="EK62" s="635">
        <f t="shared" si="92"/>
        <v>2179.5409099114186</v>
      </c>
      <c r="EL62" s="635">
        <f t="shared" si="92"/>
        <v>2184.9162457750326</v>
      </c>
      <c r="EM62" s="635">
        <f t="shared" si="92"/>
        <v>2190.3048386670025</v>
      </c>
      <c r="EN62" s="635">
        <f t="shared" si="92"/>
        <v>2195.7067212827378</v>
      </c>
      <c r="EO62" s="635">
        <f t="shared" si="92"/>
        <v>2201.1219263982812</v>
      </c>
      <c r="EP62" s="635">
        <f t="shared" si="92"/>
        <v>2206.5504868705125</v>
      </c>
      <c r="EQ62" s="635">
        <f t="shared" si="92"/>
        <v>2211.9924356373431</v>
      </c>
      <c r="ER62" s="635">
        <f t="shared" si="92"/>
        <v>2217.4478057179199</v>
      </c>
      <c r="ES62" s="635">
        <f t="shared" si="92"/>
        <v>2222.9166302128233</v>
      </c>
      <c r="ET62" s="192"/>
    </row>
    <row r="63" spans="1:150">
      <c r="A63" s="192"/>
      <c r="B63" s="36"/>
      <c r="C63" s="37"/>
      <c r="D63" s="37"/>
      <c r="E63" s="37"/>
      <c r="F63" s="37"/>
      <c r="G63" s="37"/>
      <c r="H63" s="37"/>
      <c r="I63" s="37"/>
      <c r="J63" s="37"/>
      <c r="K63" s="37"/>
      <c r="L63" s="37"/>
      <c r="M63" s="37"/>
      <c r="N63" s="192"/>
      <c r="O63" s="37"/>
      <c r="P63" s="192"/>
      <c r="Q63" s="37"/>
      <c r="R63" s="635"/>
      <c r="S63" s="635"/>
      <c r="T63" s="635"/>
      <c r="U63" s="635"/>
      <c r="V63" s="635"/>
      <c r="W63" s="635"/>
      <c r="X63" s="635"/>
      <c r="Y63" s="635"/>
      <c r="Z63" s="635"/>
      <c r="AA63" s="635"/>
      <c r="AB63" s="635"/>
      <c r="AC63" s="635"/>
      <c r="AD63" s="635"/>
      <c r="AE63" s="635"/>
      <c r="AF63" s="635"/>
      <c r="AG63" s="635"/>
      <c r="AH63" s="635"/>
      <c r="AI63" s="635"/>
      <c r="AJ63" s="635"/>
      <c r="AK63" s="635"/>
      <c r="AL63" s="635"/>
      <c r="AM63" s="635"/>
      <c r="AN63" s="635"/>
      <c r="AO63" s="635"/>
      <c r="AP63" s="635"/>
      <c r="AQ63" s="635"/>
      <c r="AR63" s="635"/>
      <c r="AS63" s="635"/>
      <c r="AT63" s="635"/>
      <c r="AU63" s="635"/>
      <c r="AV63" s="635"/>
      <c r="AW63" s="635"/>
      <c r="AX63" s="635"/>
      <c r="AY63" s="635"/>
      <c r="AZ63" s="635"/>
      <c r="BA63" s="635"/>
      <c r="BB63" s="37"/>
      <c r="BC63" s="37"/>
      <c r="BD63" s="37"/>
      <c r="BE63" s="37"/>
      <c r="BF63" s="37"/>
      <c r="BG63" s="37"/>
      <c r="BH63" s="37"/>
      <c r="BI63" s="37"/>
      <c r="BJ63" s="37"/>
      <c r="BK63" s="37"/>
      <c r="BL63" s="37"/>
      <c r="BM63" s="37"/>
      <c r="BN63" s="37"/>
      <c r="BO63" s="37"/>
      <c r="BP63" s="37"/>
      <c r="BQ63" s="37"/>
      <c r="BR63" s="37"/>
      <c r="BS63" s="37"/>
      <c r="BT63" s="37"/>
      <c r="BU63" s="37"/>
      <c r="BV63" s="37"/>
      <c r="BW63" s="37"/>
      <c r="BX63" s="37"/>
      <c r="BY63" s="37"/>
      <c r="BZ63" s="37"/>
      <c r="CA63" s="37"/>
      <c r="CB63" s="37"/>
      <c r="CC63" s="37"/>
      <c r="CD63" s="37"/>
      <c r="CE63" s="37"/>
      <c r="CF63" s="37"/>
      <c r="CG63" s="37"/>
      <c r="CH63" s="37"/>
      <c r="CI63" s="37"/>
      <c r="CJ63" s="37"/>
      <c r="CK63" s="37"/>
      <c r="CL63" s="37"/>
      <c r="CM63" s="37"/>
      <c r="CN63" s="37"/>
      <c r="CO63" s="37"/>
      <c r="CP63" s="37"/>
      <c r="CQ63" s="37"/>
      <c r="CR63" s="37"/>
      <c r="CS63" s="37"/>
      <c r="CT63" s="37"/>
      <c r="CU63" s="37"/>
      <c r="CV63" s="37"/>
      <c r="CW63" s="37"/>
      <c r="CX63" s="37"/>
      <c r="CY63" s="37"/>
      <c r="CZ63" s="37"/>
      <c r="DA63" s="37"/>
      <c r="DB63" s="37"/>
      <c r="DC63" s="37"/>
      <c r="DD63" s="37"/>
      <c r="DE63" s="37"/>
      <c r="DF63" s="37"/>
      <c r="DG63" s="37"/>
      <c r="DH63" s="37"/>
      <c r="DI63" s="37"/>
      <c r="DJ63" s="37"/>
      <c r="DK63" s="37"/>
      <c r="DL63" s="37"/>
      <c r="DM63" s="37"/>
      <c r="DN63" s="37"/>
      <c r="DO63" s="37"/>
      <c r="DP63" s="37"/>
      <c r="DQ63" s="37"/>
      <c r="DR63" s="37"/>
      <c r="DS63" s="37"/>
      <c r="DT63" s="37"/>
      <c r="DU63" s="37"/>
      <c r="DV63" s="37"/>
      <c r="DW63" s="37"/>
      <c r="DX63" s="37"/>
      <c r="DY63" s="37"/>
      <c r="DZ63" s="37"/>
      <c r="EA63" s="37"/>
      <c r="EB63" s="37"/>
      <c r="EC63" s="37"/>
      <c r="ED63" s="37"/>
      <c r="EE63" s="37"/>
      <c r="EF63" s="37"/>
      <c r="EG63" s="37"/>
      <c r="EH63" s="37"/>
      <c r="EI63" s="37"/>
      <c r="EJ63" s="37"/>
      <c r="EK63" s="37"/>
      <c r="EL63" s="37"/>
      <c r="EM63" s="37"/>
      <c r="EN63" s="37"/>
      <c r="EO63" s="37"/>
      <c r="EP63" s="37"/>
      <c r="EQ63" s="37"/>
      <c r="ER63" s="37"/>
      <c r="ES63" s="37"/>
      <c r="ET63" s="192"/>
    </row>
    <row r="64" spans="1:150" ht="10.5" customHeight="1">
      <c r="A64" s="192"/>
      <c r="B64" s="192"/>
      <c r="C64" s="192"/>
      <c r="D64" s="192"/>
      <c r="E64" s="192"/>
      <c r="F64" s="192"/>
      <c r="G64" s="192"/>
      <c r="H64" s="192"/>
      <c r="I64" s="192"/>
      <c r="J64" s="192"/>
      <c r="K64" s="192"/>
      <c r="L64" s="192"/>
      <c r="M64" s="192"/>
      <c r="N64" s="192"/>
      <c r="O64" s="192"/>
      <c r="P64" s="192"/>
      <c r="Q64" s="192"/>
      <c r="R64" s="192"/>
      <c r="S64" s="192"/>
      <c r="T64" s="192"/>
      <c r="U64" s="192"/>
      <c r="V64" s="192"/>
      <c r="W64" s="192"/>
      <c r="X64" s="192"/>
      <c r="Y64" s="192"/>
      <c r="Z64" s="192"/>
      <c r="AA64" s="192"/>
      <c r="AB64" s="192"/>
      <c r="AC64" s="192"/>
      <c r="AD64" s="192"/>
      <c r="AE64" s="192"/>
      <c r="AF64" s="192"/>
      <c r="AG64" s="192"/>
      <c r="AH64" s="192"/>
      <c r="AI64" s="192"/>
      <c r="AJ64" s="192"/>
      <c r="AK64" s="192"/>
      <c r="AL64" s="192"/>
      <c r="AM64" s="192"/>
      <c r="AN64" s="192"/>
      <c r="AO64" s="192"/>
      <c r="AP64" s="192"/>
      <c r="AQ64" s="192"/>
      <c r="AR64" s="192"/>
      <c r="AS64" s="192"/>
      <c r="AT64" s="192"/>
      <c r="AU64" s="192"/>
      <c r="AV64" s="192"/>
      <c r="AW64" s="192"/>
      <c r="AX64" s="192"/>
      <c r="AY64" s="192"/>
      <c r="AZ64" s="192"/>
      <c r="BA64" s="192"/>
      <c r="BB64" s="192"/>
      <c r="BC64" s="192"/>
      <c r="BD64" s="192"/>
      <c r="BE64" s="192"/>
      <c r="BF64" s="192"/>
      <c r="BG64" s="192"/>
      <c r="BH64" s="192"/>
      <c r="BI64" s="192"/>
      <c r="BJ64" s="192"/>
      <c r="BK64" s="192"/>
      <c r="BL64" s="192"/>
      <c r="BM64" s="192"/>
      <c r="BN64" s="192"/>
      <c r="BO64" s="192"/>
      <c r="BP64" s="192"/>
      <c r="BQ64" s="192"/>
      <c r="BR64" s="192"/>
      <c r="BS64" s="192"/>
      <c r="BT64" s="192"/>
      <c r="BU64" s="192"/>
      <c r="BV64" s="192"/>
      <c r="BW64" s="192"/>
      <c r="BX64" s="192"/>
      <c r="BY64" s="192"/>
      <c r="BZ64" s="192"/>
      <c r="CA64" s="192"/>
      <c r="CB64" s="192"/>
      <c r="CC64" s="192"/>
      <c r="CD64" s="192"/>
      <c r="CE64" s="192"/>
      <c r="CF64" s="192"/>
      <c r="CG64" s="192"/>
      <c r="CH64" s="192"/>
      <c r="CI64" s="192"/>
      <c r="CJ64" s="192"/>
      <c r="CK64" s="192"/>
      <c r="CL64" s="192"/>
      <c r="CM64" s="192"/>
      <c r="CN64" s="192"/>
      <c r="CO64" s="192"/>
      <c r="CP64" s="192"/>
      <c r="CQ64" s="192"/>
      <c r="CR64" s="192"/>
      <c r="CS64" s="192"/>
      <c r="CT64" s="192"/>
      <c r="CU64" s="192"/>
      <c r="CV64" s="192"/>
      <c r="CW64" s="192"/>
      <c r="CX64" s="192"/>
      <c r="CY64" s="192"/>
      <c r="CZ64" s="192"/>
      <c r="DA64" s="192"/>
      <c r="DB64" s="192"/>
      <c r="DC64" s="192"/>
      <c r="DD64" s="192"/>
      <c r="DE64" s="192"/>
      <c r="DF64" s="192"/>
      <c r="DG64" s="192"/>
      <c r="DH64" s="192"/>
      <c r="DI64" s="192"/>
      <c r="DJ64" s="192"/>
      <c r="DK64" s="192"/>
      <c r="DL64" s="192"/>
      <c r="DM64" s="192"/>
      <c r="DN64" s="192"/>
      <c r="DO64" s="192"/>
      <c r="DP64" s="192"/>
      <c r="DQ64" s="192"/>
      <c r="DR64" s="192"/>
      <c r="DS64" s="192"/>
      <c r="DT64" s="192"/>
      <c r="DU64" s="192"/>
      <c r="DV64" s="192"/>
      <c r="DW64" s="192"/>
      <c r="DX64" s="192"/>
      <c r="DY64" s="192"/>
      <c r="DZ64" s="192"/>
      <c r="EA64" s="192"/>
      <c r="EB64" s="192"/>
      <c r="EC64" s="192"/>
      <c r="ED64" s="192"/>
      <c r="EE64" s="192"/>
      <c r="EF64" s="192"/>
      <c r="EG64" s="192"/>
      <c r="EH64" s="192"/>
      <c r="EI64" s="192"/>
      <c r="EJ64" s="192"/>
      <c r="EK64" s="192"/>
      <c r="EL64" s="192"/>
      <c r="EM64" s="192"/>
      <c r="EN64" s="192"/>
      <c r="EO64" s="192"/>
      <c r="EP64" s="192"/>
      <c r="EQ64" s="192"/>
      <c r="ER64" s="192"/>
      <c r="ES64" s="192"/>
      <c r="ET64" s="192"/>
    </row>
    <row r="65" spans="1:150" ht="10.5" customHeight="1">
      <c r="A65" s="192"/>
      <c r="B65" s="192"/>
      <c r="C65" s="192"/>
      <c r="D65" s="192"/>
      <c r="E65" s="192"/>
      <c r="F65" s="192"/>
      <c r="G65" s="192"/>
      <c r="H65" s="192"/>
      <c r="I65" s="192"/>
      <c r="J65" s="192"/>
      <c r="K65" s="192"/>
      <c r="L65" s="192"/>
      <c r="M65" s="192"/>
      <c r="N65" s="192"/>
      <c r="O65" s="192"/>
      <c r="P65" s="192"/>
      <c r="Q65" s="192"/>
      <c r="R65" s="192"/>
      <c r="S65" s="192"/>
      <c r="T65" s="192"/>
      <c r="U65" s="192"/>
      <c r="V65" s="192"/>
      <c r="W65" s="192"/>
      <c r="X65" s="192"/>
      <c r="Y65" s="192"/>
      <c r="Z65" s="192"/>
      <c r="AA65" s="192"/>
      <c r="AB65" s="192"/>
      <c r="AC65" s="192"/>
      <c r="AD65" s="192"/>
      <c r="AE65" s="192"/>
      <c r="AF65" s="192"/>
      <c r="AG65" s="192"/>
      <c r="AH65" s="192"/>
      <c r="AI65" s="192"/>
      <c r="AJ65" s="192"/>
      <c r="AK65" s="192"/>
      <c r="AL65" s="192"/>
      <c r="AM65" s="192"/>
      <c r="AN65" s="192"/>
      <c r="AO65" s="192"/>
      <c r="AP65" s="192"/>
      <c r="AQ65" s="192"/>
      <c r="AR65" s="192"/>
      <c r="AS65" s="192"/>
      <c r="AT65" s="192"/>
      <c r="AU65" s="192"/>
      <c r="AV65" s="192"/>
      <c r="AW65" s="192"/>
      <c r="AX65" s="192"/>
      <c r="AY65" s="192"/>
      <c r="AZ65" s="192"/>
      <c r="BA65" s="192"/>
      <c r="BB65" s="192"/>
      <c r="BC65" s="192"/>
      <c r="BD65" s="192"/>
      <c r="BE65" s="192"/>
      <c r="BF65" s="192"/>
      <c r="BG65" s="192"/>
      <c r="BH65" s="192"/>
      <c r="BI65" s="192"/>
      <c r="BJ65" s="192"/>
      <c r="BK65" s="192"/>
      <c r="BL65" s="192"/>
      <c r="BM65" s="192"/>
      <c r="BN65" s="192"/>
      <c r="BO65" s="192"/>
      <c r="BP65" s="192"/>
      <c r="BQ65" s="192"/>
      <c r="BR65" s="192"/>
      <c r="BS65" s="192"/>
      <c r="BT65" s="192"/>
      <c r="BU65" s="192"/>
      <c r="BV65" s="192"/>
      <c r="BW65" s="192"/>
      <c r="BX65" s="192"/>
      <c r="BY65" s="192"/>
      <c r="BZ65" s="192"/>
      <c r="CA65" s="192"/>
      <c r="CB65" s="192"/>
      <c r="CC65" s="192"/>
      <c r="CD65" s="192"/>
      <c r="CE65" s="192"/>
      <c r="CF65" s="192"/>
      <c r="CG65" s="192"/>
      <c r="CH65" s="192"/>
      <c r="CI65" s="192"/>
      <c r="CJ65" s="192"/>
      <c r="CK65" s="192"/>
      <c r="CL65" s="192"/>
      <c r="CM65" s="192"/>
      <c r="CN65" s="192"/>
      <c r="CO65" s="192"/>
      <c r="CP65" s="192"/>
      <c r="CQ65" s="192"/>
      <c r="CR65" s="192"/>
      <c r="CS65" s="192"/>
      <c r="CT65" s="192"/>
      <c r="CU65" s="192"/>
      <c r="CV65" s="192"/>
      <c r="CW65" s="192"/>
      <c r="CX65" s="192"/>
      <c r="CY65" s="192"/>
      <c r="CZ65" s="192"/>
      <c r="DA65" s="192"/>
      <c r="DB65" s="192"/>
      <c r="DC65" s="192"/>
      <c r="DD65" s="192"/>
      <c r="DE65" s="192"/>
      <c r="DF65" s="192"/>
      <c r="DG65" s="192"/>
      <c r="DH65" s="192"/>
      <c r="DI65" s="192"/>
      <c r="DJ65" s="192"/>
      <c r="DK65" s="192"/>
      <c r="DL65" s="192"/>
      <c r="DM65" s="192"/>
      <c r="DN65" s="192"/>
      <c r="DO65" s="192"/>
      <c r="DP65" s="192"/>
      <c r="DQ65" s="192"/>
      <c r="DR65" s="192"/>
      <c r="DS65" s="192"/>
      <c r="DT65" s="192"/>
      <c r="DU65" s="192"/>
      <c r="DV65" s="192"/>
      <c r="DW65" s="192"/>
      <c r="DX65" s="192"/>
      <c r="DY65" s="192"/>
      <c r="DZ65" s="192"/>
      <c r="EA65" s="192"/>
      <c r="EB65" s="192"/>
      <c r="EC65" s="192"/>
      <c r="ED65" s="192"/>
      <c r="EE65" s="192"/>
      <c r="EF65" s="192"/>
      <c r="EG65" s="192"/>
      <c r="EH65" s="192"/>
      <c r="EI65" s="192"/>
      <c r="EJ65" s="192"/>
      <c r="EK65" s="192"/>
      <c r="EL65" s="192"/>
      <c r="EM65" s="192"/>
      <c r="EN65" s="192"/>
      <c r="EO65" s="192"/>
      <c r="EP65" s="192"/>
      <c r="EQ65" s="192"/>
      <c r="ER65" s="192"/>
      <c r="ES65" s="192"/>
      <c r="ET65" s="192"/>
    </row>
    <row r="66" spans="1:150" s="192" customFormat="1" ht="15.75" customHeight="1">
      <c r="B66" s="1034" t="s">
        <v>568</v>
      </c>
      <c r="C66" s="1019"/>
      <c r="D66" s="1019"/>
      <c r="E66" s="1019"/>
      <c r="F66" s="1019"/>
      <c r="G66" s="1019"/>
      <c r="H66" s="1019"/>
      <c r="I66" s="1019"/>
      <c r="J66" s="1019"/>
      <c r="K66" s="1019"/>
      <c r="L66" s="1019"/>
      <c r="M66" s="1019"/>
      <c r="O66" s="1019"/>
      <c r="Q66" s="1034" t="s">
        <v>569</v>
      </c>
      <c r="R66" s="1019"/>
      <c r="S66" s="1019"/>
      <c r="T66" s="1019"/>
      <c r="U66" s="1019"/>
      <c r="V66" s="1019"/>
      <c r="W66" s="1019"/>
      <c r="X66" s="1019"/>
      <c r="Y66" s="1019"/>
      <c r="Z66" s="1019"/>
      <c r="AA66" s="1019"/>
      <c r="AB66" s="1019"/>
      <c r="AC66" s="1019"/>
      <c r="AD66" s="1019"/>
      <c r="AE66" s="1019"/>
      <c r="AF66" s="1019"/>
      <c r="AG66" s="1019"/>
      <c r="AH66" s="1019"/>
      <c r="AI66" s="1019"/>
      <c r="AJ66" s="1019"/>
      <c r="AK66" s="1019"/>
      <c r="AL66" s="1019"/>
      <c r="AM66" s="1019"/>
      <c r="AN66" s="1019"/>
      <c r="AO66" s="1019"/>
      <c r="AP66" s="1019"/>
      <c r="AQ66" s="1019"/>
      <c r="AR66" s="1019"/>
      <c r="AS66" s="1019"/>
      <c r="AT66" s="1019"/>
      <c r="AU66" s="1019"/>
      <c r="AV66" s="1019"/>
      <c r="AW66" s="1019"/>
      <c r="AX66" s="1019"/>
      <c r="AY66" s="1019"/>
      <c r="AZ66" s="1019"/>
      <c r="BA66" s="1019"/>
      <c r="BB66" s="1019"/>
      <c r="BC66" s="1019"/>
      <c r="BD66" s="1019"/>
      <c r="BE66" s="1019"/>
      <c r="BF66" s="1019"/>
      <c r="BG66" s="1019"/>
      <c r="BH66" s="1019"/>
      <c r="BI66" s="1019"/>
      <c r="BJ66" s="1019"/>
      <c r="BK66" s="1019"/>
      <c r="BL66" s="1019"/>
      <c r="BM66" s="1019"/>
      <c r="BN66" s="1019"/>
      <c r="BO66" s="1019"/>
      <c r="BP66" s="1019"/>
      <c r="BQ66" s="1019"/>
      <c r="BR66" s="1019"/>
      <c r="BS66" s="1019"/>
      <c r="BT66" s="1019"/>
      <c r="BU66" s="1019"/>
      <c r="BV66" s="1019"/>
      <c r="BW66" s="1019"/>
      <c r="BX66" s="1019"/>
      <c r="BY66" s="1019"/>
      <c r="BZ66" s="1019"/>
      <c r="CA66" s="1019"/>
      <c r="CB66" s="1019"/>
      <c r="CC66" s="1019"/>
      <c r="CD66" s="1019"/>
      <c r="CE66" s="1019"/>
      <c r="CF66" s="1019"/>
      <c r="CG66" s="1019"/>
      <c r="CH66" s="1019"/>
      <c r="CI66" s="1019"/>
      <c r="CJ66" s="1019"/>
      <c r="CK66" s="1019"/>
      <c r="CL66" s="1019"/>
      <c r="CM66" s="1019"/>
      <c r="CN66" s="1019"/>
      <c r="CO66" s="1019"/>
      <c r="CP66" s="1019"/>
      <c r="CQ66" s="1019"/>
      <c r="CR66" s="1019"/>
      <c r="CS66" s="1019"/>
      <c r="CT66" s="1019"/>
      <c r="CU66" s="1019"/>
      <c r="CV66" s="1019"/>
      <c r="CW66" s="1019"/>
      <c r="CX66" s="1019"/>
      <c r="CY66" s="1019"/>
      <c r="CZ66" s="1019"/>
      <c r="DA66" s="1019"/>
      <c r="DB66" s="1019"/>
      <c r="DC66" s="1019"/>
      <c r="DD66" s="1019"/>
      <c r="DE66" s="1019"/>
      <c r="DF66" s="1019"/>
      <c r="DG66" s="1019"/>
      <c r="DH66" s="1019"/>
      <c r="DI66" s="1019"/>
      <c r="DJ66" s="1019"/>
      <c r="DK66" s="1019"/>
      <c r="DL66" s="1019"/>
      <c r="DM66" s="1019"/>
      <c r="DN66" s="1019"/>
      <c r="DO66" s="1019"/>
      <c r="DP66" s="1019"/>
      <c r="DQ66" s="1019"/>
      <c r="DR66" s="1019"/>
      <c r="DS66" s="1019"/>
      <c r="DT66" s="1019"/>
      <c r="DU66" s="1019"/>
      <c r="DV66" s="1019"/>
      <c r="DW66" s="1019"/>
      <c r="DX66" s="1019"/>
      <c r="DY66" s="1019"/>
      <c r="DZ66" s="1019"/>
      <c r="EA66" s="1019"/>
      <c r="EB66" s="1019"/>
      <c r="EC66" s="1019"/>
      <c r="ED66" s="1019"/>
      <c r="EE66" s="1019"/>
      <c r="EF66" s="1019"/>
      <c r="EG66" s="1019"/>
      <c r="EH66" s="1019"/>
      <c r="EI66" s="1019"/>
      <c r="EJ66" s="1019"/>
      <c r="EK66" s="1019"/>
      <c r="EL66" s="1019"/>
      <c r="EM66" s="1019"/>
      <c r="EN66" s="1019"/>
      <c r="EO66" s="1019"/>
      <c r="EP66" s="1019"/>
      <c r="EQ66" s="1019"/>
      <c r="ER66" s="1019"/>
      <c r="ES66" s="1019"/>
    </row>
    <row r="67" spans="1:150">
      <c r="A67" s="192"/>
      <c r="B67" s="614"/>
      <c r="C67" s="192"/>
      <c r="D67" s="192"/>
      <c r="E67" s="192"/>
      <c r="F67" s="192"/>
      <c r="G67" s="192"/>
      <c r="H67" s="192"/>
      <c r="I67" s="192"/>
      <c r="J67" s="192"/>
      <c r="K67" s="192"/>
      <c r="L67" s="192"/>
      <c r="M67" s="192"/>
      <c r="N67" s="192"/>
      <c r="O67" s="192"/>
      <c r="P67" s="192"/>
      <c r="Q67" s="192"/>
      <c r="R67" s="192"/>
      <c r="S67" s="192"/>
      <c r="T67" s="192"/>
      <c r="U67" s="192"/>
      <c r="V67" s="192"/>
      <c r="W67" s="192"/>
      <c r="X67" s="192"/>
      <c r="Y67" s="192"/>
      <c r="Z67" s="192"/>
      <c r="AA67" s="192"/>
      <c r="AB67" s="192"/>
      <c r="AC67" s="192"/>
      <c r="AD67" s="192"/>
      <c r="AE67" s="192"/>
      <c r="AF67" s="192"/>
      <c r="AG67" s="192"/>
      <c r="AH67" s="192"/>
      <c r="AI67" s="192"/>
      <c r="AJ67" s="192"/>
      <c r="AK67" s="192"/>
      <c r="AL67" s="192"/>
      <c r="AM67" s="192"/>
      <c r="AN67" s="192"/>
      <c r="AO67" s="192"/>
      <c r="AP67" s="192"/>
      <c r="AQ67" s="192"/>
      <c r="AR67" s="192"/>
      <c r="AS67" s="192"/>
      <c r="AT67" s="192"/>
      <c r="AU67" s="192"/>
      <c r="AV67" s="192"/>
      <c r="AW67" s="192"/>
      <c r="AX67" s="192"/>
      <c r="AY67" s="192"/>
      <c r="AZ67" s="192"/>
      <c r="BA67" s="192"/>
      <c r="BB67" s="192"/>
      <c r="BC67" s="192"/>
      <c r="BD67" s="192"/>
      <c r="BE67" s="192"/>
      <c r="BF67" s="192"/>
      <c r="BG67" s="192"/>
      <c r="BH67" s="192"/>
      <c r="BI67" s="192"/>
      <c r="BJ67" s="192"/>
      <c r="BK67" s="192"/>
      <c r="BL67" s="192"/>
      <c r="BM67" s="192"/>
      <c r="BN67" s="192"/>
      <c r="BO67" s="192"/>
      <c r="BP67" s="192"/>
      <c r="BQ67" s="192"/>
      <c r="BR67" s="192"/>
      <c r="BS67" s="192"/>
      <c r="BT67" s="192"/>
      <c r="BU67" s="192"/>
      <c r="BV67" s="192"/>
      <c r="BW67" s="192"/>
      <c r="BX67" s="192"/>
      <c r="BY67" s="192"/>
      <c r="BZ67" s="192"/>
      <c r="CA67" s="192"/>
      <c r="CB67" s="192"/>
      <c r="CC67" s="192"/>
      <c r="CD67" s="192"/>
      <c r="CE67" s="192"/>
      <c r="CF67" s="192"/>
      <c r="CG67" s="192"/>
      <c r="CH67" s="192"/>
      <c r="CI67" s="192"/>
      <c r="CJ67" s="192"/>
      <c r="CK67" s="192"/>
      <c r="CL67" s="192"/>
      <c r="CM67" s="192"/>
      <c r="CN67" s="192"/>
      <c r="CO67" s="192"/>
      <c r="CP67" s="192"/>
      <c r="CQ67" s="192"/>
      <c r="CR67" s="192"/>
      <c r="CS67" s="192"/>
      <c r="CT67" s="192"/>
      <c r="CU67" s="192"/>
      <c r="CV67" s="192"/>
      <c r="CW67" s="192"/>
      <c r="CX67" s="192"/>
      <c r="CY67" s="192"/>
      <c r="CZ67" s="192"/>
      <c r="DA67" s="192"/>
      <c r="DB67" s="192"/>
      <c r="DC67" s="192"/>
      <c r="DD67" s="192"/>
      <c r="DE67" s="192"/>
      <c r="DF67" s="192"/>
      <c r="DG67" s="192"/>
      <c r="DH67" s="192"/>
      <c r="DI67" s="192"/>
      <c r="DJ67" s="192"/>
      <c r="DK67" s="192"/>
      <c r="DL67" s="192"/>
      <c r="DM67" s="192"/>
      <c r="DN67" s="192"/>
      <c r="DO67" s="192"/>
      <c r="DP67" s="192"/>
      <c r="DQ67" s="192"/>
      <c r="DR67" s="192"/>
      <c r="DS67" s="192"/>
      <c r="DT67" s="192"/>
      <c r="DU67" s="192"/>
      <c r="DV67" s="192"/>
      <c r="DW67" s="192"/>
      <c r="DX67" s="192"/>
      <c r="DY67" s="192"/>
      <c r="DZ67" s="192"/>
      <c r="EA67" s="192"/>
      <c r="EB67" s="192"/>
      <c r="EC67" s="192"/>
      <c r="ED67" s="192"/>
      <c r="EE67" s="192"/>
      <c r="EF67" s="192"/>
      <c r="EG67" s="192"/>
      <c r="EH67" s="192"/>
      <c r="EI67" s="192"/>
      <c r="EJ67" s="192"/>
      <c r="EK67" s="192"/>
      <c r="EL67" s="192"/>
      <c r="EM67" s="192"/>
      <c r="EN67" s="192"/>
      <c r="EO67" s="192"/>
      <c r="EP67" s="192"/>
      <c r="EQ67" s="192"/>
      <c r="ER67" s="192"/>
      <c r="ES67" s="192"/>
      <c r="ET67" s="192"/>
    </row>
    <row r="68" spans="1:150" s="192" customFormat="1" ht="14.25" customHeight="1" collapsed="1">
      <c r="B68" s="1043" t="s">
        <v>115</v>
      </c>
      <c r="C68" s="196"/>
      <c r="D68" s="197"/>
      <c r="E68" s="197"/>
      <c r="F68" s="197"/>
      <c r="G68" s="197"/>
      <c r="H68" s="197"/>
      <c r="I68" s="197"/>
      <c r="J68" s="197"/>
      <c r="K68" s="197"/>
      <c r="L68" s="197"/>
      <c r="M68" s="197"/>
      <c r="O68" s="197"/>
      <c r="Q68" s="197"/>
      <c r="R68" s="197"/>
      <c r="S68" s="197"/>
      <c r="T68" s="197"/>
      <c r="U68" s="197"/>
      <c r="V68" s="197"/>
      <c r="W68" s="197"/>
      <c r="X68" s="197"/>
      <c r="Y68" s="197"/>
      <c r="Z68" s="197"/>
      <c r="AA68" s="197"/>
      <c r="AB68" s="197"/>
      <c r="AC68" s="197"/>
      <c r="AD68" s="197"/>
      <c r="AE68" s="197"/>
      <c r="AF68" s="197"/>
      <c r="AG68" s="197"/>
      <c r="AH68" s="197"/>
      <c r="AI68" s="197"/>
      <c r="AJ68" s="197"/>
      <c r="AK68" s="197"/>
      <c r="AL68" s="197"/>
      <c r="AM68" s="197"/>
      <c r="AN68" s="197"/>
      <c r="AO68" s="197"/>
      <c r="AP68" s="197"/>
      <c r="AQ68" s="197"/>
      <c r="AR68" s="197"/>
      <c r="AS68" s="197"/>
      <c r="AT68" s="197"/>
      <c r="AU68" s="197"/>
      <c r="AV68" s="197"/>
      <c r="AW68" s="197"/>
      <c r="AX68" s="197"/>
      <c r="AY68" s="197"/>
      <c r="AZ68" s="197"/>
      <c r="BA68" s="197"/>
      <c r="BB68" s="197"/>
      <c r="BC68" s="197"/>
      <c r="BD68" s="197"/>
      <c r="BE68" s="197"/>
      <c r="BF68" s="197"/>
      <c r="BG68" s="197"/>
      <c r="BH68" s="197"/>
      <c r="BI68" s="197"/>
      <c r="BJ68" s="197"/>
      <c r="BK68" s="197"/>
      <c r="BL68" s="197"/>
      <c r="BM68" s="197"/>
      <c r="BN68" s="197"/>
      <c r="BO68" s="197"/>
      <c r="BP68" s="197"/>
      <c r="BQ68" s="197"/>
      <c r="BR68" s="197"/>
      <c r="BS68" s="197"/>
      <c r="BT68" s="197"/>
      <c r="BU68" s="197"/>
      <c r="BV68" s="197"/>
      <c r="BW68" s="197"/>
      <c r="BX68" s="197"/>
      <c r="BY68" s="197"/>
      <c r="BZ68" s="197"/>
      <c r="CA68" s="197"/>
      <c r="CB68" s="197"/>
      <c r="CC68" s="197"/>
      <c r="CD68" s="197"/>
      <c r="CE68" s="197"/>
      <c r="CF68" s="197"/>
      <c r="CG68" s="197"/>
      <c r="CH68" s="197"/>
      <c r="CI68" s="197"/>
      <c r="CJ68" s="197"/>
      <c r="CK68" s="197"/>
      <c r="CL68" s="197"/>
      <c r="CM68" s="197"/>
      <c r="CN68" s="197"/>
      <c r="CO68" s="197"/>
      <c r="CP68" s="197"/>
      <c r="CQ68" s="197"/>
      <c r="CR68" s="197"/>
      <c r="CS68" s="197"/>
      <c r="CT68" s="197"/>
      <c r="CU68" s="197"/>
      <c r="CV68" s="197"/>
      <c r="CW68" s="197"/>
      <c r="CX68" s="197"/>
      <c r="CY68" s="197"/>
      <c r="CZ68" s="197"/>
      <c r="DA68" s="197"/>
      <c r="DB68" s="197"/>
      <c r="DC68" s="197"/>
      <c r="DD68" s="197"/>
      <c r="DE68" s="197"/>
      <c r="DF68" s="197"/>
      <c r="DG68" s="197"/>
      <c r="DH68" s="197"/>
      <c r="DI68" s="197"/>
      <c r="DJ68" s="197"/>
      <c r="DK68" s="197"/>
      <c r="DL68" s="197"/>
      <c r="DM68" s="197"/>
      <c r="DN68" s="197"/>
      <c r="DO68" s="197"/>
      <c r="DP68" s="197"/>
      <c r="DQ68" s="197"/>
      <c r="DR68" s="197"/>
      <c r="DS68" s="197"/>
      <c r="DT68" s="197"/>
      <c r="DU68" s="197"/>
      <c r="DV68" s="197"/>
      <c r="DW68" s="197"/>
      <c r="DX68" s="197"/>
      <c r="DY68" s="197"/>
      <c r="DZ68" s="197"/>
      <c r="EA68" s="197"/>
      <c r="EB68" s="197"/>
      <c r="EC68" s="197"/>
      <c r="ED68" s="197"/>
      <c r="EE68" s="197"/>
      <c r="EF68" s="197"/>
      <c r="EG68" s="197"/>
      <c r="EH68" s="197"/>
      <c r="EI68" s="197"/>
      <c r="EJ68" s="197"/>
      <c r="EK68" s="197"/>
      <c r="EL68" s="197"/>
      <c r="EM68" s="197"/>
      <c r="EN68" s="197"/>
      <c r="EO68" s="197"/>
      <c r="EP68" s="197"/>
      <c r="EQ68" s="197"/>
      <c r="ER68" s="197"/>
      <c r="ES68" s="197"/>
    </row>
    <row r="69" spans="1:150" hidden="1">
      <c r="A69" s="192"/>
      <c r="B69" s="826" t="s">
        <v>570</v>
      </c>
      <c r="C69" s="635">
        <f t="shared" ref="C69:M79" si="93">SUMIF($R$6:$ES$6,C$5,$R69:$ES69)</f>
        <v>1603464.0000000002</v>
      </c>
      <c r="D69" s="635">
        <f t="shared" si="93"/>
        <v>1620782.3065218285</v>
      </c>
      <c r="E69" s="635">
        <f t="shared" si="93"/>
        <v>1661990.6758604911</v>
      </c>
      <c r="F69" s="635">
        <f t="shared" si="93"/>
        <v>1711850.3961363076</v>
      </c>
      <c r="G69" s="635">
        <f t="shared" si="93"/>
        <v>1763205.9080203988</v>
      </c>
      <c r="H69" s="635">
        <f t="shared" si="93"/>
        <v>1816102.0852610124</v>
      </c>
      <c r="I69" s="635">
        <f t="shared" si="93"/>
        <v>1870585.1478188443</v>
      </c>
      <c r="J69" s="635">
        <f t="shared" si="93"/>
        <v>1926702.7022534118</v>
      </c>
      <c r="K69" s="635">
        <f t="shared" si="93"/>
        <v>1984503.7833210158</v>
      </c>
      <c r="L69" s="635">
        <f t="shared" si="93"/>
        <v>2044038.896820649</v>
      </c>
      <c r="M69" s="635">
        <f t="shared" si="93"/>
        <v>2105360.0637252708</v>
      </c>
      <c r="N69" s="827"/>
      <c r="O69" s="635">
        <f t="shared" ref="O69:O79" si="94">SUMIF($C$5:$M$5,$O$6,$C69:$M69)</f>
        <v>1926702.7022534118</v>
      </c>
      <c r="P69" s="827"/>
      <c r="Q69" s="635">
        <f t="shared" ref="Q69:AV69" si="95">SUMPRODUCT(Q10:Q11,Q45:Q46)</f>
        <v>133622.00000000006</v>
      </c>
      <c r="R69" s="635">
        <f t="shared" si="95"/>
        <v>133622.00000000006</v>
      </c>
      <c r="S69" s="635">
        <f t="shared" si="95"/>
        <v>133622.00000000006</v>
      </c>
      <c r="T69" s="635">
        <f t="shared" si="95"/>
        <v>133622.00000000006</v>
      </c>
      <c r="U69" s="635">
        <f t="shared" si="95"/>
        <v>133622.00000000006</v>
      </c>
      <c r="V69" s="635">
        <f t="shared" si="95"/>
        <v>133622.00000000006</v>
      </c>
      <c r="W69" s="635">
        <f t="shared" si="95"/>
        <v>133622.00000000006</v>
      </c>
      <c r="X69" s="635">
        <f t="shared" si="95"/>
        <v>133622.00000000006</v>
      </c>
      <c r="Y69" s="635">
        <f t="shared" si="95"/>
        <v>133622.00000000006</v>
      </c>
      <c r="Z69" s="635">
        <f t="shared" si="95"/>
        <v>133622.00000000006</v>
      </c>
      <c r="AA69" s="635">
        <f t="shared" si="95"/>
        <v>133622.00000000006</v>
      </c>
      <c r="AB69" s="635">
        <f t="shared" si="95"/>
        <v>133622.00000000006</v>
      </c>
      <c r="AC69" s="635">
        <f t="shared" si="95"/>
        <v>133622.00000000006</v>
      </c>
      <c r="AD69" s="635">
        <f t="shared" si="95"/>
        <v>133842.68759672524</v>
      </c>
      <c r="AE69" s="635">
        <f t="shared" si="95"/>
        <v>134063.73967695874</v>
      </c>
      <c r="AF69" s="635">
        <f t="shared" si="95"/>
        <v>134285.15684267471</v>
      </c>
      <c r="AG69" s="635">
        <f t="shared" si="95"/>
        <v>134506.93969684149</v>
      </c>
      <c r="AH69" s="635">
        <f t="shared" si="95"/>
        <v>134729.08884342332</v>
      </c>
      <c r="AI69" s="635">
        <f t="shared" si="95"/>
        <v>134951.60488738184</v>
      </c>
      <c r="AJ69" s="635">
        <f t="shared" si="95"/>
        <v>135174.488434678</v>
      </c>
      <c r="AK69" s="635">
        <f t="shared" si="95"/>
        <v>135397.74009227334</v>
      </c>
      <c r="AL69" s="635">
        <f t="shared" si="95"/>
        <v>135621.36046813201</v>
      </c>
      <c r="AM69" s="635">
        <f t="shared" si="95"/>
        <v>135845.35017122215</v>
      </c>
      <c r="AN69" s="635">
        <f t="shared" si="95"/>
        <v>136069.70981151774</v>
      </c>
      <c r="AO69" s="635">
        <f t="shared" si="95"/>
        <v>136294.44000000018</v>
      </c>
      <c r="AP69" s="635">
        <f t="shared" si="95"/>
        <v>136630.57885750523</v>
      </c>
      <c r="AQ69" s="635">
        <f t="shared" si="95"/>
        <v>136967.54672411387</v>
      </c>
      <c r="AR69" s="635">
        <f t="shared" si="95"/>
        <v>137305.34564438614</v>
      </c>
      <c r="AS69" s="635">
        <f t="shared" si="95"/>
        <v>137643.9776679246</v>
      </c>
      <c r="AT69" s="635">
        <f t="shared" si="95"/>
        <v>137983.44484938664</v>
      </c>
      <c r="AU69" s="635">
        <f t="shared" si="95"/>
        <v>138323.74924849701</v>
      </c>
      <c r="AV69" s="635">
        <f t="shared" si="95"/>
        <v>138664.8929300603</v>
      </c>
      <c r="AW69" s="635">
        <f t="shared" ref="AW69:CB69" si="96">SUMPRODUCT(AW10:AW11,AW45:AW46)</f>
        <v>139006.87796397344</v>
      </c>
      <c r="AX69" s="635">
        <f t="shared" si="96"/>
        <v>139349.70642523831</v>
      </c>
      <c r="AY69" s="635">
        <f t="shared" si="96"/>
        <v>139693.38039397425</v>
      </c>
      <c r="AZ69" s="635">
        <f t="shared" si="96"/>
        <v>140037.90195543083</v>
      </c>
      <c r="BA69" s="635">
        <f t="shared" si="96"/>
        <v>140383.27320000035</v>
      </c>
      <c r="BB69" s="635">
        <f t="shared" si="96"/>
        <v>140729.49622323056</v>
      </c>
      <c r="BC69" s="635">
        <f t="shared" si="96"/>
        <v>141076.57312583746</v>
      </c>
      <c r="BD69" s="635">
        <f t="shared" si="96"/>
        <v>141424.50601371788</v>
      </c>
      <c r="BE69" s="635">
        <f t="shared" si="96"/>
        <v>141773.29699796249</v>
      </c>
      <c r="BF69" s="635">
        <f t="shared" si="96"/>
        <v>142122.94819486843</v>
      </c>
      <c r="BG69" s="635">
        <f t="shared" si="96"/>
        <v>142473.4617259521</v>
      </c>
      <c r="BH69" s="635">
        <f t="shared" si="96"/>
        <v>142824.83971796226</v>
      </c>
      <c r="BI69" s="635">
        <f t="shared" si="96"/>
        <v>143177.08430289279</v>
      </c>
      <c r="BJ69" s="635">
        <f t="shared" si="96"/>
        <v>143530.19761799561</v>
      </c>
      <c r="BK69" s="635">
        <f t="shared" si="96"/>
        <v>143884.18180579366</v>
      </c>
      <c r="BL69" s="635">
        <f t="shared" si="96"/>
        <v>144239.03901409393</v>
      </c>
      <c r="BM69" s="635">
        <f t="shared" si="96"/>
        <v>144594.77139600052</v>
      </c>
      <c r="BN69" s="635">
        <f t="shared" si="96"/>
        <v>144951.38110992764</v>
      </c>
      <c r="BO69" s="635">
        <f t="shared" si="96"/>
        <v>145308.87031961273</v>
      </c>
      <c r="BP69" s="635">
        <f t="shared" si="96"/>
        <v>145667.24119412957</v>
      </c>
      <c r="BQ69" s="635">
        <f t="shared" si="96"/>
        <v>146026.49590790152</v>
      </c>
      <c r="BR69" s="635">
        <f t="shared" si="96"/>
        <v>146386.6366407146</v>
      </c>
      <c r="BS69" s="635">
        <f t="shared" si="96"/>
        <v>146747.6655777308</v>
      </c>
      <c r="BT69" s="635">
        <f t="shared" si="96"/>
        <v>147109.58490950131</v>
      </c>
      <c r="BU69" s="635">
        <f t="shared" si="96"/>
        <v>147472.39683197974</v>
      </c>
      <c r="BV69" s="635">
        <f t="shared" si="96"/>
        <v>147836.10354653563</v>
      </c>
      <c r="BW69" s="635">
        <f t="shared" si="96"/>
        <v>148200.7072599676</v>
      </c>
      <c r="BX69" s="635">
        <f t="shared" si="96"/>
        <v>148566.21018451691</v>
      </c>
      <c r="BY69" s="635">
        <f t="shared" si="96"/>
        <v>148932.61453788067</v>
      </c>
      <c r="BZ69" s="635">
        <f t="shared" si="96"/>
        <v>149299.92254322561</v>
      </c>
      <c r="CA69" s="635">
        <f t="shared" si="96"/>
        <v>149668.13642920123</v>
      </c>
      <c r="CB69" s="635">
        <f t="shared" si="96"/>
        <v>150037.2584299536</v>
      </c>
      <c r="CC69" s="635">
        <f t="shared" ref="CC69:DH69" si="97">SUMPRODUCT(CC10:CC11,CC45:CC46)</f>
        <v>150407.2907851387</v>
      </c>
      <c r="CD69" s="635">
        <f t="shared" si="97"/>
        <v>150778.23573993618</v>
      </c>
      <c r="CE69" s="635">
        <f t="shared" si="97"/>
        <v>151150.09554506285</v>
      </c>
      <c r="CF69" s="635">
        <f t="shared" si="97"/>
        <v>151522.87245678646</v>
      </c>
      <c r="CG69" s="635">
        <f t="shared" si="97"/>
        <v>151896.56873693925</v>
      </c>
      <c r="CH69" s="635">
        <f t="shared" si="97"/>
        <v>152271.18665293182</v>
      </c>
      <c r="CI69" s="635">
        <f t="shared" si="97"/>
        <v>152646.72847776677</v>
      </c>
      <c r="CJ69" s="635">
        <f t="shared" si="97"/>
        <v>153023.19649005253</v>
      </c>
      <c r="CK69" s="635">
        <f t="shared" si="97"/>
        <v>153400.59297401726</v>
      </c>
      <c r="CL69" s="635">
        <f t="shared" si="97"/>
        <v>153778.92021952252</v>
      </c>
      <c r="CM69" s="635">
        <f t="shared" si="97"/>
        <v>154158.18052207743</v>
      </c>
      <c r="CN69" s="635">
        <f t="shared" si="97"/>
        <v>154538.37618285237</v>
      </c>
      <c r="CO69" s="635">
        <f t="shared" si="97"/>
        <v>154919.50950869304</v>
      </c>
      <c r="CP69" s="635">
        <f t="shared" si="97"/>
        <v>155301.58281213444</v>
      </c>
      <c r="CQ69" s="635">
        <f t="shared" si="97"/>
        <v>155684.59841141492</v>
      </c>
      <c r="CR69" s="635">
        <f t="shared" si="97"/>
        <v>156068.55863049021</v>
      </c>
      <c r="CS69" s="635">
        <f t="shared" si="97"/>
        <v>156453.46579904761</v>
      </c>
      <c r="CT69" s="635">
        <f t="shared" si="97"/>
        <v>156839.32225251995</v>
      </c>
      <c r="CU69" s="635">
        <f t="shared" si="97"/>
        <v>157226.13033209991</v>
      </c>
      <c r="CV69" s="635">
        <f t="shared" si="97"/>
        <v>157613.89238475426</v>
      </c>
      <c r="CW69" s="635">
        <f t="shared" si="97"/>
        <v>158002.6107632379</v>
      </c>
      <c r="CX69" s="635">
        <f t="shared" si="97"/>
        <v>158392.28782610834</v>
      </c>
      <c r="CY69" s="635">
        <f t="shared" si="97"/>
        <v>158782.9259377399</v>
      </c>
      <c r="CZ69" s="635">
        <f t="shared" si="97"/>
        <v>159174.52746833808</v>
      </c>
      <c r="DA69" s="635">
        <f t="shared" si="97"/>
        <v>159567.09479395396</v>
      </c>
      <c r="DB69" s="635">
        <f t="shared" si="97"/>
        <v>159960.6302964986</v>
      </c>
      <c r="DC69" s="635">
        <f t="shared" si="97"/>
        <v>160355.13636375751</v>
      </c>
      <c r="DD69" s="635">
        <f t="shared" si="97"/>
        <v>160750.61538940511</v>
      </c>
      <c r="DE69" s="635">
        <f t="shared" si="97"/>
        <v>161147.0697730192</v>
      </c>
      <c r="DF69" s="635">
        <f t="shared" si="97"/>
        <v>161544.5019200957</v>
      </c>
      <c r="DG69" s="635">
        <f t="shared" si="97"/>
        <v>161942.9142420631</v>
      </c>
      <c r="DH69" s="635">
        <f t="shared" si="97"/>
        <v>162342.30915629707</v>
      </c>
      <c r="DI69" s="635">
        <f t="shared" ref="DI69:ES69" si="98">SUMPRODUCT(DI10:DI11,DI45:DI46)</f>
        <v>162742.68908613521</v>
      </c>
      <c r="DJ69" s="635">
        <f t="shared" si="98"/>
        <v>163144.05646089176</v>
      </c>
      <c r="DK69" s="635">
        <f t="shared" si="98"/>
        <v>163546.41371587224</v>
      </c>
      <c r="DL69" s="635">
        <f t="shared" si="98"/>
        <v>163949.76329238838</v>
      </c>
      <c r="DM69" s="635">
        <f t="shared" si="98"/>
        <v>164354.10763777274</v>
      </c>
      <c r="DN69" s="635">
        <f t="shared" si="98"/>
        <v>164759.44920539373</v>
      </c>
      <c r="DO69" s="635">
        <f t="shared" si="98"/>
        <v>165165.79045467041</v>
      </c>
      <c r="DP69" s="635">
        <f t="shared" si="98"/>
        <v>165573.13385108739</v>
      </c>
      <c r="DQ69" s="635">
        <f t="shared" si="98"/>
        <v>165981.48186620994</v>
      </c>
      <c r="DR69" s="635">
        <f t="shared" si="98"/>
        <v>166390.83697769872</v>
      </c>
      <c r="DS69" s="635">
        <f t="shared" si="98"/>
        <v>166801.20166932515</v>
      </c>
      <c r="DT69" s="635">
        <f t="shared" si="98"/>
        <v>167212.57843098612</v>
      </c>
      <c r="DU69" s="635">
        <f t="shared" si="98"/>
        <v>167624.96975871944</v>
      </c>
      <c r="DV69" s="635">
        <f t="shared" si="98"/>
        <v>168038.37815471867</v>
      </c>
      <c r="DW69" s="635">
        <f t="shared" si="98"/>
        <v>168452.80612734859</v>
      </c>
      <c r="DX69" s="635">
        <f t="shared" si="98"/>
        <v>168868.25619116021</v>
      </c>
      <c r="DY69" s="635">
        <f t="shared" si="98"/>
        <v>169284.73086690612</v>
      </c>
      <c r="DZ69" s="635">
        <f t="shared" si="98"/>
        <v>169702.23268155576</v>
      </c>
      <c r="EA69" s="635">
        <f t="shared" si="98"/>
        <v>170120.76416831071</v>
      </c>
      <c r="EB69" s="635">
        <f t="shared" si="98"/>
        <v>170540.32786662021</v>
      </c>
      <c r="EC69" s="635">
        <f t="shared" si="98"/>
        <v>170960.92632219641</v>
      </c>
      <c r="ED69" s="635">
        <f t="shared" si="98"/>
        <v>171382.56208702986</v>
      </c>
      <c r="EE69" s="635">
        <f t="shared" si="98"/>
        <v>171805.23771940509</v>
      </c>
      <c r="EF69" s="635">
        <f t="shared" si="98"/>
        <v>172228.95578391591</v>
      </c>
      <c r="EG69" s="635">
        <f t="shared" si="98"/>
        <v>172653.71885148122</v>
      </c>
      <c r="EH69" s="635">
        <f t="shared" si="98"/>
        <v>173079.52949936045</v>
      </c>
      <c r="EI69" s="635">
        <f t="shared" si="98"/>
        <v>173506.39031116926</v>
      </c>
      <c r="EJ69" s="635">
        <f t="shared" si="98"/>
        <v>173934.30387689522</v>
      </c>
      <c r="EK69" s="635">
        <f t="shared" si="98"/>
        <v>174363.27279291349</v>
      </c>
      <c r="EL69" s="635">
        <f t="shared" si="98"/>
        <v>174793.29966200262</v>
      </c>
      <c r="EM69" s="635">
        <f t="shared" si="98"/>
        <v>175224.38709336022</v>
      </c>
      <c r="EN69" s="635">
        <f t="shared" si="98"/>
        <v>175656.53770261901</v>
      </c>
      <c r="EO69" s="635">
        <f t="shared" si="98"/>
        <v>176089.75411186251</v>
      </c>
      <c r="EP69" s="635">
        <f t="shared" si="98"/>
        <v>176524.03894964099</v>
      </c>
      <c r="EQ69" s="635">
        <f t="shared" si="98"/>
        <v>176959.39485098745</v>
      </c>
      <c r="ER69" s="635">
        <f t="shared" si="98"/>
        <v>177395.8244574336</v>
      </c>
      <c r="ES69" s="635">
        <f t="shared" si="98"/>
        <v>177833.33041702586</v>
      </c>
      <c r="ET69" s="192"/>
    </row>
    <row r="70" spans="1:150" hidden="1">
      <c r="A70" s="192"/>
      <c r="B70" s="826" t="s">
        <v>88</v>
      </c>
      <c r="C70" s="828">
        <f t="shared" si="93"/>
        <v>0</v>
      </c>
      <c r="D70" s="828">
        <f t="shared" si="93"/>
        <v>0</v>
      </c>
      <c r="E70" s="828">
        <f t="shared" si="93"/>
        <v>0</v>
      </c>
      <c r="F70" s="828">
        <f t="shared" si="93"/>
        <v>0</v>
      </c>
      <c r="G70" s="828">
        <f t="shared" si="93"/>
        <v>0</v>
      </c>
      <c r="H70" s="828">
        <f t="shared" si="93"/>
        <v>0</v>
      </c>
      <c r="I70" s="828">
        <f t="shared" si="93"/>
        <v>0</v>
      </c>
      <c r="J70" s="828">
        <f t="shared" si="93"/>
        <v>0</v>
      </c>
      <c r="K70" s="828">
        <f t="shared" si="93"/>
        <v>0</v>
      </c>
      <c r="L70" s="828">
        <f t="shared" si="93"/>
        <v>0</v>
      </c>
      <c r="M70" s="828">
        <f t="shared" si="93"/>
        <v>0</v>
      </c>
      <c r="N70" s="827"/>
      <c r="O70" s="828">
        <f t="shared" si="94"/>
        <v>0</v>
      </c>
      <c r="P70" s="827"/>
      <c r="Q70" s="828">
        <f t="shared" ref="Q70:AV70" si="99">Q71-Q69</f>
        <v>0</v>
      </c>
      <c r="R70" s="828">
        <f t="shared" si="99"/>
        <v>0</v>
      </c>
      <c r="S70" s="828">
        <f t="shared" si="99"/>
        <v>0</v>
      </c>
      <c r="T70" s="828">
        <f t="shared" si="99"/>
        <v>0</v>
      </c>
      <c r="U70" s="828">
        <f t="shared" si="99"/>
        <v>0</v>
      </c>
      <c r="V70" s="828">
        <f t="shared" si="99"/>
        <v>0</v>
      </c>
      <c r="W70" s="828">
        <f t="shared" si="99"/>
        <v>0</v>
      </c>
      <c r="X70" s="828">
        <f t="shared" si="99"/>
        <v>0</v>
      </c>
      <c r="Y70" s="828">
        <f t="shared" si="99"/>
        <v>0</v>
      </c>
      <c r="Z70" s="828">
        <f t="shared" si="99"/>
        <v>0</v>
      </c>
      <c r="AA70" s="828">
        <f t="shared" si="99"/>
        <v>0</v>
      </c>
      <c r="AB70" s="828">
        <f t="shared" si="99"/>
        <v>0</v>
      </c>
      <c r="AC70" s="828">
        <f t="shared" si="99"/>
        <v>0</v>
      </c>
      <c r="AD70" s="828">
        <f t="shared" si="99"/>
        <v>0</v>
      </c>
      <c r="AE70" s="828">
        <f t="shared" si="99"/>
        <v>0</v>
      </c>
      <c r="AF70" s="828">
        <f t="shared" si="99"/>
        <v>0</v>
      </c>
      <c r="AG70" s="828">
        <f t="shared" si="99"/>
        <v>0</v>
      </c>
      <c r="AH70" s="828">
        <f t="shared" si="99"/>
        <v>0</v>
      </c>
      <c r="AI70" s="828">
        <f t="shared" si="99"/>
        <v>0</v>
      </c>
      <c r="AJ70" s="828">
        <f t="shared" si="99"/>
        <v>0</v>
      </c>
      <c r="AK70" s="828">
        <f t="shared" si="99"/>
        <v>0</v>
      </c>
      <c r="AL70" s="828">
        <f t="shared" si="99"/>
        <v>0</v>
      </c>
      <c r="AM70" s="828">
        <f t="shared" si="99"/>
        <v>0</v>
      </c>
      <c r="AN70" s="828">
        <f t="shared" si="99"/>
        <v>0</v>
      </c>
      <c r="AO70" s="828">
        <f t="shared" si="99"/>
        <v>0</v>
      </c>
      <c r="AP70" s="828">
        <f t="shared" si="99"/>
        <v>0</v>
      </c>
      <c r="AQ70" s="828">
        <f t="shared" si="99"/>
        <v>0</v>
      </c>
      <c r="AR70" s="828">
        <f t="shared" si="99"/>
        <v>0</v>
      </c>
      <c r="AS70" s="828">
        <f t="shared" si="99"/>
        <v>0</v>
      </c>
      <c r="AT70" s="828">
        <f t="shared" si="99"/>
        <v>0</v>
      </c>
      <c r="AU70" s="828">
        <f t="shared" si="99"/>
        <v>0</v>
      </c>
      <c r="AV70" s="828">
        <f t="shared" si="99"/>
        <v>0</v>
      </c>
      <c r="AW70" s="828">
        <f t="shared" ref="AW70:CB70" si="100">AW71-AW69</f>
        <v>0</v>
      </c>
      <c r="AX70" s="828">
        <f t="shared" si="100"/>
        <v>0</v>
      </c>
      <c r="AY70" s="828">
        <f t="shared" si="100"/>
        <v>0</v>
      </c>
      <c r="AZ70" s="828">
        <f t="shared" si="100"/>
        <v>0</v>
      </c>
      <c r="BA70" s="828">
        <f t="shared" si="100"/>
        <v>0</v>
      </c>
      <c r="BB70" s="828">
        <f t="shared" si="100"/>
        <v>0</v>
      </c>
      <c r="BC70" s="828">
        <f t="shared" si="100"/>
        <v>0</v>
      </c>
      <c r="BD70" s="828">
        <f t="shared" si="100"/>
        <v>0</v>
      </c>
      <c r="BE70" s="828">
        <f t="shared" si="100"/>
        <v>0</v>
      </c>
      <c r="BF70" s="828">
        <f t="shared" si="100"/>
        <v>0</v>
      </c>
      <c r="BG70" s="828">
        <f t="shared" si="100"/>
        <v>0</v>
      </c>
      <c r="BH70" s="828">
        <f t="shared" si="100"/>
        <v>0</v>
      </c>
      <c r="BI70" s="828">
        <f t="shared" si="100"/>
        <v>0</v>
      </c>
      <c r="BJ70" s="828">
        <f t="shared" si="100"/>
        <v>0</v>
      </c>
      <c r="BK70" s="828">
        <f t="shared" si="100"/>
        <v>0</v>
      </c>
      <c r="BL70" s="828">
        <f t="shared" si="100"/>
        <v>0</v>
      </c>
      <c r="BM70" s="828">
        <f t="shared" si="100"/>
        <v>0</v>
      </c>
      <c r="BN70" s="828">
        <f t="shared" si="100"/>
        <v>0</v>
      </c>
      <c r="BO70" s="828">
        <f t="shared" si="100"/>
        <v>0</v>
      </c>
      <c r="BP70" s="828">
        <f t="shared" si="100"/>
        <v>0</v>
      </c>
      <c r="BQ70" s="828">
        <f t="shared" si="100"/>
        <v>0</v>
      </c>
      <c r="BR70" s="828">
        <f t="shared" si="100"/>
        <v>0</v>
      </c>
      <c r="BS70" s="828">
        <f t="shared" si="100"/>
        <v>0</v>
      </c>
      <c r="BT70" s="828">
        <f t="shared" si="100"/>
        <v>0</v>
      </c>
      <c r="BU70" s="828">
        <f t="shared" si="100"/>
        <v>0</v>
      </c>
      <c r="BV70" s="828">
        <f t="shared" si="100"/>
        <v>0</v>
      </c>
      <c r="BW70" s="828">
        <f t="shared" si="100"/>
        <v>0</v>
      </c>
      <c r="BX70" s="828">
        <f t="shared" si="100"/>
        <v>0</v>
      </c>
      <c r="BY70" s="828">
        <f t="shared" si="100"/>
        <v>0</v>
      </c>
      <c r="BZ70" s="828">
        <f t="shared" si="100"/>
        <v>0</v>
      </c>
      <c r="CA70" s="828">
        <f t="shared" si="100"/>
        <v>0</v>
      </c>
      <c r="CB70" s="828">
        <f t="shared" si="100"/>
        <v>0</v>
      </c>
      <c r="CC70" s="828">
        <f t="shared" ref="CC70:DH70" si="101">CC71-CC69</f>
        <v>0</v>
      </c>
      <c r="CD70" s="828">
        <f t="shared" si="101"/>
        <v>0</v>
      </c>
      <c r="CE70" s="828">
        <f t="shared" si="101"/>
        <v>0</v>
      </c>
      <c r="CF70" s="828">
        <f t="shared" si="101"/>
        <v>0</v>
      </c>
      <c r="CG70" s="828">
        <f t="shared" si="101"/>
        <v>0</v>
      </c>
      <c r="CH70" s="828">
        <f t="shared" si="101"/>
        <v>0</v>
      </c>
      <c r="CI70" s="828">
        <f t="shared" si="101"/>
        <v>0</v>
      </c>
      <c r="CJ70" s="828">
        <f t="shared" si="101"/>
        <v>0</v>
      </c>
      <c r="CK70" s="828">
        <f t="shared" si="101"/>
        <v>0</v>
      </c>
      <c r="CL70" s="828">
        <f t="shared" si="101"/>
        <v>0</v>
      </c>
      <c r="CM70" s="828">
        <f t="shared" si="101"/>
        <v>0</v>
      </c>
      <c r="CN70" s="828">
        <f t="shared" si="101"/>
        <v>0</v>
      </c>
      <c r="CO70" s="828">
        <f t="shared" si="101"/>
        <v>0</v>
      </c>
      <c r="CP70" s="828">
        <f t="shared" si="101"/>
        <v>0</v>
      </c>
      <c r="CQ70" s="828">
        <f t="shared" si="101"/>
        <v>0</v>
      </c>
      <c r="CR70" s="828">
        <f t="shared" si="101"/>
        <v>0</v>
      </c>
      <c r="CS70" s="828">
        <f t="shared" si="101"/>
        <v>0</v>
      </c>
      <c r="CT70" s="828">
        <f t="shared" si="101"/>
        <v>0</v>
      </c>
      <c r="CU70" s="828">
        <f t="shared" si="101"/>
        <v>0</v>
      </c>
      <c r="CV70" s="828">
        <f t="shared" si="101"/>
        <v>0</v>
      </c>
      <c r="CW70" s="828">
        <f t="shared" si="101"/>
        <v>0</v>
      </c>
      <c r="CX70" s="828">
        <f t="shared" si="101"/>
        <v>0</v>
      </c>
      <c r="CY70" s="828">
        <f t="shared" si="101"/>
        <v>0</v>
      </c>
      <c r="CZ70" s="828">
        <f t="shared" si="101"/>
        <v>0</v>
      </c>
      <c r="DA70" s="828">
        <f t="shared" si="101"/>
        <v>0</v>
      </c>
      <c r="DB70" s="828">
        <f t="shared" si="101"/>
        <v>0</v>
      </c>
      <c r="DC70" s="828">
        <f t="shared" si="101"/>
        <v>0</v>
      </c>
      <c r="DD70" s="828">
        <f t="shared" si="101"/>
        <v>0</v>
      </c>
      <c r="DE70" s="828">
        <f t="shared" si="101"/>
        <v>0</v>
      </c>
      <c r="DF70" s="828">
        <f t="shared" si="101"/>
        <v>0</v>
      </c>
      <c r="DG70" s="828">
        <f t="shared" si="101"/>
        <v>0</v>
      </c>
      <c r="DH70" s="828">
        <f t="shared" si="101"/>
        <v>0</v>
      </c>
      <c r="DI70" s="828">
        <f t="shared" ref="DI70:EN70" si="102">DI71-DI69</f>
        <v>0</v>
      </c>
      <c r="DJ70" s="828">
        <f t="shared" si="102"/>
        <v>0</v>
      </c>
      <c r="DK70" s="828">
        <f t="shared" si="102"/>
        <v>0</v>
      </c>
      <c r="DL70" s="828">
        <f t="shared" si="102"/>
        <v>0</v>
      </c>
      <c r="DM70" s="828">
        <f t="shared" si="102"/>
        <v>0</v>
      </c>
      <c r="DN70" s="828">
        <f t="shared" si="102"/>
        <v>0</v>
      </c>
      <c r="DO70" s="828">
        <f t="shared" si="102"/>
        <v>0</v>
      </c>
      <c r="DP70" s="828">
        <f t="shared" si="102"/>
        <v>0</v>
      </c>
      <c r="DQ70" s="828">
        <f t="shared" si="102"/>
        <v>0</v>
      </c>
      <c r="DR70" s="828">
        <f t="shared" si="102"/>
        <v>0</v>
      </c>
      <c r="DS70" s="828">
        <f t="shared" si="102"/>
        <v>0</v>
      </c>
      <c r="DT70" s="828">
        <f t="shared" si="102"/>
        <v>0</v>
      </c>
      <c r="DU70" s="828">
        <f t="shared" si="102"/>
        <v>0</v>
      </c>
      <c r="DV70" s="828">
        <f t="shared" si="102"/>
        <v>0</v>
      </c>
      <c r="DW70" s="828">
        <f t="shared" si="102"/>
        <v>0</v>
      </c>
      <c r="DX70" s="828">
        <f t="shared" si="102"/>
        <v>0</v>
      </c>
      <c r="DY70" s="828">
        <f t="shared" si="102"/>
        <v>0</v>
      </c>
      <c r="DZ70" s="828">
        <f t="shared" si="102"/>
        <v>0</v>
      </c>
      <c r="EA70" s="828">
        <f t="shared" si="102"/>
        <v>0</v>
      </c>
      <c r="EB70" s="828">
        <f t="shared" si="102"/>
        <v>0</v>
      </c>
      <c r="EC70" s="828">
        <f t="shared" si="102"/>
        <v>0</v>
      </c>
      <c r="ED70" s="828">
        <f t="shared" si="102"/>
        <v>0</v>
      </c>
      <c r="EE70" s="828">
        <f t="shared" si="102"/>
        <v>0</v>
      </c>
      <c r="EF70" s="828">
        <f t="shared" si="102"/>
        <v>0</v>
      </c>
      <c r="EG70" s="828">
        <f t="shared" si="102"/>
        <v>0</v>
      </c>
      <c r="EH70" s="828">
        <f t="shared" si="102"/>
        <v>0</v>
      </c>
      <c r="EI70" s="828">
        <f t="shared" si="102"/>
        <v>0</v>
      </c>
      <c r="EJ70" s="828">
        <f t="shared" si="102"/>
        <v>0</v>
      </c>
      <c r="EK70" s="828">
        <f t="shared" si="102"/>
        <v>0</v>
      </c>
      <c r="EL70" s="828">
        <f t="shared" si="102"/>
        <v>0</v>
      </c>
      <c r="EM70" s="828">
        <f t="shared" si="102"/>
        <v>0</v>
      </c>
      <c r="EN70" s="828">
        <f t="shared" si="102"/>
        <v>0</v>
      </c>
      <c r="EO70" s="828">
        <f t="shared" ref="EO70:FT70" si="103">EO71-EO69</f>
        <v>0</v>
      </c>
      <c r="EP70" s="828">
        <f t="shared" si="103"/>
        <v>0</v>
      </c>
      <c r="EQ70" s="828">
        <f t="shared" si="103"/>
        <v>0</v>
      </c>
      <c r="ER70" s="828">
        <f t="shared" si="103"/>
        <v>0</v>
      </c>
      <c r="ES70" s="828">
        <f t="shared" si="103"/>
        <v>0</v>
      </c>
      <c r="ET70" s="192"/>
    </row>
    <row r="71" spans="1:150">
      <c r="A71" s="192"/>
      <c r="B71" s="36" t="s">
        <v>117</v>
      </c>
      <c r="C71" s="635">
        <f t="shared" si="93"/>
        <v>1603464.0000000002</v>
      </c>
      <c r="D71" s="635">
        <f t="shared" si="93"/>
        <v>1620782.3065218285</v>
      </c>
      <c r="E71" s="635">
        <f t="shared" si="93"/>
        <v>1661990.6758604911</v>
      </c>
      <c r="F71" s="635">
        <f t="shared" si="93"/>
        <v>1711850.3961363076</v>
      </c>
      <c r="G71" s="635">
        <f t="shared" si="93"/>
        <v>1763205.9080203988</v>
      </c>
      <c r="H71" s="635">
        <f t="shared" si="93"/>
        <v>1816102.0852610124</v>
      </c>
      <c r="I71" s="635">
        <f t="shared" si="93"/>
        <v>1870585.1478188443</v>
      </c>
      <c r="J71" s="635">
        <f t="shared" si="93"/>
        <v>1926702.7022534118</v>
      </c>
      <c r="K71" s="635">
        <f t="shared" si="93"/>
        <v>1984503.7833210158</v>
      </c>
      <c r="L71" s="635">
        <f t="shared" si="93"/>
        <v>2044038.896820649</v>
      </c>
      <c r="M71" s="635">
        <f t="shared" si="93"/>
        <v>2105360.0637252708</v>
      </c>
      <c r="N71" s="827"/>
      <c r="O71" s="635">
        <f t="shared" si="94"/>
        <v>1926702.7022534118</v>
      </c>
      <c r="P71" s="827"/>
      <c r="Q71" s="635">
        <f t="shared" ref="Q71:AV71" si="104">Q62*Q13</f>
        <v>133622.00000000006</v>
      </c>
      <c r="R71" s="635">
        <f t="shared" si="104"/>
        <v>133622.00000000006</v>
      </c>
      <c r="S71" s="635">
        <f t="shared" si="104"/>
        <v>133622.00000000006</v>
      </c>
      <c r="T71" s="635">
        <f t="shared" si="104"/>
        <v>133622.00000000006</v>
      </c>
      <c r="U71" s="635">
        <f t="shared" si="104"/>
        <v>133622.00000000006</v>
      </c>
      <c r="V71" s="635">
        <f t="shared" si="104"/>
        <v>133622.00000000006</v>
      </c>
      <c r="W71" s="635">
        <f t="shared" si="104"/>
        <v>133622.00000000006</v>
      </c>
      <c r="X71" s="635">
        <f t="shared" si="104"/>
        <v>133622.00000000006</v>
      </c>
      <c r="Y71" s="635">
        <f t="shared" si="104"/>
        <v>133622.00000000006</v>
      </c>
      <c r="Z71" s="635">
        <f t="shared" si="104"/>
        <v>133622.00000000006</v>
      </c>
      <c r="AA71" s="635">
        <f t="shared" si="104"/>
        <v>133622.00000000006</v>
      </c>
      <c r="AB71" s="635">
        <f t="shared" si="104"/>
        <v>133622.00000000006</v>
      </c>
      <c r="AC71" s="635">
        <f t="shared" si="104"/>
        <v>133622.00000000006</v>
      </c>
      <c r="AD71" s="635">
        <f t="shared" si="104"/>
        <v>133842.68759672524</v>
      </c>
      <c r="AE71" s="635">
        <f t="shared" si="104"/>
        <v>134063.73967695874</v>
      </c>
      <c r="AF71" s="635">
        <f t="shared" si="104"/>
        <v>134285.15684267471</v>
      </c>
      <c r="AG71" s="635">
        <f t="shared" si="104"/>
        <v>134506.93969684149</v>
      </c>
      <c r="AH71" s="635">
        <f t="shared" si="104"/>
        <v>134729.08884342332</v>
      </c>
      <c r="AI71" s="635">
        <f t="shared" si="104"/>
        <v>134951.60488738184</v>
      </c>
      <c r="AJ71" s="635">
        <f t="shared" si="104"/>
        <v>135174.488434678</v>
      </c>
      <c r="AK71" s="635">
        <f t="shared" si="104"/>
        <v>135397.74009227334</v>
      </c>
      <c r="AL71" s="635">
        <f t="shared" si="104"/>
        <v>135621.36046813201</v>
      </c>
      <c r="AM71" s="635">
        <f t="shared" si="104"/>
        <v>135845.35017122215</v>
      </c>
      <c r="AN71" s="635">
        <f t="shared" si="104"/>
        <v>136069.70981151774</v>
      </c>
      <c r="AO71" s="635">
        <f t="shared" si="104"/>
        <v>136294.44000000018</v>
      </c>
      <c r="AP71" s="635">
        <f t="shared" si="104"/>
        <v>136630.57885750523</v>
      </c>
      <c r="AQ71" s="635">
        <f t="shared" si="104"/>
        <v>136967.54672411387</v>
      </c>
      <c r="AR71" s="635">
        <f t="shared" si="104"/>
        <v>137305.34564438614</v>
      </c>
      <c r="AS71" s="635">
        <f t="shared" si="104"/>
        <v>137643.9776679246</v>
      </c>
      <c r="AT71" s="635">
        <f t="shared" si="104"/>
        <v>137983.44484938664</v>
      </c>
      <c r="AU71" s="635">
        <f t="shared" si="104"/>
        <v>138323.74924849701</v>
      </c>
      <c r="AV71" s="635">
        <f t="shared" si="104"/>
        <v>138664.8929300603</v>
      </c>
      <c r="AW71" s="635">
        <f t="shared" ref="AW71:CB71" si="105">AW62*AW13</f>
        <v>139006.87796397344</v>
      </c>
      <c r="AX71" s="635">
        <f t="shared" si="105"/>
        <v>139349.70642523831</v>
      </c>
      <c r="AY71" s="635">
        <f t="shared" si="105"/>
        <v>139693.38039397425</v>
      </c>
      <c r="AZ71" s="635">
        <f t="shared" si="105"/>
        <v>140037.90195543083</v>
      </c>
      <c r="BA71" s="635">
        <f t="shared" si="105"/>
        <v>140383.27320000035</v>
      </c>
      <c r="BB71" s="635">
        <f t="shared" si="105"/>
        <v>140729.49622323056</v>
      </c>
      <c r="BC71" s="635">
        <f t="shared" si="105"/>
        <v>141076.57312583746</v>
      </c>
      <c r="BD71" s="635">
        <f t="shared" si="105"/>
        <v>141424.50601371788</v>
      </c>
      <c r="BE71" s="635">
        <f t="shared" si="105"/>
        <v>141773.29699796249</v>
      </c>
      <c r="BF71" s="635">
        <f t="shared" si="105"/>
        <v>142122.94819486843</v>
      </c>
      <c r="BG71" s="635">
        <f t="shared" si="105"/>
        <v>142473.4617259521</v>
      </c>
      <c r="BH71" s="635">
        <f t="shared" si="105"/>
        <v>142824.83971796226</v>
      </c>
      <c r="BI71" s="635">
        <f t="shared" si="105"/>
        <v>143177.08430289279</v>
      </c>
      <c r="BJ71" s="635">
        <f t="shared" si="105"/>
        <v>143530.19761799561</v>
      </c>
      <c r="BK71" s="635">
        <f t="shared" si="105"/>
        <v>143884.18180579366</v>
      </c>
      <c r="BL71" s="635">
        <f t="shared" si="105"/>
        <v>144239.03901409393</v>
      </c>
      <c r="BM71" s="635">
        <f t="shared" si="105"/>
        <v>144594.77139600052</v>
      </c>
      <c r="BN71" s="635">
        <f t="shared" si="105"/>
        <v>144951.38110992764</v>
      </c>
      <c r="BO71" s="635">
        <f t="shared" si="105"/>
        <v>145308.87031961273</v>
      </c>
      <c r="BP71" s="635">
        <f t="shared" si="105"/>
        <v>145667.24119412957</v>
      </c>
      <c r="BQ71" s="635">
        <f t="shared" si="105"/>
        <v>146026.49590790152</v>
      </c>
      <c r="BR71" s="635">
        <f t="shared" si="105"/>
        <v>146386.6366407146</v>
      </c>
      <c r="BS71" s="635">
        <f t="shared" si="105"/>
        <v>146747.6655777308</v>
      </c>
      <c r="BT71" s="635">
        <f t="shared" si="105"/>
        <v>147109.58490950131</v>
      </c>
      <c r="BU71" s="635">
        <f t="shared" si="105"/>
        <v>147472.39683197974</v>
      </c>
      <c r="BV71" s="635">
        <f t="shared" si="105"/>
        <v>147836.10354653563</v>
      </c>
      <c r="BW71" s="635">
        <f t="shared" si="105"/>
        <v>148200.7072599676</v>
      </c>
      <c r="BX71" s="635">
        <f t="shared" si="105"/>
        <v>148566.21018451691</v>
      </c>
      <c r="BY71" s="635">
        <f t="shared" si="105"/>
        <v>148932.61453788067</v>
      </c>
      <c r="BZ71" s="635">
        <f t="shared" si="105"/>
        <v>149299.92254322561</v>
      </c>
      <c r="CA71" s="635">
        <f t="shared" si="105"/>
        <v>149668.13642920123</v>
      </c>
      <c r="CB71" s="635">
        <f t="shared" si="105"/>
        <v>150037.2584299536</v>
      </c>
      <c r="CC71" s="635">
        <f t="shared" ref="CC71:DH71" si="106">CC62*CC13</f>
        <v>150407.2907851387</v>
      </c>
      <c r="CD71" s="635">
        <f t="shared" si="106"/>
        <v>150778.23573993618</v>
      </c>
      <c r="CE71" s="635">
        <f t="shared" si="106"/>
        <v>151150.09554506285</v>
      </c>
      <c r="CF71" s="635">
        <f t="shared" si="106"/>
        <v>151522.87245678646</v>
      </c>
      <c r="CG71" s="635">
        <f t="shared" si="106"/>
        <v>151896.56873693925</v>
      </c>
      <c r="CH71" s="635">
        <f t="shared" si="106"/>
        <v>152271.18665293182</v>
      </c>
      <c r="CI71" s="635">
        <f t="shared" si="106"/>
        <v>152646.72847776677</v>
      </c>
      <c r="CJ71" s="635">
        <f t="shared" si="106"/>
        <v>153023.19649005253</v>
      </c>
      <c r="CK71" s="635">
        <f t="shared" si="106"/>
        <v>153400.59297401726</v>
      </c>
      <c r="CL71" s="635">
        <f t="shared" si="106"/>
        <v>153778.92021952252</v>
      </c>
      <c r="CM71" s="635">
        <f t="shared" si="106"/>
        <v>154158.18052207743</v>
      </c>
      <c r="CN71" s="635">
        <f t="shared" si="106"/>
        <v>154538.37618285237</v>
      </c>
      <c r="CO71" s="635">
        <f t="shared" si="106"/>
        <v>154919.50950869304</v>
      </c>
      <c r="CP71" s="635">
        <f t="shared" si="106"/>
        <v>155301.58281213444</v>
      </c>
      <c r="CQ71" s="635">
        <f t="shared" si="106"/>
        <v>155684.59841141492</v>
      </c>
      <c r="CR71" s="635">
        <f t="shared" si="106"/>
        <v>156068.55863049021</v>
      </c>
      <c r="CS71" s="635">
        <f t="shared" si="106"/>
        <v>156453.46579904761</v>
      </c>
      <c r="CT71" s="635">
        <f t="shared" si="106"/>
        <v>156839.32225251995</v>
      </c>
      <c r="CU71" s="635">
        <f t="shared" si="106"/>
        <v>157226.13033209991</v>
      </c>
      <c r="CV71" s="635">
        <f t="shared" si="106"/>
        <v>157613.89238475426</v>
      </c>
      <c r="CW71" s="635">
        <f t="shared" si="106"/>
        <v>158002.6107632379</v>
      </c>
      <c r="CX71" s="635">
        <f t="shared" si="106"/>
        <v>158392.28782610834</v>
      </c>
      <c r="CY71" s="635">
        <f t="shared" si="106"/>
        <v>158782.9259377399</v>
      </c>
      <c r="CZ71" s="635">
        <f t="shared" si="106"/>
        <v>159174.52746833808</v>
      </c>
      <c r="DA71" s="635">
        <f t="shared" si="106"/>
        <v>159567.09479395396</v>
      </c>
      <c r="DB71" s="635">
        <f t="shared" si="106"/>
        <v>159960.6302964986</v>
      </c>
      <c r="DC71" s="635">
        <f t="shared" si="106"/>
        <v>160355.13636375751</v>
      </c>
      <c r="DD71" s="635">
        <f t="shared" si="106"/>
        <v>160750.61538940511</v>
      </c>
      <c r="DE71" s="635">
        <f t="shared" si="106"/>
        <v>161147.0697730192</v>
      </c>
      <c r="DF71" s="635">
        <f t="shared" si="106"/>
        <v>161544.5019200957</v>
      </c>
      <c r="DG71" s="635">
        <f t="shared" si="106"/>
        <v>161942.9142420631</v>
      </c>
      <c r="DH71" s="635">
        <f t="shared" si="106"/>
        <v>162342.30915629707</v>
      </c>
      <c r="DI71" s="635">
        <f t="shared" ref="DI71:ES71" si="107">DI62*DI13</f>
        <v>162742.68908613521</v>
      </c>
      <c r="DJ71" s="635">
        <f t="shared" si="107"/>
        <v>163144.05646089176</v>
      </c>
      <c r="DK71" s="635">
        <f t="shared" si="107"/>
        <v>163546.41371587224</v>
      </c>
      <c r="DL71" s="635">
        <f t="shared" si="107"/>
        <v>163949.76329238838</v>
      </c>
      <c r="DM71" s="635">
        <f t="shared" si="107"/>
        <v>164354.10763777274</v>
      </c>
      <c r="DN71" s="635">
        <f t="shared" si="107"/>
        <v>164759.44920539373</v>
      </c>
      <c r="DO71" s="635">
        <f t="shared" si="107"/>
        <v>165165.79045467044</v>
      </c>
      <c r="DP71" s="635">
        <f t="shared" si="107"/>
        <v>165573.13385108742</v>
      </c>
      <c r="DQ71" s="635">
        <f t="shared" si="107"/>
        <v>165981.48186620994</v>
      </c>
      <c r="DR71" s="635">
        <f t="shared" si="107"/>
        <v>166390.83697769872</v>
      </c>
      <c r="DS71" s="635">
        <f t="shared" si="107"/>
        <v>166801.20166932518</v>
      </c>
      <c r="DT71" s="635">
        <f t="shared" si="107"/>
        <v>167212.57843098609</v>
      </c>
      <c r="DU71" s="635">
        <f t="shared" si="107"/>
        <v>167624.96975871944</v>
      </c>
      <c r="DV71" s="635">
        <f t="shared" si="107"/>
        <v>168038.37815471867</v>
      </c>
      <c r="DW71" s="635">
        <f t="shared" si="107"/>
        <v>168452.80612734859</v>
      </c>
      <c r="DX71" s="635">
        <f t="shared" si="107"/>
        <v>168868.25619116021</v>
      </c>
      <c r="DY71" s="635">
        <f t="shared" si="107"/>
        <v>169284.73086690612</v>
      </c>
      <c r="DZ71" s="635">
        <f t="shared" si="107"/>
        <v>169702.23268155576</v>
      </c>
      <c r="EA71" s="635">
        <f t="shared" si="107"/>
        <v>170120.76416831071</v>
      </c>
      <c r="EB71" s="635">
        <f t="shared" si="107"/>
        <v>170540.32786662021</v>
      </c>
      <c r="EC71" s="635">
        <f t="shared" si="107"/>
        <v>170960.92632219638</v>
      </c>
      <c r="ED71" s="635">
        <f t="shared" si="107"/>
        <v>171382.56208702986</v>
      </c>
      <c r="EE71" s="635">
        <f t="shared" si="107"/>
        <v>171805.23771940509</v>
      </c>
      <c r="EF71" s="635">
        <f t="shared" si="107"/>
        <v>172228.95578391591</v>
      </c>
      <c r="EG71" s="635">
        <f t="shared" si="107"/>
        <v>172653.71885148122</v>
      </c>
      <c r="EH71" s="635">
        <f t="shared" si="107"/>
        <v>173079.52949936042</v>
      </c>
      <c r="EI71" s="635">
        <f t="shared" si="107"/>
        <v>173506.39031116926</v>
      </c>
      <c r="EJ71" s="635">
        <f t="shared" si="107"/>
        <v>173934.30387689522</v>
      </c>
      <c r="EK71" s="635">
        <f t="shared" si="107"/>
        <v>174363.27279291349</v>
      </c>
      <c r="EL71" s="635">
        <f t="shared" si="107"/>
        <v>174793.2996620026</v>
      </c>
      <c r="EM71" s="635">
        <f t="shared" si="107"/>
        <v>175224.38709336019</v>
      </c>
      <c r="EN71" s="635">
        <f t="shared" si="107"/>
        <v>175656.53770261904</v>
      </c>
      <c r="EO71" s="635">
        <f t="shared" si="107"/>
        <v>176089.75411186251</v>
      </c>
      <c r="EP71" s="635">
        <f t="shared" si="107"/>
        <v>176524.03894964099</v>
      </c>
      <c r="EQ71" s="635">
        <f t="shared" si="107"/>
        <v>176959.39485098745</v>
      </c>
      <c r="ER71" s="635">
        <f t="shared" si="107"/>
        <v>177395.8244574336</v>
      </c>
      <c r="ES71" s="635">
        <f t="shared" si="107"/>
        <v>177833.33041702586</v>
      </c>
      <c r="ET71" s="192"/>
    </row>
    <row r="72" spans="1:150" hidden="1">
      <c r="A72" s="192"/>
      <c r="B72" s="36" t="s">
        <v>84</v>
      </c>
      <c r="C72" s="635">
        <f t="shared" si="93"/>
        <v>0</v>
      </c>
      <c r="D72" s="635">
        <f t="shared" si="93"/>
        <v>0</v>
      </c>
      <c r="E72" s="635">
        <f t="shared" si="93"/>
        <v>0</v>
      </c>
      <c r="F72" s="635">
        <f t="shared" si="93"/>
        <v>0</v>
      </c>
      <c r="G72" s="635">
        <f t="shared" si="93"/>
        <v>0</v>
      </c>
      <c r="H72" s="635">
        <f t="shared" si="93"/>
        <v>0</v>
      </c>
      <c r="I72" s="635">
        <f t="shared" si="93"/>
        <v>0</v>
      </c>
      <c r="J72" s="635">
        <f t="shared" si="93"/>
        <v>0</v>
      </c>
      <c r="K72" s="635">
        <f t="shared" si="93"/>
        <v>0</v>
      </c>
      <c r="L72" s="635">
        <f t="shared" si="93"/>
        <v>0</v>
      </c>
      <c r="M72" s="635">
        <f t="shared" si="93"/>
        <v>0</v>
      </c>
      <c r="N72" s="192"/>
      <c r="O72" s="635">
        <f t="shared" si="94"/>
        <v>0</v>
      </c>
      <c r="P72" s="192"/>
      <c r="Q72" s="635"/>
      <c r="R72" s="635">
        <f t="shared" ref="R72:AW72" si="108">-R31*R71</f>
        <v>0</v>
      </c>
      <c r="S72" s="635">
        <f t="shared" si="108"/>
        <v>0</v>
      </c>
      <c r="T72" s="635">
        <f t="shared" si="108"/>
        <v>0</v>
      </c>
      <c r="U72" s="635">
        <f t="shared" si="108"/>
        <v>0</v>
      </c>
      <c r="V72" s="635">
        <f t="shared" si="108"/>
        <v>0</v>
      </c>
      <c r="W72" s="635">
        <f t="shared" si="108"/>
        <v>0</v>
      </c>
      <c r="X72" s="635">
        <f t="shared" si="108"/>
        <v>0</v>
      </c>
      <c r="Y72" s="635">
        <f t="shared" si="108"/>
        <v>0</v>
      </c>
      <c r="Z72" s="635">
        <f t="shared" si="108"/>
        <v>0</v>
      </c>
      <c r="AA72" s="635">
        <f t="shared" si="108"/>
        <v>0</v>
      </c>
      <c r="AB72" s="635">
        <f t="shared" si="108"/>
        <v>0</v>
      </c>
      <c r="AC72" s="635">
        <f t="shared" si="108"/>
        <v>0</v>
      </c>
      <c r="AD72" s="635">
        <f t="shared" si="108"/>
        <v>0</v>
      </c>
      <c r="AE72" s="635">
        <f t="shared" si="108"/>
        <v>0</v>
      </c>
      <c r="AF72" s="635">
        <f t="shared" si="108"/>
        <v>0</v>
      </c>
      <c r="AG72" s="635">
        <f t="shared" si="108"/>
        <v>0</v>
      </c>
      <c r="AH72" s="635">
        <f t="shared" si="108"/>
        <v>0</v>
      </c>
      <c r="AI72" s="635">
        <f t="shared" si="108"/>
        <v>0</v>
      </c>
      <c r="AJ72" s="635">
        <f t="shared" si="108"/>
        <v>0</v>
      </c>
      <c r="AK72" s="635">
        <f t="shared" si="108"/>
        <v>0</v>
      </c>
      <c r="AL72" s="635">
        <f t="shared" si="108"/>
        <v>0</v>
      </c>
      <c r="AM72" s="635">
        <f t="shared" si="108"/>
        <v>0</v>
      </c>
      <c r="AN72" s="635">
        <f t="shared" si="108"/>
        <v>0</v>
      </c>
      <c r="AO72" s="635">
        <f t="shared" si="108"/>
        <v>0</v>
      </c>
      <c r="AP72" s="635">
        <f t="shared" si="108"/>
        <v>0</v>
      </c>
      <c r="AQ72" s="635">
        <f t="shared" si="108"/>
        <v>0</v>
      </c>
      <c r="AR72" s="635">
        <f t="shared" si="108"/>
        <v>0</v>
      </c>
      <c r="AS72" s="635">
        <f t="shared" si="108"/>
        <v>0</v>
      </c>
      <c r="AT72" s="635">
        <f t="shared" si="108"/>
        <v>0</v>
      </c>
      <c r="AU72" s="635">
        <f t="shared" si="108"/>
        <v>0</v>
      </c>
      <c r="AV72" s="635">
        <f t="shared" si="108"/>
        <v>0</v>
      </c>
      <c r="AW72" s="635">
        <f t="shared" si="108"/>
        <v>0</v>
      </c>
      <c r="AX72" s="635">
        <f t="shared" ref="AX72:CC72" si="109">-AX31*AX71</f>
        <v>0</v>
      </c>
      <c r="AY72" s="635">
        <f t="shared" si="109"/>
        <v>0</v>
      </c>
      <c r="AZ72" s="635">
        <f t="shared" si="109"/>
        <v>0</v>
      </c>
      <c r="BA72" s="635">
        <f t="shared" si="109"/>
        <v>0</v>
      </c>
      <c r="BB72" s="635">
        <f t="shared" si="109"/>
        <v>0</v>
      </c>
      <c r="BC72" s="635">
        <f t="shared" si="109"/>
        <v>0</v>
      </c>
      <c r="BD72" s="635">
        <f t="shared" si="109"/>
        <v>0</v>
      </c>
      <c r="BE72" s="635">
        <f t="shared" si="109"/>
        <v>0</v>
      </c>
      <c r="BF72" s="635">
        <f t="shared" si="109"/>
        <v>0</v>
      </c>
      <c r="BG72" s="635">
        <f t="shared" si="109"/>
        <v>0</v>
      </c>
      <c r="BH72" s="635">
        <f t="shared" si="109"/>
        <v>0</v>
      </c>
      <c r="BI72" s="635">
        <f t="shared" si="109"/>
        <v>0</v>
      </c>
      <c r="BJ72" s="635">
        <f t="shared" si="109"/>
        <v>0</v>
      </c>
      <c r="BK72" s="635">
        <f t="shared" si="109"/>
        <v>0</v>
      </c>
      <c r="BL72" s="635">
        <f t="shared" si="109"/>
        <v>0</v>
      </c>
      <c r="BM72" s="635">
        <f t="shared" si="109"/>
        <v>0</v>
      </c>
      <c r="BN72" s="635">
        <f t="shared" si="109"/>
        <v>0</v>
      </c>
      <c r="BO72" s="635">
        <f t="shared" si="109"/>
        <v>0</v>
      </c>
      <c r="BP72" s="635">
        <f t="shared" si="109"/>
        <v>0</v>
      </c>
      <c r="BQ72" s="635">
        <f t="shared" si="109"/>
        <v>0</v>
      </c>
      <c r="BR72" s="635">
        <f t="shared" si="109"/>
        <v>0</v>
      </c>
      <c r="BS72" s="635">
        <f t="shared" si="109"/>
        <v>0</v>
      </c>
      <c r="BT72" s="635">
        <f t="shared" si="109"/>
        <v>0</v>
      </c>
      <c r="BU72" s="635">
        <f t="shared" si="109"/>
        <v>0</v>
      </c>
      <c r="BV72" s="635">
        <f t="shared" si="109"/>
        <v>0</v>
      </c>
      <c r="BW72" s="635">
        <f t="shared" si="109"/>
        <v>0</v>
      </c>
      <c r="BX72" s="635">
        <f t="shared" si="109"/>
        <v>0</v>
      </c>
      <c r="BY72" s="635">
        <f t="shared" si="109"/>
        <v>0</v>
      </c>
      <c r="BZ72" s="635">
        <f t="shared" si="109"/>
        <v>0</v>
      </c>
      <c r="CA72" s="635">
        <f t="shared" si="109"/>
        <v>0</v>
      </c>
      <c r="CB72" s="635">
        <f t="shared" si="109"/>
        <v>0</v>
      </c>
      <c r="CC72" s="635">
        <f t="shared" si="109"/>
        <v>0</v>
      </c>
      <c r="CD72" s="635">
        <f t="shared" ref="CD72:DI72" si="110">-CD31*CD71</f>
        <v>0</v>
      </c>
      <c r="CE72" s="635">
        <f t="shared" si="110"/>
        <v>0</v>
      </c>
      <c r="CF72" s="635">
        <f t="shared" si="110"/>
        <v>0</v>
      </c>
      <c r="CG72" s="635">
        <f t="shared" si="110"/>
        <v>0</v>
      </c>
      <c r="CH72" s="635">
        <f t="shared" si="110"/>
        <v>0</v>
      </c>
      <c r="CI72" s="635">
        <f t="shared" si="110"/>
        <v>0</v>
      </c>
      <c r="CJ72" s="635">
        <f t="shared" si="110"/>
        <v>0</v>
      </c>
      <c r="CK72" s="635">
        <f t="shared" si="110"/>
        <v>0</v>
      </c>
      <c r="CL72" s="635">
        <f t="shared" si="110"/>
        <v>0</v>
      </c>
      <c r="CM72" s="635">
        <f t="shared" si="110"/>
        <v>0</v>
      </c>
      <c r="CN72" s="635">
        <f t="shared" si="110"/>
        <v>0</v>
      </c>
      <c r="CO72" s="635">
        <f t="shared" si="110"/>
        <v>0</v>
      </c>
      <c r="CP72" s="635">
        <f t="shared" si="110"/>
        <v>0</v>
      </c>
      <c r="CQ72" s="635">
        <f t="shared" si="110"/>
        <v>0</v>
      </c>
      <c r="CR72" s="635">
        <f t="shared" si="110"/>
        <v>0</v>
      </c>
      <c r="CS72" s="635">
        <f t="shared" si="110"/>
        <v>0</v>
      </c>
      <c r="CT72" s="635">
        <f t="shared" si="110"/>
        <v>0</v>
      </c>
      <c r="CU72" s="635">
        <f t="shared" si="110"/>
        <v>0</v>
      </c>
      <c r="CV72" s="635">
        <f t="shared" si="110"/>
        <v>0</v>
      </c>
      <c r="CW72" s="635">
        <f t="shared" si="110"/>
        <v>0</v>
      </c>
      <c r="CX72" s="635">
        <f t="shared" si="110"/>
        <v>0</v>
      </c>
      <c r="CY72" s="635">
        <f t="shared" si="110"/>
        <v>0</v>
      </c>
      <c r="CZ72" s="635">
        <f t="shared" si="110"/>
        <v>0</v>
      </c>
      <c r="DA72" s="635">
        <f t="shared" si="110"/>
        <v>0</v>
      </c>
      <c r="DB72" s="635">
        <f t="shared" si="110"/>
        <v>0</v>
      </c>
      <c r="DC72" s="635">
        <f t="shared" si="110"/>
        <v>0</v>
      </c>
      <c r="DD72" s="635">
        <f t="shared" si="110"/>
        <v>0</v>
      </c>
      <c r="DE72" s="635">
        <f t="shared" si="110"/>
        <v>0</v>
      </c>
      <c r="DF72" s="635">
        <f t="shared" si="110"/>
        <v>0</v>
      </c>
      <c r="DG72" s="635">
        <f t="shared" si="110"/>
        <v>0</v>
      </c>
      <c r="DH72" s="635">
        <f t="shared" si="110"/>
        <v>0</v>
      </c>
      <c r="DI72" s="635">
        <f t="shared" si="110"/>
        <v>0</v>
      </c>
      <c r="DJ72" s="635">
        <f t="shared" ref="DJ72:EO72" si="111">-DJ31*DJ71</f>
        <v>0</v>
      </c>
      <c r="DK72" s="635">
        <f t="shared" si="111"/>
        <v>0</v>
      </c>
      <c r="DL72" s="635">
        <f t="shared" si="111"/>
        <v>0</v>
      </c>
      <c r="DM72" s="635">
        <f t="shared" si="111"/>
        <v>0</v>
      </c>
      <c r="DN72" s="635">
        <f t="shared" si="111"/>
        <v>0</v>
      </c>
      <c r="DO72" s="635">
        <f t="shared" si="111"/>
        <v>0</v>
      </c>
      <c r="DP72" s="635">
        <f t="shared" si="111"/>
        <v>0</v>
      </c>
      <c r="DQ72" s="635">
        <f t="shared" si="111"/>
        <v>0</v>
      </c>
      <c r="DR72" s="635">
        <f t="shared" si="111"/>
        <v>0</v>
      </c>
      <c r="DS72" s="635">
        <f t="shared" si="111"/>
        <v>0</v>
      </c>
      <c r="DT72" s="635">
        <f t="shared" si="111"/>
        <v>0</v>
      </c>
      <c r="DU72" s="635">
        <f t="shared" si="111"/>
        <v>0</v>
      </c>
      <c r="DV72" s="635">
        <f t="shared" si="111"/>
        <v>0</v>
      </c>
      <c r="DW72" s="635">
        <f t="shared" si="111"/>
        <v>0</v>
      </c>
      <c r="DX72" s="635">
        <f t="shared" si="111"/>
        <v>0</v>
      </c>
      <c r="DY72" s="635">
        <f t="shared" si="111"/>
        <v>0</v>
      </c>
      <c r="DZ72" s="635">
        <f t="shared" si="111"/>
        <v>0</v>
      </c>
      <c r="EA72" s="635">
        <f t="shared" si="111"/>
        <v>0</v>
      </c>
      <c r="EB72" s="635">
        <f t="shared" si="111"/>
        <v>0</v>
      </c>
      <c r="EC72" s="635">
        <f t="shared" si="111"/>
        <v>0</v>
      </c>
      <c r="ED72" s="635">
        <f t="shared" si="111"/>
        <v>0</v>
      </c>
      <c r="EE72" s="635">
        <f t="shared" si="111"/>
        <v>0</v>
      </c>
      <c r="EF72" s="635">
        <f t="shared" si="111"/>
        <v>0</v>
      </c>
      <c r="EG72" s="635">
        <f t="shared" si="111"/>
        <v>0</v>
      </c>
      <c r="EH72" s="635">
        <f t="shared" si="111"/>
        <v>0</v>
      </c>
      <c r="EI72" s="635">
        <f t="shared" si="111"/>
        <v>0</v>
      </c>
      <c r="EJ72" s="635">
        <f t="shared" si="111"/>
        <v>0</v>
      </c>
      <c r="EK72" s="635">
        <f t="shared" si="111"/>
        <v>0</v>
      </c>
      <c r="EL72" s="635">
        <f t="shared" si="111"/>
        <v>0</v>
      </c>
      <c r="EM72" s="635">
        <f t="shared" si="111"/>
        <v>0</v>
      </c>
      <c r="EN72" s="635">
        <f t="shared" si="111"/>
        <v>0</v>
      </c>
      <c r="EO72" s="635">
        <f t="shared" si="111"/>
        <v>0</v>
      </c>
      <c r="EP72" s="635">
        <f t="shared" ref="EP72:FU72" si="112">-EP31*EP71</f>
        <v>0</v>
      </c>
      <c r="EQ72" s="635">
        <f t="shared" si="112"/>
        <v>0</v>
      </c>
      <c r="ER72" s="635">
        <f t="shared" si="112"/>
        <v>0</v>
      </c>
      <c r="ES72" s="635">
        <f t="shared" si="112"/>
        <v>0</v>
      </c>
      <c r="ET72" s="192"/>
    </row>
    <row r="73" spans="1:150">
      <c r="A73" s="192"/>
      <c r="B73" s="36" t="s">
        <v>141</v>
      </c>
      <c r="C73" s="635">
        <f t="shared" si="93"/>
        <v>-80173.200000000055</v>
      </c>
      <c r="D73" s="635">
        <f t="shared" si="93"/>
        <v>-81039.115326091443</v>
      </c>
      <c r="E73" s="635">
        <f t="shared" si="93"/>
        <v>-83099.533793024559</v>
      </c>
      <c r="F73" s="635">
        <f t="shared" si="93"/>
        <v>-85592.519806815384</v>
      </c>
      <c r="G73" s="635">
        <f t="shared" si="93"/>
        <v>-88160.295401019946</v>
      </c>
      <c r="H73" s="635">
        <f t="shared" si="93"/>
        <v>-90805.104263050613</v>
      </c>
      <c r="I73" s="635">
        <f t="shared" si="93"/>
        <v>-93529.257390942221</v>
      </c>
      <c r="J73" s="635">
        <f t="shared" si="93"/>
        <v>-96335.135112670599</v>
      </c>
      <c r="K73" s="635">
        <f t="shared" si="93"/>
        <v>-99225.189166050812</v>
      </c>
      <c r="L73" s="635">
        <f t="shared" si="93"/>
        <v>-102201.94484103243</v>
      </c>
      <c r="M73" s="635">
        <f t="shared" si="93"/>
        <v>-105268.00318626355</v>
      </c>
      <c r="N73" s="192"/>
      <c r="O73" s="635">
        <f t="shared" si="94"/>
        <v>-96335.135112670599</v>
      </c>
      <c r="P73" s="192"/>
      <c r="Q73" s="635">
        <f>-MIN(Q71*SUMIF(Input!$F$89:$Q$89,Q$6,Input!$F$90:$Q$90),SUM(Q71:Q72))</f>
        <v>-11543.666666666679</v>
      </c>
      <c r="R73" s="823">
        <f>IFERROR(MIN(MAX(-SUMPRODUCT(($C$5:$M$5=R$6)*$C$71:$M$71*(Input!$G$90:$Q$90-Input!$G$98:$Q$98)*(R71+R72)/($C$71:$M$71+$C$72:$M$72+($C$71:$M$71+$C$72:$M$72=0))),-R71-R72),),)</f>
        <v>-6681.1000000000022</v>
      </c>
      <c r="S73" s="635">
        <f>IFERROR(MIN(MAX(-SUMPRODUCT(($C$5:$M$5=S$6)*$C$71:$M$71*(Input!$G$90:$Q$90-Input!$G$98:$Q$98)*(S71+S72)/($C$71:$M$71+$C$72:$M$72+($C$71:$M$71+$C$72:$M$72=0))),-S71-S72),),)</f>
        <v>-6681.1000000000022</v>
      </c>
      <c r="T73" s="635">
        <f>IFERROR(MIN(MAX(-SUMPRODUCT(($C$5:$M$5=T$6)*$C$71:$M$71*(Input!$G$90:$Q$90-Input!$G$98:$Q$98)*(T71+T72)/($C$71:$M$71+$C$72:$M$72+($C$71:$M$71+$C$72:$M$72=0))),-T71-T72),),)</f>
        <v>-6681.1000000000022</v>
      </c>
      <c r="U73" s="635">
        <f>IFERROR(MIN(MAX(-SUMPRODUCT(($C$5:$M$5=U$6)*$C$71:$M$71*(Input!$G$90:$Q$90-Input!$G$98:$Q$98)*(U71+U72)/($C$71:$M$71+$C$72:$M$72+($C$71:$M$71+$C$72:$M$72=0))),-U71-U72),),)</f>
        <v>-6681.1000000000022</v>
      </c>
      <c r="V73" s="635">
        <f>IFERROR(MIN(MAX(-SUMPRODUCT(($C$5:$M$5=V$6)*$C$71:$M$71*(Input!$G$90:$Q$90-Input!$G$98:$Q$98)*(V71+V72)/($C$71:$M$71+$C$72:$M$72+($C$71:$M$71+$C$72:$M$72=0))),-V71-V72),),)</f>
        <v>-6681.1000000000022</v>
      </c>
      <c r="W73" s="635">
        <f>IFERROR(MIN(MAX(-SUMPRODUCT(($C$5:$M$5=W$6)*$C$71:$M$71*(Input!$G$90:$Q$90-Input!$G$98:$Q$98)*(W71+W72)/($C$71:$M$71+$C$72:$M$72+($C$71:$M$71+$C$72:$M$72=0))),-W71-W72),),)</f>
        <v>-6681.1000000000022</v>
      </c>
      <c r="X73" s="635">
        <f>IFERROR(MIN(MAX(-SUMPRODUCT(($C$5:$M$5=X$6)*$C$71:$M$71*(Input!$G$90:$Q$90-Input!$G$98:$Q$98)*(X71+X72)/($C$71:$M$71+$C$72:$M$72+($C$71:$M$71+$C$72:$M$72=0))),-X71-X72),),)</f>
        <v>-6681.1000000000022</v>
      </c>
      <c r="Y73" s="635">
        <f>IFERROR(MIN(MAX(-SUMPRODUCT(($C$5:$M$5=Y$6)*$C$71:$M$71*(Input!$G$90:$Q$90-Input!$G$98:$Q$98)*(Y71+Y72)/($C$71:$M$71+$C$72:$M$72+($C$71:$M$71+$C$72:$M$72=0))),-Y71-Y72),),)</f>
        <v>-6681.1000000000022</v>
      </c>
      <c r="Z73" s="635">
        <f>IFERROR(MIN(MAX(-SUMPRODUCT(($C$5:$M$5=Z$6)*$C$71:$M$71*(Input!$G$90:$Q$90-Input!$G$98:$Q$98)*(Z71+Z72)/($C$71:$M$71+$C$72:$M$72+($C$71:$M$71+$C$72:$M$72=0))),-Z71-Z72),),)</f>
        <v>-6681.1000000000022</v>
      </c>
      <c r="AA73" s="635">
        <f>IFERROR(MIN(MAX(-SUMPRODUCT(($C$5:$M$5=AA$6)*$C$71:$M$71*(Input!$G$90:$Q$90-Input!$G$98:$Q$98)*(AA71+AA72)/($C$71:$M$71+$C$72:$M$72+($C$71:$M$71+$C$72:$M$72=0))),-AA71-AA72),),)</f>
        <v>-6681.1000000000022</v>
      </c>
      <c r="AB73" s="635">
        <f>IFERROR(MIN(MAX(-SUMPRODUCT(($C$5:$M$5=AB$6)*$C$71:$M$71*(Input!$G$90:$Q$90-Input!$G$98:$Q$98)*(AB71+AB72)/($C$71:$M$71+$C$72:$M$72+($C$71:$M$71+$C$72:$M$72=0))),-AB71-AB72),),)</f>
        <v>-6681.1000000000022</v>
      </c>
      <c r="AC73" s="635">
        <f>IFERROR(MIN(MAX(-SUMPRODUCT(($C$5:$M$5=AC$6)*$C$71:$M$71*(Input!$G$90:$Q$90-Input!$G$98:$Q$98)*(AC71+AC72)/($C$71:$M$71+$C$72:$M$72+($C$71:$M$71+$C$72:$M$72=0))),-AC71-AC72),),)</f>
        <v>-6681.1000000000022</v>
      </c>
      <c r="AD73" s="635">
        <f>IFERROR(MIN(MAX(-SUMPRODUCT(($C$5:$M$5=AD$6)*$C$71:$M$71*(Input!$G$90:$Q$90-Input!$G$98:$Q$98)*(AD71+AD72)/($C$71:$M$71+$C$72:$M$72+($C$71:$M$71+$C$72:$M$72=0))),-AD71-AD72),),)</f>
        <v>-6692.1343798362623</v>
      </c>
      <c r="AE73" s="635">
        <f>IFERROR(MIN(MAX(-SUMPRODUCT(($C$5:$M$5=AE$6)*$C$71:$M$71*(Input!$G$90:$Q$90-Input!$G$98:$Q$98)*(AE71+AE72)/($C$71:$M$71+$C$72:$M$72+($C$71:$M$71+$C$72:$M$72=0))),-AE71-AE72),),)</f>
        <v>-6703.1869838479379</v>
      </c>
      <c r="AF73" s="635">
        <f>IFERROR(MIN(MAX(-SUMPRODUCT(($C$5:$M$5=AF$6)*$C$71:$M$71*(Input!$G$90:$Q$90-Input!$G$98:$Q$98)*(AF71+AF72)/($C$71:$M$71+$C$72:$M$72+($C$71:$M$71+$C$72:$M$72=0))),-AF71-AF72),),)</f>
        <v>-6714.2578421337357</v>
      </c>
      <c r="AG73" s="635">
        <f>IFERROR(MIN(MAX(-SUMPRODUCT(($C$5:$M$5=AG$6)*$C$71:$M$71*(Input!$G$90:$Q$90-Input!$G$98:$Q$98)*(AG71+AG72)/($C$71:$M$71+$C$72:$M$72+($C$71:$M$71+$C$72:$M$72=0))),-AG71-AG72),),)</f>
        <v>-6725.3469848420746</v>
      </c>
      <c r="AH73" s="635">
        <f>IFERROR(MIN(MAX(-SUMPRODUCT(($C$5:$M$5=AH$6)*$C$71:$M$71*(Input!$G$90:$Q$90-Input!$G$98:$Q$98)*(AH71+AH72)/($C$71:$M$71+$C$72:$M$72+($C$71:$M$71+$C$72:$M$72=0))),-AH71-AH72),),)</f>
        <v>-6736.4544421711671</v>
      </c>
      <c r="AI73" s="635">
        <f>IFERROR(MIN(MAX(-SUMPRODUCT(($C$5:$M$5=AI$6)*$C$71:$M$71*(Input!$G$90:$Q$90-Input!$G$98:$Q$98)*(AI71+AI72)/($C$71:$M$71+$C$72:$M$72+($C$71:$M$71+$C$72:$M$72=0))),-AI71-AI72),),)</f>
        <v>-6747.5802443690918</v>
      </c>
      <c r="AJ73" s="635">
        <f>IFERROR(MIN(MAX(-SUMPRODUCT(($C$5:$M$5=AJ$6)*$C$71:$M$71*(Input!$G$90:$Q$90-Input!$G$98:$Q$98)*(AJ71+AJ72)/($C$71:$M$71+$C$72:$M$72+($C$71:$M$71+$C$72:$M$72=0))),-AJ71-AJ72),),)</f>
        <v>-6758.7244217339003</v>
      </c>
      <c r="AK73" s="635">
        <f>IFERROR(MIN(MAX(-SUMPRODUCT(($C$5:$M$5=AK$6)*$C$71:$M$71*(Input!$G$90:$Q$90-Input!$G$98:$Q$98)*(AK71+AK72)/($C$71:$M$71+$C$72:$M$72+($C$71:$M$71+$C$72:$M$72=0))),-AK71-AK72),),)</f>
        <v>-6769.8870046136672</v>
      </c>
      <c r="AL73" s="635">
        <f>IFERROR(MIN(MAX(-SUMPRODUCT(($C$5:$M$5=AL$6)*$C$71:$M$71*(Input!$G$90:$Q$90-Input!$G$98:$Q$98)*(AL71+AL72)/($C$71:$M$71+$C$72:$M$72+($C$71:$M$71+$C$72:$M$72=0))),-AL71-AL72),),)</f>
        <v>-6781.0680234066012</v>
      </c>
      <c r="AM73" s="635">
        <f>IFERROR(MIN(MAX(-SUMPRODUCT(($C$5:$M$5=AM$6)*$C$71:$M$71*(Input!$G$90:$Q$90-Input!$G$98:$Q$98)*(AM71+AM72)/($C$71:$M$71+$C$72:$M$72+($C$71:$M$71+$C$72:$M$72=0))),-AM71-AM72),),)</f>
        <v>-6792.2675085611081</v>
      </c>
      <c r="AN73" s="635">
        <f>IFERROR(MIN(MAX(-SUMPRODUCT(($C$5:$M$5=AN$6)*$C$71:$M$71*(Input!$G$90:$Q$90-Input!$G$98:$Q$98)*(AN71+AN72)/($C$71:$M$71+$C$72:$M$72+($C$71:$M$71+$C$72:$M$72=0))),-AN71-AN72),),)</f>
        <v>-6803.4854905758875</v>
      </c>
      <c r="AO73" s="635">
        <f>IFERROR(MIN(MAX(-SUMPRODUCT(($C$5:$M$5=AO$6)*$C$71:$M$71*(Input!$G$90:$Q$90-Input!$G$98:$Q$98)*(AO71+AO72)/($C$71:$M$71+$C$72:$M$72+($C$71:$M$71+$C$72:$M$72=0))),-AO71-AO72),),)</f>
        <v>-6814.7220000000088</v>
      </c>
      <c r="AP73" s="635">
        <f>IFERROR(MIN(MAX(-SUMPRODUCT(($C$5:$M$5=AP$6)*$C$71:$M$71*(Input!$G$90:$Q$90-Input!$G$98:$Q$98)*(AP71+AP72)/($C$71:$M$71+$C$72:$M$72+($C$71:$M$71+$C$72:$M$72=0))),-AP71-AP72),),)</f>
        <v>-6831.5289428752612</v>
      </c>
      <c r="AQ73" s="635">
        <f>IFERROR(MIN(MAX(-SUMPRODUCT(($C$5:$M$5=AQ$6)*$C$71:$M$71*(Input!$G$90:$Q$90-Input!$G$98:$Q$98)*(AQ71+AQ72)/($C$71:$M$71+$C$72:$M$72+($C$71:$M$71+$C$72:$M$72=0))),-AQ71-AQ72),),)</f>
        <v>-6848.3773362056936</v>
      </c>
      <c r="AR73" s="635">
        <f>IFERROR(MIN(MAX(-SUMPRODUCT(($C$5:$M$5=AR$6)*$C$71:$M$71*(Input!$G$90:$Q$90-Input!$G$98:$Q$98)*(AR71+AR72)/($C$71:$M$71+$C$72:$M$72+($C$71:$M$71+$C$72:$M$72=0))),-AR71-AR72),),)</f>
        <v>-6865.2672822193072</v>
      </c>
      <c r="AS73" s="635">
        <f>IFERROR(MIN(MAX(-SUMPRODUCT(($C$5:$M$5=AS$6)*$C$71:$M$71*(Input!$G$90:$Q$90-Input!$G$98:$Q$98)*(AS71+AS72)/($C$71:$M$71+$C$72:$M$72+($C$71:$M$71+$C$72:$M$72=0))),-AS71-AS72),),)</f>
        <v>-6882.1988833962305</v>
      </c>
      <c r="AT73" s="635">
        <f>IFERROR(MIN(MAX(-SUMPRODUCT(($C$5:$M$5=AT$6)*$C$71:$M$71*(Input!$G$90:$Q$90-Input!$G$98:$Q$98)*(AT71+AT72)/($C$71:$M$71+$C$72:$M$72+($C$71:$M$71+$C$72:$M$72=0))),-AT71-AT72),),)</f>
        <v>-6899.1722424693326</v>
      </c>
      <c r="AU73" s="635">
        <f>IFERROR(MIN(MAX(-SUMPRODUCT(($C$5:$M$5=AU$6)*$C$71:$M$71*(Input!$G$90:$Q$90-Input!$G$98:$Q$98)*(AU71+AU72)/($C$71:$M$71+$C$72:$M$72+($C$71:$M$71+$C$72:$M$72=0))),-AU71-AU72),),)</f>
        <v>-6916.1874624248512</v>
      </c>
      <c r="AV73" s="635">
        <f>IFERROR(MIN(MAX(-SUMPRODUCT(($C$5:$M$5=AV$6)*$C$71:$M$71*(Input!$G$90:$Q$90-Input!$G$98:$Q$98)*(AV71+AV72)/($C$71:$M$71+$C$72:$M$72+($C$71:$M$71+$C$72:$M$72=0))),-AV71-AV72),),)</f>
        <v>-6933.2446465030152</v>
      </c>
      <c r="AW73" s="635">
        <f>IFERROR(MIN(MAX(-SUMPRODUCT(($C$5:$M$5=AW$6)*$C$71:$M$71*(Input!$G$90:$Q$90-Input!$G$98:$Q$98)*(AW71+AW72)/($C$71:$M$71+$C$72:$M$72+($C$71:$M$71+$C$72:$M$72=0))),-AW71-AW72),),)</f>
        <v>-6950.3438981986719</v>
      </c>
      <c r="AX73" s="635">
        <f>IFERROR(MIN(MAX(-SUMPRODUCT(($C$5:$M$5=AX$6)*$C$71:$M$71*(Input!$G$90:$Q$90-Input!$G$98:$Q$98)*(AX71+AX72)/($C$71:$M$71+$C$72:$M$72+($C$71:$M$71+$C$72:$M$72=0))),-AX71-AX72),),)</f>
        <v>-6967.4853212619164</v>
      </c>
      <c r="AY73" s="635">
        <f>IFERROR(MIN(MAX(-SUMPRODUCT(($C$5:$M$5=AY$6)*$C$71:$M$71*(Input!$G$90:$Q$90-Input!$G$98:$Q$98)*(AY71+AY72)/($C$71:$M$71+$C$72:$M$72+($C$71:$M$71+$C$72:$M$72=0))),-AY71-AY72),),)</f>
        <v>-6984.6690196987129</v>
      </c>
      <c r="AZ73" s="635">
        <f>IFERROR(MIN(MAX(-SUMPRODUCT(($C$5:$M$5=AZ$6)*$C$71:$M$71*(Input!$G$90:$Q$90-Input!$G$98:$Q$98)*(AZ71+AZ72)/($C$71:$M$71+$C$72:$M$72+($C$71:$M$71+$C$72:$M$72=0))),-AZ71-AZ72),),)</f>
        <v>-7001.8950977715422</v>
      </c>
      <c r="BA73" s="635">
        <f>IFERROR(MIN(MAX(-SUMPRODUCT(($C$5:$M$5=BA$6)*$C$71:$M$71*(Input!$G$90:$Q$90-Input!$G$98:$Q$98)*(BA71+BA72)/($C$71:$M$71+$C$72:$M$72+($C$71:$M$71+$C$72:$M$72=0))),-BA71-BA72),),)</f>
        <v>-7019.1636600000174</v>
      </c>
      <c r="BB73" s="635">
        <f>IFERROR(MIN(MAX(-SUMPRODUCT(($C$5:$M$5=BB$6)*$C$71:$M$71*(Input!$G$90:$Q$90-Input!$G$98:$Q$98)*(BB71+BB72)/($C$71:$M$71+$C$72:$M$72+($C$71:$M$71+$C$72:$M$72=0))),-BB71-BB72),),)</f>
        <v>-7036.4748111615281</v>
      </c>
      <c r="BC73" s="635">
        <f>IFERROR(MIN(MAX(-SUMPRODUCT(($C$5:$M$5=BC$6)*$C$71:$M$71*(Input!$G$90:$Q$90-Input!$G$98:$Q$98)*(BC71+BC72)/($C$71:$M$71+$C$72:$M$72+($C$71:$M$71+$C$72:$M$72=0))),-BC71-BC72),),)</f>
        <v>-7053.8286562918738</v>
      </c>
      <c r="BD73" s="635">
        <f>IFERROR(MIN(MAX(-SUMPRODUCT(($C$5:$M$5=BD$6)*$C$71:$M$71*(Input!$G$90:$Q$90-Input!$G$98:$Q$98)*(BD71+BD72)/($C$71:$M$71+$C$72:$M$72+($C$71:$M$71+$C$72:$M$72=0))),-BD71-BD72),),)</f>
        <v>-7071.2253006858946</v>
      </c>
      <c r="BE73" s="635">
        <f>IFERROR(MIN(MAX(-SUMPRODUCT(($C$5:$M$5=BE$6)*$C$71:$M$71*(Input!$G$90:$Q$90-Input!$G$98:$Q$98)*(BE71+BE72)/($C$71:$M$71+$C$72:$M$72+($C$71:$M$71+$C$72:$M$72=0))),-BE71-BE72),),)</f>
        <v>-7088.664849898124</v>
      </c>
      <c r="BF73" s="635">
        <f>IFERROR(MIN(MAX(-SUMPRODUCT(($C$5:$M$5=BF$6)*$C$71:$M$71*(Input!$G$90:$Q$90-Input!$G$98:$Q$98)*(BF71+BF72)/($C$71:$M$71+$C$72:$M$72+($C$71:$M$71+$C$72:$M$72=0))),-BF71-BF72),),)</f>
        <v>-7106.1474097434211</v>
      </c>
      <c r="BG73" s="635">
        <f>IFERROR(MIN(MAX(-SUMPRODUCT(($C$5:$M$5=BG$6)*$C$71:$M$71*(Input!$G$90:$Q$90-Input!$G$98:$Q$98)*(BG71+BG72)/($C$71:$M$71+$C$72:$M$72+($C$71:$M$71+$C$72:$M$72=0))),-BG71-BG72),),)</f>
        <v>-7123.6730862976056</v>
      </c>
      <c r="BH73" s="635">
        <f>IFERROR(MIN(MAX(-SUMPRODUCT(($C$5:$M$5=BH$6)*$C$71:$M$71*(Input!$G$90:$Q$90-Input!$G$98:$Q$98)*(BH71+BH72)/($C$71:$M$71+$C$72:$M$72+($C$71:$M$71+$C$72:$M$72=0))),-BH71-BH72),),)</f>
        <v>-7141.2419858981129</v>
      </c>
      <c r="BI73" s="635">
        <f>IFERROR(MIN(MAX(-SUMPRODUCT(($C$5:$M$5=BI$6)*$C$71:$M$71*(Input!$G$90:$Q$90-Input!$G$98:$Q$98)*(BI71+BI72)/($C$71:$M$71+$C$72:$M$72+($C$71:$M$71+$C$72:$M$72=0))),-BI71-BI72),),)</f>
        <v>-7158.85421514464</v>
      </c>
      <c r="BJ73" s="635">
        <f>IFERROR(MIN(MAX(-SUMPRODUCT(($C$5:$M$5=BJ$6)*$C$71:$M$71*(Input!$G$90:$Q$90-Input!$G$98:$Q$98)*(BJ71+BJ72)/($C$71:$M$71+$C$72:$M$72+($C$71:$M$71+$C$72:$M$72=0))),-BJ71-BJ72),),)</f>
        <v>-7176.5098808997809</v>
      </c>
      <c r="BK73" s="635">
        <f>IFERROR(MIN(MAX(-SUMPRODUCT(($C$5:$M$5=BK$6)*$C$71:$M$71*(Input!$G$90:$Q$90-Input!$G$98:$Q$98)*(BK71+BK72)/($C$71:$M$71+$C$72:$M$72+($C$71:$M$71+$C$72:$M$72=0))),-BK71-BK72),),)</f>
        <v>-7194.2090902896834</v>
      </c>
      <c r="BL73" s="635">
        <f>IFERROR(MIN(MAX(-SUMPRODUCT(($C$5:$M$5=BL$6)*$C$71:$M$71*(Input!$G$90:$Q$90-Input!$G$98:$Q$98)*(BL71+BL72)/($C$71:$M$71+$C$72:$M$72+($C$71:$M$71+$C$72:$M$72=0))),-BL71-BL72),),)</f>
        <v>-7211.9519507046962</v>
      </c>
      <c r="BM73" s="635">
        <f>IFERROR(MIN(MAX(-SUMPRODUCT(($C$5:$M$5=BM$6)*$C$71:$M$71*(Input!$G$90:$Q$90-Input!$G$98:$Q$98)*(BM71+BM72)/($C$71:$M$71+$C$72:$M$72+($C$71:$M$71+$C$72:$M$72=0))),-BM71-BM72),),)</f>
        <v>-7229.7385698000253</v>
      </c>
      <c r="BN73" s="635">
        <f>IFERROR(MIN(MAX(-SUMPRODUCT(($C$5:$M$5=BN$6)*$C$71:$M$71*(Input!$G$90:$Q$90-Input!$G$98:$Q$98)*(BN71+BN72)/($C$71:$M$71+$C$72:$M$72+($C$71:$M$71+$C$72:$M$72=0))),-BN71-BN72),),)</f>
        <v>-7247.5690554963821</v>
      </c>
      <c r="BO73" s="635">
        <f>IFERROR(MIN(MAX(-SUMPRODUCT(($C$5:$M$5=BO$6)*$C$71:$M$71*(Input!$G$90:$Q$90-Input!$G$98:$Q$98)*(BO71+BO72)/($C$71:$M$71+$C$72:$M$72+($C$71:$M$71+$C$72:$M$72=0))),-BO71-BO72),),)</f>
        <v>-7265.4435159806371</v>
      </c>
      <c r="BP73" s="635">
        <f>IFERROR(MIN(MAX(-SUMPRODUCT(($C$5:$M$5=BP$6)*$C$71:$M$71*(Input!$G$90:$Q$90-Input!$G$98:$Q$98)*(BP71+BP72)/($C$71:$M$71+$C$72:$M$72+($C$71:$M$71+$C$72:$M$72=0))),-BP71-BP72),),)</f>
        <v>-7283.3620597064792</v>
      </c>
      <c r="BQ73" s="635">
        <f>IFERROR(MIN(MAX(-SUMPRODUCT(($C$5:$M$5=BQ$6)*$C$71:$M$71*(Input!$G$90:$Q$90-Input!$G$98:$Q$98)*(BQ71+BQ72)/($C$71:$M$71+$C$72:$M$72+($C$71:$M$71+$C$72:$M$72=0))),-BQ71-BQ72),),)</f>
        <v>-7301.3247953950768</v>
      </c>
      <c r="BR73" s="635">
        <f>IFERROR(MIN(MAX(-SUMPRODUCT(($C$5:$M$5=BR$6)*$C$71:$M$71*(Input!$G$90:$Q$90-Input!$G$98:$Q$98)*(BR71+BR72)/($C$71:$M$71+$C$72:$M$72+($C$71:$M$71+$C$72:$M$72=0))),-BR71-BR72),),)</f>
        <v>-7319.3318320357303</v>
      </c>
      <c r="BS73" s="635">
        <f>IFERROR(MIN(MAX(-SUMPRODUCT(($C$5:$M$5=BS$6)*$C$71:$M$71*(Input!$G$90:$Q$90-Input!$G$98:$Q$98)*(BS71+BS72)/($C$71:$M$71+$C$72:$M$72+($C$71:$M$71+$C$72:$M$72=0))),-BS71-BS72),),)</f>
        <v>-7337.3832788865411</v>
      </c>
      <c r="BT73" s="635">
        <f>IFERROR(MIN(MAX(-SUMPRODUCT(($C$5:$M$5=BT$6)*$C$71:$M$71*(Input!$G$90:$Q$90-Input!$G$98:$Q$98)*(BT71+BT72)/($C$71:$M$71+$C$72:$M$72+($C$71:$M$71+$C$72:$M$72=0))),-BT71-BT72),),)</f>
        <v>-7355.4792454750659</v>
      </c>
      <c r="BU73" s="635">
        <f>IFERROR(MIN(MAX(-SUMPRODUCT(($C$5:$M$5=BU$6)*$C$71:$M$71*(Input!$G$90:$Q$90-Input!$G$98:$Q$98)*(BU71+BU72)/($C$71:$M$71+$C$72:$M$72+($C$71:$M$71+$C$72:$M$72=0))),-BU71-BU72),),)</f>
        <v>-7373.6198415989875</v>
      </c>
      <c r="BV73" s="635">
        <f>IFERROR(MIN(MAX(-SUMPRODUCT(($C$5:$M$5=BV$6)*$C$71:$M$71*(Input!$G$90:$Q$90-Input!$G$98:$Q$98)*(BV71+BV72)/($C$71:$M$71+$C$72:$M$72+($C$71:$M$71+$C$72:$M$72=0))),-BV71-BV72),),)</f>
        <v>-7391.8051773267816</v>
      </c>
      <c r="BW73" s="635">
        <f>IFERROR(MIN(MAX(-SUMPRODUCT(($C$5:$M$5=BW$6)*$C$71:$M$71*(Input!$G$90:$Q$90-Input!$G$98:$Q$98)*(BW71+BW72)/($C$71:$M$71+$C$72:$M$72+($C$71:$M$71+$C$72:$M$72=0))),-BW71-BW72),),)</f>
        <v>-7410.0353629983811</v>
      </c>
      <c r="BX73" s="635">
        <f>IFERROR(MIN(MAX(-SUMPRODUCT(($C$5:$M$5=BX$6)*$C$71:$M$71*(Input!$G$90:$Q$90-Input!$G$98:$Q$98)*(BX71+BX72)/($C$71:$M$71+$C$72:$M$72+($C$71:$M$71+$C$72:$M$72=0))),-BX71-BX72),),)</f>
        <v>-7428.3105092258456</v>
      </c>
      <c r="BY73" s="635">
        <f>IFERROR(MIN(MAX(-SUMPRODUCT(($C$5:$M$5=BY$6)*$C$71:$M$71*(Input!$G$90:$Q$90-Input!$G$98:$Q$98)*(BY71+BY72)/($C$71:$M$71+$C$72:$M$72+($C$71:$M$71+$C$72:$M$72=0))),-BY71-BY72),),)</f>
        <v>-7446.6307268940345</v>
      </c>
      <c r="BZ73" s="635">
        <f>IFERROR(MIN(MAX(-SUMPRODUCT(($C$5:$M$5=BZ$6)*$C$71:$M$71*(Input!$G$90:$Q$90-Input!$G$98:$Q$98)*(BZ71+BZ72)/($C$71:$M$71+$C$72:$M$72+($C$71:$M$71+$C$72:$M$72=0))),-BZ71-BZ72),),)</f>
        <v>-7464.9961271612801</v>
      </c>
      <c r="CA73" s="635">
        <f>IFERROR(MIN(MAX(-SUMPRODUCT(($C$5:$M$5=CA$6)*$C$71:$M$71*(Input!$G$90:$Q$90-Input!$G$98:$Q$98)*(CA71+CA72)/($C$71:$M$71+$C$72:$M$72+($C$71:$M$71+$C$72:$M$72=0))),-CA71-CA72),),)</f>
        <v>-7483.406821460062</v>
      </c>
      <c r="CB73" s="635">
        <f>IFERROR(MIN(MAX(-SUMPRODUCT(($C$5:$M$5=CB$6)*$C$71:$M$71*(Input!$G$90:$Q$90-Input!$G$98:$Q$98)*(CB71+CB72)/($C$71:$M$71+$C$72:$M$72+($C$71:$M$71+$C$72:$M$72=0))),-CB71-CB72),),)</f>
        <v>-7501.86292149768</v>
      </c>
      <c r="CC73" s="635">
        <f>IFERROR(MIN(MAX(-SUMPRODUCT(($C$5:$M$5=CC$6)*$C$71:$M$71*(Input!$G$90:$Q$90-Input!$G$98:$Q$98)*(CC71+CC72)/($C$71:$M$71+$C$72:$M$72+($C$71:$M$71+$C$72:$M$72=0))),-CC71-CC72),),)</f>
        <v>-7520.364539256936</v>
      </c>
      <c r="CD73" s="635">
        <f>IFERROR(MIN(MAX(-SUMPRODUCT(($C$5:$M$5=CD$6)*$C$71:$M$71*(Input!$G$90:$Q$90-Input!$G$98:$Q$98)*(CD71+CD72)/($C$71:$M$71+$C$72:$M$72+($C$71:$M$71+$C$72:$M$72=0))),-CD71-CD72),),)</f>
        <v>-7538.9117869968095</v>
      </c>
      <c r="CE73" s="635">
        <f>IFERROR(MIN(MAX(-SUMPRODUCT(($C$5:$M$5=CE$6)*$C$71:$M$71*(Input!$G$90:$Q$90-Input!$G$98:$Q$98)*(CE71+CE72)/($C$71:$M$71+$C$72:$M$72+($C$71:$M$71+$C$72:$M$72=0))),-CE71-CE72),),)</f>
        <v>-7557.5047772531434</v>
      </c>
      <c r="CF73" s="635">
        <f>IFERROR(MIN(MAX(-SUMPRODUCT(($C$5:$M$5=CF$6)*$C$71:$M$71*(Input!$G$90:$Q$90-Input!$G$98:$Q$98)*(CF71+CF72)/($C$71:$M$71+$C$72:$M$72+($C$71:$M$71+$C$72:$M$72=0))),-CF71-CF72),),)</f>
        <v>-7576.1436228393241</v>
      </c>
      <c r="CG73" s="635">
        <f>IFERROR(MIN(MAX(-SUMPRODUCT(($C$5:$M$5=CG$6)*$C$71:$M$71*(Input!$G$90:$Q$90-Input!$G$98:$Q$98)*(CG71+CG72)/($C$71:$M$71+$C$72:$M$72+($C$71:$M$71+$C$72:$M$72=0))),-CG71-CG72),),)</f>
        <v>-7594.8284368469631</v>
      </c>
      <c r="CH73" s="635">
        <f>IFERROR(MIN(MAX(-SUMPRODUCT(($C$5:$M$5=CH$6)*$C$71:$M$71*(Input!$G$90:$Q$90-Input!$G$98:$Q$98)*(CH71+CH72)/($C$71:$M$71+$C$72:$M$72+($C$71:$M$71+$C$72:$M$72=0))),-CH71-CH72),),)</f>
        <v>-7613.5593326465923</v>
      </c>
      <c r="CI73" s="635">
        <f>IFERROR(MIN(MAX(-SUMPRODUCT(($C$5:$M$5=CI$6)*$C$71:$M$71*(Input!$G$90:$Q$90-Input!$G$98:$Q$98)*(CI71+CI72)/($C$71:$M$71+$C$72:$M$72+($C$71:$M$71+$C$72:$M$72=0))),-CI71-CI72),),)</f>
        <v>-7632.3364238883387</v>
      </c>
      <c r="CJ73" s="635">
        <f>IFERROR(MIN(MAX(-SUMPRODUCT(($C$5:$M$5=CJ$6)*$C$71:$M$71*(Input!$G$90:$Q$90-Input!$G$98:$Q$98)*(CJ71+CJ72)/($C$71:$M$71+$C$72:$M$72+($C$71:$M$71+$C$72:$M$72=0))),-CJ71-CJ72),),)</f>
        <v>-7651.159824502628</v>
      </c>
      <c r="CK73" s="635">
        <f>IFERROR(MIN(MAX(-SUMPRODUCT(($C$5:$M$5=CK$6)*$C$71:$M$71*(Input!$G$90:$Q$90-Input!$G$98:$Q$98)*(CK71+CK72)/($C$71:$M$71+$C$72:$M$72+($C$71:$M$71+$C$72:$M$72=0))),-CK71-CK72),),)</f>
        <v>-7670.0296487008636</v>
      </c>
      <c r="CL73" s="635">
        <f>IFERROR(MIN(MAX(-SUMPRODUCT(($C$5:$M$5=CL$6)*$C$71:$M$71*(Input!$G$90:$Q$90-Input!$G$98:$Q$98)*(CL71+CL72)/($C$71:$M$71+$C$72:$M$72+($C$71:$M$71+$C$72:$M$72=0))),-CL71-CL72),),)</f>
        <v>-7688.9460109761267</v>
      </c>
      <c r="CM73" s="635">
        <f>IFERROR(MIN(MAX(-SUMPRODUCT(($C$5:$M$5=CM$6)*$C$71:$M$71*(Input!$G$90:$Q$90-Input!$G$98:$Q$98)*(CM71+CM72)/($C$71:$M$71+$C$72:$M$72+($C$71:$M$71+$C$72:$M$72=0))),-CM71-CM72),),)</f>
        <v>-7707.9090261038718</v>
      </c>
      <c r="CN73" s="635">
        <f>IFERROR(MIN(MAX(-SUMPRODUCT(($C$5:$M$5=CN$6)*$C$71:$M$71*(Input!$G$90:$Q$90-Input!$G$98:$Q$98)*(CN71+CN72)/($C$71:$M$71+$C$72:$M$72+($C$71:$M$71+$C$72:$M$72=0))),-CN71-CN72),),)</f>
        <v>-7726.9188091426186</v>
      </c>
      <c r="CO73" s="635">
        <f>IFERROR(MIN(MAX(-SUMPRODUCT(($C$5:$M$5=CO$6)*$C$71:$M$71*(Input!$G$90:$Q$90-Input!$G$98:$Q$98)*(CO71+CO72)/($C$71:$M$71+$C$72:$M$72+($C$71:$M$71+$C$72:$M$72=0))),-CO71-CO72),),)</f>
        <v>-7745.9754754346523</v>
      </c>
      <c r="CP73" s="635">
        <f>IFERROR(MIN(MAX(-SUMPRODUCT(($C$5:$M$5=CP$6)*$C$71:$M$71*(Input!$G$90:$Q$90-Input!$G$98:$Q$98)*(CP71+CP72)/($C$71:$M$71+$C$72:$M$72+($C$71:$M$71+$C$72:$M$72=0))),-CP71-CP72),),)</f>
        <v>-7765.0791406067228</v>
      </c>
      <c r="CQ73" s="635">
        <f>IFERROR(MIN(MAX(-SUMPRODUCT(($C$5:$M$5=CQ$6)*$C$71:$M$71*(Input!$G$90:$Q$90-Input!$G$98:$Q$98)*(CQ71+CQ72)/($C$71:$M$71+$C$72:$M$72+($C$71:$M$71+$C$72:$M$72=0))),-CQ71-CQ72),),)</f>
        <v>-7784.2299205707459</v>
      </c>
      <c r="CR73" s="635">
        <f>IFERROR(MIN(MAX(-SUMPRODUCT(($C$5:$M$5=CR$6)*$C$71:$M$71*(Input!$G$90:$Q$90-Input!$G$98:$Q$98)*(CR71+CR72)/($C$71:$M$71+$C$72:$M$72+($C$71:$M$71+$C$72:$M$72=0))),-CR71-CR72),),)</f>
        <v>-7803.4279315245103</v>
      </c>
      <c r="CS73" s="635">
        <f>IFERROR(MIN(MAX(-SUMPRODUCT(($C$5:$M$5=CS$6)*$C$71:$M$71*(Input!$G$90:$Q$90-Input!$G$98:$Q$98)*(CS71+CS72)/($C$71:$M$71+$C$72:$M$72+($C$71:$M$71+$C$72:$M$72=0))),-CS71-CS72),),)</f>
        <v>-7822.6732899523804</v>
      </c>
      <c r="CT73" s="635">
        <f>IFERROR(MIN(MAX(-SUMPRODUCT(($C$5:$M$5=CT$6)*$C$71:$M$71*(Input!$G$90:$Q$90-Input!$G$98:$Q$98)*(CT71+CT72)/($C$71:$M$71+$C$72:$M$72+($C$71:$M$71+$C$72:$M$72=0))),-CT71-CT72),),)</f>
        <v>-7841.966112625998</v>
      </c>
      <c r="CU73" s="635">
        <f>IFERROR(MIN(MAX(-SUMPRODUCT(($C$5:$M$5=CU$6)*$C$71:$M$71*(Input!$G$90:$Q$90-Input!$G$98:$Q$98)*(CU71+CU72)/($C$71:$M$71+$C$72:$M$72+($C$71:$M$71+$C$72:$M$72=0))),-CU71-CU72),),)</f>
        <v>-7861.3065166049955</v>
      </c>
      <c r="CV73" s="635">
        <f>IFERROR(MIN(MAX(-SUMPRODUCT(($C$5:$M$5=CV$6)*$C$71:$M$71*(Input!$G$90:$Q$90-Input!$G$98:$Q$98)*(CV71+CV72)/($C$71:$M$71+$C$72:$M$72+($C$71:$M$71+$C$72:$M$72=0))),-CV71-CV72),),)</f>
        <v>-7880.6946192377136</v>
      </c>
      <c r="CW73" s="635">
        <f>IFERROR(MIN(MAX(-SUMPRODUCT(($C$5:$M$5=CW$6)*$C$71:$M$71*(Input!$G$90:$Q$90-Input!$G$98:$Q$98)*(CW71+CW72)/($C$71:$M$71+$C$72:$M$72+($C$71:$M$71+$C$72:$M$72=0))),-CW71-CW72),),)</f>
        <v>-7900.1305381618959</v>
      </c>
      <c r="CX73" s="635">
        <f>IFERROR(MIN(MAX(-SUMPRODUCT(($C$5:$M$5=CX$6)*$C$71:$M$71*(Input!$G$90:$Q$90-Input!$G$98:$Q$98)*(CX71+CX72)/($C$71:$M$71+$C$72:$M$72+($C$71:$M$71+$C$72:$M$72=0))),-CX71-CX72),),)</f>
        <v>-7919.6143913054175</v>
      </c>
      <c r="CY73" s="635">
        <f>IFERROR(MIN(MAX(-SUMPRODUCT(($C$5:$M$5=CY$6)*$C$71:$M$71*(Input!$G$90:$Q$90-Input!$G$98:$Q$98)*(CY71+CY72)/($C$71:$M$71+$C$72:$M$72+($C$71:$M$71+$C$72:$M$72=0))),-CY71-CY72),),)</f>
        <v>-7939.1462968869955</v>
      </c>
      <c r="CZ73" s="635">
        <f>IFERROR(MIN(MAX(-SUMPRODUCT(($C$5:$M$5=CZ$6)*$C$71:$M$71*(Input!$G$90:$Q$90-Input!$G$98:$Q$98)*(CZ71+CZ72)/($C$71:$M$71+$C$72:$M$72+($C$71:$M$71+$C$72:$M$72=0))),-CZ71-CZ72),),)</f>
        <v>-7958.7263734169046</v>
      </c>
      <c r="DA73" s="635">
        <f>IFERROR(MIN(MAX(-SUMPRODUCT(($C$5:$M$5=DA$6)*$C$71:$M$71*(Input!$G$90:$Q$90-Input!$G$98:$Q$98)*(DA71+DA72)/($C$71:$M$71+$C$72:$M$72+($C$71:$M$71+$C$72:$M$72=0))),-DA71-DA72),),)</f>
        <v>-7978.3547396976992</v>
      </c>
      <c r="DB73" s="635">
        <f>IFERROR(MIN(MAX(-SUMPRODUCT(($C$5:$M$5=DB$6)*$C$71:$M$71*(Input!$G$90:$Q$90-Input!$G$98:$Q$98)*(DB71+DB72)/($C$71:$M$71+$C$72:$M$72+($C$71:$M$71+$C$72:$M$72=0))),-DB71-DB72),),)</f>
        <v>-7998.031514824931</v>
      </c>
      <c r="DC73" s="635">
        <f>IFERROR(MIN(MAX(-SUMPRODUCT(($C$5:$M$5=DC$6)*$C$71:$M$71*(Input!$G$90:$Q$90-Input!$G$98:$Q$98)*(DC71+DC72)/($C$71:$M$71+$C$72:$M$72+($C$71:$M$71+$C$72:$M$72=0))),-DC71-DC72),),)</f>
        <v>-8017.7568181878769</v>
      </c>
      <c r="DD73" s="635">
        <f>IFERROR(MIN(MAX(-SUMPRODUCT(($C$5:$M$5=DD$6)*$C$71:$M$71*(Input!$G$90:$Q$90-Input!$G$98:$Q$98)*(DD71+DD72)/($C$71:$M$71+$C$72:$M$72+($C$71:$M$71+$C$72:$M$72=0))),-DD71-DD72),),)</f>
        <v>-8037.5307694702569</v>
      </c>
      <c r="DE73" s="635">
        <f>IFERROR(MIN(MAX(-SUMPRODUCT(($C$5:$M$5=DE$6)*$C$71:$M$71*(Input!$G$90:$Q$90-Input!$G$98:$Q$98)*(DE71+DE72)/($C$71:$M$71+$C$72:$M$72+($C$71:$M$71+$C$72:$M$72=0))),-DE71-DE72),),)</f>
        <v>-8057.3534886509606</v>
      </c>
      <c r="DF73" s="635">
        <f>IFERROR(MIN(MAX(-SUMPRODUCT(($C$5:$M$5=DF$6)*$C$71:$M$71*(Input!$G$90:$Q$90-Input!$G$98:$Q$98)*(DF71+DF72)/($C$71:$M$71+$C$72:$M$72+($C$71:$M$71+$C$72:$M$72=0))),-DF71-DF72),),)</f>
        <v>-8077.2250960047859</v>
      </c>
      <c r="DG73" s="635">
        <f>IFERROR(MIN(MAX(-SUMPRODUCT(($C$5:$M$5=DG$6)*$C$71:$M$71*(Input!$G$90:$Q$90-Input!$G$98:$Q$98)*(DG71+DG72)/($C$71:$M$71+$C$72:$M$72+($C$71:$M$71+$C$72:$M$72=0))),-DG71-DG72),),)</f>
        <v>-8097.1457121031563</v>
      </c>
      <c r="DH73" s="635">
        <f>IFERROR(MIN(MAX(-SUMPRODUCT(($C$5:$M$5=DH$6)*$C$71:$M$71*(Input!$G$90:$Q$90-Input!$G$98:$Q$98)*(DH71+DH72)/($C$71:$M$71+$C$72:$M$72+($C$71:$M$71+$C$72:$M$72=0))),-DH71-DH72),),)</f>
        <v>-8117.1154578148544</v>
      </c>
      <c r="DI73" s="635">
        <f>IFERROR(MIN(MAX(-SUMPRODUCT(($C$5:$M$5=DI$6)*$C$71:$M$71*(Input!$G$90:$Q$90-Input!$G$98:$Q$98)*(DI71+DI72)/($C$71:$M$71+$C$72:$M$72+($C$71:$M$71+$C$72:$M$72=0))),-DI71-DI72),),)</f>
        <v>-8137.1344543067617</v>
      </c>
      <c r="DJ73" s="635">
        <f>IFERROR(MIN(MAX(-SUMPRODUCT(($C$5:$M$5=DJ$6)*$C$71:$M$71*(Input!$G$90:$Q$90-Input!$G$98:$Q$98)*(DJ71+DJ72)/($C$71:$M$71+$C$72:$M$72+($C$71:$M$71+$C$72:$M$72=0))),-DJ71-DJ72),),)</f>
        <v>-8157.2028230445885</v>
      </c>
      <c r="DK73" s="635">
        <f>IFERROR(MIN(MAX(-SUMPRODUCT(($C$5:$M$5=DK$6)*$C$71:$M$71*(Input!$G$90:$Q$90-Input!$G$98:$Q$98)*(DK71+DK72)/($C$71:$M$71+$C$72:$M$72+($C$71:$M$71+$C$72:$M$72=0))),-DK71-DK72),),)</f>
        <v>-8177.320685793612</v>
      </c>
      <c r="DL73" s="635">
        <f>IFERROR(MIN(MAX(-SUMPRODUCT(($C$5:$M$5=DL$6)*$C$71:$M$71*(Input!$G$90:$Q$90-Input!$G$98:$Q$98)*(DL71+DL72)/($C$71:$M$71+$C$72:$M$72+($C$71:$M$71+$C$72:$M$72=0))),-DL71-DL72),),)</f>
        <v>-8197.4881646194208</v>
      </c>
      <c r="DM73" s="635">
        <f>IFERROR(MIN(MAX(-SUMPRODUCT(($C$5:$M$5=DM$6)*$C$71:$M$71*(Input!$G$90:$Q$90-Input!$G$98:$Q$98)*(DM71+DM72)/($C$71:$M$71+$C$72:$M$72+($C$71:$M$71+$C$72:$M$72=0))),-DM71-DM72),),)</f>
        <v>-8217.7053818886379</v>
      </c>
      <c r="DN73" s="635">
        <f>IFERROR(MIN(MAX(-SUMPRODUCT(($C$5:$M$5=DN$6)*$C$71:$M$71*(Input!$G$90:$Q$90-Input!$G$98:$Q$98)*(DN71+DN72)/($C$71:$M$71+$C$72:$M$72+($C$71:$M$71+$C$72:$M$72=0))),-DN71-DN72),),)</f>
        <v>-8237.9724602696861</v>
      </c>
      <c r="DO73" s="635">
        <f>IFERROR(MIN(MAX(-SUMPRODUCT(($C$5:$M$5=DO$6)*$C$71:$M$71*(Input!$G$90:$Q$90-Input!$G$98:$Q$98)*(DO71+DO72)/($C$71:$M$71+$C$72:$M$72+($C$71:$M$71+$C$72:$M$72=0))),-DO71-DO72),),)</f>
        <v>-8258.289522733523</v>
      </c>
      <c r="DP73" s="635">
        <f>IFERROR(MIN(MAX(-SUMPRODUCT(($C$5:$M$5=DP$6)*$C$71:$M$71*(Input!$G$90:$Q$90-Input!$G$98:$Q$98)*(DP71+DP72)/($C$71:$M$71+$C$72:$M$72+($C$71:$M$71+$C$72:$M$72=0))),-DP71-DP72),),)</f>
        <v>-8278.6566925543721</v>
      </c>
      <c r="DQ73" s="635">
        <f>IFERROR(MIN(MAX(-SUMPRODUCT(($C$5:$M$5=DQ$6)*$C$71:$M$71*(Input!$G$90:$Q$90-Input!$G$98:$Q$98)*(DQ71+DQ72)/($C$71:$M$71+$C$72:$M$72+($C$71:$M$71+$C$72:$M$72=0))),-DQ71-DQ72),),)</f>
        <v>-8299.0740933104971</v>
      </c>
      <c r="DR73" s="635">
        <f>IFERROR(MIN(MAX(-SUMPRODUCT(($C$5:$M$5=DR$6)*$C$71:$M$71*(Input!$G$90:$Q$90-Input!$G$98:$Q$98)*(DR71+DR72)/($C$71:$M$71+$C$72:$M$72+($C$71:$M$71+$C$72:$M$72=0))),-DR71-DR72),),)</f>
        <v>-8319.5418488849373</v>
      </c>
      <c r="DS73" s="635">
        <f>IFERROR(MIN(MAX(-SUMPRODUCT(($C$5:$M$5=DS$6)*$C$71:$M$71*(Input!$G$90:$Q$90-Input!$G$98:$Q$98)*(DS71+DS72)/($C$71:$M$71+$C$72:$M$72+($C$71:$M$71+$C$72:$M$72=0))),-DS71-DS72),),)</f>
        <v>-8340.06008346626</v>
      </c>
      <c r="DT73" s="635">
        <f>IFERROR(MIN(MAX(-SUMPRODUCT(($C$5:$M$5=DT$6)*$C$71:$M$71*(Input!$G$90:$Q$90-Input!$G$98:$Q$98)*(DT71+DT72)/($C$71:$M$71+$C$72:$M$72+($C$71:$M$71+$C$72:$M$72=0))),-DT71-DT72),),)</f>
        <v>-8360.6289215493052</v>
      </c>
      <c r="DU73" s="635">
        <f>IFERROR(MIN(MAX(-SUMPRODUCT(($C$5:$M$5=DU$6)*$C$71:$M$71*(Input!$G$90:$Q$90-Input!$G$98:$Q$98)*(DU71+DU72)/($C$71:$M$71+$C$72:$M$72+($C$71:$M$71+$C$72:$M$72=0))),-DU71-DU72),),)</f>
        <v>-8381.2484879359727</v>
      </c>
      <c r="DV73" s="635">
        <f>IFERROR(MIN(MAX(-SUMPRODUCT(($C$5:$M$5=DV$6)*$C$71:$M$71*(Input!$G$90:$Q$90-Input!$G$98:$Q$98)*(DV71+DV72)/($C$71:$M$71+$C$72:$M$72+($C$71:$M$71+$C$72:$M$72=0))),-DV71-DV72),),)</f>
        <v>-8401.9189077359333</v>
      </c>
      <c r="DW73" s="635">
        <f>IFERROR(MIN(MAX(-SUMPRODUCT(($C$5:$M$5=DW$6)*$C$71:$M$71*(Input!$G$90:$Q$90-Input!$G$98:$Q$98)*(DW71+DW72)/($C$71:$M$71+$C$72:$M$72+($C$71:$M$71+$C$72:$M$72=0))),-DW71-DW72),),)</f>
        <v>-8422.6403063674315</v>
      </c>
      <c r="DX73" s="635">
        <f>IFERROR(MIN(MAX(-SUMPRODUCT(($C$5:$M$5=DX$6)*$C$71:$M$71*(Input!$G$90:$Q$90-Input!$G$98:$Q$98)*(DX71+DX72)/($C$71:$M$71+$C$72:$M$72+($C$71:$M$71+$C$72:$M$72=0))),-DX71-DX72),),)</f>
        <v>-8443.412809558009</v>
      </c>
      <c r="DY73" s="635">
        <f>IFERROR(MIN(MAX(-SUMPRODUCT(($C$5:$M$5=DY$6)*$C$71:$M$71*(Input!$G$90:$Q$90-Input!$G$98:$Q$98)*(DY71+DY72)/($C$71:$M$71+$C$72:$M$72+($C$71:$M$71+$C$72:$M$72=0))),-DY71-DY72),),)</f>
        <v>-8464.2365433453069</v>
      </c>
      <c r="DZ73" s="635">
        <f>IFERROR(MIN(MAX(-SUMPRODUCT(($C$5:$M$5=DZ$6)*$C$71:$M$71*(Input!$G$90:$Q$90-Input!$G$98:$Q$98)*(DZ71+DZ72)/($C$71:$M$71+$C$72:$M$72+($C$71:$M$71+$C$72:$M$72=0))),-DZ71-DZ72),),)</f>
        <v>-8485.111634077788</v>
      </c>
      <c r="EA73" s="635">
        <f>IFERROR(MIN(MAX(-SUMPRODUCT(($C$5:$M$5=EA$6)*$C$71:$M$71*(Input!$G$90:$Q$90-Input!$G$98:$Q$98)*(EA71+EA72)/($C$71:$M$71+$C$72:$M$72+($C$71:$M$71+$C$72:$M$72=0))),-EA71-EA72),),)</f>
        <v>-8506.0382084155353</v>
      </c>
      <c r="EB73" s="635">
        <f>IFERROR(MIN(MAX(-SUMPRODUCT(($C$5:$M$5=EB$6)*$C$71:$M$71*(Input!$G$90:$Q$90-Input!$G$98:$Q$98)*(EB71+EB72)/($C$71:$M$71+$C$72:$M$72+($C$71:$M$71+$C$72:$M$72=0))),-EB71-EB72),),)</f>
        <v>-8527.0163933310105</v>
      </c>
      <c r="EC73" s="635">
        <f>IFERROR(MIN(MAX(-SUMPRODUCT(($C$5:$M$5=EC$6)*$C$71:$M$71*(Input!$G$90:$Q$90-Input!$G$98:$Q$98)*(EC71+EC72)/($C$71:$M$71+$C$72:$M$72+($C$71:$M$71+$C$72:$M$72=0))),-EC71-EC72),),)</f>
        <v>-8548.0463161098178</v>
      </c>
      <c r="ED73" s="635">
        <f>IFERROR(MIN(MAX(-SUMPRODUCT(($C$5:$M$5=ED$6)*$C$71:$M$71*(Input!$G$90:$Q$90-Input!$G$98:$Q$98)*(ED71+ED72)/($C$71:$M$71+$C$72:$M$72+($C$71:$M$71+$C$72:$M$72=0))),-ED71-ED72),),)</f>
        <v>-8569.1281043514937</v>
      </c>
      <c r="EE73" s="635">
        <f>IFERROR(MIN(MAX(-SUMPRODUCT(($C$5:$M$5=EE$6)*$C$71:$M$71*(Input!$G$90:$Q$90-Input!$G$98:$Q$98)*(EE71+EE72)/($C$71:$M$71+$C$72:$M$72+($C$71:$M$71+$C$72:$M$72=0))),-EE71-EE72),),)</f>
        <v>-8590.2618859702543</v>
      </c>
      <c r="EF73" s="635">
        <f>IFERROR(MIN(MAX(-SUMPRODUCT(($C$5:$M$5=EF$6)*$C$71:$M$71*(Input!$G$90:$Q$90-Input!$G$98:$Q$98)*(EF71+EF72)/($C$71:$M$71+$C$72:$M$72+($C$71:$M$71+$C$72:$M$72=0))),-EF71-EF72),),)</f>
        <v>-8611.4477891957958</v>
      </c>
      <c r="EG73" s="635">
        <f>IFERROR(MIN(MAX(-SUMPRODUCT(($C$5:$M$5=EG$6)*$C$71:$M$71*(Input!$G$90:$Q$90-Input!$G$98:$Q$98)*(EG71+EG72)/($C$71:$M$71+$C$72:$M$72+($C$71:$M$71+$C$72:$M$72=0))),-EG71-EG72),),)</f>
        <v>-8632.6859425740604</v>
      </c>
      <c r="EH73" s="635">
        <f>IFERROR(MIN(MAX(-SUMPRODUCT(($C$5:$M$5=EH$6)*$C$71:$M$71*(Input!$G$90:$Q$90-Input!$G$98:$Q$98)*(EH71+EH72)/($C$71:$M$71+$C$72:$M$72+($C$71:$M$71+$C$72:$M$72=0))),-EH71-EH72),),)</f>
        <v>-8653.9764749680216</v>
      </c>
      <c r="EI73" s="635">
        <f>IFERROR(MIN(MAX(-SUMPRODUCT(($C$5:$M$5=EI$6)*$C$71:$M$71*(Input!$G$90:$Q$90-Input!$G$98:$Q$98)*(EI71+EI72)/($C$71:$M$71+$C$72:$M$72+($C$71:$M$71+$C$72:$M$72=0))),-EI71-EI72),),)</f>
        <v>-8675.3195155584654</v>
      </c>
      <c r="EJ73" s="635">
        <f>IFERROR(MIN(MAX(-SUMPRODUCT(($C$5:$M$5=EJ$6)*$C$71:$M$71*(Input!$G$90:$Q$90-Input!$G$98:$Q$98)*(EJ71+EJ72)/($C$71:$M$71+$C$72:$M$72+($C$71:$M$71+$C$72:$M$72=0))),-EJ71-EJ72),),)</f>
        <v>-8696.7151938447623</v>
      </c>
      <c r="EK73" s="635">
        <f>IFERROR(MIN(MAX(-SUMPRODUCT(($C$5:$M$5=EK$6)*$C$71:$M$71*(Input!$G$90:$Q$90-Input!$G$98:$Q$98)*(EK71+EK72)/($C$71:$M$71+$C$72:$M$72+($C$71:$M$71+$C$72:$M$72=0))),-EK71-EK72),),)</f>
        <v>-8718.1636396456761</v>
      </c>
      <c r="EL73" s="635">
        <f>IFERROR(MIN(MAX(-SUMPRODUCT(($C$5:$M$5=EL$6)*$C$71:$M$71*(Input!$G$90:$Q$90-Input!$G$98:$Q$98)*(EL71+EL72)/($C$71:$M$71+$C$72:$M$72+($C$71:$M$71+$C$72:$M$72=0))),-EL71-EL72),),)</f>
        <v>-8739.6649831001305</v>
      </c>
      <c r="EM73" s="635">
        <f>IFERROR(MIN(MAX(-SUMPRODUCT(($C$5:$M$5=EM$6)*$C$71:$M$71*(Input!$G$90:$Q$90-Input!$G$98:$Q$98)*(EM71+EM72)/($C$71:$M$71+$C$72:$M$72+($C$71:$M$71+$C$72:$M$72=0))),-EM71-EM72),),)</f>
        <v>-8761.2193546680101</v>
      </c>
      <c r="EN73" s="635">
        <f>IFERROR(MIN(MAX(-SUMPRODUCT(($C$5:$M$5=EN$6)*$C$71:$M$71*(Input!$G$90:$Q$90-Input!$G$98:$Q$98)*(EN71+EN72)/($C$71:$M$71+$C$72:$M$72+($C$71:$M$71+$C$72:$M$72=0))),-EN71-EN72),),)</f>
        <v>-8782.8268851309531</v>
      </c>
      <c r="EO73" s="635">
        <f>IFERROR(MIN(MAX(-SUMPRODUCT(($C$5:$M$5=EO$6)*$C$71:$M$71*(Input!$G$90:$Q$90-Input!$G$98:$Q$98)*(EO71+EO72)/($C$71:$M$71+$C$72:$M$72+($C$71:$M$71+$C$72:$M$72=0))),-EO71-EO72),),)</f>
        <v>-8804.4877055931265</v>
      </c>
      <c r="EP73" s="635">
        <f>IFERROR(MIN(MAX(-SUMPRODUCT(($C$5:$M$5=EP$6)*$C$71:$M$71*(Input!$G$90:$Q$90-Input!$G$98:$Q$98)*(EP71+EP72)/($C$71:$M$71+$C$72:$M$72+($C$71:$M$71+$C$72:$M$72=0))),-EP71-EP72),),)</f>
        <v>-8826.2019474820518</v>
      </c>
      <c r="EQ73" s="635">
        <f>IFERROR(MIN(MAX(-SUMPRODUCT(($C$5:$M$5=EQ$6)*$C$71:$M$71*(Input!$G$90:$Q$90-Input!$G$98:$Q$98)*(EQ71+EQ72)/($C$71:$M$71+$C$72:$M$72+($C$71:$M$71+$C$72:$M$72=0))),-EQ71-EQ72),),)</f>
        <v>-8847.9697425493723</v>
      </c>
      <c r="ER73" s="635">
        <f>IFERROR(MIN(MAX(-SUMPRODUCT(($C$5:$M$5=ER$6)*$C$71:$M$71*(Input!$G$90:$Q$90-Input!$G$98:$Q$98)*(ER71+ER72)/($C$71:$M$71+$C$72:$M$72+($C$71:$M$71+$C$72:$M$72=0))),-ER71-ER72),),)</f>
        <v>-8869.7912228716814</v>
      </c>
      <c r="ES73" s="635">
        <f>IFERROR(MIN(MAX(-SUMPRODUCT(($C$5:$M$5=ES$6)*$C$71:$M$71*(Input!$G$90:$Q$90-Input!$G$98:$Q$98)*(ES71+ES72)/($C$71:$M$71+$C$72:$M$72+($C$71:$M$71+$C$72:$M$72=0))),-ES71-ES72),),)</f>
        <v>-8891.6665208512932</v>
      </c>
      <c r="ET73" s="192"/>
    </row>
    <row r="74" spans="1:150">
      <c r="A74" s="192"/>
      <c r="B74" s="36" t="s">
        <v>11</v>
      </c>
      <c r="C74" s="635">
        <f t="shared" si="93"/>
        <v>-19789.142857142881</v>
      </c>
      <c r="D74" s="635">
        <f t="shared" si="93"/>
        <v>-20002.87664960984</v>
      </c>
      <c r="E74" s="635">
        <f t="shared" si="93"/>
        <v>-20511.449531665621</v>
      </c>
      <c r="F74" s="635">
        <f t="shared" si="93"/>
        <v>-21126.793017615611</v>
      </c>
      <c r="G74" s="635">
        <f t="shared" si="93"/>
        <v>-21760.596808144102</v>
      </c>
      <c r="H74" s="635">
        <f t="shared" si="93"/>
        <v>-22413.41471238845</v>
      </c>
      <c r="I74" s="635">
        <f t="shared" si="93"/>
        <v>-23085.81715376013</v>
      </c>
      <c r="J74" s="635">
        <f t="shared" si="93"/>
        <v>-23778.391668372955</v>
      </c>
      <c r="K74" s="635">
        <f t="shared" si="93"/>
        <v>-24491.743418424165</v>
      </c>
      <c r="L74" s="635">
        <f t="shared" si="93"/>
        <v>-25226.49572097692</v>
      </c>
      <c r="M74" s="635">
        <f t="shared" si="93"/>
        <v>-25983.290592606252</v>
      </c>
      <c r="N74" s="192"/>
      <c r="O74" s="635">
        <f t="shared" si="94"/>
        <v>-23778.391668372955</v>
      </c>
      <c r="P74" s="192"/>
      <c r="Q74" s="829">
        <f>-MIN(Q71*SUMIF(Input!$F$89:$Q$89,Q$6,Input!$F$91:$Q$91),SUM(Q71:Q73))</f>
        <v>-1649.0952380952399</v>
      </c>
      <c r="R74" s="829">
        <f>-MIN(R71*SUMIF(Input!$F$89:$Q$89,R$6,Input!$F$91:$Q$91),SUM(R71:R73))</f>
        <v>-1649.0952380952399</v>
      </c>
      <c r="S74" s="829">
        <f>-MIN(S71*SUMIF(Input!$F$89:$Q$89,S$6,Input!$F$91:$Q$91),SUM(S71:S73))</f>
        <v>-1649.0952380952399</v>
      </c>
      <c r="T74" s="829">
        <f>-MIN(T71*SUMIF(Input!$F$89:$Q$89,T$6,Input!$F$91:$Q$91),SUM(T71:T73))</f>
        <v>-1649.0952380952399</v>
      </c>
      <c r="U74" s="829">
        <f>-MIN(U71*SUMIF(Input!$F$89:$Q$89,U$6,Input!$F$91:$Q$91),SUM(U71:U73))</f>
        <v>-1649.0952380952399</v>
      </c>
      <c r="V74" s="829">
        <f>-MIN(V71*SUMIF(Input!$F$89:$Q$89,V$6,Input!$F$91:$Q$91),SUM(V71:V73))</f>
        <v>-1649.0952380952399</v>
      </c>
      <c r="W74" s="829">
        <f>-MIN(W71*SUMIF(Input!$F$89:$Q$89,W$6,Input!$F$91:$Q$91),SUM(W71:W73))</f>
        <v>-1649.0952380952399</v>
      </c>
      <c r="X74" s="829">
        <f>-MIN(X71*SUMIF(Input!$F$89:$Q$89,X$6,Input!$F$91:$Q$91),SUM(X71:X73))</f>
        <v>-1649.0952380952399</v>
      </c>
      <c r="Y74" s="829">
        <f>-MIN(Y71*SUMIF(Input!$F$89:$Q$89,Y$6,Input!$F$91:$Q$91),SUM(Y71:Y73))</f>
        <v>-1649.0952380952399</v>
      </c>
      <c r="Z74" s="829">
        <f>-MIN(Z71*SUMIF(Input!$F$89:$Q$89,Z$6,Input!$F$91:$Q$91),SUM(Z71:Z73))</f>
        <v>-1649.0952380952399</v>
      </c>
      <c r="AA74" s="829">
        <f>-MIN(AA71*SUMIF(Input!$F$89:$Q$89,AA$6,Input!$F$91:$Q$91),SUM(AA71:AA73))</f>
        <v>-1649.0952380952399</v>
      </c>
      <c r="AB74" s="829">
        <f>-MIN(AB71*SUMIF(Input!$F$89:$Q$89,AB$6,Input!$F$91:$Q$91),SUM(AB71:AB73))</f>
        <v>-1649.0952380952399</v>
      </c>
      <c r="AC74" s="829">
        <f>-MIN(AC71*SUMIF(Input!$F$89:$Q$89,AC$6,Input!$F$91:$Q$91),SUM(AC71:AC73))</f>
        <v>-1649.0952380952399</v>
      </c>
      <c r="AD74" s="829">
        <f>-MIN(AD71*SUMIF(Input!$F$89:$Q$89,AD$6,Input!$F$91:$Q$91),SUM(AD71:AD73))</f>
        <v>-1651.8188529555637</v>
      </c>
      <c r="AE74" s="829">
        <f>-MIN(AE71*SUMIF(Input!$F$89:$Q$89,AE$6,Input!$F$91:$Q$91),SUM(AE71:AE73))</f>
        <v>-1654.5469660872643</v>
      </c>
      <c r="AF74" s="829">
        <f>-MIN(AF71*SUMIF(Input!$F$89:$Q$89,AF$6,Input!$F$91:$Q$91),SUM(AF71:AF73))</f>
        <v>-1657.2795849196029</v>
      </c>
      <c r="AG74" s="829">
        <f>-MIN(AG71*SUMIF(Input!$F$89:$Q$89,AG$6,Input!$F$91:$Q$91),SUM(AG71:AG73))</f>
        <v>-1660.0167168941102</v>
      </c>
      <c r="AH74" s="829">
        <f>-MIN(AH71*SUMIF(Input!$F$89:$Q$89,AH$6,Input!$F$91:$Q$91),SUM(AH71:AH73))</f>
        <v>-1662.7583694646078</v>
      </c>
      <c r="AI74" s="829">
        <f>-MIN(AI71*SUMIF(Input!$F$89:$Q$89,AI$6,Input!$F$91:$Q$91),SUM(AI71:AI73))</f>
        <v>-1665.5045500972265</v>
      </c>
      <c r="AJ74" s="829">
        <f>-MIN(AJ71*SUMIF(Input!$F$89:$Q$89,AJ$6,Input!$F$91:$Q$91),SUM(AJ71:AJ73))</f>
        <v>-1668.2552662704306</v>
      </c>
      <c r="AK74" s="829">
        <f>-MIN(AK71*SUMIF(Input!$F$89:$Q$89,AK$6,Input!$F$91:$Q$91),SUM(AK71:AK73))</f>
        <v>-1671.0105254750326</v>
      </c>
      <c r="AL74" s="829">
        <f>-MIN(AL71*SUMIF(Input!$F$89:$Q$89,AL$6,Input!$F$91:$Q$91),SUM(AL71:AL73))</f>
        <v>-1673.7703352142194</v>
      </c>
      <c r="AM74" s="829">
        <f>-MIN(AM71*SUMIF(Input!$F$89:$Q$89,AM$6,Input!$F$91:$Q$91),SUM(AM71:AM73))</f>
        <v>-1676.5347030035678</v>
      </c>
      <c r="AN74" s="829">
        <f>-MIN(AN71*SUMIF(Input!$F$89:$Q$89,AN$6,Input!$F$91:$Q$91),SUM(AN71:AN73))</f>
        <v>-1679.3036363710687</v>
      </c>
      <c r="AO74" s="829">
        <f>-MIN(AO71*SUMIF(Input!$F$89:$Q$89,AO$6,Input!$F$91:$Q$91),SUM(AO71:AO73))</f>
        <v>-1682.0771428571461</v>
      </c>
      <c r="AP74" s="829">
        <f>-MIN(AP71*SUMIF(Input!$F$89:$Q$89,AP$6,Input!$F$91:$Q$91),SUM(AP71:AP73))</f>
        <v>-1686.2255988692575</v>
      </c>
      <c r="AQ74" s="829">
        <f>-MIN(AQ71*SUMIF(Input!$F$89:$Q$89,AQ$6,Input!$F$91:$Q$91),SUM(AQ71:AQ73))</f>
        <v>-1690.3842860930338</v>
      </c>
      <c r="AR74" s="829">
        <f>-MIN(AR71*SUMIF(Input!$F$89:$Q$89,AR$6,Input!$F$91:$Q$91),SUM(AR71:AR73))</f>
        <v>-1694.553229761402</v>
      </c>
      <c r="AS74" s="829">
        <f>-MIN(AS71*SUMIF(Input!$F$89:$Q$89,AS$6,Input!$F$91:$Q$91),SUM(AS71:AS73))</f>
        <v>-1698.7324551695222</v>
      </c>
      <c r="AT74" s="829">
        <f>-MIN(AT71*SUMIF(Input!$F$89:$Q$89,AT$6,Input!$F$91:$Q$91),SUM(AT71:AT73))</f>
        <v>-1702.921987674938</v>
      </c>
      <c r="AU74" s="829">
        <f>-MIN(AU71*SUMIF(Input!$F$89:$Q$89,AU$6,Input!$F$91:$Q$91),SUM(AU71:AU73))</f>
        <v>-1707.121852697732</v>
      </c>
      <c r="AV74" s="829">
        <f>-MIN(AV71*SUMIF(Input!$F$89:$Q$89,AV$6,Input!$F$91:$Q$91),SUM(AV71:AV73))</f>
        <v>-1711.3320757206795</v>
      </c>
      <c r="AW74" s="829">
        <f>-MIN(AW71*SUMIF(Input!$F$89:$Q$89,AW$6,Input!$F$91:$Q$91),SUM(AW71:AW73))</f>
        <v>-1715.5526822894033</v>
      </c>
      <c r="AX74" s="829">
        <f>-MIN(AX71*SUMIF(Input!$F$89:$Q$89,AX$6,Input!$F$91:$Q$91),SUM(AX71:AX73))</f>
        <v>-1719.7836980125282</v>
      </c>
      <c r="AY74" s="829">
        <f>-MIN(AY71*SUMIF(Input!$F$89:$Q$89,AY$6,Input!$F$91:$Q$91),SUM(AY71:AY73))</f>
        <v>-1724.0251485618371</v>
      </c>
      <c r="AZ74" s="829">
        <f>-MIN(AZ71*SUMIF(Input!$F$89:$Q$89,AZ$6,Input!$F$91:$Q$91),SUM(AZ71:AZ73))</f>
        <v>-1728.2770596724265</v>
      </c>
      <c r="BA74" s="829">
        <f>-MIN(BA71*SUMIF(Input!$F$89:$Q$89,BA$6,Input!$F$91:$Q$91),SUM(BA71:BA73))</f>
        <v>-1732.5394571428626</v>
      </c>
      <c r="BB74" s="829">
        <f>-MIN(BB71*SUMIF(Input!$F$89:$Q$89,BB$6,Input!$F$91:$Q$91),SUM(BB71:BB73))</f>
        <v>-1736.8123668353373</v>
      </c>
      <c r="BC74" s="829">
        <f>-MIN(BC71*SUMIF(Input!$F$89:$Q$89,BC$6,Input!$F$91:$Q$91),SUM(BC71:BC73))</f>
        <v>-1741.0958146758269</v>
      </c>
      <c r="BD74" s="829">
        <f>-MIN(BD71*SUMIF(Input!$F$89:$Q$89,BD$6,Input!$F$91:$Q$91),SUM(BD71:BD73))</f>
        <v>-1745.3898266542462</v>
      </c>
      <c r="BE74" s="829">
        <f>-MIN(BE71*SUMIF(Input!$F$89:$Q$89,BE$6,Input!$F$91:$Q$91),SUM(BE71:BE73))</f>
        <v>-1749.6944288246098</v>
      </c>
      <c r="BF74" s="829">
        <f>-MIN(BF71*SUMIF(Input!$F$89:$Q$89,BF$6,Input!$F$91:$Q$91),SUM(BF71:BF73))</f>
        <v>-1754.0096473051885</v>
      </c>
      <c r="BG74" s="829">
        <f>-MIN(BG71*SUMIF(Input!$F$89:$Q$89,BG$6,Input!$F$91:$Q$91),SUM(BG71:BG73))</f>
        <v>-1758.3355082786661</v>
      </c>
      <c r="BH74" s="829">
        <f>-MIN(BH71*SUMIF(Input!$F$89:$Q$89,BH$6,Input!$F$91:$Q$91),SUM(BH71:BH73))</f>
        <v>-1762.6720379923017</v>
      </c>
      <c r="BI74" s="829">
        <f>-MIN(BI71*SUMIF(Input!$F$89:$Q$89,BI$6,Input!$F$91:$Q$91),SUM(BI71:BI73))</f>
        <v>-1767.0192627580873</v>
      </c>
      <c r="BJ74" s="829">
        <f>-MIN(BJ71*SUMIF(Input!$F$89:$Q$89,BJ$6,Input!$F$91:$Q$91),SUM(BJ71:BJ73))</f>
        <v>-1771.3772089529059</v>
      </c>
      <c r="BK74" s="829">
        <f>-MIN(BK71*SUMIF(Input!$F$89:$Q$89,BK$6,Input!$F$91:$Q$91),SUM(BK71:BK73))</f>
        <v>-1775.7459030186944</v>
      </c>
      <c r="BL74" s="829">
        <f>-MIN(BL71*SUMIF(Input!$F$89:$Q$89,BL$6,Input!$F$91:$Q$91),SUM(BL71:BL73))</f>
        <v>-1780.1253714626014</v>
      </c>
      <c r="BM74" s="829">
        <f>-MIN(BM71*SUMIF(Input!$F$89:$Q$89,BM$6,Input!$F$91:$Q$91),SUM(BM71:BM73))</f>
        <v>-1784.5156408571504</v>
      </c>
      <c r="BN74" s="829">
        <f>-MIN(BN71*SUMIF(Input!$F$89:$Q$89,BN$6,Input!$F$91:$Q$91),SUM(BN71:BN73))</f>
        <v>-1788.9167378403995</v>
      </c>
      <c r="BO74" s="829">
        <f>-MIN(BO71*SUMIF(Input!$F$89:$Q$89,BO$6,Input!$F$91:$Q$91),SUM(BO71:BO73))</f>
        <v>-1793.3286891161035</v>
      </c>
      <c r="BP74" s="829">
        <f>-MIN(BP71*SUMIF(Input!$F$89:$Q$89,BP$6,Input!$F$91:$Q$91),SUM(BP71:BP73))</f>
        <v>-1797.7515214538755</v>
      </c>
      <c r="BQ74" s="829">
        <f>-MIN(BQ71*SUMIF(Input!$F$89:$Q$89,BQ$6,Input!$F$91:$Q$91),SUM(BQ71:BQ73))</f>
        <v>-1802.18526168935</v>
      </c>
      <c r="BR74" s="829">
        <f>-MIN(BR71*SUMIF(Input!$F$89:$Q$89,BR$6,Input!$F$91:$Q$91),SUM(BR71:BR73))</f>
        <v>-1806.6299367243455</v>
      </c>
      <c r="BS74" s="829">
        <f>-MIN(BS71*SUMIF(Input!$F$89:$Q$89,BS$6,Input!$F$91:$Q$91),SUM(BS71:BS73))</f>
        <v>-1811.0855735270279</v>
      </c>
      <c r="BT74" s="829">
        <f>-MIN(BT71*SUMIF(Input!$F$89:$Q$89,BT$6,Input!$F$91:$Q$91),SUM(BT71:BT73))</f>
        <v>-1815.5521991320732</v>
      </c>
      <c r="BU74" s="829">
        <f>-MIN(BU71*SUMIF(Input!$F$89:$Q$89,BU$6,Input!$F$91:$Q$91),SUM(BU71:BU73))</f>
        <v>-1820.0298406408319</v>
      </c>
      <c r="BV74" s="829">
        <f>-MIN(BV71*SUMIF(Input!$F$89:$Q$89,BV$6,Input!$F$91:$Q$91),SUM(BV71:BV73))</f>
        <v>-1824.5185252214949</v>
      </c>
      <c r="BW74" s="829">
        <f>-MIN(BW71*SUMIF(Input!$F$89:$Q$89,BW$6,Input!$F$91:$Q$91),SUM(BW71:BW73))</f>
        <v>-1829.0182801092569</v>
      </c>
      <c r="BX74" s="829">
        <f>-MIN(BX71*SUMIF(Input!$F$89:$Q$89,BX$6,Input!$F$91:$Q$91),SUM(BX71:BX73))</f>
        <v>-1833.5291326064814</v>
      </c>
      <c r="BY74" s="829">
        <f>-MIN(BY71*SUMIF(Input!$F$89:$Q$89,BY$6,Input!$F$91:$Q$91),SUM(BY71:BY73))</f>
        <v>-1838.0511100828667</v>
      </c>
      <c r="BZ74" s="829">
        <f>-MIN(BZ71*SUMIF(Input!$F$89:$Q$89,BZ$6,Input!$F$91:$Q$91),SUM(BZ71:BZ73))</f>
        <v>-1842.5842399756134</v>
      </c>
      <c r="CA74" s="829">
        <f>-MIN(CA71*SUMIF(Input!$F$89:$Q$89,CA$6,Input!$F$91:$Q$91),SUM(CA71:CA73))</f>
        <v>-1847.1285497895881</v>
      </c>
      <c r="CB74" s="829">
        <f>-MIN(CB71*SUMIF(Input!$F$89:$Q$89,CB$6,Input!$F$91:$Q$91),SUM(CB71:CB73))</f>
        <v>-1851.6840670974934</v>
      </c>
      <c r="CC74" s="829">
        <f>-MIN(CC71*SUMIF(Input!$F$89:$Q$89,CC$6,Input!$F$91:$Q$91),SUM(CC71:CC73))</f>
        <v>-1856.2508195400321</v>
      </c>
      <c r="CD74" s="829">
        <f>-MIN(CD71*SUMIF(Input!$F$89:$Q$89,CD$6,Input!$F$91:$Q$91),SUM(CD71:CD73))</f>
        <v>-1860.8288348260778</v>
      </c>
      <c r="CE74" s="829">
        <f>-MIN(CE71*SUMIF(Input!$F$89:$Q$89,CE$6,Input!$F$91:$Q$91),SUM(CE71:CE73))</f>
        <v>-1865.4181407328404</v>
      </c>
      <c r="CF74" s="829">
        <f>-MIN(CF71*SUMIF(Input!$F$89:$Q$89,CF$6,Input!$F$91:$Q$91),SUM(CF71:CF73))</f>
        <v>-1870.0187651060367</v>
      </c>
      <c r="CG74" s="829">
        <f>-MIN(CG71*SUMIF(Input!$F$89:$Q$89,CG$6,Input!$F$91:$Q$91),SUM(CG71:CG73))</f>
        <v>-1874.6307358600582</v>
      </c>
      <c r="CH74" s="829">
        <f>-MIN(CH71*SUMIF(Input!$F$89:$Q$89,CH$6,Input!$F$91:$Q$91),SUM(CH71:CH73))</f>
        <v>-1879.2540809781415</v>
      </c>
      <c r="CI74" s="829">
        <f>-MIN(CI71*SUMIF(Input!$F$89:$Q$89,CI$6,Input!$F$91:$Q$91),SUM(CI71:CI73))</f>
        <v>-1883.8888285125363</v>
      </c>
      <c r="CJ74" s="829">
        <f>-MIN(CJ71*SUMIF(Input!$F$89:$Q$89,CJ$6,Input!$F$91:$Q$91),SUM(CJ71:CJ73))</f>
        <v>-1888.5350065846774</v>
      </c>
      <c r="CK74" s="829">
        <f>-MIN(CK71*SUMIF(Input!$F$89:$Q$89,CK$6,Input!$F$91:$Q$91),SUM(CK71:CK73))</f>
        <v>-1893.1926433853548</v>
      </c>
      <c r="CL74" s="829">
        <f>-MIN(CL71*SUMIF(Input!$F$89:$Q$89,CL$6,Input!$F$91:$Q$91),SUM(CL71:CL73))</f>
        <v>-1897.8617671748834</v>
      </c>
      <c r="CM74" s="829">
        <f>-MIN(CM71*SUMIF(Input!$F$89:$Q$89,CM$6,Input!$F$91:$Q$91),SUM(CM71:CM73))</f>
        <v>-1902.5424062832778</v>
      </c>
      <c r="CN74" s="829">
        <f>-MIN(CN71*SUMIF(Input!$F$89:$Q$89,CN$6,Input!$F$91:$Q$91),SUM(CN71:CN73))</f>
        <v>-1907.2345891104203</v>
      </c>
      <c r="CO74" s="829">
        <f>-MIN(CO71*SUMIF(Input!$F$89:$Q$89,CO$6,Input!$F$91:$Q$91),SUM(CO71:CO73))</f>
        <v>-1911.9383441262353</v>
      </c>
      <c r="CP74" s="829">
        <f>-MIN(CP71*SUMIF(Input!$F$89:$Q$89,CP$6,Input!$F$91:$Q$91),SUM(CP71:CP73))</f>
        <v>-1916.6536998708623</v>
      </c>
      <c r="CQ74" s="829">
        <f>-MIN(CQ71*SUMIF(Input!$F$89:$Q$89,CQ$6,Input!$F$91:$Q$91),SUM(CQ71:CQ73))</f>
        <v>-1921.3806849548278</v>
      </c>
      <c r="CR74" s="829">
        <f>-MIN(CR71*SUMIF(Input!$F$89:$Q$89,CR$6,Input!$F$91:$Q$91),SUM(CR71:CR73))</f>
        <v>-1926.1193280592197</v>
      </c>
      <c r="CS74" s="829">
        <f>-MIN(CS71*SUMIF(Input!$F$89:$Q$89,CS$6,Input!$F$91:$Q$91),SUM(CS71:CS73))</f>
        <v>-1930.8696579358623</v>
      </c>
      <c r="CT74" s="829">
        <f>-MIN(CT71*SUMIF(Input!$F$89:$Q$89,CT$6,Input!$F$91:$Q$91),SUM(CT71:CT73))</f>
        <v>-1935.6317034074877</v>
      </c>
      <c r="CU74" s="829">
        <f>-MIN(CU71*SUMIF(Input!$F$89:$Q$89,CU$6,Input!$F$91:$Q$91),SUM(CU71:CU73))</f>
        <v>-1940.405493367914</v>
      </c>
      <c r="CV74" s="829">
        <f>-MIN(CV71*SUMIF(Input!$F$89:$Q$89,CV$6,Input!$F$91:$Q$91),SUM(CV71:CV73))</f>
        <v>-1945.1910567822194</v>
      </c>
      <c r="CW74" s="829">
        <f>-MIN(CW71*SUMIF(Input!$F$89:$Q$89,CW$6,Input!$F$91:$Q$91),SUM(CW71:CW73))</f>
        <v>-1949.9884226869169</v>
      </c>
      <c r="CX74" s="829">
        <f>-MIN(CX71*SUMIF(Input!$F$89:$Q$89,CX$6,Input!$F$91:$Q$91),SUM(CX71:CX73))</f>
        <v>-1954.7976201901317</v>
      </c>
      <c r="CY74" s="829">
        <f>-MIN(CY71*SUMIF(Input!$F$89:$Q$89,CY$6,Input!$F$91:$Q$91),SUM(CY71:CY73))</f>
        <v>-1959.6186784717779</v>
      </c>
      <c r="CZ74" s="829">
        <f>-MIN(CZ71*SUMIF(Input!$F$89:$Q$89,CZ$6,Input!$F$91:$Q$91),SUM(CZ71:CZ73))</f>
        <v>-1964.4516267837346</v>
      </c>
      <c r="DA74" s="829">
        <f>-MIN(DA71*SUMIF(Input!$F$89:$Q$89,DA$6,Input!$F$91:$Q$91),SUM(DA71:DA73))</f>
        <v>-1969.2964944500241</v>
      </c>
      <c r="DB74" s="829">
        <f>-MIN(DB71*SUMIF(Input!$F$89:$Q$89,DB$6,Input!$F$91:$Q$91),SUM(DB71:DB73))</f>
        <v>-1974.1533108669896</v>
      </c>
      <c r="DC74" s="829">
        <f>-MIN(DC71*SUMIF(Input!$F$89:$Q$89,DC$6,Input!$F$91:$Q$91),SUM(DC71:DC73))</f>
        <v>-1979.0221055034742</v>
      </c>
      <c r="DD74" s="829">
        <f>-MIN(DD71*SUMIF(Input!$F$89:$Q$89,DD$6,Input!$F$91:$Q$91),SUM(DD71:DD73))</f>
        <v>-1983.9029079009986</v>
      </c>
      <c r="DE74" s="829">
        <f>-MIN(DE71*SUMIF(Input!$F$89:$Q$89,DE$6,Input!$F$91:$Q$91),SUM(DE71:DE73))</f>
        <v>-1988.7957476739402</v>
      </c>
      <c r="DF74" s="829">
        <f>-MIN(DF71*SUMIF(Input!$F$89:$Q$89,DF$6,Input!$F$91:$Q$91),SUM(DF71:DF73))</f>
        <v>-1993.7006545097142</v>
      </c>
      <c r="DG74" s="829">
        <f>-MIN(DG71*SUMIF(Input!$F$89:$Q$89,DG$6,Input!$F$91:$Q$91),SUM(DG71:DG73))</f>
        <v>-1998.6176581689538</v>
      </c>
      <c r="DH74" s="829">
        <f>-MIN(DH71*SUMIF(Input!$F$89:$Q$89,DH$6,Input!$F$91:$Q$91),SUM(DH71:DH73))</f>
        <v>-2003.5467884856882</v>
      </c>
      <c r="DI74" s="829">
        <f>-MIN(DI71*SUMIF(Input!$F$89:$Q$89,DI$6,Input!$F$91:$Q$91),SUM(DI71:DI73))</f>
        <v>-2008.4880753675266</v>
      </c>
      <c r="DJ74" s="829">
        <f>-MIN(DJ71*SUMIF(Input!$F$89:$Q$89,DJ$6,Input!$F$91:$Q$91),SUM(DJ71:DJ73))</f>
        <v>-2013.4415487958379</v>
      </c>
      <c r="DK74" s="829">
        <f>-MIN(DK71*SUMIF(Input!$F$89:$Q$89,DK$6,Input!$F$91:$Q$91),SUM(DK71:DK73))</f>
        <v>-2018.4072388259331</v>
      </c>
      <c r="DL74" s="829">
        <f>-MIN(DL71*SUMIF(Input!$F$89:$Q$89,DL$6,Input!$F$91:$Q$91),SUM(DL71:DL73))</f>
        <v>-2023.3851755872486</v>
      </c>
      <c r="DM74" s="829">
        <f>-MIN(DM71*SUMIF(Input!$F$89:$Q$89,DM$6,Input!$F$91:$Q$91),SUM(DM71:DM73))</f>
        <v>-2028.3753892835268</v>
      </c>
      <c r="DN74" s="829">
        <f>-MIN(DN71*SUMIF(Input!$F$89:$Q$89,DN$6,Input!$F$91:$Q$91),SUM(DN71:DN73))</f>
        <v>-2033.3779101930015</v>
      </c>
      <c r="DO74" s="829">
        <f>-MIN(DO71*SUMIF(Input!$F$89:$Q$89,DO$6,Input!$F$91:$Q$91),SUM(DO71:DO73))</f>
        <v>-2038.3927686685811</v>
      </c>
      <c r="DP74" s="829">
        <f>-MIN(DP71*SUMIF(Input!$F$89:$Q$89,DP$6,Input!$F$91:$Q$91),SUM(DP71:DP73))</f>
        <v>-2043.4199951380306</v>
      </c>
      <c r="DQ74" s="829">
        <f>-MIN(DQ71*SUMIF(Input!$F$89:$Q$89,DQ$6,Input!$F$91:$Q$91),SUM(DQ71:DQ73))</f>
        <v>-2048.4596201041604</v>
      </c>
      <c r="DR74" s="829">
        <f>-MIN(DR71*SUMIF(Input!$F$89:$Q$89,DR$6,Input!$F$91:$Q$91),SUM(DR71:DR73))</f>
        <v>-2053.5116741450074</v>
      </c>
      <c r="DS74" s="829">
        <f>-MIN(DS71*SUMIF(Input!$F$89:$Q$89,DS$6,Input!$F$91:$Q$91),SUM(DS71:DS73))</f>
        <v>-2058.5761879140246</v>
      </c>
      <c r="DT74" s="829">
        <f>-MIN(DT71*SUMIF(Input!$F$89:$Q$89,DT$6,Input!$F$91:$Q$91),SUM(DT71:DT73))</f>
        <v>-2063.6531921402602</v>
      </c>
      <c r="DU74" s="829">
        <f>-MIN(DU71*SUMIF(Input!$F$89:$Q$89,DU$6,Input!$F$91:$Q$91),SUM(DU71:DU73))</f>
        <v>-2068.7427176285546</v>
      </c>
      <c r="DV74" s="829">
        <f>-MIN(DV71*SUMIF(Input!$F$89:$Q$89,DV$6,Input!$F$91:$Q$91),SUM(DV71:DV73))</f>
        <v>-2073.8447952597148</v>
      </c>
      <c r="DW74" s="829">
        <f>-MIN(DW71*SUMIF(Input!$F$89:$Q$89,DW$6,Input!$F$91:$Q$91),SUM(DW71:DW73))</f>
        <v>-2078.9594559907132</v>
      </c>
      <c r="DX74" s="829">
        <f>-MIN(DX71*SUMIF(Input!$F$89:$Q$89,DX$6,Input!$F$91:$Q$91),SUM(DX71:DX73))</f>
        <v>-2084.0867308548682</v>
      </c>
      <c r="DY74" s="829">
        <f>-MIN(DY71*SUMIF(Input!$F$89:$Q$89,DY$6,Input!$F$91:$Q$91),SUM(DY71:DY73))</f>
        <v>-2089.2266509620349</v>
      </c>
      <c r="DZ74" s="829">
        <f>-MIN(DZ71*SUMIF(Input!$F$89:$Q$89,DZ$6,Input!$F$91:$Q$91),SUM(DZ71:DZ73))</f>
        <v>-2094.379247498794</v>
      </c>
      <c r="EA74" s="829">
        <f>-MIN(EA71*SUMIF(Input!$F$89:$Q$89,EA$6,Input!$F$91:$Q$91),SUM(EA71:EA73))</f>
        <v>-2099.5445517286403</v>
      </c>
      <c r="EB74" s="829">
        <f>-MIN(EB71*SUMIF(Input!$F$89:$Q$89,EB$6,Input!$F$91:$Q$91),SUM(EB71:EB73))</f>
        <v>-2104.7225949921735</v>
      </c>
      <c r="EC74" s="829">
        <f>-MIN(EC71*SUMIF(Input!$F$89:$Q$89,EC$6,Input!$F$91:$Q$91),SUM(EC71:EC73))</f>
        <v>-2109.9134087072866</v>
      </c>
      <c r="ED74" s="829">
        <f>-MIN(ED71*SUMIF(Input!$F$89:$Q$89,ED$6,Input!$F$91:$Q$91),SUM(ED71:ED73))</f>
        <v>-2115.11702436936</v>
      </c>
      <c r="EE74" s="829">
        <f>-MIN(EE71*SUMIF(Input!$F$89:$Q$89,EE$6,Input!$F$91:$Q$91),SUM(EE71:EE73))</f>
        <v>-2120.3334735514472</v>
      </c>
      <c r="EF74" s="829">
        <f>-MIN(EF71*SUMIF(Input!$F$89:$Q$89,EF$6,Input!$F$91:$Q$91),SUM(EF71:EF73))</f>
        <v>-2125.562787904471</v>
      </c>
      <c r="EG74" s="829">
        <f>-MIN(EG71*SUMIF(Input!$F$89:$Q$89,EG$6,Input!$F$91:$Q$91),SUM(EG71:EG73))</f>
        <v>-2130.8049991574135</v>
      </c>
      <c r="EH74" s="829">
        <f>-MIN(EH71*SUMIF(Input!$F$89:$Q$89,EH$6,Input!$F$91:$Q$91),SUM(EH71:EH73))</f>
        <v>-2136.0601391175087</v>
      </c>
      <c r="EI74" s="829">
        <f>-MIN(EI71*SUMIF(Input!$F$89:$Q$89,EI$6,Input!$F$91:$Q$91),SUM(EI71:EI73))</f>
        <v>-2141.3282396704371</v>
      </c>
      <c r="EJ74" s="829">
        <f>-MIN(EJ71*SUMIF(Input!$F$89:$Q$89,EJ$6,Input!$F$91:$Q$91),SUM(EJ71:EJ73))</f>
        <v>-2146.609332780517</v>
      </c>
      <c r="EK74" s="829">
        <f>-MIN(EK71*SUMIF(Input!$F$89:$Q$89,EK$6,Input!$F$91:$Q$91),SUM(EK71:EK73))</f>
        <v>-2151.9034504908982</v>
      </c>
      <c r="EL74" s="829">
        <f>-MIN(EL71*SUMIF(Input!$F$89:$Q$89,EL$6,Input!$F$91:$Q$91),SUM(EL71:EL73))</f>
        <v>-2157.21062492376</v>
      </c>
      <c r="EM74" s="829">
        <f>-MIN(EM71*SUMIF(Input!$F$89:$Q$89,EM$6,Input!$F$91:$Q$91),SUM(EM71:EM73))</f>
        <v>-2162.5308882805016</v>
      </c>
      <c r="EN74" s="829">
        <f>-MIN(EN71*SUMIF(Input!$F$89:$Q$89,EN$6,Input!$F$91:$Q$91),SUM(EN71:EN73))</f>
        <v>-2167.8642728419413</v>
      </c>
      <c r="EO74" s="829">
        <f>-MIN(EO71*SUMIF(Input!$F$89:$Q$89,EO$6,Input!$F$91:$Q$91),SUM(EO71:EO73))</f>
        <v>-2173.2108109685082</v>
      </c>
      <c r="EP74" s="829">
        <f>-MIN(EP71*SUMIF(Input!$F$89:$Q$89,EP$6,Input!$F$91:$Q$91),SUM(EP71:EP73))</f>
        <v>-2178.5705351004435</v>
      </c>
      <c r="EQ74" s="829">
        <f>-MIN(EQ71*SUMIF(Input!$F$89:$Q$89,EQ$6,Input!$F$91:$Q$91),SUM(EQ71:EQ73))</f>
        <v>-2183.9434777579932</v>
      </c>
      <c r="ER74" s="829">
        <f>-MIN(ER71*SUMIF(Input!$F$89:$Q$89,ER$6,Input!$F$91:$Q$91),SUM(ER71:ER73))</f>
        <v>-2189.3296715416077</v>
      </c>
      <c r="ES74" s="829">
        <f>-MIN(ES71*SUMIF(Input!$F$89:$Q$89,ES$6,Input!$F$91:$Q$91),SUM(ES71:ES73))</f>
        <v>-2194.7291491321384</v>
      </c>
      <c r="ET74" s="192"/>
    </row>
    <row r="75" spans="1:150">
      <c r="A75" s="192"/>
      <c r="B75" s="36" t="s">
        <v>118</v>
      </c>
      <c r="C75" s="635">
        <f t="shared" si="93"/>
        <v>-88190.520000000062</v>
      </c>
      <c r="D75" s="635">
        <f t="shared" si="93"/>
        <v>-56727.380728264012</v>
      </c>
      <c r="E75" s="635">
        <f t="shared" si="93"/>
        <v>-24929.860137907366</v>
      </c>
      <c r="F75" s="635">
        <f t="shared" si="93"/>
        <v>-17118.50396136308</v>
      </c>
      <c r="G75" s="635">
        <f t="shared" si="93"/>
        <v>-8816.0295401019921</v>
      </c>
      <c r="H75" s="635">
        <f t="shared" si="93"/>
        <v>-9080.5104263050598</v>
      </c>
      <c r="I75" s="635">
        <f t="shared" si="93"/>
        <v>-9352.9257390942239</v>
      </c>
      <c r="J75" s="635">
        <f t="shared" si="93"/>
        <v>-9633.5135112670596</v>
      </c>
      <c r="K75" s="635">
        <f t="shared" si="93"/>
        <v>-9922.5189166050804</v>
      </c>
      <c r="L75" s="635">
        <f t="shared" si="93"/>
        <v>-10220.194484103244</v>
      </c>
      <c r="M75" s="635">
        <f t="shared" si="93"/>
        <v>-10526.800318626352</v>
      </c>
      <c r="N75" s="192"/>
      <c r="O75" s="635">
        <f t="shared" si="94"/>
        <v>-9633.5135112670596</v>
      </c>
      <c r="P75" s="192"/>
      <c r="Q75" s="635">
        <f>-MIN(Q71*SUMIF(Input!$F$89:$Q$89,Q$6,Input!$F$92:$Q$92),SUM(Q71:Q74))</f>
        <v>-12571.202380952247</v>
      </c>
      <c r="R75" s="635">
        <f>-MIN(R71*SUMIF(Input!$F$89:$Q$89,R$6,Input!$F$92:$Q$92),SUM(R71:R74))</f>
        <v>-7349.2100000000037</v>
      </c>
      <c r="S75" s="635">
        <f>-MIN(S71*SUMIF(Input!$F$89:$Q$89,S$6,Input!$F$92:$Q$92),SUM(S71:S74))</f>
        <v>-7349.2100000000037</v>
      </c>
      <c r="T75" s="635">
        <f>-MIN(T71*SUMIF(Input!$F$89:$Q$89,T$6,Input!$F$92:$Q$92),SUM(T71:T74))</f>
        <v>-7349.2100000000037</v>
      </c>
      <c r="U75" s="635">
        <f>-MIN(U71*SUMIF(Input!$F$89:$Q$89,U$6,Input!$F$92:$Q$92),SUM(U71:U74))</f>
        <v>-7349.2100000000037</v>
      </c>
      <c r="V75" s="635">
        <f>-MIN(V71*SUMIF(Input!$F$89:$Q$89,V$6,Input!$F$92:$Q$92),SUM(V71:V74))</f>
        <v>-7349.2100000000037</v>
      </c>
      <c r="W75" s="635">
        <f>-MIN(W71*SUMIF(Input!$F$89:$Q$89,W$6,Input!$F$92:$Q$92),SUM(W71:W74))</f>
        <v>-7349.2100000000037</v>
      </c>
      <c r="X75" s="635">
        <f>-MIN(X71*SUMIF(Input!$F$89:$Q$89,X$6,Input!$F$92:$Q$92),SUM(X71:X74))</f>
        <v>-7349.2100000000037</v>
      </c>
      <c r="Y75" s="635">
        <f>-MIN(Y71*SUMIF(Input!$F$89:$Q$89,Y$6,Input!$F$92:$Q$92),SUM(Y71:Y74))</f>
        <v>-7349.2100000000037</v>
      </c>
      <c r="Z75" s="635">
        <f>-MIN(Z71*SUMIF(Input!$F$89:$Q$89,Z$6,Input!$F$92:$Q$92),SUM(Z71:Z74))</f>
        <v>-7349.2100000000037</v>
      </c>
      <c r="AA75" s="635">
        <f>-MIN(AA71*SUMIF(Input!$F$89:$Q$89,AA$6,Input!$F$92:$Q$92),SUM(AA71:AA74))</f>
        <v>-7349.2100000000037</v>
      </c>
      <c r="AB75" s="635">
        <f>-MIN(AB71*SUMIF(Input!$F$89:$Q$89,AB$6,Input!$F$92:$Q$92),SUM(AB71:AB74))</f>
        <v>-7349.2100000000037</v>
      </c>
      <c r="AC75" s="635">
        <f>-MIN(AC71*SUMIF(Input!$F$89:$Q$89,AC$6,Input!$F$92:$Q$92),SUM(AC71:AC74))</f>
        <v>-7349.2100000000037</v>
      </c>
      <c r="AD75" s="635">
        <f>-MIN(AD71*SUMIF(Input!$F$89:$Q$89,AD$6,Input!$F$92:$Q$92),SUM(AD71:AD74))</f>
        <v>-4684.4940658853839</v>
      </c>
      <c r="AE75" s="635">
        <f>-MIN(AE71*SUMIF(Input!$F$89:$Q$89,AE$6,Input!$F$92:$Q$92),SUM(AE71:AE74))</f>
        <v>-4692.2308886935562</v>
      </c>
      <c r="AF75" s="635">
        <f>-MIN(AF71*SUMIF(Input!$F$89:$Q$89,AF$6,Input!$F$92:$Q$92),SUM(AF71:AF74))</f>
        <v>-4699.9804894936151</v>
      </c>
      <c r="AG75" s="635">
        <f>-MIN(AG71*SUMIF(Input!$F$89:$Q$89,AG$6,Input!$F$92:$Q$92),SUM(AG71:AG74))</f>
        <v>-4707.742889389453</v>
      </c>
      <c r="AH75" s="635">
        <f>-MIN(AH71*SUMIF(Input!$F$89:$Q$89,AH$6,Input!$F$92:$Q$92),SUM(AH71:AH74))</f>
        <v>-4715.5181095198168</v>
      </c>
      <c r="AI75" s="635">
        <f>-MIN(AI71*SUMIF(Input!$F$89:$Q$89,AI$6,Input!$F$92:$Q$92),SUM(AI71:AI74))</f>
        <v>-4723.3061710583643</v>
      </c>
      <c r="AJ75" s="635">
        <f>-MIN(AJ71*SUMIF(Input!$F$89:$Q$89,AJ$6,Input!$F$92:$Q$92),SUM(AJ71:AJ74))</f>
        <v>-4731.1070952137306</v>
      </c>
      <c r="AK75" s="635">
        <f>-MIN(AK71*SUMIF(Input!$F$89:$Q$89,AK$6,Input!$F$92:$Q$92),SUM(AK71:AK74))</f>
        <v>-4738.9209032295676</v>
      </c>
      <c r="AL75" s="635">
        <f>-MIN(AL71*SUMIF(Input!$F$89:$Q$89,AL$6,Input!$F$92:$Q$92),SUM(AL71:AL74))</f>
        <v>-4746.7476163846213</v>
      </c>
      <c r="AM75" s="635">
        <f>-MIN(AM71*SUMIF(Input!$F$89:$Q$89,AM$6,Input!$F$92:$Q$92),SUM(AM71:AM74))</f>
        <v>-4754.5872559927757</v>
      </c>
      <c r="AN75" s="635">
        <f>-MIN(AN71*SUMIF(Input!$F$89:$Q$89,AN$6,Input!$F$92:$Q$92),SUM(AN71:AN74))</f>
        <v>-4762.4398434031209</v>
      </c>
      <c r="AO75" s="635">
        <f>-MIN(AO71*SUMIF(Input!$F$89:$Q$89,AO$6,Input!$F$92:$Q$92),SUM(AO71:AO74))</f>
        <v>-4770.3054000000066</v>
      </c>
      <c r="AP75" s="635">
        <f>-MIN(AP71*SUMIF(Input!$F$89:$Q$89,AP$6,Input!$F$92:$Q$92),SUM(AP71:AP74))</f>
        <v>-2049.4586828625784</v>
      </c>
      <c r="AQ75" s="635">
        <f>-MIN(AQ71*SUMIF(Input!$F$89:$Q$89,AQ$6,Input!$F$92:$Q$92),SUM(AQ71:AQ74))</f>
        <v>-2054.5132008617079</v>
      </c>
      <c r="AR75" s="635">
        <f>-MIN(AR71*SUMIF(Input!$F$89:$Q$89,AR$6,Input!$F$92:$Q$92),SUM(AR71:AR74))</f>
        <v>-2059.5801846657919</v>
      </c>
      <c r="AS75" s="635">
        <f>-MIN(AS71*SUMIF(Input!$F$89:$Q$89,AS$6,Input!$F$92:$Q$92),SUM(AS71:AS74))</f>
        <v>-2064.659665018869</v>
      </c>
      <c r="AT75" s="635">
        <f>-MIN(AT71*SUMIF(Input!$F$89:$Q$89,AT$6,Input!$F$92:$Q$92),SUM(AT71:AT74))</f>
        <v>-2069.7516727407997</v>
      </c>
      <c r="AU75" s="635">
        <f>-MIN(AU71*SUMIF(Input!$F$89:$Q$89,AU$6,Input!$F$92:$Q$92),SUM(AU71:AU74))</f>
        <v>-2074.8562387274551</v>
      </c>
      <c r="AV75" s="635">
        <f>-MIN(AV71*SUMIF(Input!$F$89:$Q$89,AV$6,Input!$F$92:$Q$92),SUM(AV71:AV74))</f>
        <v>-2079.9733939509047</v>
      </c>
      <c r="AW75" s="635">
        <f>-MIN(AW71*SUMIF(Input!$F$89:$Q$89,AW$6,Input!$F$92:$Q$92),SUM(AW71:AW74))</f>
        <v>-2085.1031694596018</v>
      </c>
      <c r="AX75" s="635">
        <f>-MIN(AX71*SUMIF(Input!$F$89:$Q$89,AX$6,Input!$F$92:$Q$92),SUM(AX71:AX74))</f>
        <v>-2090.2455963785746</v>
      </c>
      <c r="AY75" s="635">
        <f>-MIN(AY71*SUMIF(Input!$F$89:$Q$89,AY$6,Input!$F$92:$Q$92),SUM(AY71:AY74))</f>
        <v>-2095.4007059096139</v>
      </c>
      <c r="AZ75" s="635">
        <f>-MIN(AZ71*SUMIF(Input!$F$89:$Q$89,AZ$6,Input!$F$92:$Q$92),SUM(AZ71:AZ74))</f>
        <v>-2100.5685293314623</v>
      </c>
      <c r="BA75" s="635">
        <f>-MIN(BA71*SUMIF(Input!$F$89:$Q$89,BA$6,Input!$F$92:$Q$92),SUM(BA71:BA74))</f>
        <v>-2105.7490980000052</v>
      </c>
      <c r="BB75" s="635">
        <f>-MIN(BB71*SUMIF(Input!$F$89:$Q$89,BB$6,Input!$F$92:$Q$92),SUM(BB71:BB74))</f>
        <v>-1407.2949622323056</v>
      </c>
      <c r="BC75" s="635">
        <f>-MIN(BC71*SUMIF(Input!$F$89:$Q$89,BC$6,Input!$F$92:$Q$92),SUM(BC71:BC74))</f>
        <v>-1410.7657312583747</v>
      </c>
      <c r="BD75" s="635">
        <f>-MIN(BD71*SUMIF(Input!$F$89:$Q$89,BD$6,Input!$F$92:$Q$92),SUM(BD71:BD74))</f>
        <v>-1414.2450601371788</v>
      </c>
      <c r="BE75" s="635">
        <f>-MIN(BE71*SUMIF(Input!$F$89:$Q$89,BE$6,Input!$F$92:$Q$92),SUM(BE71:BE74))</f>
        <v>-1417.7329699796248</v>
      </c>
      <c r="BF75" s="635">
        <f>-MIN(BF71*SUMIF(Input!$F$89:$Q$89,BF$6,Input!$F$92:$Q$92),SUM(BF71:BF74))</f>
        <v>-1421.2294819486842</v>
      </c>
      <c r="BG75" s="635">
        <f>-MIN(BG71*SUMIF(Input!$F$89:$Q$89,BG$6,Input!$F$92:$Q$92),SUM(BG71:BG74))</f>
        <v>-1424.734617259521</v>
      </c>
      <c r="BH75" s="635">
        <f>-MIN(BH71*SUMIF(Input!$F$89:$Q$89,BH$6,Input!$F$92:$Q$92),SUM(BH71:BH74))</f>
        <v>-1428.2483971796225</v>
      </c>
      <c r="BI75" s="635">
        <f>-MIN(BI71*SUMIF(Input!$F$89:$Q$89,BI$6,Input!$F$92:$Q$92),SUM(BI71:BI74))</f>
        <v>-1431.7708430289279</v>
      </c>
      <c r="BJ75" s="635">
        <f>-MIN(BJ71*SUMIF(Input!$F$89:$Q$89,BJ$6,Input!$F$92:$Q$92),SUM(BJ71:BJ74))</f>
        <v>-1435.3019761799562</v>
      </c>
      <c r="BK75" s="635">
        <f>-MIN(BK71*SUMIF(Input!$F$89:$Q$89,BK$6,Input!$F$92:$Q$92),SUM(BK71:BK74))</f>
        <v>-1438.8418180579367</v>
      </c>
      <c r="BL75" s="635">
        <f>-MIN(BL71*SUMIF(Input!$F$89:$Q$89,BL$6,Input!$F$92:$Q$92),SUM(BL71:BL74))</f>
        <v>-1442.3903901409392</v>
      </c>
      <c r="BM75" s="635">
        <f>-MIN(BM71*SUMIF(Input!$F$89:$Q$89,BM$6,Input!$F$92:$Q$92),SUM(BM71:BM74))</f>
        <v>-1445.9477139600053</v>
      </c>
      <c r="BN75" s="635">
        <f>-MIN(BN71*SUMIF(Input!$F$89:$Q$89,BN$6,Input!$F$92:$Q$92),SUM(BN71:BN74))</f>
        <v>-724.75690554963819</v>
      </c>
      <c r="BO75" s="635">
        <f>-MIN(BO71*SUMIF(Input!$F$89:$Q$89,BO$6,Input!$F$92:$Q$92),SUM(BO71:BO74))</f>
        <v>-726.54435159806371</v>
      </c>
      <c r="BP75" s="635">
        <f>-MIN(BP71*SUMIF(Input!$F$89:$Q$89,BP$6,Input!$F$92:$Q$92),SUM(BP71:BP74))</f>
        <v>-728.33620597064782</v>
      </c>
      <c r="BQ75" s="635">
        <f>-MIN(BQ71*SUMIF(Input!$F$89:$Q$89,BQ$6,Input!$F$92:$Q$92),SUM(BQ71:BQ74))</f>
        <v>-730.13247953950759</v>
      </c>
      <c r="BR75" s="635">
        <f>-MIN(BR71*SUMIF(Input!$F$89:$Q$89,BR$6,Input!$F$92:$Q$92),SUM(BR71:BR74))</f>
        <v>-731.93318320357298</v>
      </c>
      <c r="BS75" s="635">
        <f>-MIN(BS71*SUMIF(Input!$F$89:$Q$89,BS$6,Input!$F$92:$Q$92),SUM(BS71:BS74))</f>
        <v>-733.738327888654</v>
      </c>
      <c r="BT75" s="635">
        <f>-MIN(BT71*SUMIF(Input!$F$89:$Q$89,BT$6,Input!$F$92:$Q$92),SUM(BT71:BT74))</f>
        <v>-735.54792454750657</v>
      </c>
      <c r="BU75" s="635">
        <f>-MIN(BU71*SUMIF(Input!$F$89:$Q$89,BU$6,Input!$F$92:$Q$92),SUM(BU71:BU74))</f>
        <v>-737.36198415989873</v>
      </c>
      <c r="BV75" s="635">
        <f>-MIN(BV71*SUMIF(Input!$F$89:$Q$89,BV$6,Input!$F$92:$Q$92),SUM(BV71:BV74))</f>
        <v>-739.18051773267814</v>
      </c>
      <c r="BW75" s="635">
        <f>-MIN(BW71*SUMIF(Input!$F$89:$Q$89,BW$6,Input!$F$92:$Q$92),SUM(BW71:BW74))</f>
        <v>-741.00353629983806</v>
      </c>
      <c r="BX75" s="635">
        <f>-MIN(BX71*SUMIF(Input!$F$89:$Q$89,BX$6,Input!$F$92:$Q$92),SUM(BX71:BX74))</f>
        <v>-742.83105092258461</v>
      </c>
      <c r="BY75" s="635">
        <f>-MIN(BY71*SUMIF(Input!$F$89:$Q$89,BY$6,Input!$F$92:$Q$92),SUM(BY71:BY74))</f>
        <v>-744.66307268940341</v>
      </c>
      <c r="BZ75" s="635">
        <f>-MIN(BZ71*SUMIF(Input!$F$89:$Q$89,BZ$6,Input!$F$92:$Q$92),SUM(BZ71:BZ74))</f>
        <v>-746.49961271612801</v>
      </c>
      <c r="CA75" s="635">
        <f>-MIN(CA71*SUMIF(Input!$F$89:$Q$89,CA$6,Input!$F$92:$Q$92),SUM(CA71:CA74))</f>
        <v>-748.3406821460062</v>
      </c>
      <c r="CB75" s="635">
        <f>-MIN(CB71*SUMIF(Input!$F$89:$Q$89,CB$6,Input!$F$92:$Q$92),SUM(CB71:CB74))</f>
        <v>-750.18629214976795</v>
      </c>
      <c r="CC75" s="635">
        <f>-MIN(CC71*SUMIF(Input!$F$89:$Q$89,CC$6,Input!$F$92:$Q$92),SUM(CC71:CC74))</f>
        <v>-752.03645392569354</v>
      </c>
      <c r="CD75" s="635">
        <f>-MIN(CD71*SUMIF(Input!$F$89:$Q$89,CD$6,Input!$F$92:$Q$92),SUM(CD71:CD74))</f>
        <v>-753.89117869968095</v>
      </c>
      <c r="CE75" s="635">
        <f>-MIN(CE71*SUMIF(Input!$F$89:$Q$89,CE$6,Input!$F$92:$Q$92),SUM(CE71:CE74))</f>
        <v>-755.75047772531423</v>
      </c>
      <c r="CF75" s="635">
        <f>-MIN(CF71*SUMIF(Input!$F$89:$Q$89,CF$6,Input!$F$92:$Q$92),SUM(CF71:CF74))</f>
        <v>-757.61436228393234</v>
      </c>
      <c r="CG75" s="635">
        <f>-MIN(CG71*SUMIF(Input!$F$89:$Q$89,CG$6,Input!$F$92:$Q$92),SUM(CG71:CG74))</f>
        <v>-759.48284368469626</v>
      </c>
      <c r="CH75" s="635">
        <f>-MIN(CH71*SUMIF(Input!$F$89:$Q$89,CH$6,Input!$F$92:$Q$92),SUM(CH71:CH74))</f>
        <v>-761.35593326465914</v>
      </c>
      <c r="CI75" s="635">
        <f>-MIN(CI71*SUMIF(Input!$F$89:$Q$89,CI$6,Input!$F$92:$Q$92),SUM(CI71:CI74))</f>
        <v>-763.2336423888338</v>
      </c>
      <c r="CJ75" s="635">
        <f>-MIN(CJ71*SUMIF(Input!$F$89:$Q$89,CJ$6,Input!$F$92:$Q$92),SUM(CJ71:CJ74))</f>
        <v>-765.11598245026266</v>
      </c>
      <c r="CK75" s="635">
        <f>-MIN(CK71*SUMIF(Input!$F$89:$Q$89,CK$6,Input!$F$92:$Q$92),SUM(CK71:CK74))</f>
        <v>-767.00296487008632</v>
      </c>
      <c r="CL75" s="635">
        <f>-MIN(CL71*SUMIF(Input!$F$89:$Q$89,CL$6,Input!$F$92:$Q$92),SUM(CL71:CL74))</f>
        <v>-768.89460109761262</v>
      </c>
      <c r="CM75" s="635">
        <f>-MIN(CM71*SUMIF(Input!$F$89:$Q$89,CM$6,Input!$F$92:$Q$92),SUM(CM71:CM74))</f>
        <v>-770.79090261038709</v>
      </c>
      <c r="CN75" s="635">
        <f>-MIN(CN71*SUMIF(Input!$F$89:$Q$89,CN$6,Input!$F$92:$Q$92),SUM(CN71:CN74))</f>
        <v>-772.6918809142619</v>
      </c>
      <c r="CO75" s="635">
        <f>-MIN(CO71*SUMIF(Input!$F$89:$Q$89,CO$6,Input!$F$92:$Q$92),SUM(CO71:CO74))</f>
        <v>-774.59754754346523</v>
      </c>
      <c r="CP75" s="635">
        <f>-MIN(CP71*SUMIF(Input!$F$89:$Q$89,CP$6,Input!$F$92:$Q$92),SUM(CP71:CP74))</f>
        <v>-776.50791406067219</v>
      </c>
      <c r="CQ75" s="635">
        <f>-MIN(CQ71*SUMIF(Input!$F$89:$Q$89,CQ$6,Input!$F$92:$Q$92),SUM(CQ71:CQ74))</f>
        <v>-778.42299205707457</v>
      </c>
      <c r="CR75" s="635">
        <f>-MIN(CR71*SUMIF(Input!$F$89:$Q$89,CR$6,Input!$F$92:$Q$92),SUM(CR71:CR74))</f>
        <v>-780.34279315245112</v>
      </c>
      <c r="CS75" s="635">
        <f>-MIN(CS71*SUMIF(Input!$F$89:$Q$89,CS$6,Input!$F$92:$Q$92),SUM(CS71:CS74))</f>
        <v>-782.26732899523813</v>
      </c>
      <c r="CT75" s="635">
        <f>-MIN(CT71*SUMIF(Input!$F$89:$Q$89,CT$6,Input!$F$92:$Q$92),SUM(CT71:CT74))</f>
        <v>-784.19661126259973</v>
      </c>
      <c r="CU75" s="635">
        <f>-MIN(CU71*SUMIF(Input!$F$89:$Q$89,CU$6,Input!$F$92:$Q$92),SUM(CU71:CU74))</f>
        <v>-786.13065166049955</v>
      </c>
      <c r="CV75" s="635">
        <f>-MIN(CV71*SUMIF(Input!$F$89:$Q$89,CV$6,Input!$F$92:$Q$92),SUM(CV71:CV74))</f>
        <v>-788.06946192377131</v>
      </c>
      <c r="CW75" s="635">
        <f>-MIN(CW71*SUMIF(Input!$F$89:$Q$89,CW$6,Input!$F$92:$Q$92),SUM(CW71:CW74))</f>
        <v>-790.01305381618954</v>
      </c>
      <c r="CX75" s="635">
        <f>-MIN(CX71*SUMIF(Input!$F$89:$Q$89,CX$6,Input!$F$92:$Q$92),SUM(CX71:CX74))</f>
        <v>-791.96143913054175</v>
      </c>
      <c r="CY75" s="635">
        <f>-MIN(CY71*SUMIF(Input!$F$89:$Q$89,CY$6,Input!$F$92:$Q$92),SUM(CY71:CY74))</f>
        <v>-793.91462968869951</v>
      </c>
      <c r="CZ75" s="635">
        <f>-MIN(CZ71*SUMIF(Input!$F$89:$Q$89,CZ$6,Input!$F$92:$Q$92),SUM(CZ71:CZ74))</f>
        <v>-795.87263734169039</v>
      </c>
      <c r="DA75" s="635">
        <f>-MIN(DA71*SUMIF(Input!$F$89:$Q$89,DA$6,Input!$F$92:$Q$92),SUM(DA71:DA74))</f>
        <v>-797.83547396976985</v>
      </c>
      <c r="DB75" s="635">
        <f>-MIN(DB71*SUMIF(Input!$F$89:$Q$89,DB$6,Input!$F$92:$Q$92),SUM(DB71:DB74))</f>
        <v>-799.80315148249304</v>
      </c>
      <c r="DC75" s="635">
        <f>-MIN(DC71*SUMIF(Input!$F$89:$Q$89,DC$6,Input!$F$92:$Q$92),SUM(DC71:DC74))</f>
        <v>-801.77568181878758</v>
      </c>
      <c r="DD75" s="635">
        <f>-MIN(DD71*SUMIF(Input!$F$89:$Q$89,DD$6,Input!$F$92:$Q$92),SUM(DD71:DD74))</f>
        <v>-803.75307694702553</v>
      </c>
      <c r="DE75" s="635">
        <f>-MIN(DE71*SUMIF(Input!$F$89:$Q$89,DE$6,Input!$F$92:$Q$92),SUM(DE71:DE74))</f>
        <v>-805.73534886509606</v>
      </c>
      <c r="DF75" s="635">
        <f>-MIN(DF71*SUMIF(Input!$F$89:$Q$89,DF$6,Input!$F$92:$Q$92),SUM(DF71:DF74))</f>
        <v>-807.72250960047859</v>
      </c>
      <c r="DG75" s="635">
        <f>-MIN(DG71*SUMIF(Input!$F$89:$Q$89,DG$6,Input!$F$92:$Q$92),SUM(DG71:DG74))</f>
        <v>-809.71457121031551</v>
      </c>
      <c r="DH75" s="635">
        <f>-MIN(DH71*SUMIF(Input!$F$89:$Q$89,DH$6,Input!$F$92:$Q$92),SUM(DH71:DH74))</f>
        <v>-811.71154578148537</v>
      </c>
      <c r="DI75" s="635">
        <f>-MIN(DI71*SUMIF(Input!$F$89:$Q$89,DI$6,Input!$F$92:$Q$92),SUM(DI71:DI74))</f>
        <v>-813.71344543067607</v>
      </c>
      <c r="DJ75" s="635">
        <f>-MIN(DJ71*SUMIF(Input!$F$89:$Q$89,DJ$6,Input!$F$92:$Q$92),SUM(DJ71:DJ74))</f>
        <v>-815.72028230445881</v>
      </c>
      <c r="DK75" s="635">
        <f>-MIN(DK71*SUMIF(Input!$F$89:$Q$89,DK$6,Input!$F$92:$Q$92),SUM(DK71:DK74))</f>
        <v>-817.73206857936123</v>
      </c>
      <c r="DL75" s="635">
        <f>-MIN(DL71*SUMIF(Input!$F$89:$Q$89,DL$6,Input!$F$92:$Q$92),SUM(DL71:DL74))</f>
        <v>-819.74881646194194</v>
      </c>
      <c r="DM75" s="635">
        <f>-MIN(DM71*SUMIF(Input!$F$89:$Q$89,DM$6,Input!$F$92:$Q$92),SUM(DM71:DM74))</f>
        <v>-821.77053818886372</v>
      </c>
      <c r="DN75" s="635">
        <f>-MIN(DN71*SUMIF(Input!$F$89:$Q$89,DN$6,Input!$F$92:$Q$92),SUM(DN71:DN74))</f>
        <v>-823.79724602696865</v>
      </c>
      <c r="DO75" s="635">
        <f>-MIN(DO71*SUMIF(Input!$F$89:$Q$89,DO$6,Input!$F$92:$Q$92),SUM(DO71:DO74))</f>
        <v>-825.82895227335223</v>
      </c>
      <c r="DP75" s="635">
        <f>-MIN(DP71*SUMIF(Input!$F$89:$Q$89,DP$6,Input!$F$92:$Q$92),SUM(DP71:DP74))</f>
        <v>-827.86566925543707</v>
      </c>
      <c r="DQ75" s="635">
        <f>-MIN(DQ71*SUMIF(Input!$F$89:$Q$89,DQ$6,Input!$F$92:$Q$92),SUM(DQ71:DQ74))</f>
        <v>-829.90740933104973</v>
      </c>
      <c r="DR75" s="635">
        <f>-MIN(DR71*SUMIF(Input!$F$89:$Q$89,DR$6,Input!$F$92:$Q$92),SUM(DR71:DR74))</f>
        <v>-831.95418488849361</v>
      </c>
      <c r="DS75" s="635">
        <f>-MIN(DS71*SUMIF(Input!$F$89:$Q$89,DS$6,Input!$F$92:$Q$92),SUM(DS71:DS74))</f>
        <v>-834.00600834662589</v>
      </c>
      <c r="DT75" s="635">
        <f>-MIN(DT71*SUMIF(Input!$F$89:$Q$89,DT$6,Input!$F$92:$Q$92),SUM(DT71:DT74))</f>
        <v>-836.06289215493052</v>
      </c>
      <c r="DU75" s="635">
        <f>-MIN(DU71*SUMIF(Input!$F$89:$Q$89,DU$6,Input!$F$92:$Q$92),SUM(DU71:DU74))</f>
        <v>-838.12484879359727</v>
      </c>
      <c r="DV75" s="635">
        <f>-MIN(DV71*SUMIF(Input!$F$89:$Q$89,DV$6,Input!$F$92:$Q$92),SUM(DV71:DV74))</f>
        <v>-840.1918907735934</v>
      </c>
      <c r="DW75" s="635">
        <f>-MIN(DW71*SUMIF(Input!$F$89:$Q$89,DW$6,Input!$F$92:$Q$92),SUM(DW71:DW74))</f>
        <v>-842.26403063674297</v>
      </c>
      <c r="DX75" s="635">
        <f>-MIN(DX71*SUMIF(Input!$F$89:$Q$89,DX$6,Input!$F$92:$Q$92),SUM(DX71:DX74))</f>
        <v>-844.34128095580104</v>
      </c>
      <c r="DY75" s="635">
        <f>-MIN(DY71*SUMIF(Input!$F$89:$Q$89,DY$6,Input!$F$92:$Q$92),SUM(DY71:DY74))</f>
        <v>-846.42365433453062</v>
      </c>
      <c r="DZ75" s="635">
        <f>-MIN(DZ71*SUMIF(Input!$F$89:$Q$89,DZ$6,Input!$F$92:$Q$92),SUM(DZ71:DZ74))</f>
        <v>-848.51116340777878</v>
      </c>
      <c r="EA75" s="635">
        <f>-MIN(EA71*SUMIF(Input!$F$89:$Q$89,EA$6,Input!$F$92:$Q$92),SUM(EA71:EA74))</f>
        <v>-850.60382084155356</v>
      </c>
      <c r="EB75" s="635">
        <f>-MIN(EB71*SUMIF(Input!$F$89:$Q$89,EB$6,Input!$F$92:$Q$92),SUM(EB71:EB74))</f>
        <v>-852.70163933310107</v>
      </c>
      <c r="EC75" s="635">
        <f>-MIN(EC71*SUMIF(Input!$F$89:$Q$89,EC$6,Input!$F$92:$Q$92),SUM(EC71:EC74))</f>
        <v>-854.80463161098191</v>
      </c>
      <c r="ED75" s="635">
        <f>-MIN(ED71*SUMIF(Input!$F$89:$Q$89,ED$6,Input!$F$92:$Q$92),SUM(ED71:ED74))</f>
        <v>-856.91281043514937</v>
      </c>
      <c r="EE75" s="635">
        <f>-MIN(EE71*SUMIF(Input!$F$89:$Q$89,EE$6,Input!$F$92:$Q$92),SUM(EE71:EE74))</f>
        <v>-859.02618859702545</v>
      </c>
      <c r="EF75" s="635">
        <f>-MIN(EF71*SUMIF(Input!$F$89:$Q$89,EF$6,Input!$F$92:$Q$92),SUM(EF71:EF74))</f>
        <v>-861.14477891957961</v>
      </c>
      <c r="EG75" s="635">
        <f>-MIN(EG71*SUMIF(Input!$F$89:$Q$89,EG$6,Input!$F$92:$Q$92),SUM(EG71:EG74))</f>
        <v>-863.26859425740611</v>
      </c>
      <c r="EH75" s="635">
        <f>-MIN(EH71*SUMIF(Input!$F$89:$Q$89,EH$6,Input!$F$92:$Q$92),SUM(EH71:EH74))</f>
        <v>-865.39764749680216</v>
      </c>
      <c r="EI75" s="635">
        <f>-MIN(EI71*SUMIF(Input!$F$89:$Q$89,EI$6,Input!$F$92:$Q$92),SUM(EI71:EI74))</f>
        <v>-867.53195155584638</v>
      </c>
      <c r="EJ75" s="635">
        <f>-MIN(EJ71*SUMIF(Input!$F$89:$Q$89,EJ$6,Input!$F$92:$Q$92),SUM(EJ71:EJ74))</f>
        <v>-869.67151938447614</v>
      </c>
      <c r="EK75" s="635">
        <f>-MIN(EK71*SUMIF(Input!$F$89:$Q$89,EK$6,Input!$F$92:$Q$92),SUM(EK71:EK74))</f>
        <v>-871.81636396456747</v>
      </c>
      <c r="EL75" s="635">
        <f>-MIN(EL71*SUMIF(Input!$F$89:$Q$89,EL$6,Input!$F$92:$Q$92),SUM(EL71:EL74))</f>
        <v>-873.96649831001298</v>
      </c>
      <c r="EM75" s="635">
        <f>-MIN(EM71*SUMIF(Input!$F$89:$Q$89,EM$6,Input!$F$92:$Q$92),SUM(EM71:EM74))</f>
        <v>-876.12193546680101</v>
      </c>
      <c r="EN75" s="635">
        <f>-MIN(EN71*SUMIF(Input!$F$89:$Q$89,EN$6,Input!$F$92:$Q$92),SUM(EN71:EN74))</f>
        <v>-878.2826885130952</v>
      </c>
      <c r="EO75" s="635">
        <f>-MIN(EO71*SUMIF(Input!$F$89:$Q$89,EO$6,Input!$F$92:$Q$92),SUM(EO71:EO74))</f>
        <v>-880.44877055931261</v>
      </c>
      <c r="EP75" s="635">
        <f>-MIN(EP71*SUMIF(Input!$F$89:$Q$89,EP$6,Input!$F$92:$Q$92),SUM(EP71:EP74))</f>
        <v>-882.62019474820499</v>
      </c>
      <c r="EQ75" s="635">
        <f>-MIN(EQ71*SUMIF(Input!$F$89:$Q$89,EQ$6,Input!$F$92:$Q$92),SUM(EQ71:EQ74))</f>
        <v>-884.79697425493725</v>
      </c>
      <c r="ER75" s="635">
        <f>-MIN(ER71*SUMIF(Input!$F$89:$Q$89,ER$6,Input!$F$92:$Q$92),SUM(ER71:ER74))</f>
        <v>-886.97912228716802</v>
      </c>
      <c r="ES75" s="635">
        <f>-MIN(ES71*SUMIF(Input!$F$89:$Q$89,ES$6,Input!$F$92:$Q$92),SUM(ES71:ES74))</f>
        <v>-889.16665208512939</v>
      </c>
      <c r="ET75" s="192"/>
    </row>
    <row r="76" spans="1:150">
      <c r="A76" s="192"/>
      <c r="B76" s="36" t="s">
        <v>120</v>
      </c>
      <c r="C76" s="635">
        <f t="shared" si="93"/>
        <v>0</v>
      </c>
      <c r="D76" s="635">
        <f t="shared" si="93"/>
        <v>0</v>
      </c>
      <c r="E76" s="635">
        <f t="shared" si="93"/>
        <v>0</v>
      </c>
      <c r="F76" s="635">
        <f t="shared" si="93"/>
        <v>0</v>
      </c>
      <c r="G76" s="635">
        <f t="shared" si="93"/>
        <v>0</v>
      </c>
      <c r="H76" s="635">
        <f t="shared" si="93"/>
        <v>0</v>
      </c>
      <c r="I76" s="635">
        <f t="shared" si="93"/>
        <v>0</v>
      </c>
      <c r="J76" s="635">
        <f t="shared" si="93"/>
        <v>0</v>
      </c>
      <c r="K76" s="635">
        <f t="shared" si="93"/>
        <v>0</v>
      </c>
      <c r="L76" s="635">
        <f t="shared" si="93"/>
        <v>0</v>
      </c>
      <c r="M76" s="635">
        <f t="shared" si="93"/>
        <v>0</v>
      </c>
      <c r="N76" s="192"/>
      <c r="O76" s="635">
        <f t="shared" si="94"/>
        <v>0</v>
      </c>
      <c r="P76" s="192"/>
      <c r="Q76" s="635">
        <f>-MIN(SUM(Q71:Q75)*SUMIF(Input!$F$89:$Q$89,Q$6,Input!$F$93:$Q$93),SUM(Q71:Q75))</f>
        <v>-3318.1370383107396</v>
      </c>
      <c r="R76" s="635">
        <f>-MIN(SUM(R71:R75)*SUMIF(Input!$F$89:$Q$89,R$6,Input!$F$93:$Q$93),SUM(R71:R75))</f>
        <v>0</v>
      </c>
      <c r="S76" s="635">
        <f>-MIN(SUM(S71:S75)*SUMIF(Input!$F$89:$Q$89,S$6,Input!$F$93:$Q$93),SUM(S71:S75))</f>
        <v>0</v>
      </c>
      <c r="T76" s="635">
        <f>-MIN(SUM(T71:T75)*SUMIF(Input!$F$89:$Q$89,T$6,Input!$F$93:$Q$93),SUM(T71:T75))</f>
        <v>0</v>
      </c>
      <c r="U76" s="635">
        <f>-MIN(SUM(U71:U75)*SUMIF(Input!$F$89:$Q$89,U$6,Input!$F$93:$Q$93),SUM(U71:U75))</f>
        <v>0</v>
      </c>
      <c r="V76" s="635">
        <f>-MIN(SUM(V71:V75)*SUMIF(Input!$F$89:$Q$89,V$6,Input!$F$93:$Q$93),SUM(V71:V75))</f>
        <v>0</v>
      </c>
      <c r="W76" s="635">
        <f>-MIN(SUM(W71:W75)*SUMIF(Input!$F$89:$Q$89,W$6,Input!$F$93:$Q$93),SUM(W71:W75))</f>
        <v>0</v>
      </c>
      <c r="X76" s="635">
        <f>-MIN(SUM(X71:X75)*SUMIF(Input!$F$89:$Q$89,X$6,Input!$F$93:$Q$93),SUM(X71:X75))</f>
        <v>0</v>
      </c>
      <c r="Y76" s="635">
        <f>-MIN(SUM(Y71:Y75)*SUMIF(Input!$F$89:$Q$89,Y$6,Input!$F$93:$Q$93),SUM(Y71:Y75))</f>
        <v>0</v>
      </c>
      <c r="Z76" s="635">
        <f>-MIN(SUM(Z71:Z75)*SUMIF(Input!$F$89:$Q$89,Z$6,Input!$F$93:$Q$93),SUM(Z71:Z75))</f>
        <v>0</v>
      </c>
      <c r="AA76" s="635">
        <f>-MIN(SUM(AA71:AA75)*SUMIF(Input!$F$89:$Q$89,AA$6,Input!$F$93:$Q$93),SUM(AA71:AA75))</f>
        <v>0</v>
      </c>
      <c r="AB76" s="635">
        <f>-MIN(SUM(AB71:AB75)*SUMIF(Input!$F$89:$Q$89,AB$6,Input!$F$93:$Q$93),SUM(AB71:AB75))</f>
        <v>0</v>
      </c>
      <c r="AC76" s="635">
        <f>-MIN(SUM(AC71:AC75)*SUMIF(Input!$F$89:$Q$89,AC$6,Input!$F$93:$Q$93),SUM(AC71:AC75))</f>
        <v>0</v>
      </c>
      <c r="AD76" s="635">
        <f>-MIN(SUM(AD71:AD75)*SUMIF(Input!$F$89:$Q$89,AD$6,Input!$F$93:$Q$93),SUM(AD71:AD75))</f>
        <v>0</v>
      </c>
      <c r="AE76" s="635">
        <f>-MIN(SUM(AE71:AE75)*SUMIF(Input!$F$89:$Q$89,AE$6,Input!$F$93:$Q$93),SUM(AE71:AE75))</f>
        <v>0</v>
      </c>
      <c r="AF76" s="635">
        <f>-MIN(SUM(AF71:AF75)*SUMIF(Input!$F$89:$Q$89,AF$6,Input!$F$93:$Q$93),SUM(AF71:AF75))</f>
        <v>0</v>
      </c>
      <c r="AG76" s="635">
        <f>-MIN(SUM(AG71:AG75)*SUMIF(Input!$F$89:$Q$89,AG$6,Input!$F$93:$Q$93),SUM(AG71:AG75))</f>
        <v>0</v>
      </c>
      <c r="AH76" s="635">
        <f>-MIN(SUM(AH71:AH75)*SUMIF(Input!$F$89:$Q$89,AH$6,Input!$F$93:$Q$93),SUM(AH71:AH75))</f>
        <v>0</v>
      </c>
      <c r="AI76" s="635">
        <f>-MIN(SUM(AI71:AI75)*SUMIF(Input!$F$89:$Q$89,AI$6,Input!$F$93:$Q$93),SUM(AI71:AI75))</f>
        <v>0</v>
      </c>
      <c r="AJ76" s="635">
        <f>-MIN(SUM(AJ71:AJ75)*SUMIF(Input!$F$89:$Q$89,AJ$6,Input!$F$93:$Q$93),SUM(AJ71:AJ75))</f>
        <v>0</v>
      </c>
      <c r="AK76" s="635">
        <f>-MIN(SUM(AK71:AK75)*SUMIF(Input!$F$89:$Q$89,AK$6,Input!$F$93:$Q$93),SUM(AK71:AK75))</f>
        <v>0</v>
      </c>
      <c r="AL76" s="635">
        <f>-MIN(SUM(AL71:AL75)*SUMIF(Input!$F$89:$Q$89,AL$6,Input!$F$93:$Q$93),SUM(AL71:AL75))</f>
        <v>0</v>
      </c>
      <c r="AM76" s="635">
        <f>-MIN(SUM(AM71:AM75)*SUMIF(Input!$F$89:$Q$89,AM$6,Input!$F$93:$Q$93),SUM(AM71:AM75))</f>
        <v>0</v>
      </c>
      <c r="AN76" s="635">
        <f>-MIN(SUM(AN71:AN75)*SUMIF(Input!$F$89:$Q$89,AN$6,Input!$F$93:$Q$93),SUM(AN71:AN75))</f>
        <v>0</v>
      </c>
      <c r="AO76" s="635">
        <f>-MIN(SUM(AO71:AO75)*SUMIF(Input!$F$89:$Q$89,AO$6,Input!$F$93:$Q$93),SUM(AO71:AO75))</f>
        <v>0</v>
      </c>
      <c r="AP76" s="635">
        <f>-MIN(SUM(AP71:AP75)*SUMIF(Input!$F$89:$Q$89,AP$6,Input!$F$93:$Q$93),SUM(AP71:AP75))</f>
        <v>0</v>
      </c>
      <c r="AQ76" s="635">
        <f>-MIN(SUM(AQ71:AQ75)*SUMIF(Input!$F$89:$Q$89,AQ$6,Input!$F$93:$Q$93),SUM(AQ71:AQ75))</f>
        <v>0</v>
      </c>
      <c r="AR76" s="635">
        <f>-MIN(SUM(AR71:AR75)*SUMIF(Input!$F$89:$Q$89,AR$6,Input!$F$93:$Q$93),SUM(AR71:AR75))</f>
        <v>0</v>
      </c>
      <c r="AS76" s="635">
        <f>-MIN(SUM(AS71:AS75)*SUMIF(Input!$F$89:$Q$89,AS$6,Input!$F$93:$Q$93),SUM(AS71:AS75))</f>
        <v>0</v>
      </c>
      <c r="AT76" s="635">
        <f>-MIN(SUM(AT71:AT75)*SUMIF(Input!$F$89:$Q$89,AT$6,Input!$F$93:$Q$93),SUM(AT71:AT75))</f>
        <v>0</v>
      </c>
      <c r="AU76" s="635">
        <f>-MIN(SUM(AU71:AU75)*SUMIF(Input!$F$89:$Q$89,AU$6,Input!$F$93:$Q$93),SUM(AU71:AU75))</f>
        <v>0</v>
      </c>
      <c r="AV76" s="635">
        <f>-MIN(SUM(AV71:AV75)*SUMIF(Input!$F$89:$Q$89,AV$6,Input!$F$93:$Q$93),SUM(AV71:AV75))</f>
        <v>0</v>
      </c>
      <c r="AW76" s="635">
        <f>-MIN(SUM(AW71:AW75)*SUMIF(Input!$F$89:$Q$89,AW$6,Input!$F$93:$Q$93),SUM(AW71:AW75))</f>
        <v>0</v>
      </c>
      <c r="AX76" s="635">
        <f>-MIN(SUM(AX71:AX75)*SUMIF(Input!$F$89:$Q$89,AX$6,Input!$F$93:$Q$93),SUM(AX71:AX75))</f>
        <v>0</v>
      </c>
      <c r="AY76" s="635">
        <f>-MIN(SUM(AY71:AY75)*SUMIF(Input!$F$89:$Q$89,AY$6,Input!$F$93:$Q$93),SUM(AY71:AY75))</f>
        <v>0</v>
      </c>
      <c r="AZ76" s="635">
        <f>-MIN(SUM(AZ71:AZ75)*SUMIF(Input!$F$89:$Q$89,AZ$6,Input!$F$93:$Q$93),SUM(AZ71:AZ75))</f>
        <v>0</v>
      </c>
      <c r="BA76" s="635">
        <f>-MIN(SUM(BA71:BA75)*SUMIF(Input!$F$89:$Q$89,BA$6,Input!$F$93:$Q$93),SUM(BA71:BA75))</f>
        <v>0</v>
      </c>
      <c r="BB76" s="635">
        <f>-MIN(SUM(BB71:BB75)*SUMIF(Input!$F$89:$Q$89,BB$6,Input!$F$93:$Q$93),SUM(BB71:BB75))</f>
        <v>0</v>
      </c>
      <c r="BC76" s="635">
        <f>-MIN(SUM(BC71:BC75)*SUMIF(Input!$F$89:$Q$89,BC$6,Input!$F$93:$Q$93),SUM(BC71:BC75))</f>
        <v>0</v>
      </c>
      <c r="BD76" s="635">
        <f>-MIN(SUM(BD71:BD75)*SUMIF(Input!$F$89:$Q$89,BD$6,Input!$F$93:$Q$93),SUM(BD71:BD75))</f>
        <v>0</v>
      </c>
      <c r="BE76" s="635">
        <f>-MIN(SUM(BE71:BE75)*SUMIF(Input!$F$89:$Q$89,BE$6,Input!$F$93:$Q$93),SUM(BE71:BE75))</f>
        <v>0</v>
      </c>
      <c r="BF76" s="635">
        <f>-MIN(SUM(BF71:BF75)*SUMIF(Input!$F$89:$Q$89,BF$6,Input!$F$93:$Q$93),SUM(BF71:BF75))</f>
        <v>0</v>
      </c>
      <c r="BG76" s="635">
        <f>-MIN(SUM(BG71:BG75)*SUMIF(Input!$F$89:$Q$89,BG$6,Input!$F$93:$Q$93),SUM(BG71:BG75))</f>
        <v>0</v>
      </c>
      <c r="BH76" s="635">
        <f>-MIN(SUM(BH71:BH75)*SUMIF(Input!$F$89:$Q$89,BH$6,Input!$F$93:$Q$93),SUM(BH71:BH75))</f>
        <v>0</v>
      </c>
      <c r="BI76" s="635">
        <f>-MIN(SUM(BI71:BI75)*SUMIF(Input!$F$89:$Q$89,BI$6,Input!$F$93:$Q$93),SUM(BI71:BI75))</f>
        <v>0</v>
      </c>
      <c r="BJ76" s="635">
        <f>-MIN(SUM(BJ71:BJ75)*SUMIF(Input!$F$89:$Q$89,BJ$6,Input!$F$93:$Q$93),SUM(BJ71:BJ75))</f>
        <v>0</v>
      </c>
      <c r="BK76" s="635">
        <f>-MIN(SUM(BK71:BK75)*SUMIF(Input!$F$89:$Q$89,BK$6,Input!$F$93:$Q$93),SUM(BK71:BK75))</f>
        <v>0</v>
      </c>
      <c r="BL76" s="635">
        <f>-MIN(SUM(BL71:BL75)*SUMIF(Input!$F$89:$Q$89,BL$6,Input!$F$93:$Q$93),SUM(BL71:BL75))</f>
        <v>0</v>
      </c>
      <c r="BM76" s="635">
        <f>-MIN(SUM(BM71:BM75)*SUMIF(Input!$F$89:$Q$89,BM$6,Input!$F$93:$Q$93),SUM(BM71:BM75))</f>
        <v>0</v>
      </c>
      <c r="BN76" s="635">
        <f>-MIN(SUM(BN71:BN75)*SUMIF(Input!$F$89:$Q$89,BN$6,Input!$F$93:$Q$93),SUM(BN71:BN75))</f>
        <v>0</v>
      </c>
      <c r="BO76" s="635">
        <f>-MIN(SUM(BO71:BO75)*SUMIF(Input!$F$89:$Q$89,BO$6,Input!$F$93:$Q$93),SUM(BO71:BO75))</f>
        <v>0</v>
      </c>
      <c r="BP76" s="635">
        <f>-MIN(SUM(BP71:BP75)*SUMIF(Input!$F$89:$Q$89,BP$6,Input!$F$93:$Q$93),SUM(BP71:BP75))</f>
        <v>0</v>
      </c>
      <c r="BQ76" s="635">
        <f>-MIN(SUM(BQ71:BQ75)*SUMIF(Input!$F$89:$Q$89,BQ$6,Input!$F$93:$Q$93),SUM(BQ71:BQ75))</f>
        <v>0</v>
      </c>
      <c r="BR76" s="635">
        <f>-MIN(SUM(BR71:BR75)*SUMIF(Input!$F$89:$Q$89,BR$6,Input!$F$93:$Q$93),SUM(BR71:BR75))</f>
        <v>0</v>
      </c>
      <c r="BS76" s="635">
        <f>-MIN(SUM(BS71:BS75)*SUMIF(Input!$F$89:$Q$89,BS$6,Input!$F$93:$Q$93),SUM(BS71:BS75))</f>
        <v>0</v>
      </c>
      <c r="BT76" s="635">
        <f>-MIN(SUM(BT71:BT75)*SUMIF(Input!$F$89:$Q$89,BT$6,Input!$F$93:$Q$93),SUM(BT71:BT75))</f>
        <v>0</v>
      </c>
      <c r="BU76" s="635">
        <f>-MIN(SUM(BU71:BU75)*SUMIF(Input!$F$89:$Q$89,BU$6,Input!$F$93:$Q$93),SUM(BU71:BU75))</f>
        <v>0</v>
      </c>
      <c r="BV76" s="635">
        <f>-MIN(SUM(BV71:BV75)*SUMIF(Input!$F$89:$Q$89,BV$6,Input!$F$93:$Q$93),SUM(BV71:BV75))</f>
        <v>0</v>
      </c>
      <c r="BW76" s="635">
        <f>-MIN(SUM(BW71:BW75)*SUMIF(Input!$F$89:$Q$89,BW$6,Input!$F$93:$Q$93),SUM(BW71:BW75))</f>
        <v>0</v>
      </c>
      <c r="BX76" s="635">
        <f>-MIN(SUM(BX71:BX75)*SUMIF(Input!$F$89:$Q$89,BX$6,Input!$F$93:$Q$93),SUM(BX71:BX75))</f>
        <v>0</v>
      </c>
      <c r="BY76" s="635">
        <f>-MIN(SUM(BY71:BY75)*SUMIF(Input!$F$89:$Q$89,BY$6,Input!$F$93:$Q$93),SUM(BY71:BY75))</f>
        <v>0</v>
      </c>
      <c r="BZ76" s="635">
        <f>-MIN(SUM(BZ71:BZ75)*SUMIF(Input!$F$89:$Q$89,BZ$6,Input!$F$93:$Q$93),SUM(BZ71:BZ75))</f>
        <v>0</v>
      </c>
      <c r="CA76" s="635">
        <f>-MIN(SUM(CA71:CA75)*SUMIF(Input!$F$89:$Q$89,CA$6,Input!$F$93:$Q$93),SUM(CA71:CA75))</f>
        <v>0</v>
      </c>
      <c r="CB76" s="635">
        <f>-MIN(SUM(CB71:CB75)*SUMIF(Input!$F$89:$Q$89,CB$6,Input!$F$93:$Q$93),SUM(CB71:CB75))</f>
        <v>0</v>
      </c>
      <c r="CC76" s="635">
        <f>-MIN(SUM(CC71:CC75)*SUMIF(Input!$F$89:$Q$89,CC$6,Input!$F$93:$Q$93),SUM(CC71:CC75))</f>
        <v>0</v>
      </c>
      <c r="CD76" s="635">
        <f>-MIN(SUM(CD71:CD75)*SUMIF(Input!$F$89:$Q$89,CD$6,Input!$F$93:$Q$93),SUM(CD71:CD75))</f>
        <v>0</v>
      </c>
      <c r="CE76" s="635">
        <f>-MIN(SUM(CE71:CE75)*SUMIF(Input!$F$89:$Q$89,CE$6,Input!$F$93:$Q$93),SUM(CE71:CE75))</f>
        <v>0</v>
      </c>
      <c r="CF76" s="635">
        <f>-MIN(SUM(CF71:CF75)*SUMIF(Input!$F$89:$Q$89,CF$6,Input!$F$93:$Q$93),SUM(CF71:CF75))</f>
        <v>0</v>
      </c>
      <c r="CG76" s="635">
        <f>-MIN(SUM(CG71:CG75)*SUMIF(Input!$F$89:$Q$89,CG$6,Input!$F$93:$Q$93),SUM(CG71:CG75))</f>
        <v>0</v>
      </c>
      <c r="CH76" s="635">
        <f>-MIN(SUM(CH71:CH75)*SUMIF(Input!$F$89:$Q$89,CH$6,Input!$F$93:$Q$93),SUM(CH71:CH75))</f>
        <v>0</v>
      </c>
      <c r="CI76" s="635">
        <f>-MIN(SUM(CI71:CI75)*SUMIF(Input!$F$89:$Q$89,CI$6,Input!$F$93:$Q$93),SUM(CI71:CI75))</f>
        <v>0</v>
      </c>
      <c r="CJ76" s="635">
        <f>-MIN(SUM(CJ71:CJ75)*SUMIF(Input!$F$89:$Q$89,CJ$6,Input!$F$93:$Q$93),SUM(CJ71:CJ75))</f>
        <v>0</v>
      </c>
      <c r="CK76" s="635">
        <f>-MIN(SUM(CK71:CK75)*SUMIF(Input!$F$89:$Q$89,CK$6,Input!$F$93:$Q$93),SUM(CK71:CK75))</f>
        <v>0</v>
      </c>
      <c r="CL76" s="635">
        <f>-MIN(SUM(CL71:CL75)*SUMIF(Input!$F$89:$Q$89,CL$6,Input!$F$93:$Q$93),SUM(CL71:CL75))</f>
        <v>0</v>
      </c>
      <c r="CM76" s="635">
        <f>-MIN(SUM(CM71:CM75)*SUMIF(Input!$F$89:$Q$89,CM$6,Input!$F$93:$Q$93),SUM(CM71:CM75))</f>
        <v>0</v>
      </c>
      <c r="CN76" s="635">
        <f>-MIN(SUM(CN71:CN75)*SUMIF(Input!$F$89:$Q$89,CN$6,Input!$F$93:$Q$93),SUM(CN71:CN75))</f>
        <v>0</v>
      </c>
      <c r="CO76" s="635">
        <f>-MIN(SUM(CO71:CO75)*SUMIF(Input!$F$89:$Q$89,CO$6,Input!$F$93:$Q$93),SUM(CO71:CO75))</f>
        <v>0</v>
      </c>
      <c r="CP76" s="635">
        <f>-MIN(SUM(CP71:CP75)*SUMIF(Input!$F$89:$Q$89,CP$6,Input!$F$93:$Q$93),SUM(CP71:CP75))</f>
        <v>0</v>
      </c>
      <c r="CQ76" s="635">
        <f>-MIN(SUM(CQ71:CQ75)*SUMIF(Input!$F$89:$Q$89,CQ$6,Input!$F$93:$Q$93),SUM(CQ71:CQ75))</f>
        <v>0</v>
      </c>
      <c r="CR76" s="635">
        <f>-MIN(SUM(CR71:CR75)*SUMIF(Input!$F$89:$Q$89,CR$6,Input!$F$93:$Q$93),SUM(CR71:CR75))</f>
        <v>0</v>
      </c>
      <c r="CS76" s="635">
        <f>-MIN(SUM(CS71:CS75)*SUMIF(Input!$F$89:$Q$89,CS$6,Input!$F$93:$Q$93),SUM(CS71:CS75))</f>
        <v>0</v>
      </c>
      <c r="CT76" s="635">
        <f>-MIN(SUM(CT71:CT75)*SUMIF(Input!$F$89:$Q$89,CT$6,Input!$F$93:$Q$93),SUM(CT71:CT75))</f>
        <v>0</v>
      </c>
      <c r="CU76" s="635">
        <f>-MIN(SUM(CU71:CU75)*SUMIF(Input!$F$89:$Q$89,CU$6,Input!$F$93:$Q$93),SUM(CU71:CU75))</f>
        <v>0</v>
      </c>
      <c r="CV76" s="635">
        <f>-MIN(SUM(CV71:CV75)*SUMIF(Input!$F$89:$Q$89,CV$6,Input!$F$93:$Q$93),SUM(CV71:CV75))</f>
        <v>0</v>
      </c>
      <c r="CW76" s="635">
        <f>-MIN(SUM(CW71:CW75)*SUMIF(Input!$F$89:$Q$89,CW$6,Input!$F$93:$Q$93),SUM(CW71:CW75))</f>
        <v>0</v>
      </c>
      <c r="CX76" s="635">
        <f>-MIN(SUM(CX71:CX75)*SUMIF(Input!$F$89:$Q$89,CX$6,Input!$F$93:$Q$93),SUM(CX71:CX75))</f>
        <v>0</v>
      </c>
      <c r="CY76" s="635">
        <f>-MIN(SUM(CY71:CY75)*SUMIF(Input!$F$89:$Q$89,CY$6,Input!$F$93:$Q$93),SUM(CY71:CY75))</f>
        <v>0</v>
      </c>
      <c r="CZ76" s="635">
        <f>-MIN(SUM(CZ71:CZ75)*SUMIF(Input!$F$89:$Q$89,CZ$6,Input!$F$93:$Q$93),SUM(CZ71:CZ75))</f>
        <v>0</v>
      </c>
      <c r="DA76" s="635">
        <f>-MIN(SUM(DA71:DA75)*SUMIF(Input!$F$89:$Q$89,DA$6,Input!$F$93:$Q$93),SUM(DA71:DA75))</f>
        <v>0</v>
      </c>
      <c r="DB76" s="635">
        <f>-MIN(SUM(DB71:DB75)*SUMIF(Input!$F$89:$Q$89,DB$6,Input!$F$93:$Q$93),SUM(DB71:DB75))</f>
        <v>0</v>
      </c>
      <c r="DC76" s="635">
        <f>-MIN(SUM(DC71:DC75)*SUMIF(Input!$F$89:$Q$89,DC$6,Input!$F$93:$Q$93),SUM(DC71:DC75))</f>
        <v>0</v>
      </c>
      <c r="DD76" s="635">
        <f>-MIN(SUM(DD71:DD75)*SUMIF(Input!$F$89:$Q$89,DD$6,Input!$F$93:$Q$93),SUM(DD71:DD75))</f>
        <v>0</v>
      </c>
      <c r="DE76" s="635">
        <f>-MIN(SUM(DE71:DE75)*SUMIF(Input!$F$89:$Q$89,DE$6,Input!$F$93:$Q$93),SUM(DE71:DE75))</f>
        <v>0</v>
      </c>
      <c r="DF76" s="635">
        <f>-MIN(SUM(DF71:DF75)*SUMIF(Input!$F$89:$Q$89,DF$6,Input!$F$93:$Q$93),SUM(DF71:DF75))</f>
        <v>0</v>
      </c>
      <c r="DG76" s="635">
        <f>-MIN(SUM(DG71:DG75)*SUMIF(Input!$F$89:$Q$89,DG$6,Input!$F$93:$Q$93),SUM(DG71:DG75))</f>
        <v>0</v>
      </c>
      <c r="DH76" s="635">
        <f>-MIN(SUM(DH71:DH75)*SUMIF(Input!$F$89:$Q$89,DH$6,Input!$F$93:$Q$93),SUM(DH71:DH75))</f>
        <v>0</v>
      </c>
      <c r="DI76" s="635">
        <f>-MIN(SUM(DI71:DI75)*SUMIF(Input!$F$89:$Q$89,DI$6,Input!$F$93:$Q$93),SUM(DI71:DI75))</f>
        <v>0</v>
      </c>
      <c r="DJ76" s="635">
        <f>-MIN(SUM(DJ71:DJ75)*SUMIF(Input!$F$89:$Q$89,DJ$6,Input!$F$93:$Q$93),SUM(DJ71:DJ75))</f>
        <v>0</v>
      </c>
      <c r="DK76" s="635">
        <f>-MIN(SUM(DK71:DK75)*SUMIF(Input!$F$89:$Q$89,DK$6,Input!$F$93:$Q$93),SUM(DK71:DK75))</f>
        <v>0</v>
      </c>
      <c r="DL76" s="635">
        <f>-MIN(SUM(DL71:DL75)*SUMIF(Input!$F$89:$Q$89,DL$6,Input!$F$93:$Q$93),SUM(DL71:DL75))</f>
        <v>0</v>
      </c>
      <c r="DM76" s="635">
        <f>-MIN(SUM(DM71:DM75)*SUMIF(Input!$F$89:$Q$89,DM$6,Input!$F$93:$Q$93),SUM(DM71:DM75))</f>
        <v>0</v>
      </c>
      <c r="DN76" s="635">
        <f>-MIN(SUM(DN71:DN75)*SUMIF(Input!$F$89:$Q$89,DN$6,Input!$F$93:$Q$93),SUM(DN71:DN75))</f>
        <v>0</v>
      </c>
      <c r="DO76" s="635">
        <f>-MIN(SUM(DO71:DO75)*SUMIF(Input!$F$89:$Q$89,DO$6,Input!$F$93:$Q$93),SUM(DO71:DO75))</f>
        <v>0</v>
      </c>
      <c r="DP76" s="635">
        <f>-MIN(SUM(DP71:DP75)*SUMIF(Input!$F$89:$Q$89,DP$6,Input!$F$93:$Q$93),SUM(DP71:DP75))</f>
        <v>0</v>
      </c>
      <c r="DQ76" s="635">
        <f>-MIN(SUM(DQ71:DQ75)*SUMIF(Input!$F$89:$Q$89,DQ$6,Input!$F$93:$Q$93),SUM(DQ71:DQ75))</f>
        <v>0</v>
      </c>
      <c r="DR76" s="635">
        <f>-MIN(SUM(DR71:DR75)*SUMIF(Input!$F$89:$Q$89,DR$6,Input!$F$93:$Q$93),SUM(DR71:DR75))</f>
        <v>0</v>
      </c>
      <c r="DS76" s="635">
        <f>-MIN(SUM(DS71:DS75)*SUMIF(Input!$F$89:$Q$89,DS$6,Input!$F$93:$Q$93),SUM(DS71:DS75))</f>
        <v>0</v>
      </c>
      <c r="DT76" s="635">
        <f>-MIN(SUM(DT71:DT75)*SUMIF(Input!$F$89:$Q$89,DT$6,Input!$F$93:$Q$93),SUM(DT71:DT75))</f>
        <v>0</v>
      </c>
      <c r="DU76" s="635">
        <f>-MIN(SUM(DU71:DU75)*SUMIF(Input!$F$89:$Q$89,DU$6,Input!$F$93:$Q$93),SUM(DU71:DU75))</f>
        <v>0</v>
      </c>
      <c r="DV76" s="635">
        <f>-MIN(SUM(DV71:DV75)*SUMIF(Input!$F$89:$Q$89,DV$6,Input!$F$93:$Q$93),SUM(DV71:DV75))</f>
        <v>0</v>
      </c>
      <c r="DW76" s="635">
        <f>-MIN(SUM(DW71:DW75)*SUMIF(Input!$F$89:$Q$89,DW$6,Input!$F$93:$Q$93),SUM(DW71:DW75))</f>
        <v>0</v>
      </c>
      <c r="DX76" s="635">
        <f>-MIN(SUM(DX71:DX75)*SUMIF(Input!$F$89:$Q$89,DX$6,Input!$F$93:$Q$93),SUM(DX71:DX75))</f>
        <v>0</v>
      </c>
      <c r="DY76" s="635">
        <f>-MIN(SUM(DY71:DY75)*SUMIF(Input!$F$89:$Q$89,DY$6,Input!$F$93:$Q$93),SUM(DY71:DY75))</f>
        <v>0</v>
      </c>
      <c r="DZ76" s="635">
        <f>-MIN(SUM(DZ71:DZ75)*SUMIF(Input!$F$89:$Q$89,DZ$6,Input!$F$93:$Q$93),SUM(DZ71:DZ75))</f>
        <v>0</v>
      </c>
      <c r="EA76" s="635">
        <f>-MIN(SUM(EA71:EA75)*SUMIF(Input!$F$89:$Q$89,EA$6,Input!$F$93:$Q$93),SUM(EA71:EA75))</f>
        <v>0</v>
      </c>
      <c r="EB76" s="635">
        <f>-MIN(SUM(EB71:EB75)*SUMIF(Input!$F$89:$Q$89,EB$6,Input!$F$93:$Q$93),SUM(EB71:EB75))</f>
        <v>0</v>
      </c>
      <c r="EC76" s="635">
        <f>-MIN(SUM(EC71:EC75)*SUMIF(Input!$F$89:$Q$89,EC$6,Input!$F$93:$Q$93),SUM(EC71:EC75))</f>
        <v>0</v>
      </c>
      <c r="ED76" s="635">
        <f>-MIN(SUM(ED71:ED75)*SUMIF(Input!$F$89:$Q$89,ED$6,Input!$F$93:$Q$93),SUM(ED71:ED75))</f>
        <v>0</v>
      </c>
      <c r="EE76" s="635">
        <f>-MIN(SUM(EE71:EE75)*SUMIF(Input!$F$89:$Q$89,EE$6,Input!$F$93:$Q$93),SUM(EE71:EE75))</f>
        <v>0</v>
      </c>
      <c r="EF76" s="635">
        <f>-MIN(SUM(EF71:EF75)*SUMIF(Input!$F$89:$Q$89,EF$6,Input!$F$93:$Q$93),SUM(EF71:EF75))</f>
        <v>0</v>
      </c>
      <c r="EG76" s="635">
        <f>-MIN(SUM(EG71:EG75)*SUMIF(Input!$F$89:$Q$89,EG$6,Input!$F$93:$Q$93),SUM(EG71:EG75))</f>
        <v>0</v>
      </c>
      <c r="EH76" s="635">
        <f>-MIN(SUM(EH71:EH75)*SUMIF(Input!$F$89:$Q$89,EH$6,Input!$F$93:$Q$93),SUM(EH71:EH75))</f>
        <v>0</v>
      </c>
      <c r="EI76" s="635">
        <f>-MIN(SUM(EI71:EI75)*SUMIF(Input!$F$89:$Q$89,EI$6,Input!$F$93:$Q$93),SUM(EI71:EI75))</f>
        <v>0</v>
      </c>
      <c r="EJ76" s="635">
        <f>-MIN(SUM(EJ71:EJ75)*SUMIF(Input!$F$89:$Q$89,EJ$6,Input!$F$93:$Q$93),SUM(EJ71:EJ75))</f>
        <v>0</v>
      </c>
      <c r="EK76" s="635">
        <f>-MIN(SUM(EK71:EK75)*SUMIF(Input!$F$89:$Q$89,EK$6,Input!$F$93:$Q$93),SUM(EK71:EK75))</f>
        <v>0</v>
      </c>
      <c r="EL76" s="635">
        <f>-MIN(SUM(EL71:EL75)*SUMIF(Input!$F$89:$Q$89,EL$6,Input!$F$93:$Q$93),SUM(EL71:EL75))</f>
        <v>0</v>
      </c>
      <c r="EM76" s="635">
        <f>-MIN(SUM(EM71:EM75)*SUMIF(Input!$F$89:$Q$89,EM$6,Input!$F$93:$Q$93),SUM(EM71:EM75))</f>
        <v>0</v>
      </c>
      <c r="EN76" s="635">
        <f>-MIN(SUM(EN71:EN75)*SUMIF(Input!$F$89:$Q$89,EN$6,Input!$F$93:$Q$93),SUM(EN71:EN75))</f>
        <v>0</v>
      </c>
      <c r="EO76" s="635">
        <f>-MIN(SUM(EO71:EO75)*SUMIF(Input!$F$89:$Q$89,EO$6,Input!$F$93:$Q$93),SUM(EO71:EO75))</f>
        <v>0</v>
      </c>
      <c r="EP76" s="635">
        <f>-MIN(SUM(EP71:EP75)*SUMIF(Input!$F$89:$Q$89,EP$6,Input!$F$93:$Q$93),SUM(EP71:EP75))</f>
        <v>0</v>
      </c>
      <c r="EQ76" s="635">
        <f>-MIN(SUM(EQ71:EQ75)*SUMIF(Input!$F$89:$Q$89,EQ$6,Input!$F$93:$Q$93),SUM(EQ71:EQ75))</f>
        <v>0</v>
      </c>
      <c r="ER76" s="635">
        <f>-MIN(SUM(ER71:ER75)*SUMIF(Input!$F$89:$Q$89,ER$6,Input!$F$93:$Q$93),SUM(ER71:ER75))</f>
        <v>0</v>
      </c>
      <c r="ES76" s="635">
        <f>-MIN(SUM(ES71:ES75)*SUMIF(Input!$F$89:$Q$89,ES$6,Input!$F$93:$Q$93),SUM(ES71:ES75))</f>
        <v>0</v>
      </c>
      <c r="ET76" s="192"/>
    </row>
    <row r="77" spans="1:150">
      <c r="A77" s="192"/>
      <c r="B77" s="36" t="s">
        <v>121</v>
      </c>
      <c r="C77" s="635">
        <f t="shared" si="93"/>
        <v>-156008.37847179602</v>
      </c>
      <c r="D77" s="635">
        <f t="shared" si="93"/>
        <v>-161266.50140615099</v>
      </c>
      <c r="E77" s="635">
        <f t="shared" si="93"/>
        <v>-169030.69264556724</v>
      </c>
      <c r="F77" s="635">
        <f t="shared" si="93"/>
        <v>-175045.09149657126</v>
      </c>
      <c r="G77" s="635">
        <f t="shared" si="93"/>
        <v>-181268.22665525452</v>
      </c>
      <c r="H77" s="635">
        <f t="shared" si="93"/>
        <v>-186706.27345491233</v>
      </c>
      <c r="I77" s="635">
        <f t="shared" si="93"/>
        <v>-192307.46165855986</v>
      </c>
      <c r="J77" s="635">
        <f t="shared" si="93"/>
        <v>-198076.68550831688</v>
      </c>
      <c r="K77" s="635">
        <f t="shared" si="93"/>
        <v>-204018.98607356657</v>
      </c>
      <c r="L77" s="635">
        <f t="shared" si="93"/>
        <v>-210139.55565577382</v>
      </c>
      <c r="M77" s="635">
        <f t="shared" si="93"/>
        <v>-216443.74232544724</v>
      </c>
      <c r="N77" s="192"/>
      <c r="O77" s="635">
        <f t="shared" si="94"/>
        <v>-198076.68550831688</v>
      </c>
      <c r="P77" s="192"/>
      <c r="Q77" s="830"/>
      <c r="R77" s="635">
        <f>-MIN(SUM(R71:R76)*SUMIF(Input!$G$89:$Q$89,R$6,Input!$G$94:$Q$94),SUM(R71:R76))</f>
        <v>-13000.698205982999</v>
      </c>
      <c r="S77" s="635">
        <f>-MIN(SUM(S71:S76)*SUMIF(Input!$G$89:$Q$89,S$6,Input!$G$94:$Q$94),SUM(S71:S76))</f>
        <v>-13000.698205982999</v>
      </c>
      <c r="T77" s="635">
        <f>-MIN(SUM(T71:T76)*SUMIF(Input!$G$89:$Q$89,T$6,Input!$G$94:$Q$94),SUM(T71:T76))</f>
        <v>-13000.698205982999</v>
      </c>
      <c r="U77" s="635">
        <f>-MIN(SUM(U71:U76)*SUMIF(Input!$G$89:$Q$89,U$6,Input!$G$94:$Q$94),SUM(U71:U76))</f>
        <v>-13000.698205982999</v>
      </c>
      <c r="V77" s="635">
        <f>-MIN(SUM(V71:V76)*SUMIF(Input!$G$89:$Q$89,V$6,Input!$G$94:$Q$94),SUM(V71:V76))</f>
        <v>-13000.698205982999</v>
      </c>
      <c r="W77" s="635">
        <f>-MIN(SUM(W71:W76)*SUMIF(Input!$G$89:$Q$89,W$6,Input!$G$94:$Q$94),SUM(W71:W76))</f>
        <v>-13000.698205982999</v>
      </c>
      <c r="X77" s="635">
        <f>-MIN(SUM(X71:X76)*SUMIF(Input!$G$89:$Q$89,X$6,Input!$G$94:$Q$94),SUM(X71:X76))</f>
        <v>-13000.698205982999</v>
      </c>
      <c r="Y77" s="635">
        <f>-MIN(SUM(Y71:Y76)*SUMIF(Input!$G$89:$Q$89,Y$6,Input!$G$94:$Q$94),SUM(Y71:Y76))</f>
        <v>-13000.698205982999</v>
      </c>
      <c r="Z77" s="635">
        <f>-MIN(SUM(Z71:Z76)*SUMIF(Input!$G$89:$Q$89,Z$6,Input!$G$94:$Q$94),SUM(Z71:Z76))</f>
        <v>-13000.698205982999</v>
      </c>
      <c r="AA77" s="635">
        <f>-MIN(SUM(AA71:AA76)*SUMIF(Input!$G$89:$Q$89,AA$6,Input!$G$94:$Q$94),SUM(AA71:AA76))</f>
        <v>-13000.698205982999</v>
      </c>
      <c r="AB77" s="635">
        <f>-MIN(SUM(AB71:AB76)*SUMIF(Input!$G$89:$Q$89,AB$6,Input!$G$94:$Q$94),SUM(AB71:AB76))</f>
        <v>-13000.698205982999</v>
      </c>
      <c r="AC77" s="635">
        <f>-MIN(SUM(AC71:AC76)*SUMIF(Input!$G$89:$Q$89,AC$6,Input!$G$94:$Q$94),SUM(AC71:AC76))</f>
        <v>-13000.698205982999</v>
      </c>
      <c r="AD77" s="635">
        <f>-MIN(SUM(AD71:AD76)*SUMIF(Input!$G$89:$Q$89,AD$6,Input!$G$94:$Q$94),SUM(AD71:AD76))</f>
        <v>-13317.236917424123</v>
      </c>
      <c r="AE77" s="635">
        <f>-MIN(SUM(AE71:AE76)*SUMIF(Input!$G$89:$Q$89,AE$6,Input!$G$94:$Q$94),SUM(AE71:AE76))</f>
        <v>-13339.231416910185</v>
      </c>
      <c r="AF77" s="635">
        <f>-MIN(SUM(AF71:AF76)*SUMIF(Input!$G$89:$Q$89,AF$6,Input!$G$94:$Q$94),SUM(AF71:AF76))</f>
        <v>-13361.262242100342</v>
      </c>
      <c r="AG77" s="635">
        <f>-MIN(SUM(AG71:AG76)*SUMIF(Input!$G$89:$Q$89,AG$6,Input!$G$94:$Q$94),SUM(AG71:AG76))</f>
        <v>-13383.329452989445</v>
      </c>
      <c r="AH77" s="635">
        <f>-MIN(SUM(AH71:AH76)*SUMIF(Input!$G$89:$Q$89,AH$6,Input!$G$94:$Q$94),SUM(AH71:AH76))</f>
        <v>-13405.433109671443</v>
      </c>
      <c r="AI77" s="635">
        <f>-MIN(SUM(AI71:AI76)*SUMIF(Input!$G$89:$Q$89,AI$6,Input!$G$94:$Q$94),SUM(AI71:AI76))</f>
        <v>-13427.573272339514</v>
      </c>
      <c r="AJ77" s="635">
        <f>-MIN(SUM(AJ71:AJ76)*SUMIF(Input!$G$89:$Q$89,AJ$6,Input!$G$94:$Q$94),SUM(AJ71:AJ76))</f>
        <v>-13449.75000128628</v>
      </c>
      <c r="AK77" s="635">
        <f>-MIN(SUM(AK71:AK76)*SUMIF(Input!$G$89:$Q$89,AK$6,Input!$G$94:$Q$94),SUM(AK71:AK76))</f>
        <v>-13471.963356903902</v>
      </c>
      <c r="AL77" s="635">
        <f>-MIN(SUM(AL71:AL76)*SUMIF(Input!$G$89:$Q$89,AL$6,Input!$G$94:$Q$94),SUM(AL71:AL76))</f>
        <v>-13494.213399684324</v>
      </c>
      <c r="AM77" s="635">
        <f>-MIN(SUM(AM71:AM76)*SUMIF(Input!$G$89:$Q$89,AM$6,Input!$G$94:$Q$94),SUM(AM71:AM76))</f>
        <v>-13516.50019021936</v>
      </c>
      <c r="AN77" s="635">
        <f>-MIN(SUM(AN71:AN76)*SUMIF(Input!$G$89:$Q$89,AN$6,Input!$G$94:$Q$94),SUM(AN71:AN76))</f>
        <v>-13538.823789200927</v>
      </c>
      <c r="AO77" s="635">
        <f>-MIN(SUM(AO71:AO76)*SUMIF(Input!$G$89:$Q$89,AO$6,Input!$G$94:$Q$94),SUM(AO71:AO76))</f>
        <v>-13561.184257421166</v>
      </c>
      <c r="AP77" s="635">
        <f>-MIN(SUM(AP71:AP76)*SUMIF(Input!$G$89:$Q$89,AP$6,Input!$G$94:$Q$94),SUM(AP71:AP76))</f>
        <v>-13895.842928776758</v>
      </c>
      <c r="AQ77" s="635">
        <f>-MIN(SUM(AQ71:AQ76)*SUMIF(Input!$G$89:$Q$89,AQ$6,Input!$G$94:$Q$94),SUM(AQ71:AQ76))</f>
        <v>-13930.113826152681</v>
      </c>
      <c r="AR77" s="635">
        <f>-MIN(SUM(AR71:AR76)*SUMIF(Input!$G$89:$Q$89,AR$6,Input!$G$94:$Q$94),SUM(AR71:AR76))</f>
        <v>-13964.469244806871</v>
      </c>
      <c r="AS77" s="635">
        <f>-MIN(SUM(AS71:AS76)*SUMIF(Input!$G$89:$Q$89,AS$6,Input!$G$94:$Q$94),SUM(AS71:AS76))</f>
        <v>-13998.909393191603</v>
      </c>
      <c r="AT77" s="635">
        <f>-MIN(SUM(AT71:AT76)*SUMIF(Input!$G$89:$Q$89,AT$6,Input!$G$94:$Q$94),SUM(AT71:AT76))</f>
        <v>-14033.434480273248</v>
      </c>
      <c r="AU77" s="635">
        <f>-MIN(SUM(AU71:AU76)*SUMIF(Input!$G$89:$Q$89,AU$6,Input!$G$94:$Q$94),SUM(AU71:AU76))</f>
        <v>-14068.04471553355</v>
      </c>
      <c r="AV77" s="635">
        <f>-MIN(SUM(AV71:AV76)*SUMIF(Input!$G$89:$Q$89,AV$6,Input!$G$94:$Q$94),SUM(AV71:AV76))</f>
        <v>-14102.74030897089</v>
      </c>
      <c r="AW77" s="635">
        <f>-MIN(SUM(AW71:AW76)*SUMIF(Input!$G$89:$Q$89,AW$6,Input!$G$94:$Q$94),SUM(AW71:AW76))</f>
        <v>-14137.521471101551</v>
      </c>
      <c r="AX77" s="635">
        <f>-MIN(SUM(AX71:AX76)*SUMIF(Input!$G$89:$Q$89,AX$6,Input!$G$94:$Q$94),SUM(AX71:AX76))</f>
        <v>-14172.388412961025</v>
      </c>
      <c r="AY77" s="635">
        <f>-MIN(SUM(AY71:AY76)*SUMIF(Input!$G$89:$Q$89,AY$6,Input!$G$94:$Q$94),SUM(AY71:AY76))</f>
        <v>-14207.341346105255</v>
      </c>
      <c r="AZ77" s="635">
        <f>-MIN(SUM(AZ71:AZ76)*SUMIF(Input!$G$89:$Q$89,AZ$6,Input!$G$94:$Q$94),SUM(AZ71:AZ76))</f>
        <v>-14242.380482611956</v>
      </c>
      <c r="BA77" s="635">
        <f>-MIN(SUM(BA71:BA76)*SUMIF(Input!$G$89:$Q$89,BA$6,Input!$G$94:$Q$94),SUM(BA71:BA76))</f>
        <v>-14277.506035081869</v>
      </c>
      <c r="BB77" s="635">
        <f>-MIN(SUM(BB71:BB76)*SUMIF(Input!$G$89:$Q$89,BB$6,Input!$G$94:$Q$94),SUM(BB71:BB76))</f>
        <v>-14390.280598270383</v>
      </c>
      <c r="BC77" s="635">
        <f>-MIN(SUM(BC71:BC76)*SUMIF(Input!$G$89:$Q$89,BC$6,Input!$G$94:$Q$94),SUM(BC71:BC76))</f>
        <v>-14425.770912324866</v>
      </c>
      <c r="BD77" s="635">
        <f>-MIN(SUM(BD71:BD76)*SUMIF(Input!$G$89:$Q$89,BD$6,Input!$G$94:$Q$94),SUM(BD71:BD76))</f>
        <v>-14461.348755068109</v>
      </c>
      <c r="BE77" s="635">
        <f>-MIN(SUM(BE71:BE76)*SUMIF(Input!$G$89:$Q$89,BE$6,Input!$G$94:$Q$94),SUM(BE71:BE76))</f>
        <v>-14497.01434236947</v>
      </c>
      <c r="BF77" s="635">
        <f>-MIN(SUM(BF71:BF76)*SUMIF(Input!$G$89:$Q$89,BF$6,Input!$G$94:$Q$94),SUM(BF71:BF76))</f>
        <v>-14532.767890630716</v>
      </c>
      <c r="BG77" s="635">
        <f>-MIN(SUM(BG71:BG76)*SUMIF(Input!$G$89:$Q$89,BG$6,Input!$G$94:$Q$94),SUM(BG71:BG76))</f>
        <v>-14568.609616787282</v>
      </c>
      <c r="BH77" s="635">
        <f>-MIN(SUM(BH71:BH76)*SUMIF(Input!$G$89:$Q$89,BH$6,Input!$G$94:$Q$94),SUM(BH71:BH76))</f>
        <v>-14604.539738309655</v>
      </c>
      <c r="BI77" s="635">
        <f>-MIN(SUM(BI71:BI76)*SUMIF(Input!$G$89:$Q$89,BI$6,Input!$G$94:$Q$94),SUM(BI71:BI76))</f>
        <v>-14640.558473204655</v>
      </c>
      <c r="BJ77" s="635">
        <f>-MIN(SUM(BJ71:BJ76)*SUMIF(Input!$G$89:$Q$89,BJ$6,Input!$G$94:$Q$94),SUM(BJ71:BJ76))</f>
        <v>-14676.666040016768</v>
      </c>
      <c r="BK77" s="635">
        <f>-MIN(SUM(BK71:BK76)*SUMIF(Input!$G$89:$Q$89,BK$6,Input!$G$94:$Q$94),SUM(BK71:BK76))</f>
        <v>-14712.862657829459</v>
      </c>
      <c r="BL77" s="635">
        <f>-MIN(SUM(BL71:BL76)*SUMIF(Input!$G$89:$Q$89,BL$6,Input!$G$94:$Q$94),SUM(BL71:BL76))</f>
        <v>-14749.148546266517</v>
      </c>
      <c r="BM77" s="635">
        <f>-MIN(SUM(BM71:BM76)*SUMIF(Input!$G$89:$Q$89,BM$6,Input!$G$94:$Q$94),SUM(BM71:BM76))</f>
        <v>-14785.523925493393</v>
      </c>
      <c r="BN77" s="635">
        <f>-MIN(SUM(BN71:BN76)*SUMIF(Input!$G$89:$Q$89,BN$6,Input!$G$94:$Q$94),SUM(BN71:BN76))</f>
        <v>-14901.878269297722</v>
      </c>
      <c r="BO77" s="635">
        <f>-MIN(SUM(BO71:BO76)*SUMIF(Input!$G$89:$Q$89,BO$6,Input!$G$94:$Q$94),SUM(BO71:BO76))</f>
        <v>-14938.63032122384</v>
      </c>
      <c r="BP77" s="635">
        <f>-MIN(SUM(BP71:BP76)*SUMIF(Input!$G$89:$Q$89,BP$6,Input!$G$94:$Q$94),SUM(BP71:BP76))</f>
        <v>-14975.473013624696</v>
      </c>
      <c r="BQ77" s="635">
        <f>-MIN(SUM(BQ71:BQ76)*SUMIF(Input!$G$89:$Q$89,BQ$6,Input!$G$94:$Q$94),SUM(BQ71:BQ76))</f>
        <v>-15012.406570044144</v>
      </c>
      <c r="BR77" s="635">
        <f>-MIN(SUM(BR71:BR76)*SUMIF(Input!$G$89:$Q$89,BR$6,Input!$G$94:$Q$94),SUM(BR71:BR76))</f>
        <v>-15049.431214577378</v>
      </c>
      <c r="BS77" s="635">
        <f>-MIN(SUM(BS71:BS76)*SUMIF(Input!$G$89:$Q$89,BS$6,Input!$G$94:$Q$94),SUM(BS71:BS76))</f>
        <v>-15086.547171872253</v>
      </c>
      <c r="BT77" s="635">
        <f>-MIN(SUM(BT71:BT76)*SUMIF(Input!$G$89:$Q$89,BT$6,Input!$G$94:$Q$94),SUM(BT71:BT76))</f>
        <v>-15123.754667130679</v>
      </c>
      <c r="BU77" s="635">
        <f>-MIN(SUM(BU71:BU76)*SUMIF(Input!$G$89:$Q$89,BU$6,Input!$G$94:$Q$94),SUM(BU71:BU76))</f>
        <v>-15161.053926109958</v>
      </c>
      <c r="BV77" s="635">
        <f>-MIN(SUM(BV71:BV76)*SUMIF(Input!$G$89:$Q$89,BV$6,Input!$G$94:$Q$94),SUM(BV71:BV76))</f>
        <v>-15198.445175124189</v>
      </c>
      <c r="BW77" s="635">
        <f>-MIN(SUM(BW71:BW76)*SUMIF(Input!$G$89:$Q$89,BW$6,Input!$G$94:$Q$94),SUM(BW71:BW76))</f>
        <v>-15235.928641045617</v>
      </c>
      <c r="BX77" s="635">
        <f>-MIN(SUM(BX71:BX76)*SUMIF(Input!$G$89:$Q$89,BX$6,Input!$G$94:$Q$94),SUM(BX71:BX76))</f>
        <v>-15273.504551306003</v>
      </c>
      <c r="BY77" s="635">
        <f>-MIN(SUM(BY71:BY76)*SUMIF(Input!$G$89:$Q$89,BY$6,Input!$G$94:$Q$94),SUM(BY71:BY76))</f>
        <v>-15311.173133898028</v>
      </c>
      <c r="BZ77" s="635">
        <f>-MIN(SUM(BZ71:BZ76)*SUMIF(Input!$G$89:$Q$89,BZ$6,Input!$G$94:$Q$94),SUM(BZ71:BZ76))</f>
        <v>-15348.934617376672</v>
      </c>
      <c r="CA77" s="635">
        <f>-MIN(SUM(CA71:CA76)*SUMIF(Input!$G$89:$Q$89,CA$6,Input!$G$94:$Q$94),SUM(CA71:CA76))</f>
        <v>-15386.78923086057</v>
      </c>
      <c r="CB77" s="635">
        <f>-MIN(SUM(CB71:CB76)*SUMIF(Input!$G$89:$Q$89,CB$6,Input!$G$94:$Q$94),SUM(CB71:CB76))</f>
        <v>-15424.73720403345</v>
      </c>
      <c r="CC77" s="635">
        <f>-MIN(SUM(CC71:CC76)*SUMIF(Input!$G$89:$Q$89,CC$6,Input!$G$94:$Q$94),SUM(CC71:CC76))</f>
        <v>-15462.778767145486</v>
      </c>
      <c r="CD77" s="635">
        <f>-MIN(SUM(CD71:CD76)*SUMIF(Input!$G$89:$Q$89,CD$6,Input!$G$94:$Q$94),SUM(CD71:CD76))</f>
        <v>-15500.914151014715</v>
      </c>
      <c r="CE77" s="635">
        <f>-MIN(SUM(CE71:CE76)*SUMIF(Input!$G$89:$Q$89,CE$6,Input!$G$94:$Q$94),SUM(CE71:CE76))</f>
        <v>-15539.143587028437</v>
      </c>
      <c r="CF77" s="635">
        <f>-MIN(SUM(CF71:CF76)*SUMIF(Input!$G$89:$Q$89,CF$6,Input!$G$94:$Q$94),SUM(CF71:CF76))</f>
        <v>-15577.46730714461</v>
      </c>
      <c r="CG77" s="635">
        <f>-MIN(SUM(CG71:CG76)*SUMIF(Input!$G$89:$Q$89,CG$6,Input!$G$94:$Q$94),SUM(CG71:CG76))</f>
        <v>-15615.88554389327</v>
      </c>
      <c r="CH77" s="635">
        <f>-MIN(SUM(CH71:CH76)*SUMIF(Input!$G$89:$Q$89,CH$6,Input!$G$94:$Q$94),SUM(CH71:CH76))</f>
        <v>-15654.398530377928</v>
      </c>
      <c r="CI77" s="635">
        <f>-MIN(SUM(CI71:CI76)*SUMIF(Input!$G$89:$Q$89,CI$6,Input!$G$94:$Q$94),SUM(CI71:CI76))</f>
        <v>-15693.006500276995</v>
      </c>
      <c r="CJ77" s="635">
        <f>-MIN(SUM(CJ71:CJ76)*SUMIF(Input!$G$89:$Q$89,CJ$6,Input!$G$94:$Q$94),SUM(CJ71:CJ76))</f>
        <v>-15731.709687845194</v>
      </c>
      <c r="CK77" s="635">
        <f>-MIN(SUM(CK71:CK76)*SUMIF(Input!$G$89:$Q$89,CK$6,Input!$G$94:$Q$94),SUM(CK71:CK76))</f>
        <v>-15770.508327914988</v>
      </c>
      <c r="CL77" s="635">
        <f>-MIN(SUM(CL71:CL76)*SUMIF(Input!$G$89:$Q$89,CL$6,Input!$G$94:$Q$94),SUM(CL71:CL76))</f>
        <v>-15809.402655897984</v>
      </c>
      <c r="CM77" s="635">
        <f>-MIN(SUM(CM71:CM76)*SUMIF(Input!$G$89:$Q$89,CM$6,Input!$G$94:$Q$94),SUM(CM71:CM76))</f>
        <v>-15848.392907786403</v>
      </c>
      <c r="CN77" s="635">
        <f>-MIN(SUM(CN71:CN76)*SUMIF(Input!$G$89:$Q$89,CN$6,Input!$G$94:$Q$94),SUM(CN71:CN76))</f>
        <v>-15887.479320154471</v>
      </c>
      <c r="CO77" s="635">
        <f>-MIN(SUM(CO71:CO76)*SUMIF(Input!$G$89:$Q$89,CO$6,Input!$G$94:$Q$94),SUM(CO71:CO76))</f>
        <v>-15926.662130159866</v>
      </c>
      <c r="CP77" s="635">
        <f>-MIN(SUM(CP71:CP76)*SUMIF(Input!$G$89:$Q$89,CP$6,Input!$G$94:$Q$94),SUM(CP71:CP76))</f>
        <v>-15965.941575545176</v>
      </c>
      <c r="CQ77" s="635">
        <f>-MIN(SUM(CQ71:CQ76)*SUMIF(Input!$G$89:$Q$89,CQ$6,Input!$G$94:$Q$94),SUM(CQ71:CQ76))</f>
        <v>-16005.317894639305</v>
      </c>
      <c r="CR77" s="635">
        <f>-MIN(SUM(CR71:CR76)*SUMIF(Input!$G$89:$Q$89,CR$6,Input!$G$94:$Q$94),SUM(CR71:CR76))</f>
        <v>-16044.791326358962</v>
      </c>
      <c r="CS77" s="635">
        <f>-MIN(SUM(CS71:CS76)*SUMIF(Input!$G$89:$Q$89,CS$6,Input!$G$94:$Q$94),SUM(CS71:CS76))</f>
        <v>-16084.362110210084</v>
      </c>
      <c r="CT77" s="635">
        <f>-MIN(SUM(CT71:CT76)*SUMIF(Input!$G$89:$Q$89,CT$6,Input!$G$94:$Q$94),SUM(CT71:CT76))</f>
        <v>-16124.030486289288</v>
      </c>
      <c r="CU77" s="635">
        <f>-MIN(SUM(CU71:CU76)*SUMIF(Input!$G$89:$Q$89,CU$6,Input!$G$94:$Q$94),SUM(CU71:CU76))</f>
        <v>-16163.796695285322</v>
      </c>
      <c r="CV77" s="635">
        <f>-MIN(SUM(CV71:CV76)*SUMIF(Input!$G$89:$Q$89,CV$6,Input!$G$94:$Q$94),SUM(CV71:CV76))</f>
        <v>-16203.66097848057</v>
      </c>
      <c r="CW77" s="635">
        <f>-MIN(SUM(CW71:CW76)*SUMIF(Input!$G$89:$Q$89,CW$6,Input!$G$94:$Q$94),SUM(CW71:CW76))</f>
        <v>-16243.623577752449</v>
      </c>
      <c r="CX77" s="635">
        <f>-MIN(SUM(CX71:CX76)*SUMIF(Input!$G$89:$Q$89,CX$6,Input!$G$94:$Q$94),SUM(CX71:CX76))</f>
        <v>-16283.684735574938</v>
      </c>
      <c r="CY77" s="635">
        <f>-MIN(SUM(CY71:CY76)*SUMIF(Input!$G$89:$Q$89,CY$6,Input!$G$94:$Q$94),SUM(CY71:CY76))</f>
        <v>-16323.844695020012</v>
      </c>
      <c r="CZ77" s="635">
        <f>-MIN(SUM(CZ71:CZ76)*SUMIF(Input!$G$89:$Q$89,CZ$6,Input!$G$94:$Q$94),SUM(CZ71:CZ76))</f>
        <v>-16364.103699759118</v>
      </c>
      <c r="DA77" s="635">
        <f>-MIN(SUM(DA71:DA76)*SUMIF(Input!$G$89:$Q$89,DA$6,Input!$G$94:$Q$94),SUM(DA71:DA76))</f>
        <v>-16404.461994064677</v>
      </c>
      <c r="DB77" s="635">
        <f>-MIN(SUM(DB71:DB76)*SUMIF(Input!$G$89:$Q$89,DB$6,Input!$G$94:$Q$94),SUM(DB71:DB76))</f>
        <v>-16444.919822811542</v>
      </c>
      <c r="DC77" s="635">
        <f>-MIN(SUM(DC71:DC76)*SUMIF(Input!$G$89:$Q$89,DC$6,Input!$G$94:$Q$94),SUM(DC71:DC76))</f>
        <v>-16485.477431478499</v>
      </c>
      <c r="DD77" s="635">
        <f>-MIN(SUM(DD71:DD76)*SUMIF(Input!$G$89:$Q$89,DD$6,Input!$G$94:$Q$94),SUM(DD71:DD76))</f>
        <v>-16526.135066149753</v>
      </c>
      <c r="DE77" s="635">
        <f>-MIN(SUM(DE71:DE76)*SUMIF(Input!$G$89:$Q$89,DE$6,Input!$G$94:$Q$94),SUM(DE71:DE76))</f>
        <v>-16566.892973516406</v>
      </c>
      <c r="DF77" s="635">
        <f>-MIN(SUM(DF71:DF76)*SUMIF(Input!$G$89:$Q$89,DF$6,Input!$G$94:$Q$94),SUM(DF71:DF76))</f>
        <v>-16607.75140087798</v>
      </c>
      <c r="DG77" s="635">
        <f>-MIN(SUM(DG71:DG76)*SUMIF(Input!$G$89:$Q$89,DG$6,Input!$G$94:$Q$94),SUM(DG71:DG76))</f>
        <v>-16648.710596143901</v>
      </c>
      <c r="DH77" s="635">
        <f>-MIN(SUM(DH71:DH76)*SUMIF(Input!$G$89:$Q$89,DH$6,Input!$G$94:$Q$94),SUM(DH71:DH76))</f>
        <v>-16689.770807835001</v>
      </c>
      <c r="DI77" s="635">
        <f>-MIN(SUM(DI71:DI76)*SUMIF(Input!$G$89:$Q$89,DI$6,Input!$G$94:$Q$94),SUM(DI71:DI76))</f>
        <v>-16730.93228508504</v>
      </c>
      <c r="DJ77" s="635">
        <f>-MIN(SUM(DJ71:DJ76)*SUMIF(Input!$G$89:$Q$89,DJ$6,Input!$G$94:$Q$94),SUM(DJ71:DJ76))</f>
        <v>-16772.195277642204</v>
      </c>
      <c r="DK77" s="635">
        <f>-MIN(SUM(DK71:DK76)*SUMIF(Input!$G$89:$Q$89,DK$6,Input!$G$94:$Q$94),SUM(DK71:DK76))</f>
        <v>-16813.560035870629</v>
      </c>
      <c r="DL77" s="635">
        <f>-MIN(SUM(DL71:DL76)*SUMIF(Input!$G$89:$Q$89,DL$6,Input!$G$94:$Q$94),SUM(DL71:DL76))</f>
        <v>-16855.026810751904</v>
      </c>
      <c r="DM77" s="635">
        <f>-MIN(SUM(DM71:DM76)*SUMIF(Input!$G$89:$Q$89,DM$6,Input!$G$94:$Q$94),SUM(DM71:DM76))</f>
        <v>-16896.595853886633</v>
      </c>
      <c r="DN77" s="635">
        <f>-MIN(SUM(DN71:DN76)*SUMIF(Input!$G$89:$Q$89,DN$6,Input!$G$94:$Q$94),SUM(DN71:DN76))</f>
        <v>-16938.267417495903</v>
      </c>
      <c r="DO77" s="635">
        <f>-MIN(SUM(DO71:DO76)*SUMIF(Input!$G$89:$Q$89,DO$6,Input!$G$94:$Q$94),SUM(DO71:DO76))</f>
        <v>-16980.041754422877</v>
      </c>
      <c r="DP77" s="635">
        <f>-MIN(SUM(DP71:DP76)*SUMIF(Input!$G$89:$Q$89,DP$6,Input!$G$94:$Q$94),SUM(DP71:DP76))</f>
        <v>-17021.919118134261</v>
      </c>
      <c r="DQ77" s="635">
        <f>-MIN(SUM(DQ71:DQ76)*SUMIF(Input!$G$89:$Q$89,DQ$6,Input!$G$94:$Q$94),SUM(DQ71:DQ76))</f>
        <v>-17063.899762721911</v>
      </c>
      <c r="DR77" s="635">
        <f>-MIN(SUM(DR71:DR76)*SUMIF(Input!$G$89:$Q$89,DR$6,Input!$G$94:$Q$94),SUM(DR71:DR76))</f>
        <v>-17105.983942904335</v>
      </c>
      <c r="DS77" s="635">
        <f>-MIN(SUM(DS71:DS76)*SUMIF(Input!$G$89:$Q$89,DS$6,Input!$G$94:$Q$94),SUM(DS71:DS76))</f>
        <v>-17148.171914028233</v>
      </c>
      <c r="DT77" s="635">
        <f>-MIN(SUM(DT71:DT76)*SUMIF(Input!$G$89:$Q$89,DT$6,Input!$G$94:$Q$94),SUM(DT71:DT76))</f>
        <v>-17190.463932070063</v>
      </c>
      <c r="DU77" s="635">
        <f>-MIN(SUM(DU71:DU76)*SUMIF(Input!$G$89:$Q$89,DU$6,Input!$G$94:$Q$94),SUM(DU71:DU76))</f>
        <v>-17232.860253637606</v>
      </c>
      <c r="DV77" s="635">
        <f>-MIN(SUM(DV71:DV76)*SUMIF(Input!$G$89:$Q$89,DV$6,Input!$G$94:$Q$94),SUM(DV71:DV76))</f>
        <v>-17275.361135971489</v>
      </c>
      <c r="DW77" s="635">
        <f>-MIN(SUM(DW71:DW76)*SUMIF(Input!$G$89:$Q$89,DW$6,Input!$G$94:$Q$94),SUM(DW71:DW76))</f>
        <v>-17317.966836946762</v>
      </c>
      <c r="DX77" s="635">
        <f>-MIN(SUM(DX71:DX76)*SUMIF(Input!$G$89:$Q$89,DX$6,Input!$G$94:$Q$94),SUM(DX71:DX76))</f>
        <v>-17360.677615074484</v>
      </c>
      <c r="DY77" s="635">
        <f>-MIN(SUM(DY71:DY76)*SUMIF(Input!$G$89:$Q$89,DY$6,Input!$G$94:$Q$94),SUM(DY71:DY76))</f>
        <v>-17403.493729503254</v>
      </c>
      <c r="DZ77" s="635">
        <f>-MIN(SUM(DZ71:DZ76)*SUMIF(Input!$G$89:$Q$89,DZ$6,Input!$G$94:$Q$94),SUM(DZ71:DZ76))</f>
        <v>-17446.415440020806</v>
      </c>
      <c r="EA77" s="635">
        <f>-MIN(SUM(EA71:EA76)*SUMIF(Input!$G$89:$Q$89,EA$6,Input!$G$94:$Q$94),SUM(EA71:EA76))</f>
        <v>-17489.443007055579</v>
      </c>
      <c r="EB77" s="635">
        <f>-MIN(SUM(EB71:EB76)*SUMIF(Input!$G$89:$Q$89,EB$6,Input!$G$94:$Q$94),SUM(EB71:EB76))</f>
        <v>-17532.57669167831</v>
      </c>
      <c r="EC77" s="635">
        <f>-MIN(SUM(EC71:EC76)*SUMIF(Input!$G$89:$Q$89,EC$6,Input!$G$94:$Q$94),SUM(EC71:EC76))</f>
        <v>-17575.816755603588</v>
      </c>
      <c r="ED77" s="635">
        <f>-MIN(SUM(ED71:ED76)*SUMIF(Input!$G$89:$Q$89,ED$6,Input!$G$94:$Q$94),SUM(ED71:ED76))</f>
        <v>-17619.163461191481</v>
      </c>
      <c r="EE77" s="635">
        <f>-MIN(SUM(EE71:EE76)*SUMIF(Input!$G$89:$Q$89,EE$6,Input!$G$94:$Q$94),SUM(EE71:EE76))</f>
        <v>-17662.617071449102</v>
      </c>
      <c r="EF77" s="635">
        <f>-MIN(SUM(EF71:EF76)*SUMIF(Input!$G$89:$Q$89,EF$6,Input!$G$94:$Q$94),SUM(EF71:EF76))</f>
        <v>-17706.177850032189</v>
      </c>
      <c r="EG77" s="635">
        <f>-MIN(SUM(EG71:EG76)*SUMIF(Input!$G$89:$Q$89,EG$6,Input!$G$94:$Q$94),SUM(EG71:EG76))</f>
        <v>-17749.846061246757</v>
      </c>
      <c r="EH77" s="635">
        <f>-MIN(SUM(EH71:EH76)*SUMIF(Input!$G$89:$Q$89,EH$6,Input!$G$94:$Q$94),SUM(EH71:EH76))</f>
        <v>-17793.621970050652</v>
      </c>
      <c r="EI77" s="635">
        <f>-MIN(SUM(EI71:EI76)*SUMIF(Input!$G$89:$Q$89,EI$6,Input!$G$94:$Q$94),SUM(EI71:EI76))</f>
        <v>-17837.50584205519</v>
      </c>
      <c r="EJ77" s="635">
        <f>-MIN(SUM(EJ71:EJ76)*SUMIF(Input!$G$89:$Q$89,EJ$6,Input!$G$94:$Q$94),SUM(EJ71:EJ76))</f>
        <v>-17881.497943526738</v>
      </c>
      <c r="EK77" s="635">
        <f>-MIN(SUM(EK71:EK76)*SUMIF(Input!$G$89:$Q$89,EK$6,Input!$G$94:$Q$94),SUM(EK71:EK76))</f>
        <v>-17925.598541388368</v>
      </c>
      <c r="EL77" s="635">
        <f>-MIN(SUM(EL71:EL76)*SUMIF(Input!$G$89:$Q$89,EL$6,Input!$G$94:$Q$94),SUM(EL71:EL76))</f>
        <v>-17969.807903221448</v>
      </c>
      <c r="EM77" s="635">
        <f>-MIN(SUM(EM71:EM76)*SUMIF(Input!$G$89:$Q$89,EM$6,Input!$G$94:$Q$94),SUM(EM71:EM76))</f>
        <v>-18014.126297267259</v>
      </c>
      <c r="EN77" s="635">
        <f>-MIN(SUM(EN71:EN76)*SUMIF(Input!$G$89:$Q$89,EN$6,Input!$G$94:$Q$94),SUM(EN71:EN76))</f>
        <v>-18058.553992428679</v>
      </c>
      <c r="EO77" s="635">
        <f>-MIN(SUM(EO71:EO76)*SUMIF(Input!$G$89:$Q$89,EO$6,Input!$G$94:$Q$94),SUM(EO71:EO76))</f>
        <v>-18103.091258271721</v>
      </c>
      <c r="EP77" s="635">
        <f>-MIN(SUM(EP71:EP76)*SUMIF(Input!$G$89:$Q$89,EP$6,Input!$G$94:$Q$94),SUM(EP71:EP76))</f>
        <v>-18147.73836502725</v>
      </c>
      <c r="EQ77" s="635">
        <f>-MIN(SUM(EQ71:EQ76)*SUMIF(Input!$G$89:$Q$89,EQ$6,Input!$G$94:$Q$94),SUM(EQ71:EQ76))</f>
        <v>-18192.49558359259</v>
      </c>
      <c r="ER77" s="635">
        <f>-MIN(SUM(ER71:ER76)*SUMIF(Input!$G$89:$Q$89,ER$6,Input!$G$94:$Q$94),SUM(ER71:ER76))</f>
        <v>-18237.363185533177</v>
      </c>
      <c r="ES77" s="635">
        <f>-MIN(SUM(ES71:ES76)*SUMIF(Input!$G$89:$Q$89,ES$6,Input!$G$94:$Q$94),SUM(ES71:ES76))</f>
        <v>-18282.34144308418</v>
      </c>
      <c r="ET77" s="192"/>
    </row>
    <row r="78" spans="1:150">
      <c r="A78" s="192"/>
      <c r="B78" s="36" t="str">
        <f>B141</f>
        <v>Garage / Parking</v>
      </c>
      <c r="C78" s="635">
        <f t="shared" si="93"/>
        <v>0</v>
      </c>
      <c r="D78" s="635">
        <f t="shared" si="93"/>
        <v>0</v>
      </c>
      <c r="E78" s="635">
        <f t="shared" si="93"/>
        <v>0</v>
      </c>
      <c r="F78" s="635">
        <f t="shared" si="93"/>
        <v>0</v>
      </c>
      <c r="G78" s="635">
        <f t="shared" si="93"/>
        <v>0</v>
      </c>
      <c r="H78" s="635">
        <f t="shared" si="93"/>
        <v>0</v>
      </c>
      <c r="I78" s="635">
        <f t="shared" si="93"/>
        <v>0</v>
      </c>
      <c r="J78" s="635">
        <f t="shared" si="93"/>
        <v>0</v>
      </c>
      <c r="K78" s="635">
        <f t="shared" si="93"/>
        <v>0</v>
      </c>
      <c r="L78" s="635">
        <f t="shared" si="93"/>
        <v>0</v>
      </c>
      <c r="M78" s="635">
        <f t="shared" si="93"/>
        <v>0</v>
      </c>
      <c r="N78" s="192"/>
      <c r="O78" s="635">
        <f t="shared" si="94"/>
        <v>0</v>
      </c>
      <c r="P78" s="192"/>
      <c r="Q78" s="635"/>
      <c r="R78" s="635">
        <f t="shared" ref="R78:AW78" si="113">R141</f>
        <v>0</v>
      </c>
      <c r="S78" s="635">
        <f t="shared" si="113"/>
        <v>0</v>
      </c>
      <c r="T78" s="635">
        <f t="shared" si="113"/>
        <v>0</v>
      </c>
      <c r="U78" s="635">
        <f t="shared" si="113"/>
        <v>0</v>
      </c>
      <c r="V78" s="635">
        <f t="shared" si="113"/>
        <v>0</v>
      </c>
      <c r="W78" s="635">
        <f t="shared" si="113"/>
        <v>0</v>
      </c>
      <c r="X78" s="635">
        <f t="shared" si="113"/>
        <v>0</v>
      </c>
      <c r="Y78" s="635">
        <f t="shared" si="113"/>
        <v>0</v>
      </c>
      <c r="Z78" s="635">
        <f t="shared" si="113"/>
        <v>0</v>
      </c>
      <c r="AA78" s="635">
        <f t="shared" si="113"/>
        <v>0</v>
      </c>
      <c r="AB78" s="635">
        <f t="shared" si="113"/>
        <v>0</v>
      </c>
      <c r="AC78" s="635">
        <f t="shared" si="113"/>
        <v>0</v>
      </c>
      <c r="AD78" s="635">
        <f t="shared" si="113"/>
        <v>0</v>
      </c>
      <c r="AE78" s="635">
        <f t="shared" si="113"/>
        <v>0</v>
      </c>
      <c r="AF78" s="635">
        <f t="shared" si="113"/>
        <v>0</v>
      </c>
      <c r="AG78" s="635">
        <f t="shared" si="113"/>
        <v>0</v>
      </c>
      <c r="AH78" s="635">
        <f t="shared" si="113"/>
        <v>0</v>
      </c>
      <c r="AI78" s="635">
        <f t="shared" si="113"/>
        <v>0</v>
      </c>
      <c r="AJ78" s="635">
        <f t="shared" si="113"/>
        <v>0</v>
      </c>
      <c r="AK78" s="635">
        <f t="shared" si="113"/>
        <v>0</v>
      </c>
      <c r="AL78" s="635">
        <f t="shared" si="113"/>
        <v>0</v>
      </c>
      <c r="AM78" s="635">
        <f t="shared" si="113"/>
        <v>0</v>
      </c>
      <c r="AN78" s="635">
        <f t="shared" si="113"/>
        <v>0</v>
      </c>
      <c r="AO78" s="635">
        <f t="shared" si="113"/>
        <v>0</v>
      </c>
      <c r="AP78" s="635">
        <f t="shared" si="113"/>
        <v>0</v>
      </c>
      <c r="AQ78" s="635">
        <f t="shared" si="113"/>
        <v>0</v>
      </c>
      <c r="AR78" s="635">
        <f t="shared" si="113"/>
        <v>0</v>
      </c>
      <c r="AS78" s="635">
        <f t="shared" si="113"/>
        <v>0</v>
      </c>
      <c r="AT78" s="635">
        <f t="shared" si="113"/>
        <v>0</v>
      </c>
      <c r="AU78" s="635">
        <f t="shared" si="113"/>
        <v>0</v>
      </c>
      <c r="AV78" s="635">
        <f t="shared" si="113"/>
        <v>0</v>
      </c>
      <c r="AW78" s="635">
        <f t="shared" si="113"/>
        <v>0</v>
      </c>
      <c r="AX78" s="635">
        <f t="shared" ref="AX78:CC78" si="114">AX141</f>
        <v>0</v>
      </c>
      <c r="AY78" s="635">
        <f t="shared" si="114"/>
        <v>0</v>
      </c>
      <c r="AZ78" s="635">
        <f t="shared" si="114"/>
        <v>0</v>
      </c>
      <c r="BA78" s="635">
        <f t="shared" si="114"/>
        <v>0</v>
      </c>
      <c r="BB78" s="635">
        <f t="shared" si="114"/>
        <v>0</v>
      </c>
      <c r="BC78" s="635">
        <f t="shared" si="114"/>
        <v>0</v>
      </c>
      <c r="BD78" s="635">
        <f t="shared" si="114"/>
        <v>0</v>
      </c>
      <c r="BE78" s="635">
        <f t="shared" si="114"/>
        <v>0</v>
      </c>
      <c r="BF78" s="635">
        <f t="shared" si="114"/>
        <v>0</v>
      </c>
      <c r="BG78" s="635">
        <f t="shared" si="114"/>
        <v>0</v>
      </c>
      <c r="BH78" s="635">
        <f t="shared" si="114"/>
        <v>0</v>
      </c>
      <c r="BI78" s="635">
        <f t="shared" si="114"/>
        <v>0</v>
      </c>
      <c r="BJ78" s="635">
        <f t="shared" si="114"/>
        <v>0</v>
      </c>
      <c r="BK78" s="635">
        <f t="shared" si="114"/>
        <v>0</v>
      </c>
      <c r="BL78" s="635">
        <f t="shared" si="114"/>
        <v>0</v>
      </c>
      <c r="BM78" s="635">
        <f t="shared" si="114"/>
        <v>0</v>
      </c>
      <c r="BN78" s="635">
        <f t="shared" si="114"/>
        <v>0</v>
      </c>
      <c r="BO78" s="635">
        <f t="shared" si="114"/>
        <v>0</v>
      </c>
      <c r="BP78" s="635">
        <f t="shared" si="114"/>
        <v>0</v>
      </c>
      <c r="BQ78" s="635">
        <f t="shared" si="114"/>
        <v>0</v>
      </c>
      <c r="BR78" s="635">
        <f t="shared" si="114"/>
        <v>0</v>
      </c>
      <c r="BS78" s="635">
        <f t="shared" si="114"/>
        <v>0</v>
      </c>
      <c r="BT78" s="635">
        <f t="shared" si="114"/>
        <v>0</v>
      </c>
      <c r="BU78" s="635">
        <f t="shared" si="114"/>
        <v>0</v>
      </c>
      <c r="BV78" s="635">
        <f t="shared" si="114"/>
        <v>0</v>
      </c>
      <c r="BW78" s="635">
        <f t="shared" si="114"/>
        <v>0</v>
      </c>
      <c r="BX78" s="635">
        <f t="shared" si="114"/>
        <v>0</v>
      </c>
      <c r="BY78" s="635">
        <f t="shared" si="114"/>
        <v>0</v>
      </c>
      <c r="BZ78" s="635">
        <f t="shared" si="114"/>
        <v>0</v>
      </c>
      <c r="CA78" s="635">
        <f t="shared" si="114"/>
        <v>0</v>
      </c>
      <c r="CB78" s="635">
        <f t="shared" si="114"/>
        <v>0</v>
      </c>
      <c r="CC78" s="635">
        <f t="shared" si="114"/>
        <v>0</v>
      </c>
      <c r="CD78" s="635">
        <f t="shared" ref="CD78:DI78" si="115">CD141</f>
        <v>0</v>
      </c>
      <c r="CE78" s="635">
        <f t="shared" si="115"/>
        <v>0</v>
      </c>
      <c r="CF78" s="635">
        <f t="shared" si="115"/>
        <v>0</v>
      </c>
      <c r="CG78" s="635">
        <f t="shared" si="115"/>
        <v>0</v>
      </c>
      <c r="CH78" s="635">
        <f t="shared" si="115"/>
        <v>0</v>
      </c>
      <c r="CI78" s="635">
        <f t="shared" si="115"/>
        <v>0</v>
      </c>
      <c r="CJ78" s="635">
        <f t="shared" si="115"/>
        <v>0</v>
      </c>
      <c r="CK78" s="635">
        <f t="shared" si="115"/>
        <v>0</v>
      </c>
      <c r="CL78" s="635">
        <f t="shared" si="115"/>
        <v>0</v>
      </c>
      <c r="CM78" s="635">
        <f t="shared" si="115"/>
        <v>0</v>
      </c>
      <c r="CN78" s="635">
        <f t="shared" si="115"/>
        <v>0</v>
      </c>
      <c r="CO78" s="635">
        <f t="shared" si="115"/>
        <v>0</v>
      </c>
      <c r="CP78" s="635">
        <f t="shared" si="115"/>
        <v>0</v>
      </c>
      <c r="CQ78" s="635">
        <f t="shared" si="115"/>
        <v>0</v>
      </c>
      <c r="CR78" s="635">
        <f t="shared" si="115"/>
        <v>0</v>
      </c>
      <c r="CS78" s="635">
        <f t="shared" si="115"/>
        <v>0</v>
      </c>
      <c r="CT78" s="635">
        <f t="shared" si="115"/>
        <v>0</v>
      </c>
      <c r="CU78" s="635">
        <f t="shared" si="115"/>
        <v>0</v>
      </c>
      <c r="CV78" s="635">
        <f t="shared" si="115"/>
        <v>0</v>
      </c>
      <c r="CW78" s="635">
        <f t="shared" si="115"/>
        <v>0</v>
      </c>
      <c r="CX78" s="635">
        <f t="shared" si="115"/>
        <v>0</v>
      </c>
      <c r="CY78" s="635">
        <f t="shared" si="115"/>
        <v>0</v>
      </c>
      <c r="CZ78" s="635">
        <f t="shared" si="115"/>
        <v>0</v>
      </c>
      <c r="DA78" s="635">
        <f t="shared" si="115"/>
        <v>0</v>
      </c>
      <c r="DB78" s="635">
        <f t="shared" si="115"/>
        <v>0</v>
      </c>
      <c r="DC78" s="635">
        <f t="shared" si="115"/>
        <v>0</v>
      </c>
      <c r="DD78" s="635">
        <f t="shared" si="115"/>
        <v>0</v>
      </c>
      <c r="DE78" s="635">
        <f t="shared" si="115"/>
        <v>0</v>
      </c>
      <c r="DF78" s="635">
        <f t="shared" si="115"/>
        <v>0</v>
      </c>
      <c r="DG78" s="635">
        <f t="shared" si="115"/>
        <v>0</v>
      </c>
      <c r="DH78" s="635">
        <f t="shared" si="115"/>
        <v>0</v>
      </c>
      <c r="DI78" s="635">
        <f t="shared" si="115"/>
        <v>0</v>
      </c>
      <c r="DJ78" s="635">
        <f t="shared" ref="DJ78:ES78" si="116">DJ141</f>
        <v>0</v>
      </c>
      <c r="DK78" s="635">
        <f t="shared" si="116"/>
        <v>0</v>
      </c>
      <c r="DL78" s="635">
        <f t="shared" si="116"/>
        <v>0</v>
      </c>
      <c r="DM78" s="635">
        <f t="shared" si="116"/>
        <v>0</v>
      </c>
      <c r="DN78" s="635">
        <f t="shared" si="116"/>
        <v>0</v>
      </c>
      <c r="DO78" s="635">
        <f t="shared" si="116"/>
        <v>0</v>
      </c>
      <c r="DP78" s="635">
        <f t="shared" si="116"/>
        <v>0</v>
      </c>
      <c r="DQ78" s="635">
        <f t="shared" si="116"/>
        <v>0</v>
      </c>
      <c r="DR78" s="635">
        <f t="shared" si="116"/>
        <v>0</v>
      </c>
      <c r="DS78" s="635">
        <f t="shared" si="116"/>
        <v>0</v>
      </c>
      <c r="DT78" s="635">
        <f t="shared" si="116"/>
        <v>0</v>
      </c>
      <c r="DU78" s="635">
        <f t="shared" si="116"/>
        <v>0</v>
      </c>
      <c r="DV78" s="635">
        <f t="shared" si="116"/>
        <v>0</v>
      </c>
      <c r="DW78" s="635">
        <f t="shared" si="116"/>
        <v>0</v>
      </c>
      <c r="DX78" s="635">
        <f t="shared" si="116"/>
        <v>0</v>
      </c>
      <c r="DY78" s="635">
        <f t="shared" si="116"/>
        <v>0</v>
      </c>
      <c r="DZ78" s="635">
        <f t="shared" si="116"/>
        <v>0</v>
      </c>
      <c r="EA78" s="635">
        <f t="shared" si="116"/>
        <v>0</v>
      </c>
      <c r="EB78" s="635">
        <f t="shared" si="116"/>
        <v>0</v>
      </c>
      <c r="EC78" s="635">
        <f t="shared" si="116"/>
        <v>0</v>
      </c>
      <c r="ED78" s="635">
        <f t="shared" si="116"/>
        <v>0</v>
      </c>
      <c r="EE78" s="635">
        <f t="shared" si="116"/>
        <v>0</v>
      </c>
      <c r="EF78" s="635">
        <f t="shared" si="116"/>
        <v>0</v>
      </c>
      <c r="EG78" s="635">
        <f t="shared" si="116"/>
        <v>0</v>
      </c>
      <c r="EH78" s="635">
        <f t="shared" si="116"/>
        <v>0</v>
      </c>
      <c r="EI78" s="635">
        <f t="shared" si="116"/>
        <v>0</v>
      </c>
      <c r="EJ78" s="635">
        <f t="shared" si="116"/>
        <v>0</v>
      </c>
      <c r="EK78" s="635">
        <f t="shared" si="116"/>
        <v>0</v>
      </c>
      <c r="EL78" s="635">
        <f t="shared" si="116"/>
        <v>0</v>
      </c>
      <c r="EM78" s="635">
        <f t="shared" si="116"/>
        <v>0</v>
      </c>
      <c r="EN78" s="635">
        <f t="shared" si="116"/>
        <v>0</v>
      </c>
      <c r="EO78" s="635">
        <f t="shared" si="116"/>
        <v>0</v>
      </c>
      <c r="EP78" s="635">
        <f t="shared" si="116"/>
        <v>0</v>
      </c>
      <c r="EQ78" s="635">
        <f t="shared" si="116"/>
        <v>0</v>
      </c>
      <c r="ER78" s="635">
        <f t="shared" si="116"/>
        <v>0</v>
      </c>
      <c r="ES78" s="635">
        <f t="shared" si="116"/>
        <v>0</v>
      </c>
      <c r="ET78" s="192"/>
    </row>
    <row r="79" spans="1:150">
      <c r="A79" s="192"/>
      <c r="B79" s="36" t="str">
        <f>B142</f>
        <v>Storage</v>
      </c>
      <c r="C79" s="635">
        <f t="shared" si="93"/>
        <v>0</v>
      </c>
      <c r="D79" s="635">
        <f t="shared" si="93"/>
        <v>0</v>
      </c>
      <c r="E79" s="635">
        <f t="shared" si="93"/>
        <v>0</v>
      </c>
      <c r="F79" s="635">
        <f t="shared" si="93"/>
        <v>0</v>
      </c>
      <c r="G79" s="635">
        <f t="shared" si="93"/>
        <v>0</v>
      </c>
      <c r="H79" s="635">
        <f t="shared" si="93"/>
        <v>0</v>
      </c>
      <c r="I79" s="635">
        <f t="shared" si="93"/>
        <v>0</v>
      </c>
      <c r="J79" s="635">
        <f t="shared" si="93"/>
        <v>0</v>
      </c>
      <c r="K79" s="635">
        <f t="shared" si="93"/>
        <v>0</v>
      </c>
      <c r="L79" s="635">
        <f t="shared" si="93"/>
        <v>0</v>
      </c>
      <c r="M79" s="635">
        <f t="shared" si="93"/>
        <v>0</v>
      </c>
      <c r="N79" s="192"/>
      <c r="O79" s="635">
        <f t="shared" si="94"/>
        <v>0</v>
      </c>
      <c r="P79" s="192"/>
      <c r="Q79" s="635"/>
      <c r="R79" s="635">
        <f t="shared" ref="R79:AW79" si="117">R142</f>
        <v>0</v>
      </c>
      <c r="S79" s="635">
        <f t="shared" si="117"/>
        <v>0</v>
      </c>
      <c r="T79" s="635">
        <f t="shared" si="117"/>
        <v>0</v>
      </c>
      <c r="U79" s="635">
        <f t="shared" si="117"/>
        <v>0</v>
      </c>
      <c r="V79" s="635">
        <f t="shared" si="117"/>
        <v>0</v>
      </c>
      <c r="W79" s="635">
        <f t="shared" si="117"/>
        <v>0</v>
      </c>
      <c r="X79" s="635">
        <f t="shared" si="117"/>
        <v>0</v>
      </c>
      <c r="Y79" s="635">
        <f t="shared" si="117"/>
        <v>0</v>
      </c>
      <c r="Z79" s="635">
        <f t="shared" si="117"/>
        <v>0</v>
      </c>
      <c r="AA79" s="635">
        <f t="shared" si="117"/>
        <v>0</v>
      </c>
      <c r="AB79" s="635">
        <f t="shared" si="117"/>
        <v>0</v>
      </c>
      <c r="AC79" s="635">
        <f t="shared" si="117"/>
        <v>0</v>
      </c>
      <c r="AD79" s="635">
        <f t="shared" si="117"/>
        <v>0</v>
      </c>
      <c r="AE79" s="635">
        <f t="shared" si="117"/>
        <v>0</v>
      </c>
      <c r="AF79" s="635">
        <f t="shared" si="117"/>
        <v>0</v>
      </c>
      <c r="AG79" s="635">
        <f t="shared" si="117"/>
        <v>0</v>
      </c>
      <c r="AH79" s="635">
        <f t="shared" si="117"/>
        <v>0</v>
      </c>
      <c r="AI79" s="635">
        <f t="shared" si="117"/>
        <v>0</v>
      </c>
      <c r="AJ79" s="635">
        <f t="shared" si="117"/>
        <v>0</v>
      </c>
      <c r="AK79" s="635">
        <f t="shared" si="117"/>
        <v>0</v>
      </c>
      <c r="AL79" s="635">
        <f t="shared" si="117"/>
        <v>0</v>
      </c>
      <c r="AM79" s="635">
        <f t="shared" si="117"/>
        <v>0</v>
      </c>
      <c r="AN79" s="635">
        <f t="shared" si="117"/>
        <v>0</v>
      </c>
      <c r="AO79" s="635">
        <f t="shared" si="117"/>
        <v>0</v>
      </c>
      <c r="AP79" s="635">
        <f t="shared" si="117"/>
        <v>0</v>
      </c>
      <c r="AQ79" s="635">
        <f t="shared" si="117"/>
        <v>0</v>
      </c>
      <c r="AR79" s="635">
        <f t="shared" si="117"/>
        <v>0</v>
      </c>
      <c r="AS79" s="635">
        <f t="shared" si="117"/>
        <v>0</v>
      </c>
      <c r="AT79" s="635">
        <f t="shared" si="117"/>
        <v>0</v>
      </c>
      <c r="AU79" s="635">
        <f t="shared" si="117"/>
        <v>0</v>
      </c>
      <c r="AV79" s="635">
        <f t="shared" si="117"/>
        <v>0</v>
      </c>
      <c r="AW79" s="635">
        <f t="shared" si="117"/>
        <v>0</v>
      </c>
      <c r="AX79" s="635">
        <f t="shared" ref="AX79:CC79" si="118">AX142</f>
        <v>0</v>
      </c>
      <c r="AY79" s="635">
        <f t="shared" si="118"/>
        <v>0</v>
      </c>
      <c r="AZ79" s="635">
        <f t="shared" si="118"/>
        <v>0</v>
      </c>
      <c r="BA79" s="635">
        <f t="shared" si="118"/>
        <v>0</v>
      </c>
      <c r="BB79" s="635">
        <f t="shared" si="118"/>
        <v>0</v>
      </c>
      <c r="BC79" s="635">
        <f t="shared" si="118"/>
        <v>0</v>
      </c>
      <c r="BD79" s="635">
        <f t="shared" si="118"/>
        <v>0</v>
      </c>
      <c r="BE79" s="635">
        <f t="shared" si="118"/>
        <v>0</v>
      </c>
      <c r="BF79" s="635">
        <f t="shared" si="118"/>
        <v>0</v>
      </c>
      <c r="BG79" s="635">
        <f t="shared" si="118"/>
        <v>0</v>
      </c>
      <c r="BH79" s="635">
        <f t="shared" si="118"/>
        <v>0</v>
      </c>
      <c r="BI79" s="635">
        <f t="shared" si="118"/>
        <v>0</v>
      </c>
      <c r="BJ79" s="635">
        <f t="shared" si="118"/>
        <v>0</v>
      </c>
      <c r="BK79" s="635">
        <f t="shared" si="118"/>
        <v>0</v>
      </c>
      <c r="BL79" s="635">
        <f t="shared" si="118"/>
        <v>0</v>
      </c>
      <c r="BM79" s="635">
        <f t="shared" si="118"/>
        <v>0</v>
      </c>
      <c r="BN79" s="635">
        <f t="shared" si="118"/>
        <v>0</v>
      </c>
      <c r="BO79" s="635">
        <f t="shared" si="118"/>
        <v>0</v>
      </c>
      <c r="BP79" s="635">
        <f t="shared" si="118"/>
        <v>0</v>
      </c>
      <c r="BQ79" s="635">
        <f t="shared" si="118"/>
        <v>0</v>
      </c>
      <c r="BR79" s="635">
        <f t="shared" si="118"/>
        <v>0</v>
      </c>
      <c r="BS79" s="635">
        <f t="shared" si="118"/>
        <v>0</v>
      </c>
      <c r="BT79" s="635">
        <f t="shared" si="118"/>
        <v>0</v>
      </c>
      <c r="BU79" s="635">
        <f t="shared" si="118"/>
        <v>0</v>
      </c>
      <c r="BV79" s="635">
        <f t="shared" si="118"/>
        <v>0</v>
      </c>
      <c r="BW79" s="635">
        <f t="shared" si="118"/>
        <v>0</v>
      </c>
      <c r="BX79" s="635">
        <f t="shared" si="118"/>
        <v>0</v>
      </c>
      <c r="BY79" s="635">
        <f t="shared" si="118"/>
        <v>0</v>
      </c>
      <c r="BZ79" s="635">
        <f t="shared" si="118"/>
        <v>0</v>
      </c>
      <c r="CA79" s="635">
        <f t="shared" si="118"/>
        <v>0</v>
      </c>
      <c r="CB79" s="635">
        <f t="shared" si="118"/>
        <v>0</v>
      </c>
      <c r="CC79" s="635">
        <f t="shared" si="118"/>
        <v>0</v>
      </c>
      <c r="CD79" s="635">
        <f t="shared" ref="CD79:DI79" si="119">CD142</f>
        <v>0</v>
      </c>
      <c r="CE79" s="635">
        <f t="shared" si="119"/>
        <v>0</v>
      </c>
      <c r="CF79" s="635">
        <f t="shared" si="119"/>
        <v>0</v>
      </c>
      <c r="CG79" s="635">
        <f t="shared" si="119"/>
        <v>0</v>
      </c>
      <c r="CH79" s="635">
        <f t="shared" si="119"/>
        <v>0</v>
      </c>
      <c r="CI79" s="635">
        <f t="shared" si="119"/>
        <v>0</v>
      </c>
      <c r="CJ79" s="635">
        <f t="shared" si="119"/>
        <v>0</v>
      </c>
      <c r="CK79" s="635">
        <f t="shared" si="119"/>
        <v>0</v>
      </c>
      <c r="CL79" s="635">
        <f t="shared" si="119"/>
        <v>0</v>
      </c>
      <c r="CM79" s="635">
        <f t="shared" si="119"/>
        <v>0</v>
      </c>
      <c r="CN79" s="635">
        <f t="shared" si="119"/>
        <v>0</v>
      </c>
      <c r="CO79" s="635">
        <f t="shared" si="119"/>
        <v>0</v>
      </c>
      <c r="CP79" s="635">
        <f t="shared" si="119"/>
        <v>0</v>
      </c>
      <c r="CQ79" s="635">
        <f t="shared" si="119"/>
        <v>0</v>
      </c>
      <c r="CR79" s="635">
        <f t="shared" si="119"/>
        <v>0</v>
      </c>
      <c r="CS79" s="635">
        <f t="shared" si="119"/>
        <v>0</v>
      </c>
      <c r="CT79" s="635">
        <f t="shared" si="119"/>
        <v>0</v>
      </c>
      <c r="CU79" s="635">
        <f t="shared" si="119"/>
        <v>0</v>
      </c>
      <c r="CV79" s="635">
        <f t="shared" si="119"/>
        <v>0</v>
      </c>
      <c r="CW79" s="635">
        <f t="shared" si="119"/>
        <v>0</v>
      </c>
      <c r="CX79" s="635">
        <f t="shared" si="119"/>
        <v>0</v>
      </c>
      <c r="CY79" s="635">
        <f t="shared" si="119"/>
        <v>0</v>
      </c>
      <c r="CZ79" s="635">
        <f t="shared" si="119"/>
        <v>0</v>
      </c>
      <c r="DA79" s="635">
        <f t="shared" si="119"/>
        <v>0</v>
      </c>
      <c r="DB79" s="635">
        <f t="shared" si="119"/>
        <v>0</v>
      </c>
      <c r="DC79" s="635">
        <f t="shared" si="119"/>
        <v>0</v>
      </c>
      <c r="DD79" s="635">
        <f t="shared" si="119"/>
        <v>0</v>
      </c>
      <c r="DE79" s="635">
        <f t="shared" si="119"/>
        <v>0</v>
      </c>
      <c r="DF79" s="635">
        <f t="shared" si="119"/>
        <v>0</v>
      </c>
      <c r="DG79" s="635">
        <f t="shared" si="119"/>
        <v>0</v>
      </c>
      <c r="DH79" s="635">
        <f t="shared" si="119"/>
        <v>0</v>
      </c>
      <c r="DI79" s="635">
        <f t="shared" si="119"/>
        <v>0</v>
      </c>
      <c r="DJ79" s="635">
        <f t="shared" ref="DJ79:ES79" si="120">DJ142</f>
        <v>0</v>
      </c>
      <c r="DK79" s="635">
        <f t="shared" si="120"/>
        <v>0</v>
      </c>
      <c r="DL79" s="635">
        <f t="shared" si="120"/>
        <v>0</v>
      </c>
      <c r="DM79" s="635">
        <f t="shared" si="120"/>
        <v>0</v>
      </c>
      <c r="DN79" s="635">
        <f t="shared" si="120"/>
        <v>0</v>
      </c>
      <c r="DO79" s="635">
        <f t="shared" si="120"/>
        <v>0</v>
      </c>
      <c r="DP79" s="635">
        <f t="shared" si="120"/>
        <v>0</v>
      </c>
      <c r="DQ79" s="635">
        <f t="shared" si="120"/>
        <v>0</v>
      </c>
      <c r="DR79" s="635">
        <f t="shared" si="120"/>
        <v>0</v>
      </c>
      <c r="DS79" s="635">
        <f t="shared" si="120"/>
        <v>0</v>
      </c>
      <c r="DT79" s="635">
        <f t="shared" si="120"/>
        <v>0</v>
      </c>
      <c r="DU79" s="635">
        <f t="shared" si="120"/>
        <v>0</v>
      </c>
      <c r="DV79" s="635">
        <f t="shared" si="120"/>
        <v>0</v>
      </c>
      <c r="DW79" s="635">
        <f t="shared" si="120"/>
        <v>0</v>
      </c>
      <c r="DX79" s="635">
        <f t="shared" si="120"/>
        <v>0</v>
      </c>
      <c r="DY79" s="635">
        <f t="shared" si="120"/>
        <v>0</v>
      </c>
      <c r="DZ79" s="635">
        <f t="shared" si="120"/>
        <v>0</v>
      </c>
      <c r="EA79" s="635">
        <f t="shared" si="120"/>
        <v>0</v>
      </c>
      <c r="EB79" s="635">
        <f t="shared" si="120"/>
        <v>0</v>
      </c>
      <c r="EC79" s="635">
        <f t="shared" si="120"/>
        <v>0</v>
      </c>
      <c r="ED79" s="635">
        <f t="shared" si="120"/>
        <v>0</v>
      </c>
      <c r="EE79" s="635">
        <f t="shared" si="120"/>
        <v>0</v>
      </c>
      <c r="EF79" s="635">
        <f t="shared" si="120"/>
        <v>0</v>
      </c>
      <c r="EG79" s="635">
        <f t="shared" si="120"/>
        <v>0</v>
      </c>
      <c r="EH79" s="635">
        <f t="shared" si="120"/>
        <v>0</v>
      </c>
      <c r="EI79" s="635">
        <f t="shared" si="120"/>
        <v>0</v>
      </c>
      <c r="EJ79" s="635">
        <f t="shared" si="120"/>
        <v>0</v>
      </c>
      <c r="EK79" s="635">
        <f t="shared" si="120"/>
        <v>0</v>
      </c>
      <c r="EL79" s="635">
        <f t="shared" si="120"/>
        <v>0</v>
      </c>
      <c r="EM79" s="635">
        <f t="shared" si="120"/>
        <v>0</v>
      </c>
      <c r="EN79" s="635">
        <f t="shared" si="120"/>
        <v>0</v>
      </c>
      <c r="EO79" s="635">
        <f t="shared" si="120"/>
        <v>0</v>
      </c>
      <c r="EP79" s="635">
        <f t="shared" si="120"/>
        <v>0</v>
      </c>
      <c r="EQ79" s="635">
        <f t="shared" si="120"/>
        <v>0</v>
      </c>
      <c r="ER79" s="635">
        <f t="shared" si="120"/>
        <v>0</v>
      </c>
      <c r="ES79" s="635">
        <f t="shared" si="120"/>
        <v>0</v>
      </c>
      <c r="ET79" s="192"/>
    </row>
    <row r="80" spans="1:150">
      <c r="A80" s="192"/>
      <c r="B80" s="36" t="s">
        <v>142</v>
      </c>
      <c r="C80" s="635">
        <f t="shared" ref="C80:M80" si="121">+IF(ReimbMethodType=120,C136,)</f>
        <v>0</v>
      </c>
      <c r="D80" s="635">
        <f t="shared" si="121"/>
        <v>0</v>
      </c>
      <c r="E80" s="635">
        <f t="shared" si="121"/>
        <v>0</v>
      </c>
      <c r="F80" s="635">
        <f t="shared" si="121"/>
        <v>0</v>
      </c>
      <c r="G80" s="635">
        <f t="shared" si="121"/>
        <v>0</v>
      </c>
      <c r="H80" s="635">
        <f t="shared" si="121"/>
        <v>0</v>
      </c>
      <c r="I80" s="635">
        <f t="shared" si="121"/>
        <v>0</v>
      </c>
      <c r="J80" s="635">
        <f t="shared" si="121"/>
        <v>0</v>
      </c>
      <c r="K80" s="635">
        <f t="shared" si="121"/>
        <v>0</v>
      </c>
      <c r="L80" s="635">
        <f t="shared" si="121"/>
        <v>0</v>
      </c>
      <c r="M80" s="635">
        <f t="shared" si="121"/>
        <v>0</v>
      </c>
      <c r="N80" s="192"/>
      <c r="O80" s="635">
        <f>+IF(ReimbMethodType=120,O136,)</f>
        <v>0</v>
      </c>
      <c r="P80" s="192"/>
      <c r="Q80" s="635"/>
      <c r="R80" s="635">
        <f t="shared" ref="R80:BA80" si="122">+IF(ReimbMethodType=120,R136,)</f>
        <v>0</v>
      </c>
      <c r="S80" s="635">
        <f t="shared" si="122"/>
        <v>0</v>
      </c>
      <c r="T80" s="635">
        <f t="shared" si="122"/>
        <v>0</v>
      </c>
      <c r="U80" s="635">
        <f t="shared" si="122"/>
        <v>0</v>
      </c>
      <c r="V80" s="635">
        <f t="shared" si="122"/>
        <v>0</v>
      </c>
      <c r="W80" s="635">
        <f t="shared" si="122"/>
        <v>0</v>
      </c>
      <c r="X80" s="635">
        <f t="shared" si="122"/>
        <v>0</v>
      </c>
      <c r="Y80" s="635">
        <f t="shared" si="122"/>
        <v>0</v>
      </c>
      <c r="Z80" s="635">
        <f t="shared" si="122"/>
        <v>0</v>
      </c>
      <c r="AA80" s="635">
        <f t="shared" si="122"/>
        <v>0</v>
      </c>
      <c r="AB80" s="635">
        <f t="shared" si="122"/>
        <v>0</v>
      </c>
      <c r="AC80" s="635">
        <f t="shared" si="122"/>
        <v>0</v>
      </c>
      <c r="AD80" s="635">
        <f t="shared" si="122"/>
        <v>0</v>
      </c>
      <c r="AE80" s="635">
        <f t="shared" si="122"/>
        <v>0</v>
      </c>
      <c r="AF80" s="635">
        <f t="shared" si="122"/>
        <v>0</v>
      </c>
      <c r="AG80" s="635">
        <f t="shared" si="122"/>
        <v>0</v>
      </c>
      <c r="AH80" s="635">
        <f t="shared" si="122"/>
        <v>0</v>
      </c>
      <c r="AI80" s="635">
        <f t="shared" si="122"/>
        <v>0</v>
      </c>
      <c r="AJ80" s="635">
        <f t="shared" si="122"/>
        <v>0</v>
      </c>
      <c r="AK80" s="635">
        <f t="shared" si="122"/>
        <v>0</v>
      </c>
      <c r="AL80" s="635">
        <f t="shared" si="122"/>
        <v>0</v>
      </c>
      <c r="AM80" s="635">
        <f t="shared" si="122"/>
        <v>0</v>
      </c>
      <c r="AN80" s="635">
        <f t="shared" si="122"/>
        <v>0</v>
      </c>
      <c r="AO80" s="635">
        <f t="shared" si="122"/>
        <v>0</v>
      </c>
      <c r="AP80" s="635">
        <f t="shared" si="122"/>
        <v>0</v>
      </c>
      <c r="AQ80" s="635">
        <f t="shared" si="122"/>
        <v>0</v>
      </c>
      <c r="AR80" s="635">
        <f t="shared" si="122"/>
        <v>0</v>
      </c>
      <c r="AS80" s="635">
        <f t="shared" si="122"/>
        <v>0</v>
      </c>
      <c r="AT80" s="635">
        <f t="shared" si="122"/>
        <v>0</v>
      </c>
      <c r="AU80" s="635">
        <f t="shared" si="122"/>
        <v>0</v>
      </c>
      <c r="AV80" s="635">
        <f t="shared" si="122"/>
        <v>0</v>
      </c>
      <c r="AW80" s="635">
        <f t="shared" si="122"/>
        <v>0</v>
      </c>
      <c r="AX80" s="635">
        <f t="shared" si="122"/>
        <v>0</v>
      </c>
      <c r="AY80" s="635">
        <f t="shared" si="122"/>
        <v>0</v>
      </c>
      <c r="AZ80" s="635">
        <f t="shared" si="122"/>
        <v>0</v>
      </c>
      <c r="BA80" s="635">
        <f t="shared" si="122"/>
        <v>0</v>
      </c>
      <c r="BB80" s="823">
        <f t="shared" ref="BB80:CG80" si="123">SUMIF($C$5:$M$5,BB$6,$C80:$M80)/12</f>
        <v>0</v>
      </c>
      <c r="BC80" s="635">
        <f t="shared" si="123"/>
        <v>0</v>
      </c>
      <c r="BD80" s="635">
        <f t="shared" si="123"/>
        <v>0</v>
      </c>
      <c r="BE80" s="635">
        <f t="shared" si="123"/>
        <v>0</v>
      </c>
      <c r="BF80" s="635">
        <f t="shared" si="123"/>
        <v>0</v>
      </c>
      <c r="BG80" s="635">
        <f t="shared" si="123"/>
        <v>0</v>
      </c>
      <c r="BH80" s="635">
        <f t="shared" si="123"/>
        <v>0</v>
      </c>
      <c r="BI80" s="635">
        <f t="shared" si="123"/>
        <v>0</v>
      </c>
      <c r="BJ80" s="635">
        <f t="shared" si="123"/>
        <v>0</v>
      </c>
      <c r="BK80" s="635">
        <f t="shared" si="123"/>
        <v>0</v>
      </c>
      <c r="BL80" s="635">
        <f t="shared" si="123"/>
        <v>0</v>
      </c>
      <c r="BM80" s="635">
        <f t="shared" si="123"/>
        <v>0</v>
      </c>
      <c r="BN80" s="635">
        <f t="shared" si="123"/>
        <v>0</v>
      </c>
      <c r="BO80" s="635">
        <f t="shared" si="123"/>
        <v>0</v>
      </c>
      <c r="BP80" s="635">
        <f t="shared" si="123"/>
        <v>0</v>
      </c>
      <c r="BQ80" s="635">
        <f t="shared" si="123"/>
        <v>0</v>
      </c>
      <c r="BR80" s="635">
        <f t="shared" si="123"/>
        <v>0</v>
      </c>
      <c r="BS80" s="635">
        <f t="shared" si="123"/>
        <v>0</v>
      </c>
      <c r="BT80" s="635">
        <f t="shared" si="123"/>
        <v>0</v>
      </c>
      <c r="BU80" s="635">
        <f t="shared" si="123"/>
        <v>0</v>
      </c>
      <c r="BV80" s="635">
        <f t="shared" si="123"/>
        <v>0</v>
      </c>
      <c r="BW80" s="635">
        <f t="shared" si="123"/>
        <v>0</v>
      </c>
      <c r="BX80" s="635">
        <f t="shared" si="123"/>
        <v>0</v>
      </c>
      <c r="BY80" s="635">
        <f t="shared" si="123"/>
        <v>0</v>
      </c>
      <c r="BZ80" s="635">
        <f t="shared" si="123"/>
        <v>0</v>
      </c>
      <c r="CA80" s="635">
        <f t="shared" si="123"/>
        <v>0</v>
      </c>
      <c r="CB80" s="635">
        <f t="shared" si="123"/>
        <v>0</v>
      </c>
      <c r="CC80" s="635">
        <f t="shared" si="123"/>
        <v>0</v>
      </c>
      <c r="CD80" s="635">
        <f t="shared" si="123"/>
        <v>0</v>
      </c>
      <c r="CE80" s="635">
        <f t="shared" si="123"/>
        <v>0</v>
      </c>
      <c r="CF80" s="635">
        <f t="shared" si="123"/>
        <v>0</v>
      </c>
      <c r="CG80" s="635">
        <f t="shared" si="123"/>
        <v>0</v>
      </c>
      <c r="CH80" s="635">
        <f t="shared" ref="CH80:DM80" si="124">SUMIF($C$5:$M$5,CH$6,$C80:$M80)/12</f>
        <v>0</v>
      </c>
      <c r="CI80" s="635">
        <f t="shared" si="124"/>
        <v>0</v>
      </c>
      <c r="CJ80" s="635">
        <f t="shared" si="124"/>
        <v>0</v>
      </c>
      <c r="CK80" s="635">
        <f t="shared" si="124"/>
        <v>0</v>
      </c>
      <c r="CL80" s="635">
        <f t="shared" si="124"/>
        <v>0</v>
      </c>
      <c r="CM80" s="635">
        <f t="shared" si="124"/>
        <v>0</v>
      </c>
      <c r="CN80" s="635">
        <f t="shared" si="124"/>
        <v>0</v>
      </c>
      <c r="CO80" s="635">
        <f t="shared" si="124"/>
        <v>0</v>
      </c>
      <c r="CP80" s="635">
        <f t="shared" si="124"/>
        <v>0</v>
      </c>
      <c r="CQ80" s="635">
        <f t="shared" si="124"/>
        <v>0</v>
      </c>
      <c r="CR80" s="635">
        <f t="shared" si="124"/>
        <v>0</v>
      </c>
      <c r="CS80" s="635">
        <f t="shared" si="124"/>
        <v>0</v>
      </c>
      <c r="CT80" s="635">
        <f t="shared" si="124"/>
        <v>0</v>
      </c>
      <c r="CU80" s="635">
        <f t="shared" si="124"/>
        <v>0</v>
      </c>
      <c r="CV80" s="635">
        <f t="shared" si="124"/>
        <v>0</v>
      </c>
      <c r="CW80" s="635">
        <f t="shared" si="124"/>
        <v>0</v>
      </c>
      <c r="CX80" s="635">
        <f t="shared" si="124"/>
        <v>0</v>
      </c>
      <c r="CY80" s="635">
        <f t="shared" si="124"/>
        <v>0</v>
      </c>
      <c r="CZ80" s="635">
        <f t="shared" si="124"/>
        <v>0</v>
      </c>
      <c r="DA80" s="635">
        <f t="shared" si="124"/>
        <v>0</v>
      </c>
      <c r="DB80" s="635">
        <f t="shared" si="124"/>
        <v>0</v>
      </c>
      <c r="DC80" s="635">
        <f t="shared" si="124"/>
        <v>0</v>
      </c>
      <c r="DD80" s="635">
        <f t="shared" si="124"/>
        <v>0</v>
      </c>
      <c r="DE80" s="635">
        <f t="shared" si="124"/>
        <v>0</v>
      </c>
      <c r="DF80" s="635">
        <f t="shared" si="124"/>
        <v>0</v>
      </c>
      <c r="DG80" s="635">
        <f t="shared" si="124"/>
        <v>0</v>
      </c>
      <c r="DH80" s="635">
        <f t="shared" si="124"/>
        <v>0</v>
      </c>
      <c r="DI80" s="635">
        <f t="shared" si="124"/>
        <v>0</v>
      </c>
      <c r="DJ80" s="635">
        <f t="shared" si="124"/>
        <v>0</v>
      </c>
      <c r="DK80" s="635">
        <f t="shared" si="124"/>
        <v>0</v>
      </c>
      <c r="DL80" s="635">
        <f t="shared" si="124"/>
        <v>0</v>
      </c>
      <c r="DM80" s="635">
        <f t="shared" si="124"/>
        <v>0</v>
      </c>
      <c r="DN80" s="635">
        <f t="shared" ref="DN80:ES80" si="125">SUMIF($C$5:$M$5,DN$6,$C80:$M80)/12</f>
        <v>0</v>
      </c>
      <c r="DO80" s="635">
        <f t="shared" si="125"/>
        <v>0</v>
      </c>
      <c r="DP80" s="635">
        <f t="shared" si="125"/>
        <v>0</v>
      </c>
      <c r="DQ80" s="635">
        <f t="shared" si="125"/>
        <v>0</v>
      </c>
      <c r="DR80" s="635">
        <f t="shared" si="125"/>
        <v>0</v>
      </c>
      <c r="DS80" s="635">
        <f t="shared" si="125"/>
        <v>0</v>
      </c>
      <c r="DT80" s="635">
        <f t="shared" si="125"/>
        <v>0</v>
      </c>
      <c r="DU80" s="635">
        <f t="shared" si="125"/>
        <v>0</v>
      </c>
      <c r="DV80" s="635">
        <f t="shared" si="125"/>
        <v>0</v>
      </c>
      <c r="DW80" s="635">
        <f t="shared" si="125"/>
        <v>0</v>
      </c>
      <c r="DX80" s="635">
        <f t="shared" si="125"/>
        <v>0</v>
      </c>
      <c r="DY80" s="635">
        <f t="shared" si="125"/>
        <v>0</v>
      </c>
      <c r="DZ80" s="635">
        <f t="shared" si="125"/>
        <v>0</v>
      </c>
      <c r="EA80" s="635">
        <f t="shared" si="125"/>
        <v>0</v>
      </c>
      <c r="EB80" s="635">
        <f t="shared" si="125"/>
        <v>0</v>
      </c>
      <c r="EC80" s="635">
        <f t="shared" si="125"/>
        <v>0</v>
      </c>
      <c r="ED80" s="635">
        <f t="shared" si="125"/>
        <v>0</v>
      </c>
      <c r="EE80" s="635">
        <f t="shared" si="125"/>
        <v>0</v>
      </c>
      <c r="EF80" s="635">
        <f t="shared" si="125"/>
        <v>0</v>
      </c>
      <c r="EG80" s="635">
        <f t="shared" si="125"/>
        <v>0</v>
      </c>
      <c r="EH80" s="635">
        <f t="shared" si="125"/>
        <v>0</v>
      </c>
      <c r="EI80" s="635">
        <f t="shared" si="125"/>
        <v>0</v>
      </c>
      <c r="EJ80" s="635">
        <f t="shared" si="125"/>
        <v>0</v>
      </c>
      <c r="EK80" s="635">
        <f t="shared" si="125"/>
        <v>0</v>
      </c>
      <c r="EL80" s="635">
        <f t="shared" si="125"/>
        <v>0</v>
      </c>
      <c r="EM80" s="635">
        <f t="shared" si="125"/>
        <v>0</v>
      </c>
      <c r="EN80" s="635">
        <f t="shared" si="125"/>
        <v>0</v>
      </c>
      <c r="EO80" s="635">
        <f t="shared" si="125"/>
        <v>0</v>
      </c>
      <c r="EP80" s="635">
        <f t="shared" si="125"/>
        <v>0</v>
      </c>
      <c r="EQ80" s="635">
        <f t="shared" si="125"/>
        <v>0</v>
      </c>
      <c r="ER80" s="635">
        <f t="shared" si="125"/>
        <v>0</v>
      </c>
      <c r="ES80" s="635">
        <f t="shared" si="125"/>
        <v>0</v>
      </c>
      <c r="ET80" s="192"/>
    </row>
    <row r="81" spans="1:150">
      <c r="A81" s="192"/>
      <c r="B81" s="36" t="s">
        <v>143</v>
      </c>
      <c r="C81" s="635">
        <f t="shared" ref="C81:M82" si="126">SUMIF($R$6:$ES$6,C$5,$R81:$ES81)</f>
        <v>193800.00000000003</v>
      </c>
      <c r="D81" s="635">
        <f t="shared" si="126"/>
        <v>193800.00000000003</v>
      </c>
      <c r="E81" s="635">
        <f t="shared" si="126"/>
        <v>193800.00000000003</v>
      </c>
      <c r="F81" s="635">
        <f t="shared" si="126"/>
        <v>193800.00000000003</v>
      </c>
      <c r="G81" s="635">
        <f t="shared" si="126"/>
        <v>193800.00000000003</v>
      </c>
      <c r="H81" s="635">
        <f t="shared" si="126"/>
        <v>193800.00000000003</v>
      </c>
      <c r="I81" s="635">
        <f t="shared" si="126"/>
        <v>193800.00000000003</v>
      </c>
      <c r="J81" s="635">
        <f t="shared" si="126"/>
        <v>193800.00000000003</v>
      </c>
      <c r="K81" s="635">
        <f t="shared" si="126"/>
        <v>193800.00000000003</v>
      </c>
      <c r="L81" s="635">
        <f t="shared" si="126"/>
        <v>193800.00000000003</v>
      </c>
      <c r="M81" s="635">
        <f t="shared" si="126"/>
        <v>193800.00000000003</v>
      </c>
      <c r="N81" s="192"/>
      <c r="O81" s="635">
        <f>SUMIF($C$5:$M$5,$O$6,$C81:$M81)</f>
        <v>193800.00000000003</v>
      </c>
      <c r="P81" s="192"/>
      <c r="Q81" s="635"/>
      <c r="R81" s="635">
        <f t="shared" ref="R81:AW81" si="127">R152-(R79+R78)</f>
        <v>16150.000000000002</v>
      </c>
      <c r="S81" s="635">
        <f t="shared" si="127"/>
        <v>16150.000000000002</v>
      </c>
      <c r="T81" s="635">
        <f t="shared" si="127"/>
        <v>16150.000000000002</v>
      </c>
      <c r="U81" s="635">
        <f t="shared" si="127"/>
        <v>16150.000000000002</v>
      </c>
      <c r="V81" s="635">
        <f t="shared" si="127"/>
        <v>16150.000000000002</v>
      </c>
      <c r="W81" s="635">
        <f t="shared" si="127"/>
        <v>16150.000000000002</v>
      </c>
      <c r="X81" s="635">
        <f t="shared" si="127"/>
        <v>16150.000000000002</v>
      </c>
      <c r="Y81" s="635">
        <f t="shared" si="127"/>
        <v>16150.000000000002</v>
      </c>
      <c r="Z81" s="635">
        <f t="shared" si="127"/>
        <v>16150.000000000002</v>
      </c>
      <c r="AA81" s="635">
        <f t="shared" si="127"/>
        <v>16150.000000000002</v>
      </c>
      <c r="AB81" s="635">
        <f t="shared" si="127"/>
        <v>16150.000000000002</v>
      </c>
      <c r="AC81" s="635">
        <f t="shared" si="127"/>
        <v>16150.000000000002</v>
      </c>
      <c r="AD81" s="635">
        <f t="shared" si="127"/>
        <v>16150.000000000002</v>
      </c>
      <c r="AE81" s="635">
        <f t="shared" si="127"/>
        <v>16150.000000000002</v>
      </c>
      <c r="AF81" s="635">
        <f t="shared" si="127"/>
        <v>16150.000000000002</v>
      </c>
      <c r="AG81" s="635">
        <f t="shared" si="127"/>
        <v>16150.000000000002</v>
      </c>
      <c r="AH81" s="635">
        <f t="shared" si="127"/>
        <v>16150.000000000002</v>
      </c>
      <c r="AI81" s="635">
        <f t="shared" si="127"/>
        <v>16150.000000000002</v>
      </c>
      <c r="AJ81" s="635">
        <f t="shared" si="127"/>
        <v>16150.000000000002</v>
      </c>
      <c r="AK81" s="635">
        <f t="shared" si="127"/>
        <v>16150.000000000002</v>
      </c>
      <c r="AL81" s="635">
        <f t="shared" si="127"/>
        <v>16150.000000000002</v>
      </c>
      <c r="AM81" s="635">
        <f t="shared" si="127"/>
        <v>16150.000000000002</v>
      </c>
      <c r="AN81" s="635">
        <f t="shared" si="127"/>
        <v>16150.000000000002</v>
      </c>
      <c r="AO81" s="635">
        <f t="shared" si="127"/>
        <v>16150.000000000002</v>
      </c>
      <c r="AP81" s="635">
        <f t="shared" si="127"/>
        <v>16150.000000000002</v>
      </c>
      <c r="AQ81" s="635">
        <f t="shared" si="127"/>
        <v>16150.000000000002</v>
      </c>
      <c r="AR81" s="635">
        <f t="shared" si="127"/>
        <v>16150.000000000002</v>
      </c>
      <c r="AS81" s="635">
        <f t="shared" si="127"/>
        <v>16150.000000000002</v>
      </c>
      <c r="AT81" s="635">
        <f t="shared" si="127"/>
        <v>16150.000000000002</v>
      </c>
      <c r="AU81" s="635">
        <f t="shared" si="127"/>
        <v>16150.000000000002</v>
      </c>
      <c r="AV81" s="635">
        <f t="shared" si="127"/>
        <v>16150.000000000002</v>
      </c>
      <c r="AW81" s="635">
        <f t="shared" si="127"/>
        <v>16150.000000000002</v>
      </c>
      <c r="AX81" s="635">
        <f t="shared" ref="AX81:CC81" si="128">AX152-(AX79+AX78)</f>
        <v>16150.000000000002</v>
      </c>
      <c r="AY81" s="635">
        <f t="shared" si="128"/>
        <v>16150.000000000002</v>
      </c>
      <c r="AZ81" s="635">
        <f t="shared" si="128"/>
        <v>16150.000000000002</v>
      </c>
      <c r="BA81" s="635">
        <f t="shared" si="128"/>
        <v>16150.000000000002</v>
      </c>
      <c r="BB81" s="635">
        <f t="shared" si="128"/>
        <v>16150.000000000002</v>
      </c>
      <c r="BC81" s="635">
        <f t="shared" si="128"/>
        <v>16150.000000000002</v>
      </c>
      <c r="BD81" s="635">
        <f t="shared" si="128"/>
        <v>16150.000000000002</v>
      </c>
      <c r="BE81" s="635">
        <f t="shared" si="128"/>
        <v>16150.000000000002</v>
      </c>
      <c r="BF81" s="635">
        <f t="shared" si="128"/>
        <v>16150.000000000002</v>
      </c>
      <c r="BG81" s="635">
        <f t="shared" si="128"/>
        <v>16150.000000000002</v>
      </c>
      <c r="BH81" s="635">
        <f t="shared" si="128"/>
        <v>16150.000000000002</v>
      </c>
      <c r="BI81" s="635">
        <f t="shared" si="128"/>
        <v>16150.000000000002</v>
      </c>
      <c r="BJ81" s="635">
        <f t="shared" si="128"/>
        <v>16150.000000000002</v>
      </c>
      <c r="BK81" s="635">
        <f t="shared" si="128"/>
        <v>16150.000000000002</v>
      </c>
      <c r="BL81" s="635">
        <f t="shared" si="128"/>
        <v>16150.000000000002</v>
      </c>
      <c r="BM81" s="635">
        <f t="shared" si="128"/>
        <v>16150.000000000002</v>
      </c>
      <c r="BN81" s="635">
        <f t="shared" si="128"/>
        <v>16150.000000000002</v>
      </c>
      <c r="BO81" s="635">
        <f t="shared" si="128"/>
        <v>16150.000000000002</v>
      </c>
      <c r="BP81" s="635">
        <f t="shared" si="128"/>
        <v>16150.000000000002</v>
      </c>
      <c r="BQ81" s="635">
        <f t="shared" si="128"/>
        <v>16150.000000000002</v>
      </c>
      <c r="BR81" s="635">
        <f t="shared" si="128"/>
        <v>16150.000000000002</v>
      </c>
      <c r="BS81" s="635">
        <f t="shared" si="128"/>
        <v>16150.000000000002</v>
      </c>
      <c r="BT81" s="635">
        <f t="shared" si="128"/>
        <v>16150.000000000002</v>
      </c>
      <c r="BU81" s="635">
        <f t="shared" si="128"/>
        <v>16150.000000000002</v>
      </c>
      <c r="BV81" s="635">
        <f t="shared" si="128"/>
        <v>16150.000000000002</v>
      </c>
      <c r="BW81" s="635">
        <f t="shared" si="128"/>
        <v>16150.000000000002</v>
      </c>
      <c r="BX81" s="635">
        <f t="shared" si="128"/>
        <v>16150.000000000002</v>
      </c>
      <c r="BY81" s="635">
        <f t="shared" si="128"/>
        <v>16150.000000000002</v>
      </c>
      <c r="BZ81" s="635">
        <f t="shared" si="128"/>
        <v>16150.000000000002</v>
      </c>
      <c r="CA81" s="635">
        <f t="shared" si="128"/>
        <v>16150.000000000002</v>
      </c>
      <c r="CB81" s="635">
        <f t="shared" si="128"/>
        <v>16150.000000000002</v>
      </c>
      <c r="CC81" s="635">
        <f t="shared" si="128"/>
        <v>16150.000000000002</v>
      </c>
      <c r="CD81" s="635">
        <f t="shared" ref="CD81:DI81" si="129">CD152-(CD79+CD78)</f>
        <v>16150.000000000002</v>
      </c>
      <c r="CE81" s="635">
        <f t="shared" si="129"/>
        <v>16150.000000000002</v>
      </c>
      <c r="CF81" s="635">
        <f t="shared" si="129"/>
        <v>16150.000000000002</v>
      </c>
      <c r="CG81" s="635">
        <f t="shared" si="129"/>
        <v>16150.000000000002</v>
      </c>
      <c r="CH81" s="635">
        <f t="shared" si="129"/>
        <v>16150.000000000002</v>
      </c>
      <c r="CI81" s="635">
        <f t="shared" si="129"/>
        <v>16150.000000000002</v>
      </c>
      <c r="CJ81" s="635">
        <f t="shared" si="129"/>
        <v>16150.000000000002</v>
      </c>
      <c r="CK81" s="635">
        <f t="shared" si="129"/>
        <v>16150.000000000002</v>
      </c>
      <c r="CL81" s="635">
        <f t="shared" si="129"/>
        <v>16150.000000000002</v>
      </c>
      <c r="CM81" s="635">
        <f t="shared" si="129"/>
        <v>16150.000000000002</v>
      </c>
      <c r="CN81" s="635">
        <f t="shared" si="129"/>
        <v>16150.000000000002</v>
      </c>
      <c r="CO81" s="635">
        <f t="shared" si="129"/>
        <v>16150.000000000002</v>
      </c>
      <c r="CP81" s="635">
        <f t="shared" si="129"/>
        <v>16150.000000000002</v>
      </c>
      <c r="CQ81" s="635">
        <f t="shared" si="129"/>
        <v>16150.000000000002</v>
      </c>
      <c r="CR81" s="635">
        <f t="shared" si="129"/>
        <v>16150.000000000002</v>
      </c>
      <c r="CS81" s="635">
        <f t="shared" si="129"/>
        <v>16150.000000000002</v>
      </c>
      <c r="CT81" s="635">
        <f t="shared" si="129"/>
        <v>16150.000000000002</v>
      </c>
      <c r="CU81" s="635">
        <f t="shared" si="129"/>
        <v>16150.000000000002</v>
      </c>
      <c r="CV81" s="635">
        <f t="shared" si="129"/>
        <v>16150.000000000002</v>
      </c>
      <c r="CW81" s="635">
        <f t="shared" si="129"/>
        <v>16150.000000000002</v>
      </c>
      <c r="CX81" s="635">
        <f t="shared" si="129"/>
        <v>16150.000000000002</v>
      </c>
      <c r="CY81" s="635">
        <f t="shared" si="129"/>
        <v>16150.000000000002</v>
      </c>
      <c r="CZ81" s="635">
        <f t="shared" si="129"/>
        <v>16150.000000000002</v>
      </c>
      <c r="DA81" s="635">
        <f t="shared" si="129"/>
        <v>16150.000000000002</v>
      </c>
      <c r="DB81" s="635">
        <f t="shared" si="129"/>
        <v>16150.000000000002</v>
      </c>
      <c r="DC81" s="635">
        <f t="shared" si="129"/>
        <v>16150.000000000002</v>
      </c>
      <c r="DD81" s="635">
        <f t="shared" si="129"/>
        <v>16150.000000000002</v>
      </c>
      <c r="DE81" s="635">
        <f t="shared" si="129"/>
        <v>16150.000000000002</v>
      </c>
      <c r="DF81" s="635">
        <f t="shared" si="129"/>
        <v>16150.000000000002</v>
      </c>
      <c r="DG81" s="635">
        <f t="shared" si="129"/>
        <v>16150.000000000002</v>
      </c>
      <c r="DH81" s="635">
        <f t="shared" si="129"/>
        <v>16150.000000000002</v>
      </c>
      <c r="DI81" s="635">
        <f t="shared" si="129"/>
        <v>16150.000000000002</v>
      </c>
      <c r="DJ81" s="635">
        <f t="shared" ref="DJ81:ES81" si="130">DJ152-(DJ79+DJ78)</f>
        <v>16150.000000000002</v>
      </c>
      <c r="DK81" s="635">
        <f t="shared" si="130"/>
        <v>16150.000000000002</v>
      </c>
      <c r="DL81" s="635">
        <f t="shared" si="130"/>
        <v>16150.000000000002</v>
      </c>
      <c r="DM81" s="635">
        <f t="shared" si="130"/>
        <v>16150.000000000002</v>
      </c>
      <c r="DN81" s="635">
        <f t="shared" si="130"/>
        <v>16150.000000000002</v>
      </c>
      <c r="DO81" s="635">
        <f t="shared" si="130"/>
        <v>16150.000000000002</v>
      </c>
      <c r="DP81" s="635">
        <f t="shared" si="130"/>
        <v>16150.000000000002</v>
      </c>
      <c r="DQ81" s="635">
        <f t="shared" si="130"/>
        <v>16150.000000000002</v>
      </c>
      <c r="DR81" s="635">
        <f t="shared" si="130"/>
        <v>16150.000000000002</v>
      </c>
      <c r="DS81" s="635">
        <f t="shared" si="130"/>
        <v>16150.000000000002</v>
      </c>
      <c r="DT81" s="635">
        <f t="shared" si="130"/>
        <v>16150.000000000002</v>
      </c>
      <c r="DU81" s="635">
        <f t="shared" si="130"/>
        <v>16150.000000000002</v>
      </c>
      <c r="DV81" s="635">
        <f t="shared" si="130"/>
        <v>16150.000000000002</v>
      </c>
      <c r="DW81" s="635">
        <f t="shared" si="130"/>
        <v>16150.000000000002</v>
      </c>
      <c r="DX81" s="635">
        <f t="shared" si="130"/>
        <v>16150.000000000002</v>
      </c>
      <c r="DY81" s="635">
        <f t="shared" si="130"/>
        <v>16150.000000000002</v>
      </c>
      <c r="DZ81" s="635">
        <f t="shared" si="130"/>
        <v>16150.000000000002</v>
      </c>
      <c r="EA81" s="635">
        <f t="shared" si="130"/>
        <v>16150.000000000002</v>
      </c>
      <c r="EB81" s="635">
        <f t="shared" si="130"/>
        <v>16150.000000000002</v>
      </c>
      <c r="EC81" s="635">
        <f t="shared" si="130"/>
        <v>16150.000000000002</v>
      </c>
      <c r="ED81" s="635">
        <f t="shared" si="130"/>
        <v>16150.000000000002</v>
      </c>
      <c r="EE81" s="635">
        <f t="shared" si="130"/>
        <v>16150.000000000002</v>
      </c>
      <c r="EF81" s="635">
        <f t="shared" si="130"/>
        <v>16150.000000000002</v>
      </c>
      <c r="EG81" s="635">
        <f t="shared" si="130"/>
        <v>16150.000000000002</v>
      </c>
      <c r="EH81" s="635">
        <f t="shared" si="130"/>
        <v>16150.000000000002</v>
      </c>
      <c r="EI81" s="635">
        <f t="shared" si="130"/>
        <v>16150.000000000002</v>
      </c>
      <c r="EJ81" s="635">
        <f t="shared" si="130"/>
        <v>16150.000000000002</v>
      </c>
      <c r="EK81" s="635">
        <f t="shared" si="130"/>
        <v>16150.000000000002</v>
      </c>
      <c r="EL81" s="635">
        <f t="shared" si="130"/>
        <v>16150.000000000002</v>
      </c>
      <c r="EM81" s="635">
        <f t="shared" si="130"/>
        <v>16150.000000000002</v>
      </c>
      <c r="EN81" s="635">
        <f t="shared" si="130"/>
        <v>16150.000000000002</v>
      </c>
      <c r="EO81" s="635">
        <f t="shared" si="130"/>
        <v>16150.000000000002</v>
      </c>
      <c r="EP81" s="635">
        <f t="shared" si="130"/>
        <v>16150.000000000002</v>
      </c>
      <c r="EQ81" s="635">
        <f t="shared" si="130"/>
        <v>16150.000000000002</v>
      </c>
      <c r="ER81" s="635">
        <f t="shared" si="130"/>
        <v>16150.000000000002</v>
      </c>
      <c r="ES81" s="635">
        <f t="shared" si="130"/>
        <v>16150.000000000002</v>
      </c>
      <c r="ET81" s="192"/>
    </row>
    <row r="82" spans="1:150" hidden="1">
      <c r="A82" s="192"/>
      <c r="B82" s="36" t="s">
        <v>144</v>
      </c>
      <c r="C82" s="635">
        <f t="shared" si="126"/>
        <v>0</v>
      </c>
      <c r="D82" s="635">
        <f t="shared" si="126"/>
        <v>0</v>
      </c>
      <c r="E82" s="635">
        <f t="shared" si="126"/>
        <v>0</v>
      </c>
      <c r="F82" s="635">
        <f t="shared" si="126"/>
        <v>0</v>
      </c>
      <c r="G82" s="635">
        <f t="shared" si="126"/>
        <v>0</v>
      </c>
      <c r="H82" s="635">
        <f t="shared" si="126"/>
        <v>0</v>
      </c>
      <c r="I82" s="635">
        <f t="shared" si="126"/>
        <v>0</v>
      </c>
      <c r="J82" s="635">
        <f t="shared" si="126"/>
        <v>0</v>
      </c>
      <c r="K82" s="635">
        <f t="shared" si="126"/>
        <v>0</v>
      </c>
      <c r="L82" s="635">
        <f t="shared" si="126"/>
        <v>0</v>
      </c>
      <c r="M82" s="635">
        <f t="shared" si="126"/>
        <v>0</v>
      </c>
      <c r="N82" s="192"/>
      <c r="O82" s="635">
        <f>SUMIF($C$5:$M$5,$O$6,$C82:$M82)</f>
        <v>0</v>
      </c>
      <c r="P82" s="192"/>
      <c r="Q82" s="635"/>
      <c r="R82" s="635">
        <f>'Commercial CF'!D18</f>
        <v>0</v>
      </c>
      <c r="S82" s="635">
        <f>'Commercial CF'!E18</f>
        <v>0</v>
      </c>
      <c r="T82" s="635">
        <f>'Commercial CF'!F18</f>
        <v>0</v>
      </c>
      <c r="U82" s="635">
        <f>'Commercial CF'!G18</f>
        <v>0</v>
      </c>
      <c r="V82" s="635">
        <f>'Commercial CF'!H18</f>
        <v>0</v>
      </c>
      <c r="W82" s="635">
        <f>'Commercial CF'!I18</f>
        <v>0</v>
      </c>
      <c r="X82" s="635">
        <f>'Commercial CF'!J18</f>
        <v>0</v>
      </c>
      <c r="Y82" s="635">
        <f>'Commercial CF'!K18</f>
        <v>0</v>
      </c>
      <c r="Z82" s="635">
        <f>'Commercial CF'!L18</f>
        <v>0</v>
      </c>
      <c r="AA82" s="635">
        <f>'Commercial CF'!M18</f>
        <v>0</v>
      </c>
      <c r="AB82" s="635">
        <f>'Commercial CF'!N18</f>
        <v>0</v>
      </c>
      <c r="AC82" s="635">
        <f>'Commercial CF'!O18</f>
        <v>0</v>
      </c>
      <c r="AD82" s="635">
        <f>'Commercial CF'!P18</f>
        <v>0</v>
      </c>
      <c r="AE82" s="635">
        <f>'Commercial CF'!Q18</f>
        <v>0</v>
      </c>
      <c r="AF82" s="635">
        <f>'Commercial CF'!R18</f>
        <v>0</v>
      </c>
      <c r="AG82" s="635">
        <f>'Commercial CF'!S18</f>
        <v>0</v>
      </c>
      <c r="AH82" s="635">
        <f>'Commercial CF'!T18</f>
        <v>0</v>
      </c>
      <c r="AI82" s="635">
        <f>'Commercial CF'!U18</f>
        <v>0</v>
      </c>
      <c r="AJ82" s="635">
        <f>'Commercial CF'!V18</f>
        <v>0</v>
      </c>
      <c r="AK82" s="635">
        <f>'Commercial CF'!W18</f>
        <v>0</v>
      </c>
      <c r="AL82" s="635">
        <f>'Commercial CF'!X18</f>
        <v>0</v>
      </c>
      <c r="AM82" s="635">
        <f>'Commercial CF'!Y18</f>
        <v>0</v>
      </c>
      <c r="AN82" s="635">
        <f>'Commercial CF'!Z18</f>
        <v>0</v>
      </c>
      <c r="AO82" s="635">
        <f>'Commercial CF'!AA18</f>
        <v>0</v>
      </c>
      <c r="AP82" s="635">
        <f>'Commercial CF'!AB18</f>
        <v>0</v>
      </c>
      <c r="AQ82" s="635">
        <f>'Commercial CF'!AC18</f>
        <v>0</v>
      </c>
      <c r="AR82" s="635">
        <f>'Commercial CF'!AD18</f>
        <v>0</v>
      </c>
      <c r="AS82" s="635">
        <f>'Commercial CF'!AE18</f>
        <v>0</v>
      </c>
      <c r="AT82" s="635">
        <f>'Commercial CF'!AF18</f>
        <v>0</v>
      </c>
      <c r="AU82" s="635">
        <f>'Commercial CF'!AG18</f>
        <v>0</v>
      </c>
      <c r="AV82" s="635">
        <f>'Commercial CF'!AH18</f>
        <v>0</v>
      </c>
      <c r="AW82" s="635">
        <f>'Commercial CF'!AI18</f>
        <v>0</v>
      </c>
      <c r="AX82" s="635">
        <f>'Commercial CF'!AJ18</f>
        <v>0</v>
      </c>
      <c r="AY82" s="635">
        <f>'Commercial CF'!AK18</f>
        <v>0</v>
      </c>
      <c r="AZ82" s="635">
        <f>'Commercial CF'!AL18</f>
        <v>0</v>
      </c>
      <c r="BA82" s="635">
        <f>'Commercial CF'!AM18</f>
        <v>0</v>
      </c>
      <c r="BB82" s="635">
        <f>'Commercial CF'!AN18</f>
        <v>0</v>
      </c>
      <c r="BC82" s="635">
        <f>'Commercial CF'!AO18</f>
        <v>0</v>
      </c>
      <c r="BD82" s="635">
        <f>'Commercial CF'!AP18</f>
        <v>0</v>
      </c>
      <c r="BE82" s="635">
        <f>'Commercial CF'!AQ18</f>
        <v>0</v>
      </c>
      <c r="BF82" s="635">
        <f>'Commercial CF'!AR18</f>
        <v>0</v>
      </c>
      <c r="BG82" s="635">
        <f>'Commercial CF'!AS18</f>
        <v>0</v>
      </c>
      <c r="BH82" s="635">
        <f>'Commercial CF'!AT18</f>
        <v>0</v>
      </c>
      <c r="BI82" s="635">
        <f>'Commercial CF'!AU18</f>
        <v>0</v>
      </c>
      <c r="BJ82" s="635">
        <f>'Commercial CF'!AV18</f>
        <v>0</v>
      </c>
      <c r="BK82" s="635">
        <f>'Commercial CF'!AW18</f>
        <v>0</v>
      </c>
      <c r="BL82" s="635">
        <f>'Commercial CF'!AX18</f>
        <v>0</v>
      </c>
      <c r="BM82" s="635">
        <f>'Commercial CF'!AY18</f>
        <v>0</v>
      </c>
      <c r="BN82" s="635">
        <f>'Commercial CF'!AZ18</f>
        <v>0</v>
      </c>
      <c r="BO82" s="635">
        <f>'Commercial CF'!BA18</f>
        <v>0</v>
      </c>
      <c r="BP82" s="635">
        <f>'Commercial CF'!BB18</f>
        <v>0</v>
      </c>
      <c r="BQ82" s="635">
        <f>'Commercial CF'!BC18</f>
        <v>0</v>
      </c>
      <c r="BR82" s="635">
        <f>'Commercial CF'!BD18</f>
        <v>0</v>
      </c>
      <c r="BS82" s="635">
        <f>'Commercial CF'!BE18</f>
        <v>0</v>
      </c>
      <c r="BT82" s="635">
        <f>'Commercial CF'!BF18</f>
        <v>0</v>
      </c>
      <c r="BU82" s="635">
        <f>'Commercial CF'!BG18</f>
        <v>0</v>
      </c>
      <c r="BV82" s="635">
        <f>'Commercial CF'!BH18</f>
        <v>0</v>
      </c>
      <c r="BW82" s="635">
        <f>'Commercial CF'!BI18</f>
        <v>0</v>
      </c>
      <c r="BX82" s="635">
        <f>'Commercial CF'!BJ18</f>
        <v>0</v>
      </c>
      <c r="BY82" s="635">
        <f>'Commercial CF'!BK18</f>
        <v>0</v>
      </c>
      <c r="BZ82" s="635">
        <f>'Commercial CF'!BL18</f>
        <v>0</v>
      </c>
      <c r="CA82" s="635">
        <f>'Commercial CF'!BM18</f>
        <v>0</v>
      </c>
      <c r="CB82" s="635">
        <f>'Commercial CF'!BN18</f>
        <v>0</v>
      </c>
      <c r="CC82" s="635">
        <f>'Commercial CF'!BO18</f>
        <v>0</v>
      </c>
      <c r="CD82" s="635">
        <f>'Commercial CF'!BP18</f>
        <v>0</v>
      </c>
      <c r="CE82" s="635">
        <f>'Commercial CF'!BQ18</f>
        <v>0</v>
      </c>
      <c r="CF82" s="635">
        <f>'Commercial CF'!BR18</f>
        <v>0</v>
      </c>
      <c r="CG82" s="635">
        <f>'Commercial CF'!BS18</f>
        <v>0</v>
      </c>
      <c r="CH82" s="635">
        <f>'Commercial CF'!BT18</f>
        <v>0</v>
      </c>
      <c r="CI82" s="635">
        <f>'Commercial CF'!BU18</f>
        <v>0</v>
      </c>
      <c r="CJ82" s="635">
        <f>'Commercial CF'!BV18</f>
        <v>0</v>
      </c>
      <c r="CK82" s="635">
        <f>'Commercial CF'!BW18</f>
        <v>0</v>
      </c>
      <c r="CL82" s="635">
        <f>'Commercial CF'!BX18</f>
        <v>0</v>
      </c>
      <c r="CM82" s="635">
        <f>'Commercial CF'!BY18</f>
        <v>0</v>
      </c>
      <c r="CN82" s="635">
        <f>'Commercial CF'!BZ18</f>
        <v>0</v>
      </c>
      <c r="CO82" s="635">
        <f>'Commercial CF'!CA18</f>
        <v>0</v>
      </c>
      <c r="CP82" s="635">
        <f>'Commercial CF'!CB18</f>
        <v>0</v>
      </c>
      <c r="CQ82" s="635">
        <f>'Commercial CF'!CC18</f>
        <v>0</v>
      </c>
      <c r="CR82" s="635">
        <f>'Commercial CF'!CD18</f>
        <v>0</v>
      </c>
      <c r="CS82" s="635">
        <f>'Commercial CF'!CE18</f>
        <v>0</v>
      </c>
      <c r="CT82" s="635">
        <f>'Commercial CF'!CF18</f>
        <v>0</v>
      </c>
      <c r="CU82" s="635">
        <f>'Commercial CF'!CG18</f>
        <v>0</v>
      </c>
      <c r="CV82" s="635">
        <f>'Commercial CF'!CH18</f>
        <v>0</v>
      </c>
      <c r="CW82" s="635">
        <f>'Commercial CF'!CI18</f>
        <v>0</v>
      </c>
      <c r="CX82" s="635">
        <f>'Commercial CF'!CJ18</f>
        <v>0</v>
      </c>
      <c r="CY82" s="635">
        <f>'Commercial CF'!CK18</f>
        <v>0</v>
      </c>
      <c r="CZ82" s="635">
        <f>'Commercial CF'!CL18</f>
        <v>0</v>
      </c>
      <c r="DA82" s="635">
        <f>'Commercial CF'!CM18</f>
        <v>0</v>
      </c>
      <c r="DB82" s="635">
        <f>'Commercial CF'!CN18</f>
        <v>0</v>
      </c>
      <c r="DC82" s="635">
        <f>'Commercial CF'!CO18</f>
        <v>0</v>
      </c>
      <c r="DD82" s="635">
        <f>'Commercial CF'!CP18</f>
        <v>0</v>
      </c>
      <c r="DE82" s="635">
        <f>'Commercial CF'!CQ18</f>
        <v>0</v>
      </c>
      <c r="DF82" s="635">
        <f>'Commercial CF'!CR18</f>
        <v>0</v>
      </c>
      <c r="DG82" s="635">
        <f>'Commercial CF'!CS18</f>
        <v>0</v>
      </c>
      <c r="DH82" s="635">
        <f>'Commercial CF'!CT18</f>
        <v>0</v>
      </c>
      <c r="DI82" s="635">
        <f>'Commercial CF'!CU18</f>
        <v>0</v>
      </c>
      <c r="DJ82" s="635">
        <f>'Commercial CF'!CV18</f>
        <v>0</v>
      </c>
      <c r="DK82" s="635">
        <f>'Commercial CF'!CW18</f>
        <v>0</v>
      </c>
      <c r="DL82" s="635">
        <f>'Commercial CF'!CX18</f>
        <v>0</v>
      </c>
      <c r="DM82" s="635">
        <f>'Commercial CF'!CY18</f>
        <v>0</v>
      </c>
      <c r="DN82" s="635">
        <f>'Commercial CF'!CZ18</f>
        <v>0</v>
      </c>
      <c r="DO82" s="635">
        <f>'Commercial CF'!DA18</f>
        <v>0</v>
      </c>
      <c r="DP82" s="635">
        <f>'Commercial CF'!DB18</f>
        <v>0</v>
      </c>
      <c r="DQ82" s="635">
        <f>'Commercial CF'!DC18</f>
        <v>0</v>
      </c>
      <c r="DR82" s="635">
        <f>'Commercial CF'!DD18</f>
        <v>0</v>
      </c>
      <c r="DS82" s="635">
        <f>'Commercial CF'!DE18</f>
        <v>0</v>
      </c>
      <c r="DT82" s="635">
        <f>'Commercial CF'!DF18</f>
        <v>0</v>
      </c>
      <c r="DU82" s="635">
        <f>'Commercial CF'!DG18</f>
        <v>0</v>
      </c>
      <c r="DV82" s="635">
        <f>'Commercial CF'!DH18</f>
        <v>0</v>
      </c>
      <c r="DW82" s="635">
        <f>'Commercial CF'!DI18</f>
        <v>0</v>
      </c>
      <c r="DX82" s="635">
        <f>'Commercial CF'!DJ18</f>
        <v>0</v>
      </c>
      <c r="DY82" s="635">
        <f>'Commercial CF'!DK18</f>
        <v>0</v>
      </c>
      <c r="DZ82" s="635">
        <f>'Commercial CF'!DL18</f>
        <v>0</v>
      </c>
      <c r="EA82" s="635">
        <f>'Commercial CF'!DM18</f>
        <v>0</v>
      </c>
      <c r="EB82" s="635">
        <f>'Commercial CF'!DN18</f>
        <v>0</v>
      </c>
      <c r="EC82" s="635">
        <f>'Commercial CF'!DO18</f>
        <v>0</v>
      </c>
      <c r="ED82" s="635">
        <f>'Commercial CF'!DP18</f>
        <v>0</v>
      </c>
      <c r="EE82" s="635">
        <f>'Commercial CF'!DQ18</f>
        <v>0</v>
      </c>
      <c r="EF82" s="635">
        <f>'Commercial CF'!DR18</f>
        <v>0</v>
      </c>
      <c r="EG82" s="635">
        <f>'Commercial CF'!DS18</f>
        <v>0</v>
      </c>
      <c r="EH82" s="635">
        <f>'Commercial CF'!DT18</f>
        <v>0</v>
      </c>
      <c r="EI82" s="635">
        <f>'Commercial CF'!DU18</f>
        <v>0</v>
      </c>
      <c r="EJ82" s="635">
        <f>'Commercial CF'!DV18</f>
        <v>0</v>
      </c>
      <c r="EK82" s="635">
        <f>'Commercial CF'!DW18</f>
        <v>0</v>
      </c>
      <c r="EL82" s="635">
        <f>'Commercial CF'!DX18</f>
        <v>0</v>
      </c>
      <c r="EM82" s="635">
        <f>'Commercial CF'!DY18</f>
        <v>0</v>
      </c>
      <c r="EN82" s="635">
        <f>'Commercial CF'!DZ18</f>
        <v>0</v>
      </c>
      <c r="EO82" s="635">
        <f>'Commercial CF'!EA18</f>
        <v>0</v>
      </c>
      <c r="EP82" s="635">
        <f>'Commercial CF'!EB18</f>
        <v>0</v>
      </c>
      <c r="EQ82" s="635">
        <f>'Commercial CF'!EC18</f>
        <v>0</v>
      </c>
      <c r="ER82" s="635">
        <f>'Commercial CF'!ED18</f>
        <v>0</v>
      </c>
      <c r="ES82" s="635">
        <f>'Commercial CF'!EE18</f>
        <v>0</v>
      </c>
      <c r="ET82" s="192"/>
    </row>
    <row r="83" spans="1:150">
      <c r="A83" s="192"/>
      <c r="B83" s="378" t="s">
        <v>34</v>
      </c>
      <c r="C83" s="831">
        <f t="shared" ref="C83:M83" si="131">SUM(C71:C82)</f>
        <v>1453102.7586710614</v>
      </c>
      <c r="D83" s="831">
        <f t="shared" si="131"/>
        <v>1495546.4324117121</v>
      </c>
      <c r="E83" s="831">
        <f t="shared" si="131"/>
        <v>1558219.1397523265</v>
      </c>
      <c r="F83" s="831">
        <f t="shared" si="131"/>
        <v>1606767.4878539424</v>
      </c>
      <c r="G83" s="831">
        <f t="shared" si="131"/>
        <v>1657000.7596158781</v>
      </c>
      <c r="H83" s="831">
        <f t="shared" si="131"/>
        <v>1700896.7824043559</v>
      </c>
      <c r="I83" s="831">
        <f t="shared" si="131"/>
        <v>1746109.6858764878</v>
      </c>
      <c r="J83" s="831">
        <f t="shared" si="131"/>
        <v>1792678.9764527844</v>
      </c>
      <c r="K83" s="831">
        <f t="shared" si="131"/>
        <v>1840645.3457463691</v>
      </c>
      <c r="L83" s="831">
        <f t="shared" si="131"/>
        <v>1890050.7061187627</v>
      </c>
      <c r="M83" s="831">
        <f t="shared" si="131"/>
        <v>1940938.2273023273</v>
      </c>
      <c r="N83" s="192"/>
      <c r="O83" s="831">
        <f>SUM(O71:O82)</f>
        <v>1792678.9764527844</v>
      </c>
      <c r="P83" s="192"/>
      <c r="Q83" s="831">
        <f t="shared" ref="Q83:AV83" si="132">SUM(Q71:Q82)</f>
        <v>104539.89867597514</v>
      </c>
      <c r="R83" s="831">
        <f t="shared" si="132"/>
        <v>121091.8965559218</v>
      </c>
      <c r="S83" s="831">
        <f t="shared" si="132"/>
        <v>121091.8965559218</v>
      </c>
      <c r="T83" s="831">
        <f t="shared" si="132"/>
        <v>121091.8965559218</v>
      </c>
      <c r="U83" s="831">
        <f t="shared" si="132"/>
        <v>121091.8965559218</v>
      </c>
      <c r="V83" s="831">
        <f t="shared" si="132"/>
        <v>121091.8965559218</v>
      </c>
      <c r="W83" s="831">
        <f t="shared" si="132"/>
        <v>121091.8965559218</v>
      </c>
      <c r="X83" s="831">
        <f t="shared" si="132"/>
        <v>121091.8965559218</v>
      </c>
      <c r="Y83" s="831">
        <f t="shared" si="132"/>
        <v>121091.8965559218</v>
      </c>
      <c r="Z83" s="831">
        <f t="shared" si="132"/>
        <v>121091.8965559218</v>
      </c>
      <c r="AA83" s="831">
        <f t="shared" si="132"/>
        <v>121091.8965559218</v>
      </c>
      <c r="AB83" s="831">
        <f t="shared" si="132"/>
        <v>121091.8965559218</v>
      </c>
      <c r="AC83" s="831">
        <f t="shared" si="132"/>
        <v>121091.8965559218</v>
      </c>
      <c r="AD83" s="831">
        <f t="shared" si="132"/>
        <v>123647.00338062391</v>
      </c>
      <c r="AE83" s="831">
        <f t="shared" si="132"/>
        <v>123824.5434214198</v>
      </c>
      <c r="AF83" s="831">
        <f t="shared" si="132"/>
        <v>124002.37668402742</v>
      </c>
      <c r="AG83" s="831">
        <f t="shared" si="132"/>
        <v>124180.5036527264</v>
      </c>
      <c r="AH83" s="831">
        <f t="shared" si="132"/>
        <v>124358.92481259629</v>
      </c>
      <c r="AI83" s="831">
        <f t="shared" si="132"/>
        <v>124537.64064951763</v>
      </c>
      <c r="AJ83" s="831">
        <f t="shared" si="132"/>
        <v>124716.65165017368</v>
      </c>
      <c r="AK83" s="831">
        <f t="shared" si="132"/>
        <v>124895.95830205116</v>
      </c>
      <c r="AL83" s="831">
        <f t="shared" si="132"/>
        <v>125075.56109344227</v>
      </c>
      <c r="AM83" s="831">
        <f t="shared" si="132"/>
        <v>125255.46051344533</v>
      </c>
      <c r="AN83" s="831">
        <f t="shared" si="132"/>
        <v>125435.65705196673</v>
      </c>
      <c r="AO83" s="831">
        <f t="shared" si="132"/>
        <v>125616.15119972185</v>
      </c>
      <c r="AP83" s="831">
        <f t="shared" si="132"/>
        <v>128317.52270412137</v>
      </c>
      <c r="AQ83" s="831">
        <f t="shared" si="132"/>
        <v>128594.15807480075</v>
      </c>
      <c r="AR83" s="831">
        <f t="shared" si="132"/>
        <v>128871.47570293277</v>
      </c>
      <c r="AS83" s="831">
        <f t="shared" si="132"/>
        <v>129149.47727114838</v>
      </c>
      <c r="AT83" s="831">
        <f t="shared" si="132"/>
        <v>129428.16446622832</v>
      </c>
      <c r="AU83" s="831">
        <f t="shared" si="132"/>
        <v>129707.53897911342</v>
      </c>
      <c r="AV83" s="831">
        <f t="shared" si="132"/>
        <v>129987.60250491483</v>
      </c>
      <c r="AW83" s="831">
        <f t="shared" ref="AW83:CB83" si="133">SUM(AW71:AW82)</f>
        <v>130268.3567429242</v>
      </c>
      <c r="AX83" s="831">
        <f t="shared" si="133"/>
        <v>130549.80339662427</v>
      </c>
      <c r="AY83" s="831">
        <f t="shared" si="133"/>
        <v>130831.94417369882</v>
      </c>
      <c r="AZ83" s="831">
        <f t="shared" si="133"/>
        <v>131114.78078604344</v>
      </c>
      <c r="BA83" s="831">
        <f t="shared" si="133"/>
        <v>131398.31494977558</v>
      </c>
      <c r="BB83" s="831">
        <f t="shared" si="133"/>
        <v>132308.63348473102</v>
      </c>
      <c r="BC83" s="831">
        <f t="shared" si="133"/>
        <v>132595.11201128652</v>
      </c>
      <c r="BD83" s="831">
        <f t="shared" si="133"/>
        <v>132882.29707117245</v>
      </c>
      <c r="BE83" s="831">
        <f t="shared" si="133"/>
        <v>133170.19040689064</v>
      </c>
      <c r="BF83" s="831">
        <f t="shared" si="133"/>
        <v>133458.79376524044</v>
      </c>
      <c r="BG83" s="831">
        <f t="shared" si="133"/>
        <v>133748.10889732902</v>
      </c>
      <c r="BH83" s="831">
        <f t="shared" si="133"/>
        <v>134038.13755858256</v>
      </c>
      <c r="BI83" s="831">
        <f t="shared" si="133"/>
        <v>134328.88150875649</v>
      </c>
      <c r="BJ83" s="831">
        <f t="shared" si="133"/>
        <v>134620.34251194619</v>
      </c>
      <c r="BK83" s="831">
        <f t="shared" si="133"/>
        <v>134912.5223365979</v>
      </c>
      <c r="BL83" s="831">
        <f t="shared" si="133"/>
        <v>135205.42275551916</v>
      </c>
      <c r="BM83" s="831">
        <f t="shared" si="133"/>
        <v>135499.04554588997</v>
      </c>
      <c r="BN83" s="831">
        <f t="shared" si="133"/>
        <v>136438.26014174349</v>
      </c>
      <c r="BO83" s="831">
        <f t="shared" si="133"/>
        <v>136734.92344169406</v>
      </c>
      <c r="BP83" s="831">
        <f t="shared" si="133"/>
        <v>137032.31839337389</v>
      </c>
      <c r="BQ83" s="831">
        <f t="shared" si="133"/>
        <v>137330.44680123343</v>
      </c>
      <c r="BR83" s="831">
        <f t="shared" si="133"/>
        <v>137629.31047417357</v>
      </c>
      <c r="BS83" s="831">
        <f t="shared" si="133"/>
        <v>137928.91122555631</v>
      </c>
      <c r="BT83" s="831">
        <f t="shared" si="133"/>
        <v>138229.25087321599</v>
      </c>
      <c r="BU83" s="831">
        <f t="shared" si="133"/>
        <v>138530.33123947008</v>
      </c>
      <c r="BV83" s="831">
        <f t="shared" si="133"/>
        <v>138832.15415113047</v>
      </c>
      <c r="BW83" s="831">
        <f t="shared" si="133"/>
        <v>139134.72143951454</v>
      </c>
      <c r="BX83" s="831">
        <f t="shared" si="133"/>
        <v>139438.03494045601</v>
      </c>
      <c r="BY83" s="831">
        <f t="shared" si="133"/>
        <v>139742.09649431633</v>
      </c>
      <c r="BZ83" s="831">
        <f t="shared" si="133"/>
        <v>140046.90794599595</v>
      </c>
      <c r="CA83" s="831">
        <f t="shared" si="133"/>
        <v>140352.47114494501</v>
      </c>
      <c r="CB83" s="831">
        <f t="shared" si="133"/>
        <v>140658.78794517522</v>
      </c>
      <c r="CC83" s="831">
        <f t="shared" ref="CC83:DH83" si="134">SUM(CC71:CC82)</f>
        <v>140965.86020527058</v>
      </c>
      <c r="CD83" s="831">
        <f t="shared" si="134"/>
        <v>141273.68978839891</v>
      </c>
      <c r="CE83" s="831">
        <f t="shared" si="134"/>
        <v>141582.27856232313</v>
      </c>
      <c r="CF83" s="831">
        <f t="shared" si="134"/>
        <v>141891.62839941256</v>
      </c>
      <c r="CG83" s="831">
        <f t="shared" si="134"/>
        <v>142201.74117665426</v>
      </c>
      <c r="CH83" s="831">
        <f t="shared" si="134"/>
        <v>142512.61877566451</v>
      </c>
      <c r="CI83" s="831">
        <f t="shared" si="134"/>
        <v>142824.26308270005</v>
      </c>
      <c r="CJ83" s="831">
        <f t="shared" si="134"/>
        <v>143136.67598866977</v>
      </c>
      <c r="CK83" s="831">
        <f t="shared" si="134"/>
        <v>143449.85938914598</v>
      </c>
      <c r="CL83" s="831">
        <f t="shared" si="134"/>
        <v>143763.81518437591</v>
      </c>
      <c r="CM83" s="831">
        <f t="shared" si="134"/>
        <v>144078.5452792935</v>
      </c>
      <c r="CN83" s="831">
        <f t="shared" si="134"/>
        <v>144394.05158353061</v>
      </c>
      <c r="CO83" s="831">
        <f t="shared" si="134"/>
        <v>144710.33601142882</v>
      </c>
      <c r="CP83" s="831">
        <f t="shared" si="134"/>
        <v>145027.40048205102</v>
      </c>
      <c r="CQ83" s="831">
        <f t="shared" si="134"/>
        <v>145345.24691919296</v>
      </c>
      <c r="CR83" s="831">
        <f t="shared" si="134"/>
        <v>145663.87725139505</v>
      </c>
      <c r="CS83" s="831">
        <f t="shared" si="134"/>
        <v>145983.29341195402</v>
      </c>
      <c r="CT83" s="831">
        <f t="shared" si="134"/>
        <v>146303.4973389346</v>
      </c>
      <c r="CU83" s="831">
        <f t="shared" si="134"/>
        <v>146624.49097518122</v>
      </c>
      <c r="CV83" s="831">
        <f t="shared" si="134"/>
        <v>146946.27626833002</v>
      </c>
      <c r="CW83" s="831">
        <f t="shared" si="134"/>
        <v>147268.85517082046</v>
      </c>
      <c r="CX83" s="831">
        <f t="shared" si="134"/>
        <v>147592.22963990731</v>
      </c>
      <c r="CY83" s="831">
        <f t="shared" si="134"/>
        <v>147916.40163767245</v>
      </c>
      <c r="CZ83" s="831">
        <f t="shared" si="134"/>
        <v>148241.37313103664</v>
      </c>
      <c r="DA83" s="831">
        <f t="shared" si="134"/>
        <v>148567.14609177178</v>
      </c>
      <c r="DB83" s="831">
        <f t="shared" si="134"/>
        <v>148893.72249651264</v>
      </c>
      <c r="DC83" s="831">
        <f t="shared" si="134"/>
        <v>149221.10432676887</v>
      </c>
      <c r="DD83" s="831">
        <f t="shared" si="134"/>
        <v>149549.29356893705</v>
      </c>
      <c r="DE83" s="831">
        <f t="shared" si="134"/>
        <v>149878.29221431279</v>
      </c>
      <c r="DF83" s="831">
        <f t="shared" si="134"/>
        <v>150208.10225910274</v>
      </c>
      <c r="DG83" s="831">
        <f t="shared" si="134"/>
        <v>150538.72570443677</v>
      </c>
      <c r="DH83" s="831">
        <f t="shared" si="134"/>
        <v>150870.16455638001</v>
      </c>
      <c r="DI83" s="831">
        <f t="shared" ref="DI83:EN83" si="135">SUM(DI71:DI82)</f>
        <v>151202.42082594521</v>
      </c>
      <c r="DJ83" s="831">
        <f t="shared" si="135"/>
        <v>151535.49652910468</v>
      </c>
      <c r="DK83" s="831">
        <f t="shared" si="135"/>
        <v>151869.39368680271</v>
      </c>
      <c r="DL83" s="831">
        <f t="shared" si="135"/>
        <v>152204.11432496784</v>
      </c>
      <c r="DM83" s="831">
        <f t="shared" si="135"/>
        <v>152539.6604745251</v>
      </c>
      <c r="DN83" s="831">
        <f t="shared" si="135"/>
        <v>152876.03417140816</v>
      </c>
      <c r="DO83" s="831">
        <f t="shared" si="135"/>
        <v>153213.2374565721</v>
      </c>
      <c r="DP83" s="831">
        <f t="shared" si="135"/>
        <v>153551.2723760053</v>
      </c>
      <c r="DQ83" s="831">
        <f t="shared" si="135"/>
        <v>153890.14098074229</v>
      </c>
      <c r="DR83" s="831">
        <f t="shared" si="135"/>
        <v>154229.84532687598</v>
      </c>
      <c r="DS83" s="831">
        <f t="shared" si="135"/>
        <v>154570.38747557002</v>
      </c>
      <c r="DT83" s="831">
        <f t="shared" si="135"/>
        <v>154911.76949307154</v>
      </c>
      <c r="DU83" s="831">
        <f t="shared" si="135"/>
        <v>155253.9934507237</v>
      </c>
      <c r="DV83" s="831">
        <f t="shared" si="135"/>
        <v>155597.06142497793</v>
      </c>
      <c r="DW83" s="831">
        <f t="shared" si="135"/>
        <v>155940.97549740694</v>
      </c>
      <c r="DX83" s="831">
        <f t="shared" si="135"/>
        <v>156285.73775471706</v>
      </c>
      <c r="DY83" s="831">
        <f t="shared" si="135"/>
        <v>156631.35028876102</v>
      </c>
      <c r="DZ83" s="831">
        <f t="shared" si="135"/>
        <v>156977.81519655057</v>
      </c>
      <c r="EA83" s="831">
        <f t="shared" si="135"/>
        <v>157325.1345802694</v>
      </c>
      <c r="EB83" s="831">
        <f t="shared" si="135"/>
        <v>157673.31054728563</v>
      </c>
      <c r="EC83" s="831">
        <f t="shared" si="135"/>
        <v>158022.3452101647</v>
      </c>
      <c r="ED83" s="831">
        <f t="shared" si="135"/>
        <v>158372.24068668237</v>
      </c>
      <c r="EE83" s="831">
        <f t="shared" si="135"/>
        <v>158722.99909983727</v>
      </c>
      <c r="EF83" s="831">
        <f t="shared" si="135"/>
        <v>159074.62257786386</v>
      </c>
      <c r="EG83" s="831">
        <f t="shared" si="135"/>
        <v>159427.11325424557</v>
      </c>
      <c r="EH83" s="831">
        <f t="shared" si="135"/>
        <v>159780.47326772744</v>
      </c>
      <c r="EI83" s="831">
        <f t="shared" si="135"/>
        <v>160134.70476232935</v>
      </c>
      <c r="EJ83" s="831">
        <f t="shared" si="135"/>
        <v>160489.80988735872</v>
      </c>
      <c r="EK83" s="831">
        <f t="shared" si="135"/>
        <v>160845.79079742395</v>
      </c>
      <c r="EL83" s="831">
        <f t="shared" si="135"/>
        <v>161202.64965244723</v>
      </c>
      <c r="EM83" s="831">
        <f t="shared" si="135"/>
        <v>161560.38861767758</v>
      </c>
      <c r="EN83" s="831">
        <f t="shared" si="135"/>
        <v>161919.00986370436</v>
      </c>
      <c r="EO83" s="831">
        <f t="shared" ref="EO83:FT83" si="136">SUM(EO71:EO82)</f>
        <v>162278.51556646987</v>
      </c>
      <c r="EP83" s="831">
        <f t="shared" si="136"/>
        <v>162638.90790728305</v>
      </c>
      <c r="EQ83" s="831">
        <f t="shared" si="136"/>
        <v>163000.18907283252</v>
      </c>
      <c r="ER83" s="831">
        <f t="shared" si="136"/>
        <v>163362.36125519997</v>
      </c>
      <c r="ES83" s="831">
        <f t="shared" si="136"/>
        <v>163725.4266518731</v>
      </c>
      <c r="ET83" s="192"/>
    </row>
    <row r="84" spans="1:150">
      <c r="A84" s="192"/>
      <c r="B84" s="36"/>
      <c r="C84" s="635"/>
      <c r="D84" s="635"/>
      <c r="E84" s="635"/>
      <c r="F84" s="635"/>
      <c r="G84" s="635"/>
      <c r="H84" s="635"/>
      <c r="I84" s="635"/>
      <c r="J84" s="635"/>
      <c r="K84" s="635"/>
      <c r="L84" s="635"/>
      <c r="M84" s="635"/>
      <c r="N84" s="192"/>
      <c r="O84" s="635"/>
      <c r="P84" s="192"/>
      <c r="Q84" s="37"/>
      <c r="R84" s="635"/>
      <c r="S84" s="635"/>
      <c r="T84" s="635"/>
      <c r="U84" s="635"/>
      <c r="V84" s="635"/>
      <c r="W84" s="635"/>
      <c r="X84" s="635"/>
      <c r="Y84" s="635"/>
      <c r="Z84" s="635"/>
      <c r="AA84" s="635"/>
      <c r="AB84" s="635"/>
      <c r="AC84" s="635"/>
      <c r="AD84" s="635"/>
      <c r="AE84" s="635"/>
      <c r="AF84" s="635"/>
      <c r="AG84" s="635"/>
      <c r="AH84" s="635"/>
      <c r="AI84" s="635"/>
      <c r="AJ84" s="635"/>
      <c r="AK84" s="635"/>
      <c r="AL84" s="635"/>
      <c r="AM84" s="635"/>
      <c r="AN84" s="635"/>
      <c r="AO84" s="635"/>
      <c r="AP84" s="635"/>
      <c r="AQ84" s="635"/>
      <c r="AR84" s="635"/>
      <c r="AS84" s="635"/>
      <c r="AT84" s="635"/>
      <c r="AU84" s="635"/>
      <c r="AV84" s="635"/>
      <c r="AW84" s="635"/>
      <c r="AX84" s="635"/>
      <c r="AY84" s="635"/>
      <c r="AZ84" s="635"/>
      <c r="BA84" s="635"/>
      <c r="BB84" s="635"/>
      <c r="BC84" s="635"/>
      <c r="BD84" s="635"/>
      <c r="BE84" s="635"/>
      <c r="BF84" s="635"/>
      <c r="BG84" s="635"/>
      <c r="BH84" s="635"/>
      <c r="BI84" s="635"/>
      <c r="BJ84" s="635"/>
      <c r="BK84" s="635"/>
      <c r="BL84" s="635"/>
      <c r="BM84" s="635"/>
      <c r="BN84" s="635"/>
      <c r="BO84" s="635"/>
      <c r="BP84" s="635"/>
      <c r="BQ84" s="635"/>
      <c r="BR84" s="635"/>
      <c r="BS84" s="635"/>
      <c r="BT84" s="635"/>
      <c r="BU84" s="635"/>
      <c r="BV84" s="635"/>
      <c r="BW84" s="635"/>
      <c r="BX84" s="635"/>
      <c r="BY84" s="635"/>
      <c r="BZ84" s="635"/>
      <c r="CA84" s="635"/>
      <c r="CB84" s="635"/>
      <c r="CC84" s="635"/>
      <c r="CD84" s="635"/>
      <c r="CE84" s="635"/>
      <c r="CF84" s="635"/>
      <c r="CG84" s="635"/>
      <c r="CH84" s="635"/>
      <c r="CI84" s="635"/>
      <c r="CJ84" s="635"/>
      <c r="CK84" s="635"/>
      <c r="CL84" s="635"/>
      <c r="CM84" s="635"/>
      <c r="CN84" s="635"/>
      <c r="CO84" s="635"/>
      <c r="CP84" s="635"/>
      <c r="CQ84" s="635"/>
      <c r="CR84" s="635"/>
      <c r="CS84" s="635"/>
      <c r="CT84" s="635"/>
      <c r="CU84" s="635"/>
      <c r="CV84" s="635"/>
      <c r="CW84" s="635"/>
      <c r="CX84" s="635"/>
      <c r="CY84" s="635"/>
      <c r="CZ84" s="635"/>
      <c r="DA84" s="635"/>
      <c r="DB84" s="635"/>
      <c r="DC84" s="635"/>
      <c r="DD84" s="635"/>
      <c r="DE84" s="635"/>
      <c r="DF84" s="635"/>
      <c r="DG84" s="635"/>
      <c r="DH84" s="635"/>
      <c r="DI84" s="635"/>
      <c r="DJ84" s="635"/>
      <c r="DK84" s="635"/>
      <c r="DL84" s="635"/>
      <c r="DM84" s="635"/>
      <c r="DN84" s="635"/>
      <c r="DO84" s="635"/>
      <c r="DP84" s="635"/>
      <c r="DQ84" s="635"/>
      <c r="DR84" s="635"/>
      <c r="DS84" s="635"/>
      <c r="DT84" s="635"/>
      <c r="DU84" s="635"/>
      <c r="DV84" s="635"/>
      <c r="DW84" s="635"/>
      <c r="DX84" s="635"/>
      <c r="DY84" s="635"/>
      <c r="DZ84" s="635"/>
      <c r="EA84" s="635"/>
      <c r="EB84" s="635"/>
      <c r="EC84" s="635"/>
      <c r="ED84" s="635"/>
      <c r="EE84" s="635"/>
      <c r="EF84" s="635"/>
      <c r="EG84" s="635"/>
      <c r="EH84" s="635"/>
      <c r="EI84" s="635"/>
      <c r="EJ84" s="635"/>
      <c r="EK84" s="635"/>
      <c r="EL84" s="635"/>
      <c r="EM84" s="635"/>
      <c r="EN84" s="635"/>
      <c r="EO84" s="635"/>
      <c r="EP84" s="635"/>
      <c r="EQ84" s="635"/>
      <c r="ER84" s="635"/>
      <c r="ES84" s="635"/>
      <c r="ET84" s="192"/>
    </row>
    <row r="85" spans="1:150" ht="10.5" customHeight="1">
      <c r="A85" s="192"/>
      <c r="B85" s="192"/>
      <c r="C85" s="192"/>
      <c r="D85" s="192"/>
      <c r="E85" s="192"/>
      <c r="F85" s="192"/>
      <c r="G85" s="192"/>
      <c r="H85" s="192"/>
      <c r="I85" s="192"/>
      <c r="J85" s="192"/>
      <c r="K85" s="192"/>
      <c r="L85" s="192"/>
      <c r="M85" s="192"/>
      <c r="N85" s="192"/>
      <c r="O85" s="192"/>
      <c r="P85" s="192"/>
      <c r="Q85" s="192"/>
      <c r="R85" s="192"/>
      <c r="S85" s="192"/>
      <c r="T85" s="192"/>
      <c r="U85" s="192"/>
      <c r="V85" s="192"/>
      <c r="W85" s="192"/>
      <c r="X85" s="192"/>
      <c r="Y85" s="192"/>
      <c r="Z85" s="192"/>
      <c r="AA85" s="192"/>
      <c r="AB85" s="192"/>
      <c r="AC85" s="192"/>
      <c r="AD85" s="192"/>
      <c r="AE85" s="192"/>
      <c r="AF85" s="192"/>
      <c r="AG85" s="192"/>
      <c r="AH85" s="192"/>
      <c r="AI85" s="192"/>
      <c r="AJ85" s="192"/>
      <c r="AK85" s="192"/>
      <c r="AL85" s="192"/>
      <c r="AM85" s="192"/>
      <c r="AN85" s="192"/>
      <c r="AO85" s="192"/>
      <c r="AP85" s="192"/>
      <c r="AQ85" s="192"/>
      <c r="AR85" s="192"/>
      <c r="AS85" s="192"/>
      <c r="AT85" s="192"/>
      <c r="AU85" s="192"/>
      <c r="AV85" s="192"/>
      <c r="AW85" s="192"/>
      <c r="AX85" s="192"/>
      <c r="AY85" s="192"/>
      <c r="AZ85" s="192"/>
      <c r="BA85" s="192"/>
      <c r="BB85" s="192"/>
      <c r="BC85" s="192"/>
      <c r="BD85" s="192"/>
      <c r="BE85" s="192"/>
      <c r="BF85" s="192"/>
      <c r="BG85" s="192"/>
      <c r="BH85" s="192"/>
      <c r="BI85" s="192"/>
      <c r="BJ85" s="192"/>
      <c r="BK85" s="192"/>
      <c r="BL85" s="192"/>
      <c r="BM85" s="192"/>
      <c r="BN85" s="192"/>
      <c r="BO85" s="192"/>
      <c r="BP85" s="192"/>
      <c r="BQ85" s="192"/>
      <c r="BR85" s="192"/>
      <c r="BS85" s="192"/>
      <c r="BT85" s="192"/>
      <c r="BU85" s="192"/>
      <c r="BV85" s="192"/>
      <c r="BW85" s="192"/>
      <c r="BX85" s="192"/>
      <c r="BY85" s="192"/>
      <c r="BZ85" s="192"/>
      <c r="CA85" s="192"/>
      <c r="CB85" s="192"/>
      <c r="CC85" s="192"/>
      <c r="CD85" s="192"/>
      <c r="CE85" s="192"/>
      <c r="CF85" s="192"/>
      <c r="CG85" s="192"/>
      <c r="CH85" s="192"/>
      <c r="CI85" s="192"/>
      <c r="CJ85" s="192"/>
      <c r="CK85" s="192"/>
      <c r="CL85" s="192"/>
      <c r="CM85" s="192"/>
      <c r="CN85" s="192"/>
      <c r="CO85" s="192"/>
      <c r="CP85" s="192"/>
      <c r="CQ85" s="192"/>
      <c r="CR85" s="192"/>
      <c r="CS85" s="192"/>
      <c r="CT85" s="192"/>
      <c r="CU85" s="192"/>
      <c r="CV85" s="192"/>
      <c r="CW85" s="192"/>
      <c r="CX85" s="192"/>
      <c r="CY85" s="192"/>
      <c r="CZ85" s="192"/>
      <c r="DA85" s="192"/>
      <c r="DB85" s="192"/>
      <c r="DC85" s="192"/>
      <c r="DD85" s="192"/>
      <c r="DE85" s="192"/>
      <c r="DF85" s="192"/>
      <c r="DG85" s="192"/>
      <c r="DH85" s="192"/>
      <c r="DI85" s="192"/>
      <c r="DJ85" s="192"/>
      <c r="DK85" s="192"/>
      <c r="DL85" s="192"/>
      <c r="DM85" s="192"/>
      <c r="DN85" s="192"/>
      <c r="DO85" s="192"/>
      <c r="DP85" s="192"/>
      <c r="DQ85" s="192"/>
      <c r="DR85" s="192"/>
      <c r="DS85" s="192"/>
      <c r="DT85" s="192"/>
      <c r="DU85" s="192"/>
      <c r="DV85" s="192"/>
      <c r="DW85" s="192"/>
      <c r="DX85" s="192"/>
      <c r="DY85" s="192"/>
      <c r="DZ85" s="192"/>
      <c r="EA85" s="192"/>
      <c r="EB85" s="192"/>
      <c r="EC85" s="192"/>
      <c r="ED85" s="192"/>
      <c r="EE85" s="192"/>
      <c r="EF85" s="192"/>
      <c r="EG85" s="192"/>
      <c r="EH85" s="192"/>
      <c r="EI85" s="192"/>
      <c r="EJ85" s="192"/>
      <c r="EK85" s="192"/>
      <c r="EL85" s="192"/>
      <c r="EM85" s="192"/>
      <c r="EN85" s="192"/>
      <c r="EO85" s="192"/>
      <c r="EP85" s="192"/>
      <c r="EQ85" s="192"/>
      <c r="ER85" s="192"/>
      <c r="ES85" s="192"/>
      <c r="ET85" s="192"/>
    </row>
    <row r="86" spans="1:150" ht="10.5" customHeight="1">
      <c r="A86" s="192"/>
      <c r="B86" s="192"/>
      <c r="C86" s="192"/>
      <c r="D86" s="192"/>
      <c r="E86" s="192"/>
      <c r="F86" s="192"/>
      <c r="G86" s="192"/>
      <c r="H86" s="192"/>
      <c r="I86" s="192"/>
      <c r="J86" s="192"/>
      <c r="K86" s="192"/>
      <c r="L86" s="192"/>
      <c r="M86" s="192"/>
      <c r="N86" s="192"/>
      <c r="O86" s="192"/>
      <c r="P86" s="192"/>
      <c r="Q86" s="192"/>
      <c r="R86" s="192"/>
      <c r="S86" s="192"/>
      <c r="T86" s="192"/>
      <c r="U86" s="192"/>
      <c r="V86" s="192"/>
      <c r="W86" s="192"/>
      <c r="X86" s="192"/>
      <c r="Y86" s="192"/>
      <c r="Z86" s="192"/>
      <c r="AA86" s="192"/>
      <c r="AB86" s="192"/>
      <c r="AC86" s="192"/>
      <c r="AD86" s="192"/>
      <c r="AE86" s="192"/>
      <c r="AF86" s="192"/>
      <c r="AG86" s="192"/>
      <c r="AH86" s="192"/>
      <c r="AI86" s="192"/>
      <c r="AJ86" s="192"/>
      <c r="AK86" s="192"/>
      <c r="AL86" s="192"/>
      <c r="AM86" s="192"/>
      <c r="AN86" s="192"/>
      <c r="AO86" s="192"/>
      <c r="AP86" s="192"/>
      <c r="AQ86" s="192"/>
      <c r="AR86" s="192"/>
      <c r="AS86" s="192"/>
      <c r="AT86" s="192"/>
      <c r="AU86" s="192"/>
      <c r="AV86" s="192"/>
      <c r="AW86" s="192"/>
      <c r="AX86" s="192"/>
      <c r="AY86" s="192"/>
      <c r="AZ86" s="192"/>
      <c r="BA86" s="192"/>
      <c r="BB86" s="192"/>
      <c r="BC86" s="192"/>
      <c r="BD86" s="192"/>
      <c r="BE86" s="192"/>
      <c r="BF86" s="192"/>
      <c r="BG86" s="192"/>
      <c r="BH86" s="192"/>
      <c r="BI86" s="192"/>
      <c r="BJ86" s="192"/>
      <c r="BK86" s="192"/>
      <c r="BL86" s="192"/>
      <c r="BM86" s="192"/>
      <c r="BN86" s="192"/>
      <c r="BO86" s="192"/>
      <c r="BP86" s="192"/>
      <c r="BQ86" s="192"/>
      <c r="BR86" s="192"/>
      <c r="BS86" s="192"/>
      <c r="BT86" s="192"/>
      <c r="BU86" s="192"/>
      <c r="BV86" s="192"/>
      <c r="BW86" s="192"/>
      <c r="BX86" s="192"/>
      <c r="BY86" s="192"/>
      <c r="BZ86" s="192"/>
      <c r="CA86" s="192"/>
      <c r="CB86" s="192"/>
      <c r="CC86" s="192"/>
      <c r="CD86" s="192"/>
      <c r="CE86" s="192"/>
      <c r="CF86" s="192"/>
      <c r="CG86" s="192"/>
      <c r="CH86" s="192"/>
      <c r="CI86" s="192"/>
      <c r="CJ86" s="192"/>
      <c r="CK86" s="192"/>
      <c r="CL86" s="192"/>
      <c r="CM86" s="192"/>
      <c r="CN86" s="192"/>
      <c r="CO86" s="192"/>
      <c r="CP86" s="192"/>
      <c r="CQ86" s="192"/>
      <c r="CR86" s="192"/>
      <c r="CS86" s="192"/>
      <c r="CT86" s="192"/>
      <c r="CU86" s="192"/>
      <c r="CV86" s="192"/>
      <c r="CW86" s="192"/>
      <c r="CX86" s="192"/>
      <c r="CY86" s="192"/>
      <c r="CZ86" s="192"/>
      <c r="DA86" s="192"/>
      <c r="DB86" s="192"/>
      <c r="DC86" s="192"/>
      <c r="DD86" s="192"/>
      <c r="DE86" s="192"/>
      <c r="DF86" s="192"/>
      <c r="DG86" s="192"/>
      <c r="DH86" s="192"/>
      <c r="DI86" s="192"/>
      <c r="DJ86" s="192"/>
      <c r="DK86" s="192"/>
      <c r="DL86" s="192"/>
      <c r="DM86" s="192"/>
      <c r="DN86" s="192"/>
      <c r="DO86" s="192"/>
      <c r="DP86" s="192"/>
      <c r="DQ86" s="192"/>
      <c r="DR86" s="192"/>
      <c r="DS86" s="192"/>
      <c r="DT86" s="192"/>
      <c r="DU86" s="192"/>
      <c r="DV86" s="192"/>
      <c r="DW86" s="192"/>
      <c r="DX86" s="192"/>
      <c r="DY86" s="192"/>
      <c r="DZ86" s="192"/>
      <c r="EA86" s="192"/>
      <c r="EB86" s="192"/>
      <c r="EC86" s="192"/>
      <c r="ED86" s="192"/>
      <c r="EE86" s="192"/>
      <c r="EF86" s="192"/>
      <c r="EG86" s="192"/>
      <c r="EH86" s="192"/>
      <c r="EI86" s="192"/>
      <c r="EJ86" s="192"/>
      <c r="EK86" s="192"/>
      <c r="EL86" s="192"/>
      <c r="EM86" s="192"/>
      <c r="EN86" s="192"/>
      <c r="EO86" s="192"/>
      <c r="EP86" s="192"/>
      <c r="EQ86" s="192"/>
      <c r="ER86" s="192"/>
      <c r="ES86" s="192"/>
      <c r="ET86" s="192"/>
    </row>
    <row r="87" spans="1:150" s="192" customFormat="1" ht="14.25" customHeight="1" collapsed="1">
      <c r="B87" s="1043" t="s">
        <v>125</v>
      </c>
      <c r="C87" s="196"/>
      <c r="D87" s="197"/>
      <c r="E87" s="197"/>
      <c r="F87" s="197"/>
      <c r="G87" s="197"/>
      <c r="H87" s="197"/>
      <c r="I87" s="197"/>
      <c r="J87" s="197"/>
      <c r="K87" s="197"/>
      <c r="L87" s="197"/>
      <c r="M87" s="197"/>
      <c r="O87" s="197"/>
      <c r="Q87" s="197"/>
      <c r="R87" s="197"/>
      <c r="S87" s="197"/>
      <c r="T87" s="197"/>
      <c r="U87" s="197"/>
      <c r="V87" s="197"/>
      <c r="W87" s="197"/>
      <c r="X87" s="197"/>
      <c r="Y87" s="197"/>
      <c r="Z87" s="197"/>
      <c r="AA87" s="197"/>
      <c r="AB87" s="197"/>
      <c r="AC87" s="197"/>
      <c r="AD87" s="197"/>
      <c r="AE87" s="197"/>
      <c r="AF87" s="197"/>
      <c r="AG87" s="197"/>
      <c r="AH87" s="197"/>
      <c r="AI87" s="197"/>
      <c r="AJ87" s="197"/>
      <c r="AK87" s="197"/>
      <c r="AL87" s="197"/>
      <c r="AM87" s="197"/>
      <c r="AN87" s="197"/>
      <c r="AO87" s="197"/>
      <c r="AP87" s="197"/>
      <c r="AQ87" s="197"/>
      <c r="AR87" s="197"/>
      <c r="AS87" s="197"/>
      <c r="AT87" s="197"/>
      <c r="AU87" s="197"/>
      <c r="AV87" s="197"/>
      <c r="AW87" s="197"/>
      <c r="AX87" s="197"/>
      <c r="AY87" s="197"/>
      <c r="AZ87" s="197"/>
      <c r="BA87" s="197"/>
    </row>
    <row r="88" spans="1:150">
      <c r="A88" s="192"/>
      <c r="B88" s="36" t="str">
        <f>Input!B129</f>
        <v>Repair &amp; Maintenance</v>
      </c>
      <c r="C88" s="635">
        <f>-Input!G129</f>
        <v>-94000</v>
      </c>
      <c r="D88" s="635">
        <f>-Input!H129</f>
        <v>-94000</v>
      </c>
      <c r="E88" s="635">
        <f>-Input!I129</f>
        <v>-94000</v>
      </c>
      <c r="F88" s="635">
        <f>-Input!J129</f>
        <v>-94000</v>
      </c>
      <c r="G88" s="635">
        <f>-Input!K129</f>
        <v>-94000</v>
      </c>
      <c r="H88" s="635">
        <f>-Input!L129</f>
        <v>-94000</v>
      </c>
      <c r="I88" s="635">
        <f>-Input!M129</f>
        <v>-94000</v>
      </c>
      <c r="J88" s="635">
        <f>-Input!N129</f>
        <v>-94000</v>
      </c>
      <c r="K88" s="635">
        <f>-Input!O129</f>
        <v>-94000</v>
      </c>
      <c r="L88" s="635">
        <f>-Input!P129</f>
        <v>-94000</v>
      </c>
      <c r="M88" s="635">
        <f>-Input!Q129</f>
        <v>-94000</v>
      </c>
      <c r="N88" s="192"/>
      <c r="O88" s="635">
        <f>-IF(Input!AG226,SUMPRODUCT(FVSCHEDULE(Input!AG226,InflRate*($C$5:$L$5&lt;ReversionYear))),IF(Input!$F129=EGR,Input!S129*$O$83,Input!S129))</f>
        <v>-94000</v>
      </c>
      <c r="P88" s="192"/>
      <c r="Q88" s="37"/>
      <c r="R88" s="635">
        <f>IF(Input!$F129=EGR,-Input!$E129*R$83,SUMIF($C$5:$M$5,R$6,$C88:$M88)*IF(OR(Input!$Z129=UniformDist,Input!$Z129=na),1/12,SUMPRODUCT(Input!$AB129:$AM129*(MONTH(R$4)=MONTH(Input!$AB$128:$AM$128)))))</f>
        <v>-7833.333333333333</v>
      </c>
      <c r="S88" s="635">
        <f>IF(Input!$F129=EGR,-Input!$E129*S$83,SUMIF($C$5:$M$5,S$6,$C88:$M88)*IF(OR(Input!$Z129=UniformDist,Input!$Z129=na),1/12,SUMPRODUCT(Input!$AB129:$AM129*(MONTH(S$4)=MONTH(Input!$AB$128:$AM$128)))))</f>
        <v>-7833.333333333333</v>
      </c>
      <c r="T88" s="635">
        <f>IF(Input!$F129=EGR,-Input!$E129*T$83,SUMIF($C$5:$M$5,T$6,$C88:$M88)*IF(OR(Input!$Z129=UniformDist,Input!$Z129=na),1/12,SUMPRODUCT(Input!$AB129:$AM129*(MONTH(T$4)=MONTH(Input!$AB$128:$AM$128)))))</f>
        <v>-7833.333333333333</v>
      </c>
      <c r="U88" s="635">
        <f>IF(Input!$F129=EGR,-Input!$E129*U$83,SUMIF($C$5:$M$5,U$6,$C88:$M88)*IF(OR(Input!$Z129=UniformDist,Input!$Z129=na),1/12,SUMPRODUCT(Input!$AB129:$AM129*(MONTH(U$4)=MONTH(Input!$AB$128:$AM$128)))))</f>
        <v>-7833.333333333333</v>
      </c>
      <c r="V88" s="635">
        <f>IF(Input!$F129=EGR,-Input!$E129*V$83,SUMIF($C$5:$M$5,V$6,$C88:$M88)*IF(OR(Input!$Z129=UniformDist,Input!$Z129=na),1/12,SUMPRODUCT(Input!$AB129:$AM129*(MONTH(V$4)=MONTH(Input!$AB$128:$AM$128)))))</f>
        <v>-7833.333333333333</v>
      </c>
      <c r="W88" s="635">
        <f>IF(Input!$F129=EGR,-Input!$E129*W$83,SUMIF($C$5:$M$5,W$6,$C88:$M88)*IF(OR(Input!$Z129=UniformDist,Input!$Z129=na),1/12,SUMPRODUCT(Input!$AB129:$AM129*(MONTH(W$4)=MONTH(Input!$AB$128:$AM$128)))))</f>
        <v>-7833.333333333333</v>
      </c>
      <c r="X88" s="635">
        <f>IF(Input!$F129=EGR,-Input!$E129*X$83,SUMIF($C$5:$M$5,X$6,$C88:$M88)*IF(OR(Input!$Z129=UniformDist,Input!$Z129=na),1/12,SUMPRODUCT(Input!$AB129:$AM129*(MONTH(X$4)=MONTH(Input!$AB$128:$AM$128)))))</f>
        <v>-7833.333333333333</v>
      </c>
      <c r="Y88" s="635">
        <f>IF(Input!$F129=EGR,-Input!$E129*Y$83,SUMIF($C$5:$M$5,Y$6,$C88:$M88)*IF(OR(Input!$Z129=UniformDist,Input!$Z129=na),1/12,SUMPRODUCT(Input!$AB129:$AM129*(MONTH(Y$4)=MONTH(Input!$AB$128:$AM$128)))))</f>
        <v>-7833.333333333333</v>
      </c>
      <c r="Z88" s="635">
        <f>IF(Input!$F129=EGR,-Input!$E129*Z$83,SUMIF($C$5:$M$5,Z$6,$C88:$M88)*IF(OR(Input!$Z129=UniformDist,Input!$Z129=na),1/12,SUMPRODUCT(Input!$AB129:$AM129*(MONTH(Z$4)=MONTH(Input!$AB$128:$AM$128)))))</f>
        <v>-7833.333333333333</v>
      </c>
      <c r="AA88" s="635">
        <f>IF(Input!$F129=EGR,-Input!$E129*AA$83,SUMIF($C$5:$M$5,AA$6,$C88:$M88)*IF(OR(Input!$Z129=UniformDist,Input!$Z129=na),1/12,SUMPRODUCT(Input!$AB129:$AM129*(MONTH(AA$4)=MONTH(Input!$AB$128:$AM$128)))))</f>
        <v>-7833.333333333333</v>
      </c>
      <c r="AB88" s="635">
        <f>IF(Input!$F129=EGR,-Input!$E129*AB$83,SUMIF($C$5:$M$5,AB$6,$C88:$M88)*IF(OR(Input!$Z129=UniformDist,Input!$Z129=na),1/12,SUMPRODUCT(Input!$AB129:$AM129*(MONTH(AB$4)=MONTH(Input!$AB$128:$AM$128)))))</f>
        <v>-7833.333333333333</v>
      </c>
      <c r="AC88" s="635">
        <f>IF(Input!$F129=EGR,-Input!$E129*AC$83,SUMIF($C$5:$M$5,AC$6,$C88:$M88)*IF(OR(Input!$Z129=UniformDist,Input!$Z129=na),1/12,SUMPRODUCT(Input!$AB129:$AM129*(MONTH(AC$4)=MONTH(Input!$AB$128:$AM$128)))))</f>
        <v>-7833.333333333333</v>
      </c>
      <c r="AD88" s="635">
        <f>IF(Input!$F129=EGR,-Input!$E129*AD$83,SUMIF($C$5:$M$5,AD$6,$C88:$M88)*IF(OR(Input!$Z129=UniformDist,Input!$Z129=na),1/12,SUMPRODUCT(Input!$AB129:$AM129*(MONTH(AD$4)=MONTH(Input!$AB$128:$AM$128)))))</f>
        <v>-7833.333333333333</v>
      </c>
      <c r="AE88" s="635">
        <f>IF(Input!$F129=EGR,-Input!$E129*AE$83,SUMIF($C$5:$M$5,AE$6,$C88:$M88)*IF(OR(Input!$Z129=UniformDist,Input!$Z129=na),1/12,SUMPRODUCT(Input!$AB129:$AM129*(MONTH(AE$4)=MONTH(Input!$AB$128:$AM$128)))))</f>
        <v>-7833.333333333333</v>
      </c>
      <c r="AF88" s="635">
        <f>IF(Input!$F129=EGR,-Input!$E129*AF$83,SUMIF($C$5:$M$5,AF$6,$C88:$M88)*IF(OR(Input!$Z129=UniformDist,Input!$Z129=na),1/12,SUMPRODUCT(Input!$AB129:$AM129*(MONTH(AF$4)=MONTH(Input!$AB$128:$AM$128)))))</f>
        <v>-7833.333333333333</v>
      </c>
      <c r="AG88" s="635">
        <f>IF(Input!$F129=EGR,-Input!$E129*AG$83,SUMIF($C$5:$M$5,AG$6,$C88:$M88)*IF(OR(Input!$Z129=UniformDist,Input!$Z129=na),1/12,SUMPRODUCT(Input!$AB129:$AM129*(MONTH(AG$4)=MONTH(Input!$AB$128:$AM$128)))))</f>
        <v>-7833.333333333333</v>
      </c>
      <c r="AH88" s="635">
        <f>IF(Input!$F129=EGR,-Input!$E129*AH$83,SUMIF($C$5:$M$5,AH$6,$C88:$M88)*IF(OR(Input!$Z129=UniformDist,Input!$Z129=na),1/12,SUMPRODUCT(Input!$AB129:$AM129*(MONTH(AH$4)=MONTH(Input!$AB$128:$AM$128)))))</f>
        <v>-7833.333333333333</v>
      </c>
      <c r="AI88" s="635">
        <f>IF(Input!$F129=EGR,-Input!$E129*AI$83,SUMIF($C$5:$M$5,AI$6,$C88:$M88)*IF(OR(Input!$Z129=UniformDist,Input!$Z129=na),1/12,SUMPRODUCT(Input!$AB129:$AM129*(MONTH(AI$4)=MONTH(Input!$AB$128:$AM$128)))))</f>
        <v>-7833.333333333333</v>
      </c>
      <c r="AJ88" s="635">
        <f>IF(Input!$F129=EGR,-Input!$E129*AJ$83,SUMIF($C$5:$M$5,AJ$6,$C88:$M88)*IF(OR(Input!$Z129=UniformDist,Input!$Z129=na),1/12,SUMPRODUCT(Input!$AB129:$AM129*(MONTH(AJ$4)=MONTH(Input!$AB$128:$AM$128)))))</f>
        <v>-7833.333333333333</v>
      </c>
      <c r="AK88" s="635">
        <f>IF(Input!$F129=EGR,-Input!$E129*AK$83,SUMIF($C$5:$M$5,AK$6,$C88:$M88)*IF(OR(Input!$Z129=UniformDist,Input!$Z129=na),1/12,SUMPRODUCT(Input!$AB129:$AM129*(MONTH(AK$4)=MONTH(Input!$AB$128:$AM$128)))))</f>
        <v>-7833.333333333333</v>
      </c>
      <c r="AL88" s="635">
        <f>IF(Input!$F129=EGR,-Input!$E129*AL$83,SUMIF($C$5:$M$5,AL$6,$C88:$M88)*IF(OR(Input!$Z129=UniformDist,Input!$Z129=na),1/12,SUMPRODUCT(Input!$AB129:$AM129*(MONTH(AL$4)=MONTH(Input!$AB$128:$AM$128)))))</f>
        <v>-7833.333333333333</v>
      </c>
      <c r="AM88" s="635">
        <f>IF(Input!$F129=EGR,-Input!$E129*AM$83,SUMIF($C$5:$M$5,AM$6,$C88:$M88)*IF(OR(Input!$Z129=UniformDist,Input!$Z129=na),1/12,SUMPRODUCT(Input!$AB129:$AM129*(MONTH(AM$4)=MONTH(Input!$AB$128:$AM$128)))))</f>
        <v>-7833.333333333333</v>
      </c>
      <c r="AN88" s="635">
        <f>IF(Input!$F129=EGR,-Input!$E129*AN$83,SUMIF($C$5:$M$5,AN$6,$C88:$M88)*IF(OR(Input!$Z129=UniformDist,Input!$Z129=na),1/12,SUMPRODUCT(Input!$AB129:$AM129*(MONTH(AN$4)=MONTH(Input!$AB$128:$AM$128)))))</f>
        <v>-7833.333333333333</v>
      </c>
      <c r="AO88" s="635">
        <f>IF(Input!$F129=EGR,-Input!$E129*AO$83,SUMIF($C$5:$M$5,AO$6,$C88:$M88)*IF(OR(Input!$Z129=UniformDist,Input!$Z129=na),1/12,SUMPRODUCT(Input!$AB129:$AM129*(MONTH(AO$4)=MONTH(Input!$AB$128:$AM$128)))))</f>
        <v>-7833.333333333333</v>
      </c>
      <c r="AP88" s="635">
        <f>IF(Input!$F129=EGR,-Input!$E129*AP$83,SUMIF($C$5:$M$5,AP$6,$C88:$M88)*IF(OR(Input!$Z129=UniformDist,Input!$Z129=na),1/12,SUMPRODUCT(Input!$AB129:$AM129*(MONTH(AP$4)=MONTH(Input!$AB$128:$AM$128)))))</f>
        <v>-7833.333333333333</v>
      </c>
      <c r="AQ88" s="635">
        <f>IF(Input!$F129=EGR,-Input!$E129*AQ$83,SUMIF($C$5:$M$5,AQ$6,$C88:$M88)*IF(OR(Input!$Z129=UniformDist,Input!$Z129=na),1/12,SUMPRODUCT(Input!$AB129:$AM129*(MONTH(AQ$4)=MONTH(Input!$AB$128:$AM$128)))))</f>
        <v>-7833.333333333333</v>
      </c>
      <c r="AR88" s="635">
        <f>IF(Input!$F129=EGR,-Input!$E129*AR$83,SUMIF($C$5:$M$5,AR$6,$C88:$M88)*IF(OR(Input!$Z129=UniformDist,Input!$Z129=na),1/12,SUMPRODUCT(Input!$AB129:$AM129*(MONTH(AR$4)=MONTH(Input!$AB$128:$AM$128)))))</f>
        <v>-7833.333333333333</v>
      </c>
      <c r="AS88" s="635">
        <f>IF(Input!$F129=EGR,-Input!$E129*AS$83,SUMIF($C$5:$M$5,AS$6,$C88:$M88)*IF(OR(Input!$Z129=UniformDist,Input!$Z129=na),1/12,SUMPRODUCT(Input!$AB129:$AM129*(MONTH(AS$4)=MONTH(Input!$AB$128:$AM$128)))))</f>
        <v>-7833.333333333333</v>
      </c>
      <c r="AT88" s="635">
        <f>IF(Input!$F129=EGR,-Input!$E129*AT$83,SUMIF($C$5:$M$5,AT$6,$C88:$M88)*IF(OR(Input!$Z129=UniformDist,Input!$Z129=na),1/12,SUMPRODUCT(Input!$AB129:$AM129*(MONTH(AT$4)=MONTH(Input!$AB$128:$AM$128)))))</f>
        <v>-7833.333333333333</v>
      </c>
      <c r="AU88" s="635">
        <f>IF(Input!$F129=EGR,-Input!$E129*AU$83,SUMIF($C$5:$M$5,AU$6,$C88:$M88)*IF(OR(Input!$Z129=UniformDist,Input!$Z129=na),1/12,SUMPRODUCT(Input!$AB129:$AM129*(MONTH(AU$4)=MONTH(Input!$AB$128:$AM$128)))))</f>
        <v>-7833.333333333333</v>
      </c>
      <c r="AV88" s="635">
        <f>IF(Input!$F129=EGR,-Input!$E129*AV$83,SUMIF($C$5:$M$5,AV$6,$C88:$M88)*IF(OR(Input!$Z129=UniformDist,Input!$Z129=na),1/12,SUMPRODUCT(Input!$AB129:$AM129*(MONTH(AV$4)=MONTH(Input!$AB$128:$AM$128)))))</f>
        <v>-7833.333333333333</v>
      </c>
      <c r="AW88" s="635">
        <f>IF(Input!$F129=EGR,-Input!$E129*AW$83,SUMIF($C$5:$M$5,AW$6,$C88:$M88)*IF(OR(Input!$Z129=UniformDist,Input!$Z129=na),1/12,SUMPRODUCT(Input!$AB129:$AM129*(MONTH(AW$4)=MONTH(Input!$AB$128:$AM$128)))))</f>
        <v>-7833.333333333333</v>
      </c>
      <c r="AX88" s="635">
        <f>IF(Input!$F129=EGR,-Input!$E129*AX$83,SUMIF($C$5:$M$5,AX$6,$C88:$M88)*IF(OR(Input!$Z129=UniformDist,Input!$Z129=na),1/12,SUMPRODUCT(Input!$AB129:$AM129*(MONTH(AX$4)=MONTH(Input!$AB$128:$AM$128)))))</f>
        <v>-7833.333333333333</v>
      </c>
      <c r="AY88" s="635">
        <f>IF(Input!$F129=EGR,-Input!$E129*AY$83,SUMIF($C$5:$M$5,AY$6,$C88:$M88)*IF(OR(Input!$Z129=UniformDist,Input!$Z129=na),1/12,SUMPRODUCT(Input!$AB129:$AM129*(MONTH(AY$4)=MONTH(Input!$AB$128:$AM$128)))))</f>
        <v>-7833.333333333333</v>
      </c>
      <c r="AZ88" s="635">
        <f>IF(Input!$F129=EGR,-Input!$E129*AZ$83,SUMIF($C$5:$M$5,AZ$6,$C88:$M88)*IF(OR(Input!$Z129=UniformDist,Input!$Z129=na),1/12,SUMPRODUCT(Input!$AB129:$AM129*(MONTH(AZ$4)=MONTH(Input!$AB$128:$AM$128)))))</f>
        <v>-7833.333333333333</v>
      </c>
      <c r="BA88" s="635">
        <f>IF(Input!$F129=EGR,-Input!$E129*BA$83,SUMIF($C$5:$M$5,BA$6,$C88:$M88)*IF(OR(Input!$Z129=UniformDist,Input!$Z129=na),1/12,SUMPRODUCT(Input!$AB129:$AM129*(MONTH(BA$4)=MONTH(Input!$AB$128:$AM$128)))))</f>
        <v>-7833.333333333333</v>
      </c>
      <c r="BB88" s="192"/>
      <c r="BC88" s="192"/>
      <c r="BD88" s="192"/>
      <c r="BE88" s="192"/>
      <c r="BF88" s="192"/>
      <c r="BG88" s="192"/>
      <c r="BH88" s="192"/>
      <c r="BI88" s="192"/>
      <c r="BJ88" s="192"/>
      <c r="BK88" s="192"/>
      <c r="BL88" s="192"/>
      <c r="BM88" s="192"/>
      <c r="BN88" s="192"/>
      <c r="BO88" s="192"/>
      <c r="BP88" s="192"/>
      <c r="BQ88" s="192"/>
      <c r="BR88" s="192"/>
      <c r="BS88" s="192"/>
      <c r="BT88" s="192"/>
      <c r="BU88" s="192"/>
      <c r="BV88" s="192"/>
      <c r="BW88" s="192"/>
      <c r="BX88" s="192"/>
      <c r="BY88" s="192"/>
      <c r="BZ88" s="192"/>
      <c r="CA88" s="192"/>
      <c r="CB88" s="192"/>
      <c r="CC88" s="192"/>
      <c r="CD88" s="192"/>
      <c r="CE88" s="192"/>
      <c r="CF88" s="192"/>
      <c r="CG88" s="192"/>
      <c r="CH88" s="192"/>
      <c r="CI88" s="192"/>
      <c r="CJ88" s="192"/>
      <c r="CK88" s="192"/>
      <c r="CL88" s="192"/>
      <c r="CM88" s="192"/>
      <c r="CN88" s="192"/>
      <c r="CO88" s="192"/>
      <c r="CP88" s="192"/>
      <c r="CQ88" s="192"/>
      <c r="CR88" s="192"/>
      <c r="CS88" s="192"/>
      <c r="CT88" s="192"/>
      <c r="CU88" s="192"/>
      <c r="CV88" s="192"/>
      <c r="CW88" s="192"/>
      <c r="CX88" s="192"/>
      <c r="CY88" s="192"/>
      <c r="CZ88" s="192"/>
      <c r="DA88" s="192"/>
      <c r="DB88" s="192"/>
      <c r="DC88" s="192"/>
      <c r="DD88" s="192"/>
      <c r="DE88" s="192"/>
      <c r="DF88" s="192"/>
      <c r="DG88" s="192"/>
      <c r="DH88" s="192"/>
      <c r="DI88" s="192"/>
      <c r="DJ88" s="192"/>
      <c r="DK88" s="192"/>
      <c r="DL88" s="192"/>
      <c r="DM88" s="192"/>
      <c r="DN88" s="192"/>
      <c r="DO88" s="192"/>
      <c r="DP88" s="192"/>
      <c r="DQ88" s="192"/>
      <c r="DR88" s="192"/>
      <c r="DS88" s="192"/>
      <c r="DT88" s="192"/>
      <c r="DU88" s="192"/>
      <c r="DV88" s="192"/>
      <c r="DW88" s="192"/>
      <c r="DX88" s="192"/>
      <c r="DY88" s="192"/>
      <c r="DZ88" s="192"/>
      <c r="EA88" s="192"/>
      <c r="EB88" s="192"/>
      <c r="EC88" s="192"/>
      <c r="ED88" s="192"/>
      <c r="EE88" s="192"/>
      <c r="EF88" s="192"/>
      <c r="EG88" s="192"/>
      <c r="EH88" s="192"/>
      <c r="EI88" s="192"/>
      <c r="EJ88" s="192"/>
      <c r="EK88" s="192"/>
      <c r="EL88" s="192"/>
      <c r="EM88" s="192"/>
      <c r="EN88" s="192"/>
      <c r="EO88" s="192"/>
      <c r="EP88" s="192"/>
      <c r="EQ88" s="192"/>
      <c r="ER88" s="192"/>
      <c r="ES88" s="192"/>
      <c r="ET88" s="192"/>
    </row>
    <row r="89" spans="1:150">
      <c r="A89" s="192"/>
      <c r="B89" s="36" t="str">
        <f>Input!B130</f>
        <v>Contract Services</v>
      </c>
      <c r="C89" s="635">
        <f>-Input!G130</f>
        <v>0</v>
      </c>
      <c r="D89" s="635">
        <f>-Input!H130</f>
        <v>0</v>
      </c>
      <c r="E89" s="635">
        <f>-Input!I130</f>
        <v>0</v>
      </c>
      <c r="F89" s="635">
        <f>-Input!J130</f>
        <v>0</v>
      </c>
      <c r="G89" s="635">
        <f>-Input!K130</f>
        <v>0</v>
      </c>
      <c r="H89" s="635">
        <f>-Input!L130</f>
        <v>0</v>
      </c>
      <c r="I89" s="635">
        <f>-Input!M130</f>
        <v>0</v>
      </c>
      <c r="J89" s="635">
        <f>-Input!N130</f>
        <v>0</v>
      </c>
      <c r="K89" s="635">
        <f>-Input!O130</f>
        <v>0</v>
      </c>
      <c r="L89" s="635">
        <f>-Input!P130</f>
        <v>0</v>
      </c>
      <c r="M89" s="635">
        <f>-Input!Q130</f>
        <v>0</v>
      </c>
      <c r="N89" s="192"/>
      <c r="O89" s="635">
        <f>-IF(Input!AG227,SUMPRODUCT(FVSCHEDULE(Input!AG227,InflRate*($C$5:$L$5&lt;ReversionYear))),IF(Input!$F130=EGR,Input!S130*$O$83,Input!S130))</f>
        <v>0</v>
      </c>
      <c r="P89" s="192"/>
      <c r="Q89" s="37"/>
      <c r="R89" s="635">
        <f>IF(Input!$F130=EGR,-Input!$E130*R$83,SUMIF($C$5:$M$5,R$6,$C89:$M89)*IF(OR(Input!$Z130=UniformDist,Input!$Z130=na),1/12,SUMPRODUCT(Input!$AB130:$AM130*(MONTH(R$4)=MONTH(Input!$AB$128:$AM$128)))))</f>
        <v>0</v>
      </c>
      <c r="S89" s="635">
        <f>IF(Input!$F130=EGR,-Input!$E130*S$83,SUMIF($C$5:$M$5,S$6,$C89:$M89)*IF(OR(Input!$Z130=UniformDist,Input!$Z130=na),1/12,SUMPRODUCT(Input!$AB130:$AM130*(MONTH(S$4)=MONTH(Input!$AB$128:$AM$128)))))</f>
        <v>0</v>
      </c>
      <c r="T89" s="635">
        <f>IF(Input!$F130=EGR,-Input!$E130*T$83,SUMIF($C$5:$M$5,T$6,$C89:$M89)*IF(OR(Input!$Z130=UniformDist,Input!$Z130=na),1/12,SUMPRODUCT(Input!$AB130:$AM130*(MONTH(T$4)=MONTH(Input!$AB$128:$AM$128)))))</f>
        <v>0</v>
      </c>
      <c r="U89" s="635">
        <f>IF(Input!$F130=EGR,-Input!$E130*U$83,SUMIF($C$5:$M$5,U$6,$C89:$M89)*IF(OR(Input!$Z130=UniformDist,Input!$Z130=na),1/12,SUMPRODUCT(Input!$AB130:$AM130*(MONTH(U$4)=MONTH(Input!$AB$128:$AM$128)))))</f>
        <v>0</v>
      </c>
      <c r="V89" s="635">
        <f>IF(Input!$F130=EGR,-Input!$E130*V$83,SUMIF($C$5:$M$5,V$6,$C89:$M89)*IF(OR(Input!$Z130=UniformDist,Input!$Z130=na),1/12,SUMPRODUCT(Input!$AB130:$AM130*(MONTH(V$4)=MONTH(Input!$AB$128:$AM$128)))))</f>
        <v>0</v>
      </c>
      <c r="W89" s="635">
        <f>IF(Input!$F130=EGR,-Input!$E130*W$83,SUMIF($C$5:$M$5,W$6,$C89:$M89)*IF(OR(Input!$Z130=UniformDist,Input!$Z130=na),1/12,SUMPRODUCT(Input!$AB130:$AM130*(MONTH(W$4)=MONTH(Input!$AB$128:$AM$128)))))</f>
        <v>0</v>
      </c>
      <c r="X89" s="635">
        <f>IF(Input!$F130=EGR,-Input!$E130*X$83,SUMIF($C$5:$M$5,X$6,$C89:$M89)*IF(OR(Input!$Z130=UniformDist,Input!$Z130=na),1/12,SUMPRODUCT(Input!$AB130:$AM130*(MONTH(X$4)=MONTH(Input!$AB$128:$AM$128)))))</f>
        <v>0</v>
      </c>
      <c r="Y89" s="635">
        <f>IF(Input!$F130=EGR,-Input!$E130*Y$83,SUMIF($C$5:$M$5,Y$6,$C89:$M89)*IF(OR(Input!$Z130=UniformDist,Input!$Z130=na),1/12,SUMPRODUCT(Input!$AB130:$AM130*(MONTH(Y$4)=MONTH(Input!$AB$128:$AM$128)))))</f>
        <v>0</v>
      </c>
      <c r="Z89" s="635">
        <f>IF(Input!$F130=EGR,-Input!$E130*Z$83,SUMIF($C$5:$M$5,Z$6,$C89:$M89)*IF(OR(Input!$Z130=UniformDist,Input!$Z130=na),1/12,SUMPRODUCT(Input!$AB130:$AM130*(MONTH(Z$4)=MONTH(Input!$AB$128:$AM$128)))))</f>
        <v>0</v>
      </c>
      <c r="AA89" s="635">
        <f>IF(Input!$F130=EGR,-Input!$E130*AA$83,SUMIF($C$5:$M$5,AA$6,$C89:$M89)*IF(OR(Input!$Z130=UniformDist,Input!$Z130=na),1/12,SUMPRODUCT(Input!$AB130:$AM130*(MONTH(AA$4)=MONTH(Input!$AB$128:$AM$128)))))</f>
        <v>0</v>
      </c>
      <c r="AB89" s="635">
        <f>IF(Input!$F130=EGR,-Input!$E130*AB$83,SUMIF($C$5:$M$5,AB$6,$C89:$M89)*IF(OR(Input!$Z130=UniformDist,Input!$Z130=na),1/12,SUMPRODUCT(Input!$AB130:$AM130*(MONTH(AB$4)=MONTH(Input!$AB$128:$AM$128)))))</f>
        <v>0</v>
      </c>
      <c r="AC89" s="635">
        <f>IF(Input!$F130=EGR,-Input!$E130*AC$83,SUMIF($C$5:$M$5,AC$6,$C89:$M89)*IF(OR(Input!$Z130=UniformDist,Input!$Z130=na),1/12,SUMPRODUCT(Input!$AB130:$AM130*(MONTH(AC$4)=MONTH(Input!$AB$128:$AM$128)))))</f>
        <v>0</v>
      </c>
      <c r="AD89" s="635">
        <f>IF(Input!$F130=EGR,-Input!$E130*AD$83,SUMIF($C$5:$M$5,AD$6,$C89:$M89)*IF(OR(Input!$Z130=UniformDist,Input!$Z130=na),1/12,SUMPRODUCT(Input!$AB130:$AM130*(MONTH(AD$4)=MONTH(Input!$AB$128:$AM$128)))))</f>
        <v>0</v>
      </c>
      <c r="AE89" s="635">
        <f>IF(Input!$F130=EGR,-Input!$E130*AE$83,SUMIF($C$5:$M$5,AE$6,$C89:$M89)*IF(OR(Input!$Z130=UniformDist,Input!$Z130=na),1/12,SUMPRODUCT(Input!$AB130:$AM130*(MONTH(AE$4)=MONTH(Input!$AB$128:$AM$128)))))</f>
        <v>0</v>
      </c>
      <c r="AF89" s="635">
        <f>IF(Input!$F130=EGR,-Input!$E130*AF$83,SUMIF($C$5:$M$5,AF$6,$C89:$M89)*IF(OR(Input!$Z130=UniformDist,Input!$Z130=na),1/12,SUMPRODUCT(Input!$AB130:$AM130*(MONTH(AF$4)=MONTH(Input!$AB$128:$AM$128)))))</f>
        <v>0</v>
      </c>
      <c r="AG89" s="635">
        <f>IF(Input!$F130=EGR,-Input!$E130*AG$83,SUMIF($C$5:$M$5,AG$6,$C89:$M89)*IF(OR(Input!$Z130=UniformDist,Input!$Z130=na),1/12,SUMPRODUCT(Input!$AB130:$AM130*(MONTH(AG$4)=MONTH(Input!$AB$128:$AM$128)))))</f>
        <v>0</v>
      </c>
      <c r="AH89" s="635">
        <f>IF(Input!$F130=EGR,-Input!$E130*AH$83,SUMIF($C$5:$M$5,AH$6,$C89:$M89)*IF(OR(Input!$Z130=UniformDist,Input!$Z130=na),1/12,SUMPRODUCT(Input!$AB130:$AM130*(MONTH(AH$4)=MONTH(Input!$AB$128:$AM$128)))))</f>
        <v>0</v>
      </c>
      <c r="AI89" s="635">
        <f>IF(Input!$F130=EGR,-Input!$E130*AI$83,SUMIF($C$5:$M$5,AI$6,$C89:$M89)*IF(OR(Input!$Z130=UniformDist,Input!$Z130=na),1/12,SUMPRODUCT(Input!$AB130:$AM130*(MONTH(AI$4)=MONTH(Input!$AB$128:$AM$128)))))</f>
        <v>0</v>
      </c>
      <c r="AJ89" s="635">
        <f>IF(Input!$F130=EGR,-Input!$E130*AJ$83,SUMIF($C$5:$M$5,AJ$6,$C89:$M89)*IF(OR(Input!$Z130=UniformDist,Input!$Z130=na),1/12,SUMPRODUCT(Input!$AB130:$AM130*(MONTH(AJ$4)=MONTH(Input!$AB$128:$AM$128)))))</f>
        <v>0</v>
      </c>
      <c r="AK89" s="635">
        <f>IF(Input!$F130=EGR,-Input!$E130*AK$83,SUMIF($C$5:$M$5,AK$6,$C89:$M89)*IF(OR(Input!$Z130=UniformDist,Input!$Z130=na),1/12,SUMPRODUCT(Input!$AB130:$AM130*(MONTH(AK$4)=MONTH(Input!$AB$128:$AM$128)))))</f>
        <v>0</v>
      </c>
      <c r="AL89" s="635">
        <f>IF(Input!$F130=EGR,-Input!$E130*AL$83,SUMIF($C$5:$M$5,AL$6,$C89:$M89)*IF(OR(Input!$Z130=UniformDist,Input!$Z130=na),1/12,SUMPRODUCT(Input!$AB130:$AM130*(MONTH(AL$4)=MONTH(Input!$AB$128:$AM$128)))))</f>
        <v>0</v>
      </c>
      <c r="AM89" s="635">
        <f>IF(Input!$F130=EGR,-Input!$E130*AM$83,SUMIF($C$5:$M$5,AM$6,$C89:$M89)*IF(OR(Input!$Z130=UniformDist,Input!$Z130=na),1/12,SUMPRODUCT(Input!$AB130:$AM130*(MONTH(AM$4)=MONTH(Input!$AB$128:$AM$128)))))</f>
        <v>0</v>
      </c>
      <c r="AN89" s="635">
        <f>IF(Input!$F130=EGR,-Input!$E130*AN$83,SUMIF($C$5:$M$5,AN$6,$C89:$M89)*IF(OR(Input!$Z130=UniformDist,Input!$Z130=na),1/12,SUMPRODUCT(Input!$AB130:$AM130*(MONTH(AN$4)=MONTH(Input!$AB$128:$AM$128)))))</f>
        <v>0</v>
      </c>
      <c r="AO89" s="635">
        <f>IF(Input!$F130=EGR,-Input!$E130*AO$83,SUMIF($C$5:$M$5,AO$6,$C89:$M89)*IF(OR(Input!$Z130=UniformDist,Input!$Z130=na),1/12,SUMPRODUCT(Input!$AB130:$AM130*(MONTH(AO$4)=MONTH(Input!$AB$128:$AM$128)))))</f>
        <v>0</v>
      </c>
      <c r="AP89" s="635">
        <f>IF(Input!$F130=EGR,-Input!$E130*AP$83,SUMIF($C$5:$M$5,AP$6,$C89:$M89)*IF(OR(Input!$Z130=UniformDist,Input!$Z130=na),1/12,SUMPRODUCT(Input!$AB130:$AM130*(MONTH(AP$4)=MONTH(Input!$AB$128:$AM$128)))))</f>
        <v>0</v>
      </c>
      <c r="AQ89" s="635">
        <f>IF(Input!$F130=EGR,-Input!$E130*AQ$83,SUMIF($C$5:$M$5,AQ$6,$C89:$M89)*IF(OR(Input!$Z130=UniformDist,Input!$Z130=na),1/12,SUMPRODUCT(Input!$AB130:$AM130*(MONTH(AQ$4)=MONTH(Input!$AB$128:$AM$128)))))</f>
        <v>0</v>
      </c>
      <c r="AR89" s="635">
        <f>IF(Input!$F130=EGR,-Input!$E130*AR$83,SUMIF($C$5:$M$5,AR$6,$C89:$M89)*IF(OR(Input!$Z130=UniformDist,Input!$Z130=na),1/12,SUMPRODUCT(Input!$AB130:$AM130*(MONTH(AR$4)=MONTH(Input!$AB$128:$AM$128)))))</f>
        <v>0</v>
      </c>
      <c r="AS89" s="635">
        <f>IF(Input!$F130=EGR,-Input!$E130*AS$83,SUMIF($C$5:$M$5,AS$6,$C89:$M89)*IF(OR(Input!$Z130=UniformDist,Input!$Z130=na),1/12,SUMPRODUCT(Input!$AB130:$AM130*(MONTH(AS$4)=MONTH(Input!$AB$128:$AM$128)))))</f>
        <v>0</v>
      </c>
      <c r="AT89" s="635">
        <f>IF(Input!$F130=EGR,-Input!$E130*AT$83,SUMIF($C$5:$M$5,AT$6,$C89:$M89)*IF(OR(Input!$Z130=UniformDist,Input!$Z130=na),1/12,SUMPRODUCT(Input!$AB130:$AM130*(MONTH(AT$4)=MONTH(Input!$AB$128:$AM$128)))))</f>
        <v>0</v>
      </c>
      <c r="AU89" s="635">
        <f>IF(Input!$F130=EGR,-Input!$E130*AU$83,SUMIF($C$5:$M$5,AU$6,$C89:$M89)*IF(OR(Input!$Z130=UniformDist,Input!$Z130=na),1/12,SUMPRODUCT(Input!$AB130:$AM130*(MONTH(AU$4)=MONTH(Input!$AB$128:$AM$128)))))</f>
        <v>0</v>
      </c>
      <c r="AV89" s="635">
        <f>IF(Input!$F130=EGR,-Input!$E130*AV$83,SUMIF($C$5:$M$5,AV$6,$C89:$M89)*IF(OR(Input!$Z130=UniformDist,Input!$Z130=na),1/12,SUMPRODUCT(Input!$AB130:$AM130*(MONTH(AV$4)=MONTH(Input!$AB$128:$AM$128)))))</f>
        <v>0</v>
      </c>
      <c r="AW89" s="635">
        <f>IF(Input!$F130=EGR,-Input!$E130*AW$83,SUMIF($C$5:$M$5,AW$6,$C89:$M89)*IF(OR(Input!$Z130=UniformDist,Input!$Z130=na),1/12,SUMPRODUCT(Input!$AB130:$AM130*(MONTH(AW$4)=MONTH(Input!$AB$128:$AM$128)))))</f>
        <v>0</v>
      </c>
      <c r="AX89" s="635">
        <f>IF(Input!$F130=EGR,-Input!$E130*AX$83,SUMIF($C$5:$M$5,AX$6,$C89:$M89)*IF(OR(Input!$Z130=UniformDist,Input!$Z130=na),1/12,SUMPRODUCT(Input!$AB130:$AM130*(MONTH(AX$4)=MONTH(Input!$AB$128:$AM$128)))))</f>
        <v>0</v>
      </c>
      <c r="AY89" s="635">
        <f>IF(Input!$F130=EGR,-Input!$E130*AY$83,SUMIF($C$5:$M$5,AY$6,$C89:$M89)*IF(OR(Input!$Z130=UniformDist,Input!$Z130=na),1/12,SUMPRODUCT(Input!$AB130:$AM130*(MONTH(AY$4)=MONTH(Input!$AB$128:$AM$128)))))</f>
        <v>0</v>
      </c>
      <c r="AZ89" s="635">
        <f>IF(Input!$F130=EGR,-Input!$E130*AZ$83,SUMIF($C$5:$M$5,AZ$6,$C89:$M89)*IF(OR(Input!$Z130=UniformDist,Input!$Z130=na),1/12,SUMPRODUCT(Input!$AB130:$AM130*(MONTH(AZ$4)=MONTH(Input!$AB$128:$AM$128)))))</f>
        <v>0</v>
      </c>
      <c r="BA89" s="635">
        <f>IF(Input!$F130=EGR,-Input!$E130*BA$83,SUMIF($C$5:$M$5,BA$6,$C89:$M89)*IF(OR(Input!$Z130=UniformDist,Input!$Z130=na),1/12,SUMPRODUCT(Input!$AB130:$AM130*(MONTH(BA$4)=MONTH(Input!$AB$128:$AM$128)))))</f>
        <v>0</v>
      </c>
      <c r="BB89" s="192"/>
      <c r="BC89" s="192"/>
      <c r="BD89" s="192"/>
      <c r="BE89" s="192"/>
      <c r="BF89" s="192"/>
      <c r="BG89" s="192"/>
      <c r="BH89" s="192"/>
      <c r="BI89" s="192"/>
      <c r="BJ89" s="192"/>
      <c r="BK89" s="192"/>
      <c r="BL89" s="192"/>
      <c r="BM89" s="192"/>
      <c r="BN89" s="192"/>
      <c r="BO89" s="192"/>
      <c r="BP89" s="192"/>
      <c r="BQ89" s="192"/>
      <c r="BR89" s="192"/>
      <c r="BS89" s="192"/>
      <c r="BT89" s="192"/>
      <c r="BU89" s="192"/>
      <c r="BV89" s="192"/>
      <c r="BW89" s="192"/>
      <c r="BX89" s="192"/>
      <c r="BY89" s="192"/>
      <c r="BZ89" s="192"/>
      <c r="CA89" s="192"/>
      <c r="CB89" s="192"/>
      <c r="CC89" s="192"/>
      <c r="CD89" s="192"/>
      <c r="CE89" s="192"/>
      <c r="CF89" s="192"/>
      <c r="CG89" s="192"/>
      <c r="CH89" s="192"/>
      <c r="CI89" s="192"/>
      <c r="CJ89" s="192"/>
      <c r="CK89" s="192"/>
      <c r="CL89" s="192"/>
      <c r="CM89" s="192"/>
      <c r="CN89" s="192"/>
      <c r="CO89" s="192"/>
      <c r="CP89" s="192"/>
      <c r="CQ89" s="192"/>
      <c r="CR89" s="192"/>
      <c r="CS89" s="192"/>
      <c r="CT89" s="192"/>
      <c r="CU89" s="192"/>
      <c r="CV89" s="192"/>
      <c r="CW89" s="192"/>
      <c r="CX89" s="192"/>
      <c r="CY89" s="192"/>
      <c r="CZ89" s="192"/>
      <c r="DA89" s="192"/>
      <c r="DB89" s="192"/>
      <c r="DC89" s="192"/>
      <c r="DD89" s="192"/>
      <c r="DE89" s="192"/>
      <c r="DF89" s="192"/>
      <c r="DG89" s="192"/>
      <c r="DH89" s="192"/>
      <c r="DI89" s="192"/>
      <c r="DJ89" s="192"/>
      <c r="DK89" s="192"/>
      <c r="DL89" s="192"/>
      <c r="DM89" s="192"/>
      <c r="DN89" s="192"/>
      <c r="DO89" s="192"/>
      <c r="DP89" s="192"/>
      <c r="DQ89" s="192"/>
      <c r="DR89" s="192"/>
      <c r="DS89" s="192"/>
      <c r="DT89" s="192"/>
      <c r="DU89" s="192"/>
      <c r="DV89" s="192"/>
      <c r="DW89" s="192"/>
      <c r="DX89" s="192"/>
      <c r="DY89" s="192"/>
      <c r="DZ89" s="192"/>
      <c r="EA89" s="192"/>
      <c r="EB89" s="192"/>
      <c r="EC89" s="192"/>
      <c r="ED89" s="192"/>
      <c r="EE89" s="192"/>
      <c r="EF89" s="192"/>
      <c r="EG89" s="192"/>
      <c r="EH89" s="192"/>
      <c r="EI89" s="192"/>
      <c r="EJ89" s="192"/>
      <c r="EK89" s="192"/>
      <c r="EL89" s="192"/>
      <c r="EM89" s="192"/>
      <c r="EN89" s="192"/>
      <c r="EO89" s="192"/>
      <c r="EP89" s="192"/>
      <c r="EQ89" s="192"/>
      <c r="ER89" s="192"/>
      <c r="ES89" s="192"/>
      <c r="ET89" s="192"/>
    </row>
    <row r="90" spans="1:150">
      <c r="A90" s="192"/>
      <c r="B90" s="36" t="str">
        <f>Input!B131</f>
        <v>Security</v>
      </c>
      <c r="C90" s="635">
        <f>-Input!G131</f>
        <v>0</v>
      </c>
      <c r="D90" s="635">
        <f>-Input!H131</f>
        <v>0</v>
      </c>
      <c r="E90" s="635">
        <f>-Input!I131</f>
        <v>0</v>
      </c>
      <c r="F90" s="635">
        <f>-Input!J131</f>
        <v>0</v>
      </c>
      <c r="G90" s="635">
        <f>-Input!K131</f>
        <v>0</v>
      </c>
      <c r="H90" s="635">
        <f>-Input!L131</f>
        <v>0</v>
      </c>
      <c r="I90" s="635">
        <f>-Input!M131</f>
        <v>0</v>
      </c>
      <c r="J90" s="635">
        <f>-Input!N131</f>
        <v>0</v>
      </c>
      <c r="K90" s="635">
        <f>-Input!O131</f>
        <v>0</v>
      </c>
      <c r="L90" s="635">
        <f>-Input!P131</f>
        <v>0</v>
      </c>
      <c r="M90" s="635">
        <f>-Input!Q131</f>
        <v>0</v>
      </c>
      <c r="N90" s="192"/>
      <c r="O90" s="635">
        <f>-IF(Input!AG228,SUMPRODUCT(FVSCHEDULE(Input!AG228,InflRate*($C$5:$L$5&lt;ReversionYear))),IF(Input!$F131=EGR,Input!S131*$O$83,Input!S131))</f>
        <v>0</v>
      </c>
      <c r="P90" s="192"/>
      <c r="Q90" s="37"/>
      <c r="R90" s="635">
        <f>IF(Input!$F131=EGR,-Input!$E131*R$83,SUMIF($C$5:$M$5,R$6,$C90:$M90)*IF(OR(Input!$Z131=UniformDist,Input!$Z131=na),1/12,SUMPRODUCT(Input!$AB131:$AM131*(MONTH(R$4)=MONTH(Input!$AB$128:$AM$128)))))</f>
        <v>0</v>
      </c>
      <c r="S90" s="635">
        <f>IF(Input!$F131=EGR,-Input!$E131*S$83,SUMIF($C$5:$M$5,S$6,$C90:$M90)*IF(OR(Input!$Z131=UniformDist,Input!$Z131=na),1/12,SUMPRODUCT(Input!$AB131:$AM131*(MONTH(S$4)=MONTH(Input!$AB$128:$AM$128)))))</f>
        <v>0</v>
      </c>
      <c r="T90" s="635">
        <f>IF(Input!$F131=EGR,-Input!$E131*T$83,SUMIF($C$5:$M$5,T$6,$C90:$M90)*IF(OR(Input!$Z131=UniformDist,Input!$Z131=na),1/12,SUMPRODUCT(Input!$AB131:$AM131*(MONTH(T$4)=MONTH(Input!$AB$128:$AM$128)))))</f>
        <v>0</v>
      </c>
      <c r="U90" s="635">
        <f>IF(Input!$F131=EGR,-Input!$E131*U$83,SUMIF($C$5:$M$5,U$6,$C90:$M90)*IF(OR(Input!$Z131=UniformDist,Input!$Z131=na),1/12,SUMPRODUCT(Input!$AB131:$AM131*(MONTH(U$4)=MONTH(Input!$AB$128:$AM$128)))))</f>
        <v>0</v>
      </c>
      <c r="V90" s="635">
        <f>IF(Input!$F131=EGR,-Input!$E131*V$83,SUMIF($C$5:$M$5,V$6,$C90:$M90)*IF(OR(Input!$Z131=UniformDist,Input!$Z131=na),1/12,SUMPRODUCT(Input!$AB131:$AM131*(MONTH(V$4)=MONTH(Input!$AB$128:$AM$128)))))</f>
        <v>0</v>
      </c>
      <c r="W90" s="635">
        <f>IF(Input!$F131=EGR,-Input!$E131*W$83,SUMIF($C$5:$M$5,W$6,$C90:$M90)*IF(OR(Input!$Z131=UniformDist,Input!$Z131=na),1/12,SUMPRODUCT(Input!$AB131:$AM131*(MONTH(W$4)=MONTH(Input!$AB$128:$AM$128)))))</f>
        <v>0</v>
      </c>
      <c r="X90" s="635">
        <f>IF(Input!$F131=EGR,-Input!$E131*X$83,SUMIF($C$5:$M$5,X$6,$C90:$M90)*IF(OR(Input!$Z131=UniformDist,Input!$Z131=na),1/12,SUMPRODUCT(Input!$AB131:$AM131*(MONTH(X$4)=MONTH(Input!$AB$128:$AM$128)))))</f>
        <v>0</v>
      </c>
      <c r="Y90" s="635">
        <f>IF(Input!$F131=EGR,-Input!$E131*Y$83,SUMIF($C$5:$M$5,Y$6,$C90:$M90)*IF(OR(Input!$Z131=UniformDist,Input!$Z131=na),1/12,SUMPRODUCT(Input!$AB131:$AM131*(MONTH(Y$4)=MONTH(Input!$AB$128:$AM$128)))))</f>
        <v>0</v>
      </c>
      <c r="Z90" s="635">
        <f>IF(Input!$F131=EGR,-Input!$E131*Z$83,SUMIF($C$5:$M$5,Z$6,$C90:$M90)*IF(OR(Input!$Z131=UniformDist,Input!$Z131=na),1/12,SUMPRODUCT(Input!$AB131:$AM131*(MONTH(Z$4)=MONTH(Input!$AB$128:$AM$128)))))</f>
        <v>0</v>
      </c>
      <c r="AA90" s="635">
        <f>IF(Input!$F131=EGR,-Input!$E131*AA$83,SUMIF($C$5:$M$5,AA$6,$C90:$M90)*IF(OR(Input!$Z131=UniformDist,Input!$Z131=na),1/12,SUMPRODUCT(Input!$AB131:$AM131*(MONTH(AA$4)=MONTH(Input!$AB$128:$AM$128)))))</f>
        <v>0</v>
      </c>
      <c r="AB90" s="635">
        <f>IF(Input!$F131=EGR,-Input!$E131*AB$83,SUMIF($C$5:$M$5,AB$6,$C90:$M90)*IF(OR(Input!$Z131=UniformDist,Input!$Z131=na),1/12,SUMPRODUCT(Input!$AB131:$AM131*(MONTH(AB$4)=MONTH(Input!$AB$128:$AM$128)))))</f>
        <v>0</v>
      </c>
      <c r="AC90" s="635">
        <f>IF(Input!$F131=EGR,-Input!$E131*AC$83,SUMIF($C$5:$M$5,AC$6,$C90:$M90)*IF(OR(Input!$Z131=UniformDist,Input!$Z131=na),1/12,SUMPRODUCT(Input!$AB131:$AM131*(MONTH(AC$4)=MONTH(Input!$AB$128:$AM$128)))))</f>
        <v>0</v>
      </c>
      <c r="AD90" s="635">
        <f>IF(Input!$F131=EGR,-Input!$E131*AD$83,SUMIF($C$5:$M$5,AD$6,$C90:$M90)*IF(OR(Input!$Z131=UniformDist,Input!$Z131=na),1/12,SUMPRODUCT(Input!$AB131:$AM131*(MONTH(AD$4)=MONTH(Input!$AB$128:$AM$128)))))</f>
        <v>0</v>
      </c>
      <c r="AE90" s="635">
        <f>IF(Input!$F131=EGR,-Input!$E131*AE$83,SUMIF($C$5:$M$5,AE$6,$C90:$M90)*IF(OR(Input!$Z131=UniformDist,Input!$Z131=na),1/12,SUMPRODUCT(Input!$AB131:$AM131*(MONTH(AE$4)=MONTH(Input!$AB$128:$AM$128)))))</f>
        <v>0</v>
      </c>
      <c r="AF90" s="635">
        <f>IF(Input!$F131=EGR,-Input!$E131*AF$83,SUMIF($C$5:$M$5,AF$6,$C90:$M90)*IF(OR(Input!$Z131=UniformDist,Input!$Z131=na),1/12,SUMPRODUCT(Input!$AB131:$AM131*(MONTH(AF$4)=MONTH(Input!$AB$128:$AM$128)))))</f>
        <v>0</v>
      </c>
      <c r="AG90" s="635">
        <f>IF(Input!$F131=EGR,-Input!$E131*AG$83,SUMIF($C$5:$M$5,AG$6,$C90:$M90)*IF(OR(Input!$Z131=UniformDist,Input!$Z131=na),1/12,SUMPRODUCT(Input!$AB131:$AM131*(MONTH(AG$4)=MONTH(Input!$AB$128:$AM$128)))))</f>
        <v>0</v>
      </c>
      <c r="AH90" s="635">
        <f>IF(Input!$F131=EGR,-Input!$E131*AH$83,SUMIF($C$5:$M$5,AH$6,$C90:$M90)*IF(OR(Input!$Z131=UniformDist,Input!$Z131=na),1/12,SUMPRODUCT(Input!$AB131:$AM131*(MONTH(AH$4)=MONTH(Input!$AB$128:$AM$128)))))</f>
        <v>0</v>
      </c>
      <c r="AI90" s="635">
        <f>IF(Input!$F131=EGR,-Input!$E131*AI$83,SUMIF($C$5:$M$5,AI$6,$C90:$M90)*IF(OR(Input!$Z131=UniformDist,Input!$Z131=na),1/12,SUMPRODUCT(Input!$AB131:$AM131*(MONTH(AI$4)=MONTH(Input!$AB$128:$AM$128)))))</f>
        <v>0</v>
      </c>
      <c r="AJ90" s="635">
        <f>IF(Input!$F131=EGR,-Input!$E131*AJ$83,SUMIF($C$5:$M$5,AJ$6,$C90:$M90)*IF(OR(Input!$Z131=UniformDist,Input!$Z131=na),1/12,SUMPRODUCT(Input!$AB131:$AM131*(MONTH(AJ$4)=MONTH(Input!$AB$128:$AM$128)))))</f>
        <v>0</v>
      </c>
      <c r="AK90" s="635">
        <f>IF(Input!$F131=EGR,-Input!$E131*AK$83,SUMIF($C$5:$M$5,AK$6,$C90:$M90)*IF(OR(Input!$Z131=UniformDist,Input!$Z131=na),1/12,SUMPRODUCT(Input!$AB131:$AM131*(MONTH(AK$4)=MONTH(Input!$AB$128:$AM$128)))))</f>
        <v>0</v>
      </c>
      <c r="AL90" s="635">
        <f>IF(Input!$F131=EGR,-Input!$E131*AL$83,SUMIF($C$5:$M$5,AL$6,$C90:$M90)*IF(OR(Input!$Z131=UniformDist,Input!$Z131=na),1/12,SUMPRODUCT(Input!$AB131:$AM131*(MONTH(AL$4)=MONTH(Input!$AB$128:$AM$128)))))</f>
        <v>0</v>
      </c>
      <c r="AM90" s="635">
        <f>IF(Input!$F131=EGR,-Input!$E131*AM$83,SUMIF($C$5:$M$5,AM$6,$C90:$M90)*IF(OR(Input!$Z131=UniformDist,Input!$Z131=na),1/12,SUMPRODUCT(Input!$AB131:$AM131*(MONTH(AM$4)=MONTH(Input!$AB$128:$AM$128)))))</f>
        <v>0</v>
      </c>
      <c r="AN90" s="635">
        <f>IF(Input!$F131=EGR,-Input!$E131*AN$83,SUMIF($C$5:$M$5,AN$6,$C90:$M90)*IF(OR(Input!$Z131=UniformDist,Input!$Z131=na),1/12,SUMPRODUCT(Input!$AB131:$AM131*(MONTH(AN$4)=MONTH(Input!$AB$128:$AM$128)))))</f>
        <v>0</v>
      </c>
      <c r="AO90" s="635">
        <f>IF(Input!$F131=EGR,-Input!$E131*AO$83,SUMIF($C$5:$M$5,AO$6,$C90:$M90)*IF(OR(Input!$Z131=UniformDist,Input!$Z131=na),1/12,SUMPRODUCT(Input!$AB131:$AM131*(MONTH(AO$4)=MONTH(Input!$AB$128:$AM$128)))))</f>
        <v>0</v>
      </c>
      <c r="AP90" s="635">
        <f>IF(Input!$F131=EGR,-Input!$E131*AP$83,SUMIF($C$5:$M$5,AP$6,$C90:$M90)*IF(OR(Input!$Z131=UniformDist,Input!$Z131=na),1/12,SUMPRODUCT(Input!$AB131:$AM131*(MONTH(AP$4)=MONTH(Input!$AB$128:$AM$128)))))</f>
        <v>0</v>
      </c>
      <c r="AQ90" s="635">
        <f>IF(Input!$F131=EGR,-Input!$E131*AQ$83,SUMIF($C$5:$M$5,AQ$6,$C90:$M90)*IF(OR(Input!$Z131=UniformDist,Input!$Z131=na),1/12,SUMPRODUCT(Input!$AB131:$AM131*(MONTH(AQ$4)=MONTH(Input!$AB$128:$AM$128)))))</f>
        <v>0</v>
      </c>
      <c r="AR90" s="635">
        <f>IF(Input!$F131=EGR,-Input!$E131*AR$83,SUMIF($C$5:$M$5,AR$6,$C90:$M90)*IF(OR(Input!$Z131=UniformDist,Input!$Z131=na),1/12,SUMPRODUCT(Input!$AB131:$AM131*(MONTH(AR$4)=MONTH(Input!$AB$128:$AM$128)))))</f>
        <v>0</v>
      </c>
      <c r="AS90" s="635">
        <f>IF(Input!$F131=EGR,-Input!$E131*AS$83,SUMIF($C$5:$M$5,AS$6,$C90:$M90)*IF(OR(Input!$Z131=UniformDist,Input!$Z131=na),1/12,SUMPRODUCT(Input!$AB131:$AM131*(MONTH(AS$4)=MONTH(Input!$AB$128:$AM$128)))))</f>
        <v>0</v>
      </c>
      <c r="AT90" s="635">
        <f>IF(Input!$F131=EGR,-Input!$E131*AT$83,SUMIF($C$5:$M$5,AT$6,$C90:$M90)*IF(OR(Input!$Z131=UniformDist,Input!$Z131=na),1/12,SUMPRODUCT(Input!$AB131:$AM131*(MONTH(AT$4)=MONTH(Input!$AB$128:$AM$128)))))</f>
        <v>0</v>
      </c>
      <c r="AU90" s="635">
        <f>IF(Input!$F131=EGR,-Input!$E131*AU$83,SUMIF($C$5:$M$5,AU$6,$C90:$M90)*IF(OR(Input!$Z131=UniformDist,Input!$Z131=na),1/12,SUMPRODUCT(Input!$AB131:$AM131*(MONTH(AU$4)=MONTH(Input!$AB$128:$AM$128)))))</f>
        <v>0</v>
      </c>
      <c r="AV90" s="635">
        <f>IF(Input!$F131=EGR,-Input!$E131*AV$83,SUMIF($C$5:$M$5,AV$6,$C90:$M90)*IF(OR(Input!$Z131=UniformDist,Input!$Z131=na),1/12,SUMPRODUCT(Input!$AB131:$AM131*(MONTH(AV$4)=MONTH(Input!$AB$128:$AM$128)))))</f>
        <v>0</v>
      </c>
      <c r="AW90" s="635">
        <f>IF(Input!$F131=EGR,-Input!$E131*AW$83,SUMIF($C$5:$M$5,AW$6,$C90:$M90)*IF(OR(Input!$Z131=UniformDist,Input!$Z131=na),1/12,SUMPRODUCT(Input!$AB131:$AM131*(MONTH(AW$4)=MONTH(Input!$AB$128:$AM$128)))))</f>
        <v>0</v>
      </c>
      <c r="AX90" s="635">
        <f>IF(Input!$F131=EGR,-Input!$E131*AX$83,SUMIF($C$5:$M$5,AX$6,$C90:$M90)*IF(OR(Input!$Z131=UniformDist,Input!$Z131=na),1/12,SUMPRODUCT(Input!$AB131:$AM131*(MONTH(AX$4)=MONTH(Input!$AB$128:$AM$128)))))</f>
        <v>0</v>
      </c>
      <c r="AY90" s="635">
        <f>IF(Input!$F131=EGR,-Input!$E131*AY$83,SUMIF($C$5:$M$5,AY$6,$C90:$M90)*IF(OR(Input!$Z131=UniformDist,Input!$Z131=na),1/12,SUMPRODUCT(Input!$AB131:$AM131*(MONTH(AY$4)=MONTH(Input!$AB$128:$AM$128)))))</f>
        <v>0</v>
      </c>
      <c r="AZ90" s="635">
        <f>IF(Input!$F131=EGR,-Input!$E131*AZ$83,SUMIF($C$5:$M$5,AZ$6,$C90:$M90)*IF(OR(Input!$Z131=UniformDist,Input!$Z131=na),1/12,SUMPRODUCT(Input!$AB131:$AM131*(MONTH(AZ$4)=MONTH(Input!$AB$128:$AM$128)))))</f>
        <v>0</v>
      </c>
      <c r="BA90" s="635">
        <f>IF(Input!$F131=EGR,-Input!$E131*BA$83,SUMIF($C$5:$M$5,BA$6,$C90:$M90)*IF(OR(Input!$Z131=UniformDist,Input!$Z131=na),1/12,SUMPRODUCT(Input!$AB131:$AM131*(MONTH(BA$4)=MONTH(Input!$AB$128:$AM$128)))))</f>
        <v>0</v>
      </c>
      <c r="BB90" s="192"/>
      <c r="BC90" s="192"/>
      <c r="BD90" s="192"/>
      <c r="BE90" s="192"/>
      <c r="BF90" s="192"/>
      <c r="BG90" s="192"/>
      <c r="BH90" s="192"/>
      <c r="BI90" s="192"/>
      <c r="BJ90" s="192"/>
      <c r="BK90" s="192"/>
      <c r="BL90" s="192"/>
      <c r="BM90" s="192"/>
      <c r="BN90" s="192"/>
      <c r="BO90" s="192"/>
      <c r="BP90" s="192"/>
      <c r="BQ90" s="192"/>
      <c r="BR90" s="192"/>
      <c r="BS90" s="192"/>
      <c r="BT90" s="192"/>
      <c r="BU90" s="192"/>
      <c r="BV90" s="192"/>
      <c r="BW90" s="192"/>
      <c r="BX90" s="192"/>
      <c r="BY90" s="192"/>
      <c r="BZ90" s="192"/>
      <c r="CA90" s="192"/>
      <c r="CB90" s="192"/>
      <c r="CC90" s="192"/>
      <c r="CD90" s="192"/>
      <c r="CE90" s="192"/>
      <c r="CF90" s="192"/>
      <c r="CG90" s="192"/>
      <c r="CH90" s="192"/>
      <c r="CI90" s="192"/>
      <c r="CJ90" s="192"/>
      <c r="CK90" s="192"/>
      <c r="CL90" s="192"/>
      <c r="CM90" s="192"/>
      <c r="CN90" s="192"/>
      <c r="CO90" s="192"/>
      <c r="CP90" s="192"/>
      <c r="CQ90" s="192"/>
      <c r="CR90" s="192"/>
      <c r="CS90" s="192"/>
      <c r="CT90" s="192"/>
      <c r="CU90" s="192"/>
      <c r="CV90" s="192"/>
      <c r="CW90" s="192"/>
      <c r="CX90" s="192"/>
      <c r="CY90" s="192"/>
      <c r="CZ90" s="192"/>
      <c r="DA90" s="192"/>
      <c r="DB90" s="192"/>
      <c r="DC90" s="192"/>
      <c r="DD90" s="192"/>
      <c r="DE90" s="192"/>
      <c r="DF90" s="192"/>
      <c r="DG90" s="192"/>
      <c r="DH90" s="192"/>
      <c r="DI90" s="192"/>
      <c r="DJ90" s="192"/>
      <c r="DK90" s="192"/>
      <c r="DL90" s="192"/>
      <c r="DM90" s="192"/>
      <c r="DN90" s="192"/>
      <c r="DO90" s="192"/>
      <c r="DP90" s="192"/>
      <c r="DQ90" s="192"/>
      <c r="DR90" s="192"/>
      <c r="DS90" s="192"/>
      <c r="DT90" s="192"/>
      <c r="DU90" s="192"/>
      <c r="DV90" s="192"/>
      <c r="DW90" s="192"/>
      <c r="DX90" s="192"/>
      <c r="DY90" s="192"/>
      <c r="DZ90" s="192"/>
      <c r="EA90" s="192"/>
      <c r="EB90" s="192"/>
      <c r="EC90" s="192"/>
      <c r="ED90" s="192"/>
      <c r="EE90" s="192"/>
      <c r="EF90" s="192"/>
      <c r="EG90" s="192"/>
      <c r="EH90" s="192"/>
      <c r="EI90" s="192"/>
      <c r="EJ90" s="192"/>
      <c r="EK90" s="192"/>
      <c r="EL90" s="192"/>
      <c r="EM90" s="192"/>
      <c r="EN90" s="192"/>
      <c r="EO90" s="192"/>
      <c r="EP90" s="192"/>
      <c r="EQ90" s="192"/>
      <c r="ER90" s="192"/>
      <c r="ES90" s="192"/>
      <c r="ET90" s="192"/>
    </row>
    <row r="91" spans="1:150">
      <c r="A91" s="192"/>
      <c r="B91" s="36" t="str">
        <f>Input!B132</f>
        <v>Landscaping / Grounds</v>
      </c>
      <c r="C91" s="635">
        <f>-Input!G132</f>
        <v>-16000</v>
      </c>
      <c r="D91" s="635">
        <f>-Input!H132</f>
        <v>-16000</v>
      </c>
      <c r="E91" s="635">
        <f>-Input!I132</f>
        <v>-16000</v>
      </c>
      <c r="F91" s="635">
        <f>-Input!J132</f>
        <v>-16000</v>
      </c>
      <c r="G91" s="635">
        <f>-Input!K132</f>
        <v>-16000</v>
      </c>
      <c r="H91" s="635">
        <f>-Input!L132</f>
        <v>-16000</v>
      </c>
      <c r="I91" s="635">
        <f>-Input!M132</f>
        <v>-16000</v>
      </c>
      <c r="J91" s="635">
        <f>-Input!N132</f>
        <v>-16000</v>
      </c>
      <c r="K91" s="635">
        <f>-Input!O132</f>
        <v>-16000</v>
      </c>
      <c r="L91" s="635">
        <f>-Input!P132</f>
        <v>-16000</v>
      </c>
      <c r="M91" s="635">
        <f>-Input!Q132</f>
        <v>-16000</v>
      </c>
      <c r="N91" s="192"/>
      <c r="O91" s="635">
        <f>-IF(Input!AG229,SUMPRODUCT(FVSCHEDULE(Input!AG229,InflRate*($C$5:$L$5&lt;ReversionYear))),IF(Input!$F132=EGR,Input!S132*$O$83,Input!S132))</f>
        <v>-16000</v>
      </c>
      <c r="P91" s="192"/>
      <c r="Q91" s="37"/>
      <c r="R91" s="635">
        <f>IF(Input!$F132=EGR,-Input!$E132*R$83,SUMIF($C$5:$M$5,R$6,$C91:$M91)*IF(OR(Input!$Z132=UniformDist,Input!$Z132=na),1/12,SUMPRODUCT(Input!$AB132:$AM132*(MONTH(R$4)=MONTH(Input!$AB$128:$AM$128)))))</f>
        <v>-1333.3333333333333</v>
      </c>
      <c r="S91" s="635">
        <f>IF(Input!$F132=EGR,-Input!$E132*S$83,SUMIF($C$5:$M$5,S$6,$C91:$M91)*IF(OR(Input!$Z132=UniformDist,Input!$Z132=na),1/12,SUMPRODUCT(Input!$AB132:$AM132*(MONTH(S$4)=MONTH(Input!$AB$128:$AM$128)))))</f>
        <v>-1333.3333333333333</v>
      </c>
      <c r="T91" s="635">
        <f>IF(Input!$F132=EGR,-Input!$E132*T$83,SUMIF($C$5:$M$5,T$6,$C91:$M91)*IF(OR(Input!$Z132=UniformDist,Input!$Z132=na),1/12,SUMPRODUCT(Input!$AB132:$AM132*(MONTH(T$4)=MONTH(Input!$AB$128:$AM$128)))))</f>
        <v>-1333.3333333333333</v>
      </c>
      <c r="U91" s="635">
        <f>IF(Input!$F132=EGR,-Input!$E132*U$83,SUMIF($C$5:$M$5,U$6,$C91:$M91)*IF(OR(Input!$Z132=UniformDist,Input!$Z132=na),1/12,SUMPRODUCT(Input!$AB132:$AM132*(MONTH(U$4)=MONTH(Input!$AB$128:$AM$128)))))</f>
        <v>-1333.3333333333333</v>
      </c>
      <c r="V91" s="635">
        <f>IF(Input!$F132=EGR,-Input!$E132*V$83,SUMIF($C$5:$M$5,V$6,$C91:$M91)*IF(OR(Input!$Z132=UniformDist,Input!$Z132=na),1/12,SUMPRODUCT(Input!$AB132:$AM132*(MONTH(V$4)=MONTH(Input!$AB$128:$AM$128)))))</f>
        <v>-1333.3333333333333</v>
      </c>
      <c r="W91" s="635">
        <f>IF(Input!$F132=EGR,-Input!$E132*W$83,SUMIF($C$5:$M$5,W$6,$C91:$M91)*IF(OR(Input!$Z132=UniformDist,Input!$Z132=na),1/12,SUMPRODUCT(Input!$AB132:$AM132*(MONTH(W$4)=MONTH(Input!$AB$128:$AM$128)))))</f>
        <v>-1333.3333333333333</v>
      </c>
      <c r="X91" s="635">
        <f>IF(Input!$F132=EGR,-Input!$E132*X$83,SUMIF($C$5:$M$5,X$6,$C91:$M91)*IF(OR(Input!$Z132=UniformDist,Input!$Z132=na),1/12,SUMPRODUCT(Input!$AB132:$AM132*(MONTH(X$4)=MONTH(Input!$AB$128:$AM$128)))))</f>
        <v>-1333.3333333333333</v>
      </c>
      <c r="Y91" s="635">
        <f>IF(Input!$F132=EGR,-Input!$E132*Y$83,SUMIF($C$5:$M$5,Y$6,$C91:$M91)*IF(OR(Input!$Z132=UniformDist,Input!$Z132=na),1/12,SUMPRODUCT(Input!$AB132:$AM132*(MONTH(Y$4)=MONTH(Input!$AB$128:$AM$128)))))</f>
        <v>-1333.3333333333333</v>
      </c>
      <c r="Z91" s="635">
        <f>IF(Input!$F132=EGR,-Input!$E132*Z$83,SUMIF($C$5:$M$5,Z$6,$C91:$M91)*IF(OR(Input!$Z132=UniformDist,Input!$Z132=na),1/12,SUMPRODUCT(Input!$AB132:$AM132*(MONTH(Z$4)=MONTH(Input!$AB$128:$AM$128)))))</f>
        <v>-1333.3333333333333</v>
      </c>
      <c r="AA91" s="635">
        <f>IF(Input!$F132=EGR,-Input!$E132*AA$83,SUMIF($C$5:$M$5,AA$6,$C91:$M91)*IF(OR(Input!$Z132=UniformDist,Input!$Z132=na),1/12,SUMPRODUCT(Input!$AB132:$AM132*(MONTH(AA$4)=MONTH(Input!$AB$128:$AM$128)))))</f>
        <v>-1333.3333333333333</v>
      </c>
      <c r="AB91" s="635">
        <f>IF(Input!$F132=EGR,-Input!$E132*AB$83,SUMIF($C$5:$M$5,AB$6,$C91:$M91)*IF(OR(Input!$Z132=UniformDist,Input!$Z132=na),1/12,SUMPRODUCT(Input!$AB132:$AM132*(MONTH(AB$4)=MONTH(Input!$AB$128:$AM$128)))))</f>
        <v>-1333.3333333333333</v>
      </c>
      <c r="AC91" s="635">
        <f>IF(Input!$F132=EGR,-Input!$E132*AC$83,SUMIF($C$5:$M$5,AC$6,$C91:$M91)*IF(OR(Input!$Z132=UniformDist,Input!$Z132=na),1/12,SUMPRODUCT(Input!$AB132:$AM132*(MONTH(AC$4)=MONTH(Input!$AB$128:$AM$128)))))</f>
        <v>-1333.3333333333333</v>
      </c>
      <c r="AD91" s="635">
        <f>IF(Input!$F132=EGR,-Input!$E132*AD$83,SUMIF($C$5:$M$5,AD$6,$C91:$M91)*IF(OR(Input!$Z132=UniformDist,Input!$Z132=na),1/12,SUMPRODUCT(Input!$AB132:$AM132*(MONTH(AD$4)=MONTH(Input!$AB$128:$AM$128)))))</f>
        <v>-1333.3333333333333</v>
      </c>
      <c r="AE91" s="635">
        <f>IF(Input!$F132=EGR,-Input!$E132*AE$83,SUMIF($C$5:$M$5,AE$6,$C91:$M91)*IF(OR(Input!$Z132=UniformDist,Input!$Z132=na),1/12,SUMPRODUCT(Input!$AB132:$AM132*(MONTH(AE$4)=MONTH(Input!$AB$128:$AM$128)))))</f>
        <v>-1333.3333333333333</v>
      </c>
      <c r="AF91" s="635">
        <f>IF(Input!$F132=EGR,-Input!$E132*AF$83,SUMIF($C$5:$M$5,AF$6,$C91:$M91)*IF(OR(Input!$Z132=UniformDist,Input!$Z132=na),1/12,SUMPRODUCT(Input!$AB132:$AM132*(MONTH(AF$4)=MONTH(Input!$AB$128:$AM$128)))))</f>
        <v>-1333.3333333333333</v>
      </c>
      <c r="AG91" s="635">
        <f>IF(Input!$F132=EGR,-Input!$E132*AG$83,SUMIF($C$5:$M$5,AG$6,$C91:$M91)*IF(OR(Input!$Z132=UniformDist,Input!$Z132=na),1/12,SUMPRODUCT(Input!$AB132:$AM132*(MONTH(AG$4)=MONTH(Input!$AB$128:$AM$128)))))</f>
        <v>-1333.3333333333333</v>
      </c>
      <c r="AH91" s="635">
        <f>IF(Input!$F132=EGR,-Input!$E132*AH$83,SUMIF($C$5:$M$5,AH$6,$C91:$M91)*IF(OR(Input!$Z132=UniformDist,Input!$Z132=na),1/12,SUMPRODUCT(Input!$AB132:$AM132*(MONTH(AH$4)=MONTH(Input!$AB$128:$AM$128)))))</f>
        <v>-1333.3333333333333</v>
      </c>
      <c r="AI91" s="635">
        <f>IF(Input!$F132=EGR,-Input!$E132*AI$83,SUMIF($C$5:$M$5,AI$6,$C91:$M91)*IF(OR(Input!$Z132=UniformDist,Input!$Z132=na),1/12,SUMPRODUCT(Input!$AB132:$AM132*(MONTH(AI$4)=MONTH(Input!$AB$128:$AM$128)))))</f>
        <v>-1333.3333333333333</v>
      </c>
      <c r="AJ91" s="635">
        <f>IF(Input!$F132=EGR,-Input!$E132*AJ$83,SUMIF($C$5:$M$5,AJ$6,$C91:$M91)*IF(OR(Input!$Z132=UniformDist,Input!$Z132=na),1/12,SUMPRODUCT(Input!$AB132:$AM132*(MONTH(AJ$4)=MONTH(Input!$AB$128:$AM$128)))))</f>
        <v>-1333.3333333333333</v>
      </c>
      <c r="AK91" s="635">
        <f>IF(Input!$F132=EGR,-Input!$E132*AK$83,SUMIF($C$5:$M$5,AK$6,$C91:$M91)*IF(OR(Input!$Z132=UniformDist,Input!$Z132=na),1/12,SUMPRODUCT(Input!$AB132:$AM132*(MONTH(AK$4)=MONTH(Input!$AB$128:$AM$128)))))</f>
        <v>-1333.3333333333333</v>
      </c>
      <c r="AL91" s="635">
        <f>IF(Input!$F132=EGR,-Input!$E132*AL$83,SUMIF($C$5:$M$5,AL$6,$C91:$M91)*IF(OR(Input!$Z132=UniformDist,Input!$Z132=na),1/12,SUMPRODUCT(Input!$AB132:$AM132*(MONTH(AL$4)=MONTH(Input!$AB$128:$AM$128)))))</f>
        <v>-1333.3333333333333</v>
      </c>
      <c r="AM91" s="635">
        <f>IF(Input!$F132=EGR,-Input!$E132*AM$83,SUMIF($C$5:$M$5,AM$6,$C91:$M91)*IF(OR(Input!$Z132=UniformDist,Input!$Z132=na),1/12,SUMPRODUCT(Input!$AB132:$AM132*(MONTH(AM$4)=MONTH(Input!$AB$128:$AM$128)))))</f>
        <v>-1333.3333333333333</v>
      </c>
      <c r="AN91" s="635">
        <f>IF(Input!$F132=EGR,-Input!$E132*AN$83,SUMIF($C$5:$M$5,AN$6,$C91:$M91)*IF(OR(Input!$Z132=UniformDist,Input!$Z132=na),1/12,SUMPRODUCT(Input!$AB132:$AM132*(MONTH(AN$4)=MONTH(Input!$AB$128:$AM$128)))))</f>
        <v>-1333.3333333333333</v>
      </c>
      <c r="AO91" s="635">
        <f>IF(Input!$F132=EGR,-Input!$E132*AO$83,SUMIF($C$5:$M$5,AO$6,$C91:$M91)*IF(OR(Input!$Z132=UniformDist,Input!$Z132=na),1/12,SUMPRODUCT(Input!$AB132:$AM132*(MONTH(AO$4)=MONTH(Input!$AB$128:$AM$128)))))</f>
        <v>-1333.3333333333333</v>
      </c>
      <c r="AP91" s="635">
        <f>IF(Input!$F132=EGR,-Input!$E132*AP$83,SUMIF($C$5:$M$5,AP$6,$C91:$M91)*IF(OR(Input!$Z132=UniformDist,Input!$Z132=na),1/12,SUMPRODUCT(Input!$AB132:$AM132*(MONTH(AP$4)=MONTH(Input!$AB$128:$AM$128)))))</f>
        <v>-1333.3333333333333</v>
      </c>
      <c r="AQ91" s="635">
        <f>IF(Input!$F132=EGR,-Input!$E132*AQ$83,SUMIF($C$5:$M$5,AQ$6,$C91:$M91)*IF(OR(Input!$Z132=UniformDist,Input!$Z132=na),1/12,SUMPRODUCT(Input!$AB132:$AM132*(MONTH(AQ$4)=MONTH(Input!$AB$128:$AM$128)))))</f>
        <v>-1333.3333333333333</v>
      </c>
      <c r="AR91" s="635">
        <f>IF(Input!$F132=EGR,-Input!$E132*AR$83,SUMIF($C$5:$M$5,AR$6,$C91:$M91)*IF(OR(Input!$Z132=UniformDist,Input!$Z132=na),1/12,SUMPRODUCT(Input!$AB132:$AM132*(MONTH(AR$4)=MONTH(Input!$AB$128:$AM$128)))))</f>
        <v>-1333.3333333333333</v>
      </c>
      <c r="AS91" s="635">
        <f>IF(Input!$F132=EGR,-Input!$E132*AS$83,SUMIF($C$5:$M$5,AS$6,$C91:$M91)*IF(OR(Input!$Z132=UniformDist,Input!$Z132=na),1/12,SUMPRODUCT(Input!$AB132:$AM132*(MONTH(AS$4)=MONTH(Input!$AB$128:$AM$128)))))</f>
        <v>-1333.3333333333333</v>
      </c>
      <c r="AT91" s="635">
        <f>IF(Input!$F132=EGR,-Input!$E132*AT$83,SUMIF($C$5:$M$5,AT$6,$C91:$M91)*IF(OR(Input!$Z132=UniformDist,Input!$Z132=na),1/12,SUMPRODUCT(Input!$AB132:$AM132*(MONTH(AT$4)=MONTH(Input!$AB$128:$AM$128)))))</f>
        <v>-1333.3333333333333</v>
      </c>
      <c r="AU91" s="635">
        <f>IF(Input!$F132=EGR,-Input!$E132*AU$83,SUMIF($C$5:$M$5,AU$6,$C91:$M91)*IF(OR(Input!$Z132=UniformDist,Input!$Z132=na),1/12,SUMPRODUCT(Input!$AB132:$AM132*(MONTH(AU$4)=MONTH(Input!$AB$128:$AM$128)))))</f>
        <v>-1333.3333333333333</v>
      </c>
      <c r="AV91" s="635">
        <f>IF(Input!$F132=EGR,-Input!$E132*AV$83,SUMIF($C$5:$M$5,AV$6,$C91:$M91)*IF(OR(Input!$Z132=UniformDist,Input!$Z132=na),1/12,SUMPRODUCT(Input!$AB132:$AM132*(MONTH(AV$4)=MONTH(Input!$AB$128:$AM$128)))))</f>
        <v>-1333.3333333333333</v>
      </c>
      <c r="AW91" s="635">
        <f>IF(Input!$F132=EGR,-Input!$E132*AW$83,SUMIF($C$5:$M$5,AW$6,$C91:$M91)*IF(OR(Input!$Z132=UniformDist,Input!$Z132=na),1/12,SUMPRODUCT(Input!$AB132:$AM132*(MONTH(AW$4)=MONTH(Input!$AB$128:$AM$128)))))</f>
        <v>-1333.3333333333333</v>
      </c>
      <c r="AX91" s="635">
        <f>IF(Input!$F132=EGR,-Input!$E132*AX$83,SUMIF($C$5:$M$5,AX$6,$C91:$M91)*IF(OR(Input!$Z132=UniformDist,Input!$Z132=na),1/12,SUMPRODUCT(Input!$AB132:$AM132*(MONTH(AX$4)=MONTH(Input!$AB$128:$AM$128)))))</f>
        <v>-1333.3333333333333</v>
      </c>
      <c r="AY91" s="635">
        <f>IF(Input!$F132=EGR,-Input!$E132*AY$83,SUMIF($C$5:$M$5,AY$6,$C91:$M91)*IF(OR(Input!$Z132=UniformDist,Input!$Z132=na),1/12,SUMPRODUCT(Input!$AB132:$AM132*(MONTH(AY$4)=MONTH(Input!$AB$128:$AM$128)))))</f>
        <v>-1333.3333333333333</v>
      </c>
      <c r="AZ91" s="635">
        <f>IF(Input!$F132=EGR,-Input!$E132*AZ$83,SUMIF($C$5:$M$5,AZ$6,$C91:$M91)*IF(OR(Input!$Z132=UniformDist,Input!$Z132=na),1/12,SUMPRODUCT(Input!$AB132:$AM132*(MONTH(AZ$4)=MONTH(Input!$AB$128:$AM$128)))))</f>
        <v>-1333.3333333333333</v>
      </c>
      <c r="BA91" s="635">
        <f>IF(Input!$F132=EGR,-Input!$E132*BA$83,SUMIF($C$5:$M$5,BA$6,$C91:$M91)*IF(OR(Input!$Z132=UniformDist,Input!$Z132=na),1/12,SUMPRODUCT(Input!$AB132:$AM132*(MONTH(BA$4)=MONTH(Input!$AB$128:$AM$128)))))</f>
        <v>-1333.3333333333333</v>
      </c>
      <c r="BB91" s="192"/>
      <c r="BC91" s="192"/>
      <c r="BD91" s="192"/>
      <c r="BE91" s="192"/>
      <c r="BF91" s="192"/>
      <c r="BG91" s="192"/>
      <c r="BH91" s="192"/>
      <c r="BI91" s="192"/>
      <c r="BJ91" s="192"/>
      <c r="BK91" s="192"/>
      <c r="BL91" s="192"/>
      <c r="BM91" s="192"/>
      <c r="BN91" s="192"/>
      <c r="BO91" s="192"/>
      <c r="BP91" s="192"/>
      <c r="BQ91" s="192"/>
      <c r="BR91" s="192"/>
      <c r="BS91" s="192"/>
      <c r="BT91" s="192"/>
      <c r="BU91" s="192"/>
      <c r="BV91" s="192"/>
      <c r="BW91" s="192"/>
      <c r="BX91" s="192"/>
      <c r="BY91" s="192"/>
      <c r="BZ91" s="192"/>
      <c r="CA91" s="192"/>
      <c r="CB91" s="192"/>
      <c r="CC91" s="192"/>
      <c r="CD91" s="192"/>
      <c r="CE91" s="192"/>
      <c r="CF91" s="192"/>
      <c r="CG91" s="192"/>
      <c r="CH91" s="192"/>
      <c r="CI91" s="192"/>
      <c r="CJ91" s="192"/>
      <c r="CK91" s="192"/>
      <c r="CL91" s="192"/>
      <c r="CM91" s="192"/>
      <c r="CN91" s="192"/>
      <c r="CO91" s="192"/>
      <c r="CP91" s="192"/>
      <c r="CQ91" s="192"/>
      <c r="CR91" s="192"/>
      <c r="CS91" s="192"/>
      <c r="CT91" s="192"/>
      <c r="CU91" s="192"/>
      <c r="CV91" s="192"/>
      <c r="CW91" s="192"/>
      <c r="CX91" s="192"/>
      <c r="CY91" s="192"/>
      <c r="CZ91" s="192"/>
      <c r="DA91" s="192"/>
      <c r="DB91" s="192"/>
      <c r="DC91" s="192"/>
      <c r="DD91" s="192"/>
      <c r="DE91" s="192"/>
      <c r="DF91" s="192"/>
      <c r="DG91" s="192"/>
      <c r="DH91" s="192"/>
      <c r="DI91" s="192"/>
      <c r="DJ91" s="192"/>
      <c r="DK91" s="192"/>
      <c r="DL91" s="192"/>
      <c r="DM91" s="192"/>
      <c r="DN91" s="192"/>
      <c r="DO91" s="192"/>
      <c r="DP91" s="192"/>
      <c r="DQ91" s="192"/>
      <c r="DR91" s="192"/>
      <c r="DS91" s="192"/>
      <c r="DT91" s="192"/>
      <c r="DU91" s="192"/>
      <c r="DV91" s="192"/>
      <c r="DW91" s="192"/>
      <c r="DX91" s="192"/>
      <c r="DY91" s="192"/>
      <c r="DZ91" s="192"/>
      <c r="EA91" s="192"/>
      <c r="EB91" s="192"/>
      <c r="EC91" s="192"/>
      <c r="ED91" s="192"/>
      <c r="EE91" s="192"/>
      <c r="EF91" s="192"/>
      <c r="EG91" s="192"/>
      <c r="EH91" s="192"/>
      <c r="EI91" s="192"/>
      <c r="EJ91" s="192"/>
      <c r="EK91" s="192"/>
      <c r="EL91" s="192"/>
      <c r="EM91" s="192"/>
      <c r="EN91" s="192"/>
      <c r="EO91" s="192"/>
      <c r="EP91" s="192"/>
      <c r="EQ91" s="192"/>
      <c r="ER91" s="192"/>
      <c r="ES91" s="192"/>
      <c r="ET91" s="192"/>
    </row>
    <row r="92" spans="1:150">
      <c r="A92" s="192"/>
      <c r="B92" s="36" t="str">
        <f>Input!B133</f>
        <v>Personnel</v>
      </c>
      <c r="C92" s="635">
        <f>-Input!G133</f>
        <v>-146700</v>
      </c>
      <c r="D92" s="635">
        <f>-Input!H133</f>
        <v>-146700</v>
      </c>
      <c r="E92" s="635">
        <f>-Input!I133</f>
        <v>-146700</v>
      </c>
      <c r="F92" s="635">
        <f>-Input!J133</f>
        <v>-146700</v>
      </c>
      <c r="G92" s="635">
        <f>-Input!K133</f>
        <v>-146700</v>
      </c>
      <c r="H92" s="635">
        <f>-Input!L133</f>
        <v>-146700</v>
      </c>
      <c r="I92" s="635">
        <f>-Input!M133</f>
        <v>-146700</v>
      </c>
      <c r="J92" s="635">
        <f>-Input!N133</f>
        <v>-146700</v>
      </c>
      <c r="K92" s="635">
        <f>-Input!O133</f>
        <v>-146700</v>
      </c>
      <c r="L92" s="635">
        <f>-Input!P133</f>
        <v>-146700</v>
      </c>
      <c r="M92" s="635">
        <f>-Input!Q133</f>
        <v>-146700</v>
      </c>
      <c r="N92" s="192"/>
      <c r="O92" s="635">
        <f>-IF(Input!AG230,SUMPRODUCT(FVSCHEDULE(Input!AG230,InflRate*($C$5:$L$5&lt;ReversionYear))),IF(Input!$F133=EGR,Input!S133*$O$83,Input!S133))</f>
        <v>-146700</v>
      </c>
      <c r="P92" s="192"/>
      <c r="Q92" s="37"/>
      <c r="R92" s="635">
        <f>IF(Input!$F133=EGR,-Input!$E133*R$83,SUMIF($C$5:$M$5,R$6,$C92:$M92)*IF(OR(Input!$Z133=UniformDist,Input!$Z133=na),1/12,SUMPRODUCT(Input!$AB133:$AM133*(MONTH(R$4)=MONTH(Input!$AB$128:$AM$128)))))</f>
        <v>-12225</v>
      </c>
      <c r="S92" s="635">
        <f>IF(Input!$F133=EGR,-Input!$E133*S$83,SUMIF($C$5:$M$5,S$6,$C92:$M92)*IF(OR(Input!$Z133=UniformDist,Input!$Z133=na),1/12,SUMPRODUCT(Input!$AB133:$AM133*(MONTH(S$4)=MONTH(Input!$AB$128:$AM$128)))))</f>
        <v>-12225</v>
      </c>
      <c r="T92" s="635">
        <f>IF(Input!$F133=EGR,-Input!$E133*T$83,SUMIF($C$5:$M$5,T$6,$C92:$M92)*IF(OR(Input!$Z133=UniformDist,Input!$Z133=na),1/12,SUMPRODUCT(Input!$AB133:$AM133*(MONTH(T$4)=MONTH(Input!$AB$128:$AM$128)))))</f>
        <v>-12225</v>
      </c>
      <c r="U92" s="635">
        <f>IF(Input!$F133=EGR,-Input!$E133*U$83,SUMIF($C$5:$M$5,U$6,$C92:$M92)*IF(OR(Input!$Z133=UniformDist,Input!$Z133=na),1/12,SUMPRODUCT(Input!$AB133:$AM133*(MONTH(U$4)=MONTH(Input!$AB$128:$AM$128)))))</f>
        <v>-12225</v>
      </c>
      <c r="V92" s="635">
        <f>IF(Input!$F133=EGR,-Input!$E133*V$83,SUMIF($C$5:$M$5,V$6,$C92:$M92)*IF(OR(Input!$Z133=UniformDist,Input!$Z133=na),1/12,SUMPRODUCT(Input!$AB133:$AM133*(MONTH(V$4)=MONTH(Input!$AB$128:$AM$128)))))</f>
        <v>-12225</v>
      </c>
      <c r="W92" s="635">
        <f>IF(Input!$F133=EGR,-Input!$E133*W$83,SUMIF($C$5:$M$5,W$6,$C92:$M92)*IF(OR(Input!$Z133=UniformDist,Input!$Z133=na),1/12,SUMPRODUCT(Input!$AB133:$AM133*(MONTH(W$4)=MONTH(Input!$AB$128:$AM$128)))))</f>
        <v>-12225</v>
      </c>
      <c r="X92" s="635">
        <f>IF(Input!$F133=EGR,-Input!$E133*X$83,SUMIF($C$5:$M$5,X$6,$C92:$M92)*IF(OR(Input!$Z133=UniformDist,Input!$Z133=na),1/12,SUMPRODUCT(Input!$AB133:$AM133*(MONTH(X$4)=MONTH(Input!$AB$128:$AM$128)))))</f>
        <v>-12225</v>
      </c>
      <c r="Y92" s="635">
        <f>IF(Input!$F133=EGR,-Input!$E133*Y$83,SUMIF($C$5:$M$5,Y$6,$C92:$M92)*IF(OR(Input!$Z133=UniformDist,Input!$Z133=na),1/12,SUMPRODUCT(Input!$AB133:$AM133*(MONTH(Y$4)=MONTH(Input!$AB$128:$AM$128)))))</f>
        <v>-12225</v>
      </c>
      <c r="Z92" s="635">
        <f>IF(Input!$F133=EGR,-Input!$E133*Z$83,SUMIF($C$5:$M$5,Z$6,$C92:$M92)*IF(OR(Input!$Z133=UniformDist,Input!$Z133=na),1/12,SUMPRODUCT(Input!$AB133:$AM133*(MONTH(Z$4)=MONTH(Input!$AB$128:$AM$128)))))</f>
        <v>-12225</v>
      </c>
      <c r="AA92" s="635">
        <f>IF(Input!$F133=EGR,-Input!$E133*AA$83,SUMIF($C$5:$M$5,AA$6,$C92:$M92)*IF(OR(Input!$Z133=UniformDist,Input!$Z133=na),1/12,SUMPRODUCT(Input!$AB133:$AM133*(MONTH(AA$4)=MONTH(Input!$AB$128:$AM$128)))))</f>
        <v>-12225</v>
      </c>
      <c r="AB92" s="635">
        <f>IF(Input!$F133=EGR,-Input!$E133*AB$83,SUMIF($C$5:$M$5,AB$6,$C92:$M92)*IF(OR(Input!$Z133=UniformDist,Input!$Z133=na),1/12,SUMPRODUCT(Input!$AB133:$AM133*(MONTH(AB$4)=MONTH(Input!$AB$128:$AM$128)))))</f>
        <v>-12225</v>
      </c>
      <c r="AC92" s="635">
        <f>IF(Input!$F133=EGR,-Input!$E133*AC$83,SUMIF($C$5:$M$5,AC$6,$C92:$M92)*IF(OR(Input!$Z133=UniformDist,Input!$Z133=na),1/12,SUMPRODUCT(Input!$AB133:$AM133*(MONTH(AC$4)=MONTH(Input!$AB$128:$AM$128)))))</f>
        <v>-12225</v>
      </c>
      <c r="AD92" s="635">
        <f>IF(Input!$F133=EGR,-Input!$E133*AD$83,SUMIF($C$5:$M$5,AD$6,$C92:$M92)*IF(OR(Input!$Z133=UniformDist,Input!$Z133=na),1/12,SUMPRODUCT(Input!$AB133:$AM133*(MONTH(AD$4)=MONTH(Input!$AB$128:$AM$128)))))</f>
        <v>-12225</v>
      </c>
      <c r="AE92" s="635">
        <f>IF(Input!$F133=EGR,-Input!$E133*AE$83,SUMIF($C$5:$M$5,AE$6,$C92:$M92)*IF(OR(Input!$Z133=UniformDist,Input!$Z133=na),1/12,SUMPRODUCT(Input!$AB133:$AM133*(MONTH(AE$4)=MONTH(Input!$AB$128:$AM$128)))))</f>
        <v>-12225</v>
      </c>
      <c r="AF92" s="635">
        <f>IF(Input!$F133=EGR,-Input!$E133*AF$83,SUMIF($C$5:$M$5,AF$6,$C92:$M92)*IF(OR(Input!$Z133=UniformDist,Input!$Z133=na),1/12,SUMPRODUCT(Input!$AB133:$AM133*(MONTH(AF$4)=MONTH(Input!$AB$128:$AM$128)))))</f>
        <v>-12225</v>
      </c>
      <c r="AG92" s="635">
        <f>IF(Input!$F133=EGR,-Input!$E133*AG$83,SUMIF($C$5:$M$5,AG$6,$C92:$M92)*IF(OR(Input!$Z133=UniformDist,Input!$Z133=na),1/12,SUMPRODUCT(Input!$AB133:$AM133*(MONTH(AG$4)=MONTH(Input!$AB$128:$AM$128)))))</f>
        <v>-12225</v>
      </c>
      <c r="AH92" s="635">
        <f>IF(Input!$F133=EGR,-Input!$E133*AH$83,SUMIF($C$5:$M$5,AH$6,$C92:$M92)*IF(OR(Input!$Z133=UniformDist,Input!$Z133=na),1/12,SUMPRODUCT(Input!$AB133:$AM133*(MONTH(AH$4)=MONTH(Input!$AB$128:$AM$128)))))</f>
        <v>-12225</v>
      </c>
      <c r="AI92" s="635">
        <f>IF(Input!$F133=EGR,-Input!$E133*AI$83,SUMIF($C$5:$M$5,AI$6,$C92:$M92)*IF(OR(Input!$Z133=UniformDist,Input!$Z133=na),1/12,SUMPRODUCT(Input!$AB133:$AM133*(MONTH(AI$4)=MONTH(Input!$AB$128:$AM$128)))))</f>
        <v>-12225</v>
      </c>
      <c r="AJ92" s="635">
        <f>IF(Input!$F133=EGR,-Input!$E133*AJ$83,SUMIF($C$5:$M$5,AJ$6,$C92:$M92)*IF(OR(Input!$Z133=UniformDist,Input!$Z133=na),1/12,SUMPRODUCT(Input!$AB133:$AM133*(MONTH(AJ$4)=MONTH(Input!$AB$128:$AM$128)))))</f>
        <v>-12225</v>
      </c>
      <c r="AK92" s="635">
        <f>IF(Input!$F133=EGR,-Input!$E133*AK$83,SUMIF($C$5:$M$5,AK$6,$C92:$M92)*IF(OR(Input!$Z133=UniformDist,Input!$Z133=na),1/12,SUMPRODUCT(Input!$AB133:$AM133*(MONTH(AK$4)=MONTH(Input!$AB$128:$AM$128)))))</f>
        <v>-12225</v>
      </c>
      <c r="AL92" s="635">
        <f>IF(Input!$F133=EGR,-Input!$E133*AL$83,SUMIF($C$5:$M$5,AL$6,$C92:$M92)*IF(OR(Input!$Z133=UniformDist,Input!$Z133=na),1/12,SUMPRODUCT(Input!$AB133:$AM133*(MONTH(AL$4)=MONTH(Input!$AB$128:$AM$128)))))</f>
        <v>-12225</v>
      </c>
      <c r="AM92" s="635">
        <f>IF(Input!$F133=EGR,-Input!$E133*AM$83,SUMIF($C$5:$M$5,AM$6,$C92:$M92)*IF(OR(Input!$Z133=UniformDist,Input!$Z133=na),1/12,SUMPRODUCT(Input!$AB133:$AM133*(MONTH(AM$4)=MONTH(Input!$AB$128:$AM$128)))))</f>
        <v>-12225</v>
      </c>
      <c r="AN92" s="635">
        <f>IF(Input!$F133=EGR,-Input!$E133*AN$83,SUMIF($C$5:$M$5,AN$6,$C92:$M92)*IF(OR(Input!$Z133=UniformDist,Input!$Z133=na),1/12,SUMPRODUCT(Input!$AB133:$AM133*(MONTH(AN$4)=MONTH(Input!$AB$128:$AM$128)))))</f>
        <v>-12225</v>
      </c>
      <c r="AO92" s="635">
        <f>IF(Input!$F133=EGR,-Input!$E133*AO$83,SUMIF($C$5:$M$5,AO$6,$C92:$M92)*IF(OR(Input!$Z133=UniformDist,Input!$Z133=na),1/12,SUMPRODUCT(Input!$AB133:$AM133*(MONTH(AO$4)=MONTH(Input!$AB$128:$AM$128)))))</f>
        <v>-12225</v>
      </c>
      <c r="AP92" s="635">
        <f>IF(Input!$F133=EGR,-Input!$E133*AP$83,SUMIF($C$5:$M$5,AP$6,$C92:$M92)*IF(OR(Input!$Z133=UniformDist,Input!$Z133=na),1/12,SUMPRODUCT(Input!$AB133:$AM133*(MONTH(AP$4)=MONTH(Input!$AB$128:$AM$128)))))</f>
        <v>-12225</v>
      </c>
      <c r="AQ92" s="635">
        <f>IF(Input!$F133=EGR,-Input!$E133*AQ$83,SUMIF($C$5:$M$5,AQ$6,$C92:$M92)*IF(OR(Input!$Z133=UniformDist,Input!$Z133=na),1/12,SUMPRODUCT(Input!$AB133:$AM133*(MONTH(AQ$4)=MONTH(Input!$AB$128:$AM$128)))))</f>
        <v>-12225</v>
      </c>
      <c r="AR92" s="635">
        <f>IF(Input!$F133=EGR,-Input!$E133*AR$83,SUMIF($C$5:$M$5,AR$6,$C92:$M92)*IF(OR(Input!$Z133=UniformDist,Input!$Z133=na),1/12,SUMPRODUCT(Input!$AB133:$AM133*(MONTH(AR$4)=MONTH(Input!$AB$128:$AM$128)))))</f>
        <v>-12225</v>
      </c>
      <c r="AS92" s="635">
        <f>IF(Input!$F133=EGR,-Input!$E133*AS$83,SUMIF($C$5:$M$5,AS$6,$C92:$M92)*IF(OR(Input!$Z133=UniformDist,Input!$Z133=na),1/12,SUMPRODUCT(Input!$AB133:$AM133*(MONTH(AS$4)=MONTH(Input!$AB$128:$AM$128)))))</f>
        <v>-12225</v>
      </c>
      <c r="AT92" s="635">
        <f>IF(Input!$F133=EGR,-Input!$E133*AT$83,SUMIF($C$5:$M$5,AT$6,$C92:$M92)*IF(OR(Input!$Z133=UniformDist,Input!$Z133=na),1/12,SUMPRODUCT(Input!$AB133:$AM133*(MONTH(AT$4)=MONTH(Input!$AB$128:$AM$128)))))</f>
        <v>-12225</v>
      </c>
      <c r="AU92" s="635">
        <f>IF(Input!$F133=EGR,-Input!$E133*AU$83,SUMIF($C$5:$M$5,AU$6,$C92:$M92)*IF(OR(Input!$Z133=UniformDist,Input!$Z133=na),1/12,SUMPRODUCT(Input!$AB133:$AM133*(MONTH(AU$4)=MONTH(Input!$AB$128:$AM$128)))))</f>
        <v>-12225</v>
      </c>
      <c r="AV92" s="635">
        <f>IF(Input!$F133=EGR,-Input!$E133*AV$83,SUMIF($C$5:$M$5,AV$6,$C92:$M92)*IF(OR(Input!$Z133=UniformDist,Input!$Z133=na),1/12,SUMPRODUCT(Input!$AB133:$AM133*(MONTH(AV$4)=MONTH(Input!$AB$128:$AM$128)))))</f>
        <v>-12225</v>
      </c>
      <c r="AW92" s="635">
        <f>IF(Input!$F133=EGR,-Input!$E133*AW$83,SUMIF($C$5:$M$5,AW$6,$C92:$M92)*IF(OR(Input!$Z133=UniformDist,Input!$Z133=na),1/12,SUMPRODUCT(Input!$AB133:$AM133*(MONTH(AW$4)=MONTH(Input!$AB$128:$AM$128)))))</f>
        <v>-12225</v>
      </c>
      <c r="AX92" s="635">
        <f>IF(Input!$F133=EGR,-Input!$E133*AX$83,SUMIF($C$5:$M$5,AX$6,$C92:$M92)*IF(OR(Input!$Z133=UniformDist,Input!$Z133=na),1/12,SUMPRODUCT(Input!$AB133:$AM133*(MONTH(AX$4)=MONTH(Input!$AB$128:$AM$128)))))</f>
        <v>-12225</v>
      </c>
      <c r="AY92" s="635">
        <f>IF(Input!$F133=EGR,-Input!$E133*AY$83,SUMIF($C$5:$M$5,AY$6,$C92:$M92)*IF(OR(Input!$Z133=UniformDist,Input!$Z133=na),1/12,SUMPRODUCT(Input!$AB133:$AM133*(MONTH(AY$4)=MONTH(Input!$AB$128:$AM$128)))))</f>
        <v>-12225</v>
      </c>
      <c r="AZ92" s="635">
        <f>IF(Input!$F133=EGR,-Input!$E133*AZ$83,SUMIF($C$5:$M$5,AZ$6,$C92:$M92)*IF(OR(Input!$Z133=UniformDist,Input!$Z133=na),1/12,SUMPRODUCT(Input!$AB133:$AM133*(MONTH(AZ$4)=MONTH(Input!$AB$128:$AM$128)))))</f>
        <v>-12225</v>
      </c>
      <c r="BA92" s="635">
        <f>IF(Input!$F133=EGR,-Input!$E133*BA$83,SUMIF($C$5:$M$5,BA$6,$C92:$M92)*IF(OR(Input!$Z133=UniformDist,Input!$Z133=na),1/12,SUMPRODUCT(Input!$AB133:$AM133*(MONTH(BA$4)=MONTH(Input!$AB$128:$AM$128)))))</f>
        <v>-12225</v>
      </c>
      <c r="BB92" s="192"/>
      <c r="BC92" s="192"/>
      <c r="BD92" s="192"/>
      <c r="BE92" s="192"/>
      <c r="BF92" s="192"/>
      <c r="BG92" s="192"/>
      <c r="BH92" s="192"/>
      <c r="BI92" s="192"/>
      <c r="BJ92" s="192"/>
      <c r="BK92" s="192"/>
      <c r="BL92" s="192"/>
      <c r="BM92" s="192"/>
      <c r="BN92" s="192"/>
      <c r="BO92" s="192"/>
      <c r="BP92" s="192"/>
      <c r="BQ92" s="192"/>
      <c r="BR92" s="192"/>
      <c r="BS92" s="192"/>
      <c r="BT92" s="192"/>
      <c r="BU92" s="192"/>
      <c r="BV92" s="192"/>
      <c r="BW92" s="192"/>
      <c r="BX92" s="192"/>
      <c r="BY92" s="192"/>
      <c r="BZ92" s="192"/>
      <c r="CA92" s="192"/>
      <c r="CB92" s="192"/>
      <c r="CC92" s="192"/>
      <c r="CD92" s="192"/>
      <c r="CE92" s="192"/>
      <c r="CF92" s="192"/>
      <c r="CG92" s="192"/>
      <c r="CH92" s="192"/>
      <c r="CI92" s="192"/>
      <c r="CJ92" s="192"/>
      <c r="CK92" s="192"/>
      <c r="CL92" s="192"/>
      <c r="CM92" s="192"/>
      <c r="CN92" s="192"/>
      <c r="CO92" s="192"/>
      <c r="CP92" s="192"/>
      <c r="CQ92" s="192"/>
      <c r="CR92" s="192"/>
      <c r="CS92" s="192"/>
      <c r="CT92" s="192"/>
      <c r="CU92" s="192"/>
      <c r="CV92" s="192"/>
      <c r="CW92" s="192"/>
      <c r="CX92" s="192"/>
      <c r="CY92" s="192"/>
      <c r="CZ92" s="192"/>
      <c r="DA92" s="192"/>
      <c r="DB92" s="192"/>
      <c r="DC92" s="192"/>
      <c r="DD92" s="192"/>
      <c r="DE92" s="192"/>
      <c r="DF92" s="192"/>
      <c r="DG92" s="192"/>
      <c r="DH92" s="192"/>
      <c r="DI92" s="192"/>
      <c r="DJ92" s="192"/>
      <c r="DK92" s="192"/>
      <c r="DL92" s="192"/>
      <c r="DM92" s="192"/>
      <c r="DN92" s="192"/>
      <c r="DO92" s="192"/>
      <c r="DP92" s="192"/>
      <c r="DQ92" s="192"/>
      <c r="DR92" s="192"/>
      <c r="DS92" s="192"/>
      <c r="DT92" s="192"/>
      <c r="DU92" s="192"/>
      <c r="DV92" s="192"/>
      <c r="DW92" s="192"/>
      <c r="DX92" s="192"/>
      <c r="DY92" s="192"/>
      <c r="DZ92" s="192"/>
      <c r="EA92" s="192"/>
      <c r="EB92" s="192"/>
      <c r="EC92" s="192"/>
      <c r="ED92" s="192"/>
      <c r="EE92" s="192"/>
      <c r="EF92" s="192"/>
      <c r="EG92" s="192"/>
      <c r="EH92" s="192"/>
      <c r="EI92" s="192"/>
      <c r="EJ92" s="192"/>
      <c r="EK92" s="192"/>
      <c r="EL92" s="192"/>
      <c r="EM92" s="192"/>
      <c r="EN92" s="192"/>
      <c r="EO92" s="192"/>
      <c r="EP92" s="192"/>
      <c r="EQ92" s="192"/>
      <c r="ER92" s="192"/>
      <c r="ES92" s="192"/>
      <c r="ET92" s="192"/>
    </row>
    <row r="93" spans="1:150">
      <c r="A93" s="192"/>
      <c r="B93" s="36" t="str">
        <f>Input!B134</f>
        <v>Marketing / Advertising</v>
      </c>
      <c r="C93" s="635">
        <f>-Input!G134</f>
        <v>0</v>
      </c>
      <c r="D93" s="635">
        <f>-Input!H134</f>
        <v>0</v>
      </c>
      <c r="E93" s="635">
        <f>-Input!I134</f>
        <v>0</v>
      </c>
      <c r="F93" s="635">
        <f>-Input!J134</f>
        <v>0</v>
      </c>
      <c r="G93" s="635">
        <f>-Input!K134</f>
        <v>0</v>
      </c>
      <c r="H93" s="635">
        <f>-Input!L134</f>
        <v>0</v>
      </c>
      <c r="I93" s="635">
        <f>-Input!M134</f>
        <v>0</v>
      </c>
      <c r="J93" s="635">
        <f>-Input!N134</f>
        <v>0</v>
      </c>
      <c r="K93" s="635">
        <f>-Input!O134</f>
        <v>0</v>
      </c>
      <c r="L93" s="635">
        <f>-Input!P134</f>
        <v>0</v>
      </c>
      <c r="M93" s="635">
        <f>-Input!Q134</f>
        <v>0</v>
      </c>
      <c r="N93" s="192"/>
      <c r="O93" s="635">
        <f>-IF(Input!AG231,SUMPRODUCT(FVSCHEDULE(Input!AG231,InflRate*($C$5:$L$5&lt;ReversionYear))),IF(Input!$F134=EGR,Input!S134*$O$83,Input!S134))</f>
        <v>0</v>
      </c>
      <c r="P93" s="192"/>
      <c r="Q93" s="37"/>
      <c r="R93" s="635">
        <f>IF(Input!$F134=EGR,-Input!$E134*R$83,SUMIF($C$5:$M$5,R$6,$C93:$M93)*IF(OR(Input!$Z134=UniformDist,Input!$Z134=na),1/12,SUMPRODUCT(Input!$AB134:$AM134*(MONTH(R$4)=MONTH(Input!$AB$128:$AM$128)))))</f>
        <v>0</v>
      </c>
      <c r="S93" s="635">
        <f>IF(Input!$F134=EGR,-Input!$E134*S$83,SUMIF($C$5:$M$5,S$6,$C93:$M93)*IF(OR(Input!$Z134=UniformDist,Input!$Z134=na),1/12,SUMPRODUCT(Input!$AB134:$AM134*(MONTH(S$4)=MONTH(Input!$AB$128:$AM$128)))))</f>
        <v>0</v>
      </c>
      <c r="T93" s="635">
        <f>IF(Input!$F134=EGR,-Input!$E134*T$83,SUMIF($C$5:$M$5,T$6,$C93:$M93)*IF(OR(Input!$Z134=UniformDist,Input!$Z134=na),1/12,SUMPRODUCT(Input!$AB134:$AM134*(MONTH(T$4)=MONTH(Input!$AB$128:$AM$128)))))</f>
        <v>0</v>
      </c>
      <c r="U93" s="635">
        <f>IF(Input!$F134=EGR,-Input!$E134*U$83,SUMIF($C$5:$M$5,U$6,$C93:$M93)*IF(OR(Input!$Z134=UniformDist,Input!$Z134=na),1/12,SUMPRODUCT(Input!$AB134:$AM134*(MONTH(U$4)=MONTH(Input!$AB$128:$AM$128)))))</f>
        <v>0</v>
      </c>
      <c r="V93" s="635">
        <f>IF(Input!$F134=EGR,-Input!$E134*V$83,SUMIF($C$5:$M$5,V$6,$C93:$M93)*IF(OR(Input!$Z134=UniformDist,Input!$Z134=na),1/12,SUMPRODUCT(Input!$AB134:$AM134*(MONTH(V$4)=MONTH(Input!$AB$128:$AM$128)))))</f>
        <v>0</v>
      </c>
      <c r="W93" s="635">
        <f>IF(Input!$F134=EGR,-Input!$E134*W$83,SUMIF($C$5:$M$5,W$6,$C93:$M93)*IF(OR(Input!$Z134=UniformDist,Input!$Z134=na),1/12,SUMPRODUCT(Input!$AB134:$AM134*(MONTH(W$4)=MONTH(Input!$AB$128:$AM$128)))))</f>
        <v>0</v>
      </c>
      <c r="X93" s="635">
        <f>IF(Input!$F134=EGR,-Input!$E134*X$83,SUMIF($C$5:$M$5,X$6,$C93:$M93)*IF(OR(Input!$Z134=UniformDist,Input!$Z134=na),1/12,SUMPRODUCT(Input!$AB134:$AM134*(MONTH(X$4)=MONTH(Input!$AB$128:$AM$128)))))</f>
        <v>0</v>
      </c>
      <c r="Y93" s="635">
        <f>IF(Input!$F134=EGR,-Input!$E134*Y$83,SUMIF($C$5:$M$5,Y$6,$C93:$M93)*IF(OR(Input!$Z134=UniformDist,Input!$Z134=na),1/12,SUMPRODUCT(Input!$AB134:$AM134*(MONTH(Y$4)=MONTH(Input!$AB$128:$AM$128)))))</f>
        <v>0</v>
      </c>
      <c r="Z93" s="635">
        <f>IF(Input!$F134=EGR,-Input!$E134*Z$83,SUMIF($C$5:$M$5,Z$6,$C93:$M93)*IF(OR(Input!$Z134=UniformDist,Input!$Z134=na),1/12,SUMPRODUCT(Input!$AB134:$AM134*(MONTH(Z$4)=MONTH(Input!$AB$128:$AM$128)))))</f>
        <v>0</v>
      </c>
      <c r="AA93" s="635">
        <f>IF(Input!$F134=EGR,-Input!$E134*AA$83,SUMIF($C$5:$M$5,AA$6,$C93:$M93)*IF(OR(Input!$Z134=UniformDist,Input!$Z134=na),1/12,SUMPRODUCT(Input!$AB134:$AM134*(MONTH(AA$4)=MONTH(Input!$AB$128:$AM$128)))))</f>
        <v>0</v>
      </c>
      <c r="AB93" s="635">
        <f>IF(Input!$F134=EGR,-Input!$E134*AB$83,SUMIF($C$5:$M$5,AB$6,$C93:$M93)*IF(OR(Input!$Z134=UniformDist,Input!$Z134=na),1/12,SUMPRODUCT(Input!$AB134:$AM134*(MONTH(AB$4)=MONTH(Input!$AB$128:$AM$128)))))</f>
        <v>0</v>
      </c>
      <c r="AC93" s="635">
        <f>IF(Input!$F134=EGR,-Input!$E134*AC$83,SUMIF($C$5:$M$5,AC$6,$C93:$M93)*IF(OR(Input!$Z134=UniformDist,Input!$Z134=na),1/12,SUMPRODUCT(Input!$AB134:$AM134*(MONTH(AC$4)=MONTH(Input!$AB$128:$AM$128)))))</f>
        <v>0</v>
      </c>
      <c r="AD93" s="635">
        <f>IF(Input!$F134=EGR,-Input!$E134*AD$83,SUMIF($C$5:$M$5,AD$6,$C93:$M93)*IF(OR(Input!$Z134=UniformDist,Input!$Z134=na),1/12,SUMPRODUCT(Input!$AB134:$AM134*(MONTH(AD$4)=MONTH(Input!$AB$128:$AM$128)))))</f>
        <v>0</v>
      </c>
      <c r="AE93" s="635">
        <f>IF(Input!$F134=EGR,-Input!$E134*AE$83,SUMIF($C$5:$M$5,AE$6,$C93:$M93)*IF(OR(Input!$Z134=UniformDist,Input!$Z134=na),1/12,SUMPRODUCT(Input!$AB134:$AM134*(MONTH(AE$4)=MONTH(Input!$AB$128:$AM$128)))))</f>
        <v>0</v>
      </c>
      <c r="AF93" s="635">
        <f>IF(Input!$F134=EGR,-Input!$E134*AF$83,SUMIF($C$5:$M$5,AF$6,$C93:$M93)*IF(OR(Input!$Z134=UniformDist,Input!$Z134=na),1/12,SUMPRODUCT(Input!$AB134:$AM134*(MONTH(AF$4)=MONTH(Input!$AB$128:$AM$128)))))</f>
        <v>0</v>
      </c>
      <c r="AG93" s="635">
        <f>IF(Input!$F134=EGR,-Input!$E134*AG$83,SUMIF($C$5:$M$5,AG$6,$C93:$M93)*IF(OR(Input!$Z134=UniformDist,Input!$Z134=na),1/12,SUMPRODUCT(Input!$AB134:$AM134*(MONTH(AG$4)=MONTH(Input!$AB$128:$AM$128)))))</f>
        <v>0</v>
      </c>
      <c r="AH93" s="635">
        <f>IF(Input!$F134=EGR,-Input!$E134*AH$83,SUMIF($C$5:$M$5,AH$6,$C93:$M93)*IF(OR(Input!$Z134=UniformDist,Input!$Z134=na),1/12,SUMPRODUCT(Input!$AB134:$AM134*(MONTH(AH$4)=MONTH(Input!$AB$128:$AM$128)))))</f>
        <v>0</v>
      </c>
      <c r="AI93" s="635">
        <f>IF(Input!$F134=EGR,-Input!$E134*AI$83,SUMIF($C$5:$M$5,AI$6,$C93:$M93)*IF(OR(Input!$Z134=UniformDist,Input!$Z134=na),1/12,SUMPRODUCT(Input!$AB134:$AM134*(MONTH(AI$4)=MONTH(Input!$AB$128:$AM$128)))))</f>
        <v>0</v>
      </c>
      <c r="AJ93" s="635">
        <f>IF(Input!$F134=EGR,-Input!$E134*AJ$83,SUMIF($C$5:$M$5,AJ$6,$C93:$M93)*IF(OR(Input!$Z134=UniformDist,Input!$Z134=na),1/12,SUMPRODUCT(Input!$AB134:$AM134*(MONTH(AJ$4)=MONTH(Input!$AB$128:$AM$128)))))</f>
        <v>0</v>
      </c>
      <c r="AK93" s="635">
        <f>IF(Input!$F134=EGR,-Input!$E134*AK$83,SUMIF($C$5:$M$5,AK$6,$C93:$M93)*IF(OR(Input!$Z134=UniformDist,Input!$Z134=na),1/12,SUMPRODUCT(Input!$AB134:$AM134*(MONTH(AK$4)=MONTH(Input!$AB$128:$AM$128)))))</f>
        <v>0</v>
      </c>
      <c r="AL93" s="635">
        <f>IF(Input!$F134=EGR,-Input!$E134*AL$83,SUMIF($C$5:$M$5,AL$6,$C93:$M93)*IF(OR(Input!$Z134=UniformDist,Input!$Z134=na),1/12,SUMPRODUCT(Input!$AB134:$AM134*(MONTH(AL$4)=MONTH(Input!$AB$128:$AM$128)))))</f>
        <v>0</v>
      </c>
      <c r="AM93" s="635">
        <f>IF(Input!$F134=EGR,-Input!$E134*AM$83,SUMIF($C$5:$M$5,AM$6,$C93:$M93)*IF(OR(Input!$Z134=UniformDist,Input!$Z134=na),1/12,SUMPRODUCT(Input!$AB134:$AM134*(MONTH(AM$4)=MONTH(Input!$AB$128:$AM$128)))))</f>
        <v>0</v>
      </c>
      <c r="AN93" s="635">
        <f>IF(Input!$F134=EGR,-Input!$E134*AN$83,SUMIF($C$5:$M$5,AN$6,$C93:$M93)*IF(OR(Input!$Z134=UniformDist,Input!$Z134=na),1/12,SUMPRODUCT(Input!$AB134:$AM134*(MONTH(AN$4)=MONTH(Input!$AB$128:$AM$128)))))</f>
        <v>0</v>
      </c>
      <c r="AO93" s="635">
        <f>IF(Input!$F134=EGR,-Input!$E134*AO$83,SUMIF($C$5:$M$5,AO$6,$C93:$M93)*IF(OR(Input!$Z134=UniformDist,Input!$Z134=na),1/12,SUMPRODUCT(Input!$AB134:$AM134*(MONTH(AO$4)=MONTH(Input!$AB$128:$AM$128)))))</f>
        <v>0</v>
      </c>
      <c r="AP93" s="635">
        <f>IF(Input!$F134=EGR,-Input!$E134*AP$83,SUMIF($C$5:$M$5,AP$6,$C93:$M93)*IF(OR(Input!$Z134=UniformDist,Input!$Z134=na),1/12,SUMPRODUCT(Input!$AB134:$AM134*(MONTH(AP$4)=MONTH(Input!$AB$128:$AM$128)))))</f>
        <v>0</v>
      </c>
      <c r="AQ93" s="635">
        <f>IF(Input!$F134=EGR,-Input!$E134*AQ$83,SUMIF($C$5:$M$5,AQ$6,$C93:$M93)*IF(OR(Input!$Z134=UniformDist,Input!$Z134=na),1/12,SUMPRODUCT(Input!$AB134:$AM134*(MONTH(AQ$4)=MONTH(Input!$AB$128:$AM$128)))))</f>
        <v>0</v>
      </c>
      <c r="AR93" s="635">
        <f>IF(Input!$F134=EGR,-Input!$E134*AR$83,SUMIF($C$5:$M$5,AR$6,$C93:$M93)*IF(OR(Input!$Z134=UniformDist,Input!$Z134=na),1/12,SUMPRODUCT(Input!$AB134:$AM134*(MONTH(AR$4)=MONTH(Input!$AB$128:$AM$128)))))</f>
        <v>0</v>
      </c>
      <c r="AS93" s="635">
        <f>IF(Input!$F134=EGR,-Input!$E134*AS$83,SUMIF($C$5:$M$5,AS$6,$C93:$M93)*IF(OR(Input!$Z134=UniformDist,Input!$Z134=na),1/12,SUMPRODUCT(Input!$AB134:$AM134*(MONTH(AS$4)=MONTH(Input!$AB$128:$AM$128)))))</f>
        <v>0</v>
      </c>
      <c r="AT93" s="635">
        <f>IF(Input!$F134=EGR,-Input!$E134*AT$83,SUMIF($C$5:$M$5,AT$6,$C93:$M93)*IF(OR(Input!$Z134=UniformDist,Input!$Z134=na),1/12,SUMPRODUCT(Input!$AB134:$AM134*(MONTH(AT$4)=MONTH(Input!$AB$128:$AM$128)))))</f>
        <v>0</v>
      </c>
      <c r="AU93" s="635">
        <f>IF(Input!$F134=EGR,-Input!$E134*AU$83,SUMIF($C$5:$M$5,AU$6,$C93:$M93)*IF(OR(Input!$Z134=UniformDist,Input!$Z134=na),1/12,SUMPRODUCT(Input!$AB134:$AM134*(MONTH(AU$4)=MONTH(Input!$AB$128:$AM$128)))))</f>
        <v>0</v>
      </c>
      <c r="AV93" s="635">
        <f>IF(Input!$F134=EGR,-Input!$E134*AV$83,SUMIF($C$5:$M$5,AV$6,$C93:$M93)*IF(OR(Input!$Z134=UniformDist,Input!$Z134=na),1/12,SUMPRODUCT(Input!$AB134:$AM134*(MONTH(AV$4)=MONTH(Input!$AB$128:$AM$128)))))</f>
        <v>0</v>
      </c>
      <c r="AW93" s="635">
        <f>IF(Input!$F134=EGR,-Input!$E134*AW$83,SUMIF($C$5:$M$5,AW$6,$C93:$M93)*IF(OR(Input!$Z134=UniformDist,Input!$Z134=na),1/12,SUMPRODUCT(Input!$AB134:$AM134*(MONTH(AW$4)=MONTH(Input!$AB$128:$AM$128)))))</f>
        <v>0</v>
      </c>
      <c r="AX93" s="635">
        <f>IF(Input!$F134=EGR,-Input!$E134*AX$83,SUMIF($C$5:$M$5,AX$6,$C93:$M93)*IF(OR(Input!$Z134=UniformDist,Input!$Z134=na),1/12,SUMPRODUCT(Input!$AB134:$AM134*(MONTH(AX$4)=MONTH(Input!$AB$128:$AM$128)))))</f>
        <v>0</v>
      </c>
      <c r="AY93" s="635">
        <f>IF(Input!$F134=EGR,-Input!$E134*AY$83,SUMIF($C$5:$M$5,AY$6,$C93:$M93)*IF(OR(Input!$Z134=UniformDist,Input!$Z134=na),1/12,SUMPRODUCT(Input!$AB134:$AM134*(MONTH(AY$4)=MONTH(Input!$AB$128:$AM$128)))))</f>
        <v>0</v>
      </c>
      <c r="AZ93" s="635">
        <f>IF(Input!$F134=EGR,-Input!$E134*AZ$83,SUMIF($C$5:$M$5,AZ$6,$C93:$M93)*IF(OR(Input!$Z134=UniformDist,Input!$Z134=na),1/12,SUMPRODUCT(Input!$AB134:$AM134*(MONTH(AZ$4)=MONTH(Input!$AB$128:$AM$128)))))</f>
        <v>0</v>
      </c>
      <c r="BA93" s="635">
        <f>IF(Input!$F134=EGR,-Input!$E134*BA$83,SUMIF($C$5:$M$5,BA$6,$C93:$M93)*IF(OR(Input!$Z134=UniformDist,Input!$Z134=na),1/12,SUMPRODUCT(Input!$AB134:$AM134*(MONTH(BA$4)=MONTH(Input!$AB$128:$AM$128)))))</f>
        <v>0</v>
      </c>
      <c r="BB93" s="192"/>
      <c r="BC93" s="192"/>
      <c r="BD93" s="192"/>
      <c r="BE93" s="192"/>
      <c r="BF93" s="192"/>
      <c r="BG93" s="192"/>
      <c r="BH93" s="192"/>
      <c r="BI93" s="192"/>
      <c r="BJ93" s="192"/>
      <c r="BK93" s="192"/>
      <c r="BL93" s="192"/>
      <c r="BM93" s="192"/>
      <c r="BN93" s="192"/>
      <c r="BO93" s="192"/>
      <c r="BP93" s="192"/>
      <c r="BQ93" s="192"/>
      <c r="BR93" s="192"/>
      <c r="BS93" s="192"/>
      <c r="BT93" s="192"/>
      <c r="BU93" s="192"/>
      <c r="BV93" s="192"/>
      <c r="BW93" s="192"/>
      <c r="BX93" s="192"/>
      <c r="BY93" s="192"/>
      <c r="BZ93" s="192"/>
      <c r="CA93" s="192"/>
      <c r="CB93" s="192"/>
      <c r="CC93" s="192"/>
      <c r="CD93" s="192"/>
      <c r="CE93" s="192"/>
      <c r="CF93" s="192"/>
      <c r="CG93" s="192"/>
      <c r="CH93" s="192"/>
      <c r="CI93" s="192"/>
      <c r="CJ93" s="192"/>
      <c r="CK93" s="192"/>
      <c r="CL93" s="192"/>
      <c r="CM93" s="192"/>
      <c r="CN93" s="192"/>
      <c r="CO93" s="192"/>
      <c r="CP93" s="192"/>
      <c r="CQ93" s="192"/>
      <c r="CR93" s="192"/>
      <c r="CS93" s="192"/>
      <c r="CT93" s="192"/>
      <c r="CU93" s="192"/>
      <c r="CV93" s="192"/>
      <c r="CW93" s="192"/>
      <c r="CX93" s="192"/>
      <c r="CY93" s="192"/>
      <c r="CZ93" s="192"/>
      <c r="DA93" s="192"/>
      <c r="DB93" s="192"/>
      <c r="DC93" s="192"/>
      <c r="DD93" s="192"/>
      <c r="DE93" s="192"/>
      <c r="DF93" s="192"/>
      <c r="DG93" s="192"/>
      <c r="DH93" s="192"/>
      <c r="DI93" s="192"/>
      <c r="DJ93" s="192"/>
      <c r="DK93" s="192"/>
      <c r="DL93" s="192"/>
      <c r="DM93" s="192"/>
      <c r="DN93" s="192"/>
      <c r="DO93" s="192"/>
      <c r="DP93" s="192"/>
      <c r="DQ93" s="192"/>
      <c r="DR93" s="192"/>
      <c r="DS93" s="192"/>
      <c r="DT93" s="192"/>
      <c r="DU93" s="192"/>
      <c r="DV93" s="192"/>
      <c r="DW93" s="192"/>
      <c r="DX93" s="192"/>
      <c r="DY93" s="192"/>
      <c r="DZ93" s="192"/>
      <c r="EA93" s="192"/>
      <c r="EB93" s="192"/>
      <c r="EC93" s="192"/>
      <c r="ED93" s="192"/>
      <c r="EE93" s="192"/>
      <c r="EF93" s="192"/>
      <c r="EG93" s="192"/>
      <c r="EH93" s="192"/>
      <c r="EI93" s="192"/>
      <c r="EJ93" s="192"/>
      <c r="EK93" s="192"/>
      <c r="EL93" s="192"/>
      <c r="EM93" s="192"/>
      <c r="EN93" s="192"/>
      <c r="EO93" s="192"/>
      <c r="EP93" s="192"/>
      <c r="EQ93" s="192"/>
      <c r="ER93" s="192"/>
      <c r="ES93" s="192"/>
      <c r="ET93" s="192"/>
    </row>
    <row r="94" spans="1:150">
      <c r="A94" s="192"/>
      <c r="B94" s="36" t="str">
        <f>Input!B135</f>
        <v>Leasing Commissions</v>
      </c>
      <c r="C94" s="635">
        <f>-Input!G135</f>
        <v>0</v>
      </c>
      <c r="D94" s="635">
        <f>-Input!H135</f>
        <v>0</v>
      </c>
      <c r="E94" s="635">
        <f>-Input!I135</f>
        <v>0</v>
      </c>
      <c r="F94" s="635">
        <f>-Input!J135</f>
        <v>0</v>
      </c>
      <c r="G94" s="635">
        <f>-Input!K135</f>
        <v>0</v>
      </c>
      <c r="H94" s="635">
        <f>-Input!L135</f>
        <v>0</v>
      </c>
      <c r="I94" s="635">
        <f>-Input!M135</f>
        <v>0</v>
      </c>
      <c r="J94" s="635">
        <f>-Input!N135</f>
        <v>0</v>
      </c>
      <c r="K94" s="635">
        <f>-Input!O135</f>
        <v>0</v>
      </c>
      <c r="L94" s="635">
        <f>-Input!P135</f>
        <v>0</v>
      </c>
      <c r="M94" s="635">
        <f>-Input!Q135</f>
        <v>0</v>
      </c>
      <c r="N94" s="192"/>
      <c r="O94" s="635">
        <f>-IF(Input!AG232,SUMPRODUCT(FVSCHEDULE(Input!AG232,InflRate*($C$5:$L$5&lt;ReversionYear))),IF(Input!$F135=EGR,Input!S135*$O$83,Input!S135))</f>
        <v>0</v>
      </c>
      <c r="P94" s="192"/>
      <c r="Q94" s="832"/>
      <c r="R94" s="635">
        <f>IF(Input!$F135=EGR,-Input!$E135*R$83,SUMIF($C$5:$M$5,R$6,$C94:$M94)*IF(OR(Input!$Z135=UniformDist,Input!$Z135=na),1/12,SUMPRODUCT(Input!$AB135:$AM135*(MONTH(R$4)=MONTH(Input!$AB$128:$AM$128)))))</f>
        <v>0</v>
      </c>
      <c r="S94" s="635">
        <f>IF(Input!$F135=EGR,-Input!$E135*S$83,SUMIF($C$5:$M$5,S$6,$C94:$M94)*IF(OR(Input!$Z135=UniformDist,Input!$Z135=na),1/12,SUMPRODUCT(Input!$AB135:$AM135*(MONTH(S$4)=MONTH(Input!$AB$128:$AM$128)))))</f>
        <v>0</v>
      </c>
      <c r="T94" s="635">
        <f>IF(Input!$F135=EGR,-Input!$E135*T$83,SUMIF($C$5:$M$5,T$6,$C94:$M94)*IF(OR(Input!$Z135=UniformDist,Input!$Z135=na),1/12,SUMPRODUCT(Input!$AB135:$AM135*(MONTH(T$4)=MONTH(Input!$AB$128:$AM$128)))))</f>
        <v>0</v>
      </c>
      <c r="U94" s="635">
        <f>IF(Input!$F135=EGR,-Input!$E135*U$83,SUMIF($C$5:$M$5,U$6,$C94:$M94)*IF(OR(Input!$Z135=UniformDist,Input!$Z135=na),1/12,SUMPRODUCT(Input!$AB135:$AM135*(MONTH(U$4)=MONTH(Input!$AB$128:$AM$128)))))</f>
        <v>0</v>
      </c>
      <c r="V94" s="635">
        <f>IF(Input!$F135=EGR,-Input!$E135*V$83,SUMIF($C$5:$M$5,V$6,$C94:$M94)*IF(OR(Input!$Z135=UniformDist,Input!$Z135=na),1/12,SUMPRODUCT(Input!$AB135:$AM135*(MONTH(V$4)=MONTH(Input!$AB$128:$AM$128)))))</f>
        <v>0</v>
      </c>
      <c r="W94" s="635">
        <f>IF(Input!$F135=EGR,-Input!$E135*W$83,SUMIF($C$5:$M$5,W$6,$C94:$M94)*IF(OR(Input!$Z135=UniformDist,Input!$Z135=na),1/12,SUMPRODUCT(Input!$AB135:$AM135*(MONTH(W$4)=MONTH(Input!$AB$128:$AM$128)))))</f>
        <v>0</v>
      </c>
      <c r="X94" s="635">
        <f>IF(Input!$F135=EGR,-Input!$E135*X$83,SUMIF($C$5:$M$5,X$6,$C94:$M94)*IF(OR(Input!$Z135=UniformDist,Input!$Z135=na),1/12,SUMPRODUCT(Input!$AB135:$AM135*(MONTH(X$4)=MONTH(Input!$AB$128:$AM$128)))))</f>
        <v>0</v>
      </c>
      <c r="Y94" s="635">
        <f>IF(Input!$F135=EGR,-Input!$E135*Y$83,SUMIF($C$5:$M$5,Y$6,$C94:$M94)*IF(OR(Input!$Z135=UniformDist,Input!$Z135=na),1/12,SUMPRODUCT(Input!$AB135:$AM135*(MONTH(Y$4)=MONTH(Input!$AB$128:$AM$128)))))</f>
        <v>0</v>
      </c>
      <c r="Z94" s="635">
        <f>IF(Input!$F135=EGR,-Input!$E135*Z$83,SUMIF($C$5:$M$5,Z$6,$C94:$M94)*IF(OR(Input!$Z135=UniformDist,Input!$Z135=na),1/12,SUMPRODUCT(Input!$AB135:$AM135*(MONTH(Z$4)=MONTH(Input!$AB$128:$AM$128)))))</f>
        <v>0</v>
      </c>
      <c r="AA94" s="635">
        <f>IF(Input!$F135=EGR,-Input!$E135*AA$83,SUMIF($C$5:$M$5,AA$6,$C94:$M94)*IF(OR(Input!$Z135=UniformDist,Input!$Z135=na),1/12,SUMPRODUCT(Input!$AB135:$AM135*(MONTH(AA$4)=MONTH(Input!$AB$128:$AM$128)))))</f>
        <v>0</v>
      </c>
      <c r="AB94" s="635">
        <f>IF(Input!$F135=EGR,-Input!$E135*AB$83,SUMIF($C$5:$M$5,AB$6,$C94:$M94)*IF(OR(Input!$Z135=UniformDist,Input!$Z135=na),1/12,SUMPRODUCT(Input!$AB135:$AM135*(MONTH(AB$4)=MONTH(Input!$AB$128:$AM$128)))))</f>
        <v>0</v>
      </c>
      <c r="AC94" s="635">
        <f>IF(Input!$F135=EGR,-Input!$E135*AC$83,SUMIF($C$5:$M$5,AC$6,$C94:$M94)*IF(OR(Input!$Z135=UniformDist,Input!$Z135=na),1/12,SUMPRODUCT(Input!$AB135:$AM135*(MONTH(AC$4)=MONTH(Input!$AB$128:$AM$128)))))</f>
        <v>0</v>
      </c>
      <c r="AD94" s="635">
        <f>IF(Input!$F135=EGR,-Input!$E135*AD$83,SUMIF($C$5:$M$5,AD$6,$C94:$M94)*IF(OR(Input!$Z135=UniformDist,Input!$Z135=na),1/12,SUMPRODUCT(Input!$AB135:$AM135*(MONTH(AD$4)=MONTH(Input!$AB$128:$AM$128)))))</f>
        <v>0</v>
      </c>
      <c r="AE94" s="635">
        <f>IF(Input!$F135=EGR,-Input!$E135*AE$83,SUMIF($C$5:$M$5,AE$6,$C94:$M94)*IF(OR(Input!$Z135=UniformDist,Input!$Z135=na),1/12,SUMPRODUCT(Input!$AB135:$AM135*(MONTH(AE$4)=MONTH(Input!$AB$128:$AM$128)))))</f>
        <v>0</v>
      </c>
      <c r="AF94" s="635">
        <f>IF(Input!$F135=EGR,-Input!$E135*AF$83,SUMIF($C$5:$M$5,AF$6,$C94:$M94)*IF(OR(Input!$Z135=UniformDist,Input!$Z135=na),1/12,SUMPRODUCT(Input!$AB135:$AM135*(MONTH(AF$4)=MONTH(Input!$AB$128:$AM$128)))))</f>
        <v>0</v>
      </c>
      <c r="AG94" s="635">
        <f>IF(Input!$F135=EGR,-Input!$E135*AG$83,SUMIF($C$5:$M$5,AG$6,$C94:$M94)*IF(OR(Input!$Z135=UniformDist,Input!$Z135=na),1/12,SUMPRODUCT(Input!$AB135:$AM135*(MONTH(AG$4)=MONTH(Input!$AB$128:$AM$128)))))</f>
        <v>0</v>
      </c>
      <c r="AH94" s="635">
        <f>IF(Input!$F135=EGR,-Input!$E135*AH$83,SUMIF($C$5:$M$5,AH$6,$C94:$M94)*IF(OR(Input!$Z135=UniformDist,Input!$Z135=na),1/12,SUMPRODUCT(Input!$AB135:$AM135*(MONTH(AH$4)=MONTH(Input!$AB$128:$AM$128)))))</f>
        <v>0</v>
      </c>
      <c r="AI94" s="635">
        <f>IF(Input!$F135=EGR,-Input!$E135*AI$83,SUMIF($C$5:$M$5,AI$6,$C94:$M94)*IF(OR(Input!$Z135=UniformDist,Input!$Z135=na),1/12,SUMPRODUCT(Input!$AB135:$AM135*(MONTH(AI$4)=MONTH(Input!$AB$128:$AM$128)))))</f>
        <v>0</v>
      </c>
      <c r="AJ94" s="635">
        <f>IF(Input!$F135=EGR,-Input!$E135*AJ$83,SUMIF($C$5:$M$5,AJ$6,$C94:$M94)*IF(OR(Input!$Z135=UniformDist,Input!$Z135=na),1/12,SUMPRODUCT(Input!$AB135:$AM135*(MONTH(AJ$4)=MONTH(Input!$AB$128:$AM$128)))))</f>
        <v>0</v>
      </c>
      <c r="AK94" s="635">
        <f>IF(Input!$F135=EGR,-Input!$E135*AK$83,SUMIF($C$5:$M$5,AK$6,$C94:$M94)*IF(OR(Input!$Z135=UniformDist,Input!$Z135=na),1/12,SUMPRODUCT(Input!$AB135:$AM135*(MONTH(AK$4)=MONTH(Input!$AB$128:$AM$128)))))</f>
        <v>0</v>
      </c>
      <c r="AL94" s="635">
        <f>IF(Input!$F135=EGR,-Input!$E135*AL$83,SUMIF($C$5:$M$5,AL$6,$C94:$M94)*IF(OR(Input!$Z135=UniformDist,Input!$Z135=na),1/12,SUMPRODUCT(Input!$AB135:$AM135*(MONTH(AL$4)=MONTH(Input!$AB$128:$AM$128)))))</f>
        <v>0</v>
      </c>
      <c r="AM94" s="635">
        <f>IF(Input!$F135=EGR,-Input!$E135*AM$83,SUMIF($C$5:$M$5,AM$6,$C94:$M94)*IF(OR(Input!$Z135=UniformDist,Input!$Z135=na),1/12,SUMPRODUCT(Input!$AB135:$AM135*(MONTH(AM$4)=MONTH(Input!$AB$128:$AM$128)))))</f>
        <v>0</v>
      </c>
      <c r="AN94" s="635">
        <f>IF(Input!$F135=EGR,-Input!$E135*AN$83,SUMIF($C$5:$M$5,AN$6,$C94:$M94)*IF(OR(Input!$Z135=UniformDist,Input!$Z135=na),1/12,SUMPRODUCT(Input!$AB135:$AM135*(MONTH(AN$4)=MONTH(Input!$AB$128:$AM$128)))))</f>
        <v>0</v>
      </c>
      <c r="AO94" s="635">
        <f>IF(Input!$F135=EGR,-Input!$E135*AO$83,SUMIF($C$5:$M$5,AO$6,$C94:$M94)*IF(OR(Input!$Z135=UniformDist,Input!$Z135=na),1/12,SUMPRODUCT(Input!$AB135:$AM135*(MONTH(AO$4)=MONTH(Input!$AB$128:$AM$128)))))</f>
        <v>0</v>
      </c>
      <c r="AP94" s="635">
        <f>IF(Input!$F135=EGR,-Input!$E135*AP$83,SUMIF($C$5:$M$5,AP$6,$C94:$M94)*IF(OR(Input!$Z135=UniformDist,Input!$Z135=na),1/12,SUMPRODUCT(Input!$AB135:$AM135*(MONTH(AP$4)=MONTH(Input!$AB$128:$AM$128)))))</f>
        <v>0</v>
      </c>
      <c r="AQ94" s="635">
        <f>IF(Input!$F135=EGR,-Input!$E135*AQ$83,SUMIF($C$5:$M$5,AQ$6,$C94:$M94)*IF(OR(Input!$Z135=UniformDist,Input!$Z135=na),1/12,SUMPRODUCT(Input!$AB135:$AM135*(MONTH(AQ$4)=MONTH(Input!$AB$128:$AM$128)))))</f>
        <v>0</v>
      </c>
      <c r="AR94" s="635">
        <f>IF(Input!$F135=EGR,-Input!$E135*AR$83,SUMIF($C$5:$M$5,AR$6,$C94:$M94)*IF(OR(Input!$Z135=UniformDist,Input!$Z135=na),1/12,SUMPRODUCT(Input!$AB135:$AM135*(MONTH(AR$4)=MONTH(Input!$AB$128:$AM$128)))))</f>
        <v>0</v>
      </c>
      <c r="AS94" s="635">
        <f>IF(Input!$F135=EGR,-Input!$E135*AS$83,SUMIF($C$5:$M$5,AS$6,$C94:$M94)*IF(OR(Input!$Z135=UniformDist,Input!$Z135=na),1/12,SUMPRODUCT(Input!$AB135:$AM135*(MONTH(AS$4)=MONTH(Input!$AB$128:$AM$128)))))</f>
        <v>0</v>
      </c>
      <c r="AT94" s="635">
        <f>IF(Input!$F135=EGR,-Input!$E135*AT$83,SUMIF($C$5:$M$5,AT$6,$C94:$M94)*IF(OR(Input!$Z135=UniformDist,Input!$Z135=na),1/12,SUMPRODUCT(Input!$AB135:$AM135*(MONTH(AT$4)=MONTH(Input!$AB$128:$AM$128)))))</f>
        <v>0</v>
      </c>
      <c r="AU94" s="635">
        <f>IF(Input!$F135=EGR,-Input!$E135*AU$83,SUMIF($C$5:$M$5,AU$6,$C94:$M94)*IF(OR(Input!$Z135=UniformDist,Input!$Z135=na),1/12,SUMPRODUCT(Input!$AB135:$AM135*(MONTH(AU$4)=MONTH(Input!$AB$128:$AM$128)))))</f>
        <v>0</v>
      </c>
      <c r="AV94" s="635">
        <f>IF(Input!$F135=EGR,-Input!$E135*AV$83,SUMIF($C$5:$M$5,AV$6,$C94:$M94)*IF(OR(Input!$Z135=UniformDist,Input!$Z135=na),1/12,SUMPRODUCT(Input!$AB135:$AM135*(MONTH(AV$4)=MONTH(Input!$AB$128:$AM$128)))))</f>
        <v>0</v>
      </c>
      <c r="AW94" s="635">
        <f>IF(Input!$F135=EGR,-Input!$E135*AW$83,SUMIF($C$5:$M$5,AW$6,$C94:$M94)*IF(OR(Input!$Z135=UniformDist,Input!$Z135=na),1/12,SUMPRODUCT(Input!$AB135:$AM135*(MONTH(AW$4)=MONTH(Input!$AB$128:$AM$128)))))</f>
        <v>0</v>
      </c>
      <c r="AX94" s="635">
        <f>IF(Input!$F135=EGR,-Input!$E135*AX$83,SUMIF($C$5:$M$5,AX$6,$C94:$M94)*IF(OR(Input!$Z135=UniformDist,Input!$Z135=na),1/12,SUMPRODUCT(Input!$AB135:$AM135*(MONTH(AX$4)=MONTH(Input!$AB$128:$AM$128)))))</f>
        <v>0</v>
      </c>
      <c r="AY94" s="635">
        <f>IF(Input!$F135=EGR,-Input!$E135*AY$83,SUMIF($C$5:$M$5,AY$6,$C94:$M94)*IF(OR(Input!$Z135=UniformDist,Input!$Z135=na),1/12,SUMPRODUCT(Input!$AB135:$AM135*(MONTH(AY$4)=MONTH(Input!$AB$128:$AM$128)))))</f>
        <v>0</v>
      </c>
      <c r="AZ94" s="635">
        <f>IF(Input!$F135=EGR,-Input!$E135*AZ$83,SUMIF($C$5:$M$5,AZ$6,$C94:$M94)*IF(OR(Input!$Z135=UniformDist,Input!$Z135=na),1/12,SUMPRODUCT(Input!$AB135:$AM135*(MONTH(AZ$4)=MONTH(Input!$AB$128:$AM$128)))))</f>
        <v>0</v>
      </c>
      <c r="BA94" s="635">
        <f>IF(Input!$F135=EGR,-Input!$E135*BA$83,SUMIF($C$5:$M$5,BA$6,$C94:$M94)*IF(OR(Input!$Z135=UniformDist,Input!$Z135=na),1/12,SUMPRODUCT(Input!$AB135:$AM135*(MONTH(BA$4)=MONTH(Input!$AB$128:$AM$128)))))</f>
        <v>0</v>
      </c>
      <c r="BB94" s="192"/>
      <c r="BC94" s="192"/>
      <c r="BD94" s="192"/>
      <c r="BE94" s="192"/>
      <c r="BF94" s="192"/>
      <c r="BG94" s="192"/>
      <c r="BH94" s="192"/>
      <c r="BI94" s="192"/>
      <c r="BJ94" s="192"/>
      <c r="BK94" s="192"/>
      <c r="BL94" s="192"/>
      <c r="BM94" s="192"/>
      <c r="BN94" s="192"/>
      <c r="BO94" s="192"/>
      <c r="BP94" s="192"/>
      <c r="BQ94" s="192"/>
      <c r="BR94" s="192"/>
      <c r="BS94" s="192"/>
      <c r="BT94" s="192"/>
      <c r="BU94" s="192"/>
      <c r="BV94" s="192"/>
      <c r="BW94" s="192"/>
      <c r="BX94" s="192"/>
      <c r="BY94" s="192"/>
      <c r="BZ94" s="192"/>
      <c r="CA94" s="192"/>
      <c r="CB94" s="192"/>
      <c r="CC94" s="192"/>
      <c r="CD94" s="192"/>
      <c r="CE94" s="192"/>
      <c r="CF94" s="192"/>
      <c r="CG94" s="192"/>
      <c r="CH94" s="192"/>
      <c r="CI94" s="192"/>
      <c r="CJ94" s="192"/>
      <c r="CK94" s="192"/>
      <c r="CL94" s="192"/>
      <c r="CM94" s="192"/>
      <c r="CN94" s="192"/>
      <c r="CO94" s="192"/>
      <c r="CP94" s="192"/>
      <c r="CQ94" s="192"/>
      <c r="CR94" s="192"/>
      <c r="CS94" s="192"/>
      <c r="CT94" s="192"/>
      <c r="CU94" s="192"/>
      <c r="CV94" s="192"/>
      <c r="CW94" s="192"/>
      <c r="CX94" s="192"/>
      <c r="CY94" s="192"/>
      <c r="CZ94" s="192"/>
      <c r="DA94" s="192"/>
      <c r="DB94" s="192"/>
      <c r="DC94" s="192"/>
      <c r="DD94" s="192"/>
      <c r="DE94" s="192"/>
      <c r="DF94" s="192"/>
      <c r="DG94" s="192"/>
      <c r="DH94" s="192"/>
      <c r="DI94" s="192"/>
      <c r="DJ94" s="192"/>
      <c r="DK94" s="192"/>
      <c r="DL94" s="192"/>
      <c r="DM94" s="192"/>
      <c r="DN94" s="192"/>
      <c r="DO94" s="192"/>
      <c r="DP94" s="192"/>
      <c r="DQ94" s="192"/>
      <c r="DR94" s="192"/>
      <c r="DS94" s="192"/>
      <c r="DT94" s="192"/>
      <c r="DU94" s="192"/>
      <c r="DV94" s="192"/>
      <c r="DW94" s="192"/>
      <c r="DX94" s="192"/>
      <c r="DY94" s="192"/>
      <c r="DZ94" s="192"/>
      <c r="EA94" s="192"/>
      <c r="EB94" s="192"/>
      <c r="EC94" s="192"/>
      <c r="ED94" s="192"/>
      <c r="EE94" s="192"/>
      <c r="EF94" s="192"/>
      <c r="EG94" s="192"/>
      <c r="EH94" s="192"/>
      <c r="EI94" s="192"/>
      <c r="EJ94" s="192"/>
      <c r="EK94" s="192"/>
      <c r="EL94" s="192"/>
      <c r="EM94" s="192"/>
      <c r="EN94" s="192"/>
      <c r="EO94" s="192"/>
      <c r="EP94" s="192"/>
      <c r="EQ94" s="192"/>
      <c r="ER94" s="192"/>
      <c r="ES94" s="192"/>
      <c r="ET94" s="192"/>
    </row>
    <row r="95" spans="1:150">
      <c r="A95" s="192"/>
      <c r="B95" s="36" t="str">
        <f>Input!B136</f>
        <v>Administrative Expenses</v>
      </c>
      <c r="C95" s="635">
        <f>-Input!G136</f>
        <v>0</v>
      </c>
      <c r="D95" s="635">
        <f>-Input!H136</f>
        <v>0</v>
      </c>
      <c r="E95" s="635">
        <f>-Input!I136</f>
        <v>0</v>
      </c>
      <c r="F95" s="635">
        <f>-Input!J136</f>
        <v>0</v>
      </c>
      <c r="G95" s="635">
        <f>-Input!K136</f>
        <v>0</v>
      </c>
      <c r="H95" s="635">
        <f>-Input!L136</f>
        <v>0</v>
      </c>
      <c r="I95" s="635">
        <f>-Input!M136</f>
        <v>0</v>
      </c>
      <c r="J95" s="635">
        <f>-Input!N136</f>
        <v>0</v>
      </c>
      <c r="K95" s="635">
        <f>-Input!O136</f>
        <v>0</v>
      </c>
      <c r="L95" s="635">
        <f>-Input!P136</f>
        <v>0</v>
      </c>
      <c r="M95" s="635">
        <f>-Input!Q136</f>
        <v>0</v>
      </c>
      <c r="N95" s="192"/>
      <c r="O95" s="635">
        <f>-IF(Input!AG233,SUMPRODUCT(FVSCHEDULE(Input!AG233,InflRate*($C$5:$L$5&lt;ReversionYear))),IF(Input!$F136=EGR,Input!S136*$O$83,Input!S136))</f>
        <v>0</v>
      </c>
      <c r="P95" s="192"/>
      <c r="Q95" s="833"/>
      <c r="R95" s="635">
        <f>IF(Input!$F136=EGR,-Input!$E136*R$83,SUMIF($C$5:$M$5,R$6,$C95:$M95)*IF(OR(Input!$Z136=UniformDist,Input!$Z136=na),1/12,SUMPRODUCT(Input!$AB136:$AM136*(MONTH(R$4)=MONTH(Input!$AB$128:$AM$128)))))</f>
        <v>0</v>
      </c>
      <c r="S95" s="635">
        <f>IF(Input!$F136=EGR,-Input!$E136*S$83,SUMIF($C$5:$M$5,S$6,$C95:$M95)*IF(OR(Input!$Z136=UniformDist,Input!$Z136=na),1/12,SUMPRODUCT(Input!$AB136:$AM136*(MONTH(S$4)=MONTH(Input!$AB$128:$AM$128)))))</f>
        <v>0</v>
      </c>
      <c r="T95" s="635">
        <f>IF(Input!$F136=EGR,-Input!$E136*T$83,SUMIF($C$5:$M$5,T$6,$C95:$M95)*IF(OR(Input!$Z136=UniformDist,Input!$Z136=na),1/12,SUMPRODUCT(Input!$AB136:$AM136*(MONTH(T$4)=MONTH(Input!$AB$128:$AM$128)))))</f>
        <v>0</v>
      </c>
      <c r="U95" s="635">
        <f>IF(Input!$F136=EGR,-Input!$E136*U$83,SUMIF($C$5:$M$5,U$6,$C95:$M95)*IF(OR(Input!$Z136=UniformDist,Input!$Z136=na),1/12,SUMPRODUCT(Input!$AB136:$AM136*(MONTH(U$4)=MONTH(Input!$AB$128:$AM$128)))))</f>
        <v>0</v>
      </c>
      <c r="V95" s="635">
        <f>IF(Input!$F136=EGR,-Input!$E136*V$83,SUMIF($C$5:$M$5,V$6,$C95:$M95)*IF(OR(Input!$Z136=UniformDist,Input!$Z136=na),1/12,SUMPRODUCT(Input!$AB136:$AM136*(MONTH(V$4)=MONTH(Input!$AB$128:$AM$128)))))</f>
        <v>0</v>
      </c>
      <c r="W95" s="635">
        <f>IF(Input!$F136=EGR,-Input!$E136*W$83,SUMIF($C$5:$M$5,W$6,$C95:$M95)*IF(OR(Input!$Z136=UniformDist,Input!$Z136=na),1/12,SUMPRODUCT(Input!$AB136:$AM136*(MONTH(W$4)=MONTH(Input!$AB$128:$AM$128)))))</f>
        <v>0</v>
      </c>
      <c r="X95" s="635">
        <f>IF(Input!$F136=EGR,-Input!$E136*X$83,SUMIF($C$5:$M$5,X$6,$C95:$M95)*IF(OR(Input!$Z136=UniformDist,Input!$Z136=na),1/12,SUMPRODUCT(Input!$AB136:$AM136*(MONTH(X$4)=MONTH(Input!$AB$128:$AM$128)))))</f>
        <v>0</v>
      </c>
      <c r="Y95" s="635">
        <f>IF(Input!$F136=EGR,-Input!$E136*Y$83,SUMIF($C$5:$M$5,Y$6,$C95:$M95)*IF(OR(Input!$Z136=UniformDist,Input!$Z136=na),1/12,SUMPRODUCT(Input!$AB136:$AM136*(MONTH(Y$4)=MONTH(Input!$AB$128:$AM$128)))))</f>
        <v>0</v>
      </c>
      <c r="Z95" s="635">
        <f>IF(Input!$F136=EGR,-Input!$E136*Z$83,SUMIF($C$5:$M$5,Z$6,$C95:$M95)*IF(OR(Input!$Z136=UniformDist,Input!$Z136=na),1/12,SUMPRODUCT(Input!$AB136:$AM136*(MONTH(Z$4)=MONTH(Input!$AB$128:$AM$128)))))</f>
        <v>0</v>
      </c>
      <c r="AA95" s="635">
        <f>IF(Input!$F136=EGR,-Input!$E136*AA$83,SUMIF($C$5:$M$5,AA$6,$C95:$M95)*IF(OR(Input!$Z136=UniformDist,Input!$Z136=na),1/12,SUMPRODUCT(Input!$AB136:$AM136*(MONTH(AA$4)=MONTH(Input!$AB$128:$AM$128)))))</f>
        <v>0</v>
      </c>
      <c r="AB95" s="635">
        <f>IF(Input!$F136=EGR,-Input!$E136*AB$83,SUMIF($C$5:$M$5,AB$6,$C95:$M95)*IF(OR(Input!$Z136=UniformDist,Input!$Z136=na),1/12,SUMPRODUCT(Input!$AB136:$AM136*(MONTH(AB$4)=MONTH(Input!$AB$128:$AM$128)))))</f>
        <v>0</v>
      </c>
      <c r="AC95" s="635">
        <f>IF(Input!$F136=EGR,-Input!$E136*AC$83,SUMIF($C$5:$M$5,AC$6,$C95:$M95)*IF(OR(Input!$Z136=UniformDist,Input!$Z136=na),1/12,SUMPRODUCT(Input!$AB136:$AM136*(MONTH(AC$4)=MONTH(Input!$AB$128:$AM$128)))))</f>
        <v>0</v>
      </c>
      <c r="AD95" s="635">
        <f>IF(Input!$F136=EGR,-Input!$E136*AD$83,SUMIF($C$5:$M$5,AD$6,$C95:$M95)*IF(OR(Input!$Z136=UniformDist,Input!$Z136=na),1/12,SUMPRODUCT(Input!$AB136:$AM136*(MONTH(AD$4)=MONTH(Input!$AB$128:$AM$128)))))</f>
        <v>0</v>
      </c>
      <c r="AE95" s="635">
        <f>IF(Input!$F136=EGR,-Input!$E136*AE$83,SUMIF($C$5:$M$5,AE$6,$C95:$M95)*IF(OR(Input!$Z136=UniformDist,Input!$Z136=na),1/12,SUMPRODUCT(Input!$AB136:$AM136*(MONTH(AE$4)=MONTH(Input!$AB$128:$AM$128)))))</f>
        <v>0</v>
      </c>
      <c r="AF95" s="635">
        <f>IF(Input!$F136=EGR,-Input!$E136*AF$83,SUMIF($C$5:$M$5,AF$6,$C95:$M95)*IF(OR(Input!$Z136=UniformDist,Input!$Z136=na),1/12,SUMPRODUCT(Input!$AB136:$AM136*(MONTH(AF$4)=MONTH(Input!$AB$128:$AM$128)))))</f>
        <v>0</v>
      </c>
      <c r="AG95" s="635">
        <f>IF(Input!$F136=EGR,-Input!$E136*AG$83,SUMIF($C$5:$M$5,AG$6,$C95:$M95)*IF(OR(Input!$Z136=UniformDist,Input!$Z136=na),1/12,SUMPRODUCT(Input!$AB136:$AM136*(MONTH(AG$4)=MONTH(Input!$AB$128:$AM$128)))))</f>
        <v>0</v>
      </c>
      <c r="AH95" s="635">
        <f>IF(Input!$F136=EGR,-Input!$E136*AH$83,SUMIF($C$5:$M$5,AH$6,$C95:$M95)*IF(OR(Input!$Z136=UniformDist,Input!$Z136=na),1/12,SUMPRODUCT(Input!$AB136:$AM136*(MONTH(AH$4)=MONTH(Input!$AB$128:$AM$128)))))</f>
        <v>0</v>
      </c>
      <c r="AI95" s="635">
        <f>IF(Input!$F136=EGR,-Input!$E136*AI$83,SUMIF($C$5:$M$5,AI$6,$C95:$M95)*IF(OR(Input!$Z136=UniformDist,Input!$Z136=na),1/12,SUMPRODUCT(Input!$AB136:$AM136*(MONTH(AI$4)=MONTH(Input!$AB$128:$AM$128)))))</f>
        <v>0</v>
      </c>
      <c r="AJ95" s="635">
        <f>IF(Input!$F136=EGR,-Input!$E136*AJ$83,SUMIF($C$5:$M$5,AJ$6,$C95:$M95)*IF(OR(Input!$Z136=UniformDist,Input!$Z136=na),1/12,SUMPRODUCT(Input!$AB136:$AM136*(MONTH(AJ$4)=MONTH(Input!$AB$128:$AM$128)))))</f>
        <v>0</v>
      </c>
      <c r="AK95" s="635">
        <f>IF(Input!$F136=EGR,-Input!$E136*AK$83,SUMIF($C$5:$M$5,AK$6,$C95:$M95)*IF(OR(Input!$Z136=UniformDist,Input!$Z136=na),1/12,SUMPRODUCT(Input!$AB136:$AM136*(MONTH(AK$4)=MONTH(Input!$AB$128:$AM$128)))))</f>
        <v>0</v>
      </c>
      <c r="AL95" s="635">
        <f>IF(Input!$F136=EGR,-Input!$E136*AL$83,SUMIF($C$5:$M$5,AL$6,$C95:$M95)*IF(OR(Input!$Z136=UniformDist,Input!$Z136=na),1/12,SUMPRODUCT(Input!$AB136:$AM136*(MONTH(AL$4)=MONTH(Input!$AB$128:$AM$128)))))</f>
        <v>0</v>
      </c>
      <c r="AM95" s="635">
        <f>IF(Input!$F136=EGR,-Input!$E136*AM$83,SUMIF($C$5:$M$5,AM$6,$C95:$M95)*IF(OR(Input!$Z136=UniformDist,Input!$Z136=na),1/12,SUMPRODUCT(Input!$AB136:$AM136*(MONTH(AM$4)=MONTH(Input!$AB$128:$AM$128)))))</f>
        <v>0</v>
      </c>
      <c r="AN95" s="635">
        <f>IF(Input!$F136=EGR,-Input!$E136*AN$83,SUMIF($C$5:$M$5,AN$6,$C95:$M95)*IF(OR(Input!$Z136=UniformDist,Input!$Z136=na),1/12,SUMPRODUCT(Input!$AB136:$AM136*(MONTH(AN$4)=MONTH(Input!$AB$128:$AM$128)))))</f>
        <v>0</v>
      </c>
      <c r="AO95" s="635">
        <f>IF(Input!$F136=EGR,-Input!$E136*AO$83,SUMIF($C$5:$M$5,AO$6,$C95:$M95)*IF(OR(Input!$Z136=UniformDist,Input!$Z136=na),1/12,SUMPRODUCT(Input!$AB136:$AM136*(MONTH(AO$4)=MONTH(Input!$AB$128:$AM$128)))))</f>
        <v>0</v>
      </c>
      <c r="AP95" s="635">
        <f>IF(Input!$F136=EGR,-Input!$E136*AP$83,SUMIF($C$5:$M$5,AP$6,$C95:$M95)*IF(OR(Input!$Z136=UniformDist,Input!$Z136=na),1/12,SUMPRODUCT(Input!$AB136:$AM136*(MONTH(AP$4)=MONTH(Input!$AB$128:$AM$128)))))</f>
        <v>0</v>
      </c>
      <c r="AQ95" s="635">
        <f>IF(Input!$F136=EGR,-Input!$E136*AQ$83,SUMIF($C$5:$M$5,AQ$6,$C95:$M95)*IF(OR(Input!$Z136=UniformDist,Input!$Z136=na),1/12,SUMPRODUCT(Input!$AB136:$AM136*(MONTH(AQ$4)=MONTH(Input!$AB$128:$AM$128)))))</f>
        <v>0</v>
      </c>
      <c r="AR95" s="635">
        <f>IF(Input!$F136=EGR,-Input!$E136*AR$83,SUMIF($C$5:$M$5,AR$6,$C95:$M95)*IF(OR(Input!$Z136=UniformDist,Input!$Z136=na),1/12,SUMPRODUCT(Input!$AB136:$AM136*(MONTH(AR$4)=MONTH(Input!$AB$128:$AM$128)))))</f>
        <v>0</v>
      </c>
      <c r="AS95" s="635">
        <f>IF(Input!$F136=EGR,-Input!$E136*AS$83,SUMIF($C$5:$M$5,AS$6,$C95:$M95)*IF(OR(Input!$Z136=UniformDist,Input!$Z136=na),1/12,SUMPRODUCT(Input!$AB136:$AM136*(MONTH(AS$4)=MONTH(Input!$AB$128:$AM$128)))))</f>
        <v>0</v>
      </c>
      <c r="AT95" s="635">
        <f>IF(Input!$F136=EGR,-Input!$E136*AT$83,SUMIF($C$5:$M$5,AT$6,$C95:$M95)*IF(OR(Input!$Z136=UniformDist,Input!$Z136=na),1/12,SUMPRODUCT(Input!$AB136:$AM136*(MONTH(AT$4)=MONTH(Input!$AB$128:$AM$128)))))</f>
        <v>0</v>
      </c>
      <c r="AU95" s="635">
        <f>IF(Input!$F136=EGR,-Input!$E136*AU$83,SUMIF($C$5:$M$5,AU$6,$C95:$M95)*IF(OR(Input!$Z136=UniformDist,Input!$Z136=na),1/12,SUMPRODUCT(Input!$AB136:$AM136*(MONTH(AU$4)=MONTH(Input!$AB$128:$AM$128)))))</f>
        <v>0</v>
      </c>
      <c r="AV95" s="635">
        <f>IF(Input!$F136=EGR,-Input!$E136*AV$83,SUMIF($C$5:$M$5,AV$6,$C95:$M95)*IF(OR(Input!$Z136=UniformDist,Input!$Z136=na),1/12,SUMPRODUCT(Input!$AB136:$AM136*(MONTH(AV$4)=MONTH(Input!$AB$128:$AM$128)))))</f>
        <v>0</v>
      </c>
      <c r="AW95" s="635">
        <f>IF(Input!$F136=EGR,-Input!$E136*AW$83,SUMIF($C$5:$M$5,AW$6,$C95:$M95)*IF(OR(Input!$Z136=UniformDist,Input!$Z136=na),1/12,SUMPRODUCT(Input!$AB136:$AM136*(MONTH(AW$4)=MONTH(Input!$AB$128:$AM$128)))))</f>
        <v>0</v>
      </c>
      <c r="AX95" s="635">
        <f>IF(Input!$F136=EGR,-Input!$E136*AX$83,SUMIF($C$5:$M$5,AX$6,$C95:$M95)*IF(OR(Input!$Z136=UniformDist,Input!$Z136=na),1/12,SUMPRODUCT(Input!$AB136:$AM136*(MONTH(AX$4)=MONTH(Input!$AB$128:$AM$128)))))</f>
        <v>0</v>
      </c>
      <c r="AY95" s="635">
        <f>IF(Input!$F136=EGR,-Input!$E136*AY$83,SUMIF($C$5:$M$5,AY$6,$C95:$M95)*IF(OR(Input!$Z136=UniformDist,Input!$Z136=na),1/12,SUMPRODUCT(Input!$AB136:$AM136*(MONTH(AY$4)=MONTH(Input!$AB$128:$AM$128)))))</f>
        <v>0</v>
      </c>
      <c r="AZ95" s="635">
        <f>IF(Input!$F136=EGR,-Input!$E136*AZ$83,SUMIF($C$5:$M$5,AZ$6,$C95:$M95)*IF(OR(Input!$Z136=UniformDist,Input!$Z136=na),1/12,SUMPRODUCT(Input!$AB136:$AM136*(MONTH(AZ$4)=MONTH(Input!$AB$128:$AM$128)))))</f>
        <v>0</v>
      </c>
      <c r="BA95" s="635">
        <f>IF(Input!$F136=EGR,-Input!$E136*BA$83,SUMIF($C$5:$M$5,BA$6,$C95:$M95)*IF(OR(Input!$Z136=UniformDist,Input!$Z136=na),1/12,SUMPRODUCT(Input!$AB136:$AM136*(MONTH(BA$4)=MONTH(Input!$AB$128:$AM$128)))))</f>
        <v>0</v>
      </c>
      <c r="BB95" s="192"/>
      <c r="BC95" s="192"/>
      <c r="BD95" s="192"/>
      <c r="BE95" s="192"/>
      <c r="BF95" s="192"/>
      <c r="BG95" s="192"/>
      <c r="BH95" s="192"/>
      <c r="BI95" s="192"/>
      <c r="BJ95" s="192"/>
      <c r="BK95" s="192"/>
      <c r="BL95" s="192"/>
      <c r="BM95" s="192"/>
      <c r="BN95" s="192"/>
      <c r="BO95" s="192"/>
      <c r="BP95" s="192"/>
      <c r="BQ95" s="192"/>
      <c r="BR95" s="192"/>
      <c r="BS95" s="192"/>
      <c r="BT95" s="192"/>
      <c r="BU95" s="192"/>
      <c r="BV95" s="192"/>
      <c r="BW95" s="192"/>
      <c r="BX95" s="192"/>
      <c r="BY95" s="192"/>
      <c r="BZ95" s="192"/>
      <c r="CA95" s="192"/>
      <c r="CB95" s="192"/>
      <c r="CC95" s="192"/>
      <c r="CD95" s="192"/>
      <c r="CE95" s="192"/>
      <c r="CF95" s="192"/>
      <c r="CG95" s="192"/>
      <c r="CH95" s="192"/>
      <c r="CI95" s="192"/>
      <c r="CJ95" s="192"/>
      <c r="CK95" s="192"/>
      <c r="CL95" s="192"/>
      <c r="CM95" s="192"/>
      <c r="CN95" s="192"/>
      <c r="CO95" s="192"/>
      <c r="CP95" s="192"/>
      <c r="CQ95" s="192"/>
      <c r="CR95" s="192"/>
      <c r="CS95" s="192"/>
      <c r="CT95" s="192"/>
      <c r="CU95" s="192"/>
      <c r="CV95" s="192"/>
      <c r="CW95" s="192"/>
      <c r="CX95" s="192"/>
      <c r="CY95" s="192"/>
      <c r="CZ95" s="192"/>
      <c r="DA95" s="192"/>
      <c r="DB95" s="192"/>
      <c r="DC95" s="192"/>
      <c r="DD95" s="192"/>
      <c r="DE95" s="192"/>
      <c r="DF95" s="192"/>
      <c r="DG95" s="192"/>
      <c r="DH95" s="192"/>
      <c r="DI95" s="192"/>
      <c r="DJ95" s="192"/>
      <c r="DK95" s="192"/>
      <c r="DL95" s="192"/>
      <c r="DM95" s="192"/>
      <c r="DN95" s="192"/>
      <c r="DO95" s="192"/>
      <c r="DP95" s="192"/>
      <c r="DQ95" s="192"/>
      <c r="DR95" s="192"/>
      <c r="DS95" s="192"/>
      <c r="DT95" s="192"/>
      <c r="DU95" s="192"/>
      <c r="DV95" s="192"/>
      <c r="DW95" s="192"/>
      <c r="DX95" s="192"/>
      <c r="DY95" s="192"/>
      <c r="DZ95" s="192"/>
      <c r="EA95" s="192"/>
      <c r="EB95" s="192"/>
      <c r="EC95" s="192"/>
      <c r="ED95" s="192"/>
      <c r="EE95" s="192"/>
      <c r="EF95" s="192"/>
      <c r="EG95" s="192"/>
      <c r="EH95" s="192"/>
      <c r="EI95" s="192"/>
      <c r="EJ95" s="192"/>
      <c r="EK95" s="192"/>
      <c r="EL95" s="192"/>
      <c r="EM95" s="192"/>
      <c r="EN95" s="192"/>
      <c r="EO95" s="192"/>
      <c r="EP95" s="192"/>
      <c r="EQ95" s="192"/>
      <c r="ER95" s="192"/>
      <c r="ES95" s="192"/>
      <c r="ET95" s="192"/>
    </row>
    <row r="96" spans="1:150">
      <c r="A96" s="192"/>
      <c r="B96" s="36" t="str">
        <f>Input!B137</f>
        <v>Turnover / Make-Ready</v>
      </c>
      <c r="C96" s="635">
        <f>-Input!G137</f>
        <v>0</v>
      </c>
      <c r="D96" s="635">
        <f>-Input!H137</f>
        <v>0</v>
      </c>
      <c r="E96" s="635">
        <f>-Input!I137</f>
        <v>0</v>
      </c>
      <c r="F96" s="635">
        <f>-Input!J137</f>
        <v>0</v>
      </c>
      <c r="G96" s="635">
        <f>-Input!K137</f>
        <v>0</v>
      </c>
      <c r="H96" s="635">
        <f>-Input!L137</f>
        <v>0</v>
      </c>
      <c r="I96" s="635">
        <f>-Input!M137</f>
        <v>0</v>
      </c>
      <c r="J96" s="635">
        <f>-Input!N137</f>
        <v>0</v>
      </c>
      <c r="K96" s="635">
        <f>-Input!O137</f>
        <v>0</v>
      </c>
      <c r="L96" s="635">
        <f>-Input!P137</f>
        <v>0</v>
      </c>
      <c r="M96" s="635">
        <f>-Input!Q137</f>
        <v>0</v>
      </c>
      <c r="N96" s="192"/>
      <c r="O96" s="635">
        <f>-IF(Input!AG234,SUMPRODUCT(FVSCHEDULE(Input!AG234,InflRate*($C$5:$L$5&lt;ReversionYear))),IF(Input!$F137=EGR,Input!S137*$O$83,Input!S137))</f>
        <v>0</v>
      </c>
      <c r="P96" s="192"/>
      <c r="Q96" s="37"/>
      <c r="R96" s="635">
        <f>IF(Input!$F137=EGR,-Input!$E137*R$83,SUMIF($C$5:$M$5,R$6,$C96:$M96)*IF(OR(Input!$Z137=UniformDist,Input!$Z137=na),1/12,SUMPRODUCT(Input!$AB137:$AM137*(MONTH(R$4)=MONTH(Input!$AB$128:$AM$128)))))</f>
        <v>0</v>
      </c>
      <c r="S96" s="635">
        <f>IF(Input!$F137=EGR,-Input!$E137*S$83,SUMIF($C$5:$M$5,S$6,$C96:$M96)*IF(OR(Input!$Z137=UniformDist,Input!$Z137=na),1/12,SUMPRODUCT(Input!$AB137:$AM137*(MONTH(S$4)=MONTH(Input!$AB$128:$AM$128)))))</f>
        <v>0</v>
      </c>
      <c r="T96" s="635">
        <f>IF(Input!$F137=EGR,-Input!$E137*T$83,SUMIF($C$5:$M$5,T$6,$C96:$M96)*IF(OR(Input!$Z137=UniformDist,Input!$Z137=na),1/12,SUMPRODUCT(Input!$AB137:$AM137*(MONTH(T$4)=MONTH(Input!$AB$128:$AM$128)))))</f>
        <v>0</v>
      </c>
      <c r="U96" s="635">
        <f>IF(Input!$F137=EGR,-Input!$E137*U$83,SUMIF($C$5:$M$5,U$6,$C96:$M96)*IF(OR(Input!$Z137=UniformDist,Input!$Z137=na),1/12,SUMPRODUCT(Input!$AB137:$AM137*(MONTH(U$4)=MONTH(Input!$AB$128:$AM$128)))))</f>
        <v>0</v>
      </c>
      <c r="V96" s="635">
        <f>IF(Input!$F137=EGR,-Input!$E137*V$83,SUMIF($C$5:$M$5,V$6,$C96:$M96)*IF(OR(Input!$Z137=UniformDist,Input!$Z137=na),1/12,SUMPRODUCT(Input!$AB137:$AM137*(MONTH(V$4)=MONTH(Input!$AB$128:$AM$128)))))</f>
        <v>0</v>
      </c>
      <c r="W96" s="635">
        <f>IF(Input!$F137=EGR,-Input!$E137*W$83,SUMIF($C$5:$M$5,W$6,$C96:$M96)*IF(OR(Input!$Z137=UniformDist,Input!$Z137=na),1/12,SUMPRODUCT(Input!$AB137:$AM137*(MONTH(W$4)=MONTH(Input!$AB$128:$AM$128)))))</f>
        <v>0</v>
      </c>
      <c r="X96" s="635">
        <f>IF(Input!$F137=EGR,-Input!$E137*X$83,SUMIF($C$5:$M$5,X$6,$C96:$M96)*IF(OR(Input!$Z137=UniformDist,Input!$Z137=na),1/12,SUMPRODUCT(Input!$AB137:$AM137*(MONTH(X$4)=MONTH(Input!$AB$128:$AM$128)))))</f>
        <v>0</v>
      </c>
      <c r="Y96" s="635">
        <f>IF(Input!$F137=EGR,-Input!$E137*Y$83,SUMIF($C$5:$M$5,Y$6,$C96:$M96)*IF(OR(Input!$Z137=UniformDist,Input!$Z137=na),1/12,SUMPRODUCT(Input!$AB137:$AM137*(MONTH(Y$4)=MONTH(Input!$AB$128:$AM$128)))))</f>
        <v>0</v>
      </c>
      <c r="Z96" s="635">
        <f>IF(Input!$F137=EGR,-Input!$E137*Z$83,SUMIF($C$5:$M$5,Z$6,$C96:$M96)*IF(OR(Input!$Z137=UniformDist,Input!$Z137=na),1/12,SUMPRODUCT(Input!$AB137:$AM137*(MONTH(Z$4)=MONTH(Input!$AB$128:$AM$128)))))</f>
        <v>0</v>
      </c>
      <c r="AA96" s="635">
        <f>IF(Input!$F137=EGR,-Input!$E137*AA$83,SUMIF($C$5:$M$5,AA$6,$C96:$M96)*IF(OR(Input!$Z137=UniformDist,Input!$Z137=na),1/12,SUMPRODUCT(Input!$AB137:$AM137*(MONTH(AA$4)=MONTH(Input!$AB$128:$AM$128)))))</f>
        <v>0</v>
      </c>
      <c r="AB96" s="635">
        <f>IF(Input!$F137=EGR,-Input!$E137*AB$83,SUMIF($C$5:$M$5,AB$6,$C96:$M96)*IF(OR(Input!$Z137=UniformDist,Input!$Z137=na),1/12,SUMPRODUCT(Input!$AB137:$AM137*(MONTH(AB$4)=MONTH(Input!$AB$128:$AM$128)))))</f>
        <v>0</v>
      </c>
      <c r="AC96" s="635">
        <f>IF(Input!$F137=EGR,-Input!$E137*AC$83,SUMIF($C$5:$M$5,AC$6,$C96:$M96)*IF(OR(Input!$Z137=UniformDist,Input!$Z137=na),1/12,SUMPRODUCT(Input!$AB137:$AM137*(MONTH(AC$4)=MONTH(Input!$AB$128:$AM$128)))))</f>
        <v>0</v>
      </c>
      <c r="AD96" s="635">
        <f>IF(Input!$F137=EGR,-Input!$E137*AD$83,SUMIF($C$5:$M$5,AD$6,$C96:$M96)*IF(OR(Input!$Z137=UniformDist,Input!$Z137=na),1/12,SUMPRODUCT(Input!$AB137:$AM137*(MONTH(AD$4)=MONTH(Input!$AB$128:$AM$128)))))</f>
        <v>0</v>
      </c>
      <c r="AE96" s="635">
        <f>IF(Input!$F137=EGR,-Input!$E137*AE$83,SUMIF($C$5:$M$5,AE$6,$C96:$M96)*IF(OR(Input!$Z137=UniformDist,Input!$Z137=na),1/12,SUMPRODUCT(Input!$AB137:$AM137*(MONTH(AE$4)=MONTH(Input!$AB$128:$AM$128)))))</f>
        <v>0</v>
      </c>
      <c r="AF96" s="635">
        <f>IF(Input!$F137=EGR,-Input!$E137*AF$83,SUMIF($C$5:$M$5,AF$6,$C96:$M96)*IF(OR(Input!$Z137=UniformDist,Input!$Z137=na),1/12,SUMPRODUCT(Input!$AB137:$AM137*(MONTH(AF$4)=MONTH(Input!$AB$128:$AM$128)))))</f>
        <v>0</v>
      </c>
      <c r="AG96" s="635">
        <f>IF(Input!$F137=EGR,-Input!$E137*AG$83,SUMIF($C$5:$M$5,AG$6,$C96:$M96)*IF(OR(Input!$Z137=UniformDist,Input!$Z137=na),1/12,SUMPRODUCT(Input!$AB137:$AM137*(MONTH(AG$4)=MONTH(Input!$AB$128:$AM$128)))))</f>
        <v>0</v>
      </c>
      <c r="AH96" s="635">
        <f>IF(Input!$F137=EGR,-Input!$E137*AH$83,SUMIF($C$5:$M$5,AH$6,$C96:$M96)*IF(OR(Input!$Z137=UniformDist,Input!$Z137=na),1/12,SUMPRODUCT(Input!$AB137:$AM137*(MONTH(AH$4)=MONTH(Input!$AB$128:$AM$128)))))</f>
        <v>0</v>
      </c>
      <c r="AI96" s="635">
        <f>IF(Input!$F137=EGR,-Input!$E137*AI$83,SUMIF($C$5:$M$5,AI$6,$C96:$M96)*IF(OR(Input!$Z137=UniformDist,Input!$Z137=na),1/12,SUMPRODUCT(Input!$AB137:$AM137*(MONTH(AI$4)=MONTH(Input!$AB$128:$AM$128)))))</f>
        <v>0</v>
      </c>
      <c r="AJ96" s="635">
        <f>IF(Input!$F137=EGR,-Input!$E137*AJ$83,SUMIF($C$5:$M$5,AJ$6,$C96:$M96)*IF(OR(Input!$Z137=UniformDist,Input!$Z137=na),1/12,SUMPRODUCT(Input!$AB137:$AM137*(MONTH(AJ$4)=MONTH(Input!$AB$128:$AM$128)))))</f>
        <v>0</v>
      </c>
      <c r="AK96" s="635">
        <f>IF(Input!$F137=EGR,-Input!$E137*AK$83,SUMIF($C$5:$M$5,AK$6,$C96:$M96)*IF(OR(Input!$Z137=UniformDist,Input!$Z137=na),1/12,SUMPRODUCT(Input!$AB137:$AM137*(MONTH(AK$4)=MONTH(Input!$AB$128:$AM$128)))))</f>
        <v>0</v>
      </c>
      <c r="AL96" s="635">
        <f>IF(Input!$F137=EGR,-Input!$E137*AL$83,SUMIF($C$5:$M$5,AL$6,$C96:$M96)*IF(OR(Input!$Z137=UniformDist,Input!$Z137=na),1/12,SUMPRODUCT(Input!$AB137:$AM137*(MONTH(AL$4)=MONTH(Input!$AB$128:$AM$128)))))</f>
        <v>0</v>
      </c>
      <c r="AM96" s="635">
        <f>IF(Input!$F137=EGR,-Input!$E137*AM$83,SUMIF($C$5:$M$5,AM$6,$C96:$M96)*IF(OR(Input!$Z137=UniformDist,Input!$Z137=na),1/12,SUMPRODUCT(Input!$AB137:$AM137*(MONTH(AM$4)=MONTH(Input!$AB$128:$AM$128)))))</f>
        <v>0</v>
      </c>
      <c r="AN96" s="635">
        <f>IF(Input!$F137=EGR,-Input!$E137*AN$83,SUMIF($C$5:$M$5,AN$6,$C96:$M96)*IF(OR(Input!$Z137=UniformDist,Input!$Z137=na),1/12,SUMPRODUCT(Input!$AB137:$AM137*(MONTH(AN$4)=MONTH(Input!$AB$128:$AM$128)))))</f>
        <v>0</v>
      </c>
      <c r="AO96" s="635">
        <f>IF(Input!$F137=EGR,-Input!$E137*AO$83,SUMIF($C$5:$M$5,AO$6,$C96:$M96)*IF(OR(Input!$Z137=UniformDist,Input!$Z137=na),1/12,SUMPRODUCT(Input!$AB137:$AM137*(MONTH(AO$4)=MONTH(Input!$AB$128:$AM$128)))))</f>
        <v>0</v>
      </c>
      <c r="AP96" s="635">
        <f>IF(Input!$F137=EGR,-Input!$E137*AP$83,SUMIF($C$5:$M$5,AP$6,$C96:$M96)*IF(OR(Input!$Z137=UniformDist,Input!$Z137=na),1/12,SUMPRODUCT(Input!$AB137:$AM137*(MONTH(AP$4)=MONTH(Input!$AB$128:$AM$128)))))</f>
        <v>0</v>
      </c>
      <c r="AQ96" s="635">
        <f>IF(Input!$F137=EGR,-Input!$E137*AQ$83,SUMIF($C$5:$M$5,AQ$6,$C96:$M96)*IF(OR(Input!$Z137=UniformDist,Input!$Z137=na),1/12,SUMPRODUCT(Input!$AB137:$AM137*(MONTH(AQ$4)=MONTH(Input!$AB$128:$AM$128)))))</f>
        <v>0</v>
      </c>
      <c r="AR96" s="635">
        <f>IF(Input!$F137=EGR,-Input!$E137*AR$83,SUMIF($C$5:$M$5,AR$6,$C96:$M96)*IF(OR(Input!$Z137=UniformDist,Input!$Z137=na),1/12,SUMPRODUCT(Input!$AB137:$AM137*(MONTH(AR$4)=MONTH(Input!$AB$128:$AM$128)))))</f>
        <v>0</v>
      </c>
      <c r="AS96" s="635">
        <f>IF(Input!$F137=EGR,-Input!$E137*AS$83,SUMIF($C$5:$M$5,AS$6,$C96:$M96)*IF(OR(Input!$Z137=UniformDist,Input!$Z137=na),1/12,SUMPRODUCT(Input!$AB137:$AM137*(MONTH(AS$4)=MONTH(Input!$AB$128:$AM$128)))))</f>
        <v>0</v>
      </c>
      <c r="AT96" s="635">
        <f>IF(Input!$F137=EGR,-Input!$E137*AT$83,SUMIF($C$5:$M$5,AT$6,$C96:$M96)*IF(OR(Input!$Z137=UniformDist,Input!$Z137=na),1/12,SUMPRODUCT(Input!$AB137:$AM137*(MONTH(AT$4)=MONTH(Input!$AB$128:$AM$128)))))</f>
        <v>0</v>
      </c>
      <c r="AU96" s="635">
        <f>IF(Input!$F137=EGR,-Input!$E137*AU$83,SUMIF($C$5:$M$5,AU$6,$C96:$M96)*IF(OR(Input!$Z137=UniformDist,Input!$Z137=na),1/12,SUMPRODUCT(Input!$AB137:$AM137*(MONTH(AU$4)=MONTH(Input!$AB$128:$AM$128)))))</f>
        <v>0</v>
      </c>
      <c r="AV96" s="635">
        <f>IF(Input!$F137=EGR,-Input!$E137*AV$83,SUMIF($C$5:$M$5,AV$6,$C96:$M96)*IF(OR(Input!$Z137=UniformDist,Input!$Z137=na),1/12,SUMPRODUCT(Input!$AB137:$AM137*(MONTH(AV$4)=MONTH(Input!$AB$128:$AM$128)))))</f>
        <v>0</v>
      </c>
      <c r="AW96" s="635">
        <f>IF(Input!$F137=EGR,-Input!$E137*AW$83,SUMIF($C$5:$M$5,AW$6,$C96:$M96)*IF(OR(Input!$Z137=UniformDist,Input!$Z137=na),1/12,SUMPRODUCT(Input!$AB137:$AM137*(MONTH(AW$4)=MONTH(Input!$AB$128:$AM$128)))))</f>
        <v>0</v>
      </c>
      <c r="AX96" s="635">
        <f>IF(Input!$F137=EGR,-Input!$E137*AX$83,SUMIF($C$5:$M$5,AX$6,$C96:$M96)*IF(OR(Input!$Z137=UniformDist,Input!$Z137=na),1/12,SUMPRODUCT(Input!$AB137:$AM137*(MONTH(AX$4)=MONTH(Input!$AB$128:$AM$128)))))</f>
        <v>0</v>
      </c>
      <c r="AY96" s="635">
        <f>IF(Input!$F137=EGR,-Input!$E137*AY$83,SUMIF($C$5:$M$5,AY$6,$C96:$M96)*IF(OR(Input!$Z137=UniformDist,Input!$Z137=na),1/12,SUMPRODUCT(Input!$AB137:$AM137*(MONTH(AY$4)=MONTH(Input!$AB$128:$AM$128)))))</f>
        <v>0</v>
      </c>
      <c r="AZ96" s="635">
        <f>IF(Input!$F137=EGR,-Input!$E137*AZ$83,SUMIF($C$5:$M$5,AZ$6,$C96:$M96)*IF(OR(Input!$Z137=UniformDist,Input!$Z137=na),1/12,SUMPRODUCT(Input!$AB137:$AM137*(MONTH(AZ$4)=MONTH(Input!$AB$128:$AM$128)))))</f>
        <v>0</v>
      </c>
      <c r="BA96" s="635">
        <f>IF(Input!$F137=EGR,-Input!$E137*BA$83,SUMIF($C$5:$M$5,BA$6,$C96:$M96)*IF(OR(Input!$Z137=UniformDist,Input!$Z137=na),1/12,SUMPRODUCT(Input!$AB137:$AM137*(MONTH(BA$4)=MONTH(Input!$AB$128:$AM$128)))))</f>
        <v>0</v>
      </c>
      <c r="BB96" s="192"/>
      <c r="BC96" s="192"/>
      <c r="BD96" s="192"/>
      <c r="BE96" s="192"/>
      <c r="BF96" s="192"/>
      <c r="BG96" s="192"/>
      <c r="BH96" s="192"/>
      <c r="BI96" s="192"/>
      <c r="BJ96" s="192"/>
      <c r="BK96" s="192"/>
      <c r="BL96" s="192"/>
      <c r="BM96" s="192"/>
      <c r="BN96" s="192"/>
      <c r="BO96" s="192"/>
      <c r="BP96" s="192"/>
      <c r="BQ96" s="192"/>
      <c r="BR96" s="192"/>
      <c r="BS96" s="192"/>
      <c r="BT96" s="192"/>
      <c r="BU96" s="192"/>
      <c r="BV96" s="192"/>
      <c r="BW96" s="192"/>
      <c r="BX96" s="192"/>
      <c r="BY96" s="192"/>
      <c r="BZ96" s="192"/>
      <c r="CA96" s="192"/>
      <c r="CB96" s="192"/>
      <c r="CC96" s="192"/>
      <c r="CD96" s="192"/>
      <c r="CE96" s="192"/>
      <c r="CF96" s="192"/>
      <c r="CG96" s="192"/>
      <c r="CH96" s="192"/>
      <c r="CI96" s="192"/>
      <c r="CJ96" s="192"/>
      <c r="CK96" s="192"/>
      <c r="CL96" s="192"/>
      <c r="CM96" s="192"/>
      <c r="CN96" s="192"/>
      <c r="CO96" s="192"/>
      <c r="CP96" s="192"/>
      <c r="CQ96" s="192"/>
      <c r="CR96" s="192"/>
      <c r="CS96" s="192"/>
      <c r="CT96" s="192"/>
      <c r="CU96" s="192"/>
      <c r="CV96" s="192"/>
      <c r="CW96" s="192"/>
      <c r="CX96" s="192"/>
      <c r="CY96" s="192"/>
      <c r="CZ96" s="192"/>
      <c r="DA96" s="192"/>
      <c r="DB96" s="192"/>
      <c r="DC96" s="192"/>
      <c r="DD96" s="192"/>
      <c r="DE96" s="192"/>
      <c r="DF96" s="192"/>
      <c r="DG96" s="192"/>
      <c r="DH96" s="192"/>
      <c r="DI96" s="192"/>
      <c r="DJ96" s="192"/>
      <c r="DK96" s="192"/>
      <c r="DL96" s="192"/>
      <c r="DM96" s="192"/>
      <c r="DN96" s="192"/>
      <c r="DO96" s="192"/>
      <c r="DP96" s="192"/>
      <c r="DQ96" s="192"/>
      <c r="DR96" s="192"/>
      <c r="DS96" s="192"/>
      <c r="DT96" s="192"/>
      <c r="DU96" s="192"/>
      <c r="DV96" s="192"/>
      <c r="DW96" s="192"/>
      <c r="DX96" s="192"/>
      <c r="DY96" s="192"/>
      <c r="DZ96" s="192"/>
      <c r="EA96" s="192"/>
      <c r="EB96" s="192"/>
      <c r="EC96" s="192"/>
      <c r="ED96" s="192"/>
      <c r="EE96" s="192"/>
      <c r="EF96" s="192"/>
      <c r="EG96" s="192"/>
      <c r="EH96" s="192"/>
      <c r="EI96" s="192"/>
      <c r="EJ96" s="192"/>
      <c r="EK96" s="192"/>
      <c r="EL96" s="192"/>
      <c r="EM96" s="192"/>
      <c r="EN96" s="192"/>
      <c r="EO96" s="192"/>
      <c r="EP96" s="192"/>
      <c r="EQ96" s="192"/>
      <c r="ER96" s="192"/>
      <c r="ES96" s="192"/>
      <c r="ET96" s="192"/>
    </row>
    <row r="97" spans="1:150">
      <c r="A97" s="192"/>
      <c r="B97" s="36" t="str">
        <f>Input!B138</f>
        <v>Electricity</v>
      </c>
      <c r="C97" s="635">
        <f>-Input!G138</f>
        <v>0</v>
      </c>
      <c r="D97" s="635">
        <f>-Input!H138</f>
        <v>0</v>
      </c>
      <c r="E97" s="635">
        <f>-Input!I138</f>
        <v>0</v>
      </c>
      <c r="F97" s="635">
        <f>-Input!J138</f>
        <v>0</v>
      </c>
      <c r="G97" s="635">
        <f>-Input!K138</f>
        <v>0</v>
      </c>
      <c r="H97" s="635">
        <f>-Input!L138</f>
        <v>0</v>
      </c>
      <c r="I97" s="635">
        <f>-Input!M138</f>
        <v>0</v>
      </c>
      <c r="J97" s="635">
        <f>-Input!N138</f>
        <v>0</v>
      </c>
      <c r="K97" s="635">
        <f>-Input!O138</f>
        <v>0</v>
      </c>
      <c r="L97" s="635">
        <f>-Input!P138</f>
        <v>0</v>
      </c>
      <c r="M97" s="635">
        <f>-Input!Q138</f>
        <v>0</v>
      </c>
      <c r="N97" s="192"/>
      <c r="O97" s="635">
        <f>-IF(Input!AG235,SUMPRODUCT(FVSCHEDULE(Input!AG235,InflRate*($C$5:$L$5&lt;ReversionYear))),IF(Input!$F138=EGR,Input!S138*$O$83,Input!S138))</f>
        <v>0</v>
      </c>
      <c r="P97" s="192"/>
      <c r="Q97" s="37"/>
      <c r="R97" s="635">
        <f>IF(Input!$F138=EGR,-Input!$E138*R$83,SUMIF($C$5:$M$5,R$6,$C97:$M97)*IF(OR(Input!$Z138=UniformDist,Input!$Z138=na),1/12,SUMPRODUCT(Input!$AB138:$AM138*(MONTH(R$4)=MONTH(Input!$AB$128:$AM$128)))))</f>
        <v>0</v>
      </c>
      <c r="S97" s="635">
        <f>IF(Input!$F138=EGR,-Input!$E138*S$83,SUMIF($C$5:$M$5,S$6,$C97:$M97)*IF(OR(Input!$Z138=UniformDist,Input!$Z138=na),1/12,SUMPRODUCT(Input!$AB138:$AM138*(MONTH(S$4)=MONTH(Input!$AB$128:$AM$128)))))</f>
        <v>0</v>
      </c>
      <c r="T97" s="635">
        <f>IF(Input!$F138=EGR,-Input!$E138*T$83,SUMIF($C$5:$M$5,T$6,$C97:$M97)*IF(OR(Input!$Z138=UniformDist,Input!$Z138=na),1/12,SUMPRODUCT(Input!$AB138:$AM138*(MONTH(T$4)=MONTH(Input!$AB$128:$AM$128)))))</f>
        <v>0</v>
      </c>
      <c r="U97" s="635">
        <f>IF(Input!$F138=EGR,-Input!$E138*U$83,SUMIF($C$5:$M$5,U$6,$C97:$M97)*IF(OR(Input!$Z138=UniformDist,Input!$Z138=na),1/12,SUMPRODUCT(Input!$AB138:$AM138*(MONTH(U$4)=MONTH(Input!$AB$128:$AM$128)))))</f>
        <v>0</v>
      </c>
      <c r="V97" s="635">
        <f>IF(Input!$F138=EGR,-Input!$E138*V$83,SUMIF($C$5:$M$5,V$6,$C97:$M97)*IF(OR(Input!$Z138=UniformDist,Input!$Z138=na),1/12,SUMPRODUCT(Input!$AB138:$AM138*(MONTH(V$4)=MONTH(Input!$AB$128:$AM$128)))))</f>
        <v>0</v>
      </c>
      <c r="W97" s="635">
        <f>IF(Input!$F138=EGR,-Input!$E138*W$83,SUMIF($C$5:$M$5,W$6,$C97:$M97)*IF(OR(Input!$Z138=UniformDist,Input!$Z138=na),1/12,SUMPRODUCT(Input!$AB138:$AM138*(MONTH(W$4)=MONTH(Input!$AB$128:$AM$128)))))</f>
        <v>0</v>
      </c>
      <c r="X97" s="635">
        <f>IF(Input!$F138=EGR,-Input!$E138*X$83,SUMIF($C$5:$M$5,X$6,$C97:$M97)*IF(OR(Input!$Z138=UniformDist,Input!$Z138=na),1/12,SUMPRODUCT(Input!$AB138:$AM138*(MONTH(X$4)=MONTH(Input!$AB$128:$AM$128)))))</f>
        <v>0</v>
      </c>
      <c r="Y97" s="635">
        <f>IF(Input!$F138=EGR,-Input!$E138*Y$83,SUMIF($C$5:$M$5,Y$6,$C97:$M97)*IF(OR(Input!$Z138=UniformDist,Input!$Z138=na),1/12,SUMPRODUCT(Input!$AB138:$AM138*(MONTH(Y$4)=MONTH(Input!$AB$128:$AM$128)))))</f>
        <v>0</v>
      </c>
      <c r="Z97" s="635">
        <f>IF(Input!$F138=EGR,-Input!$E138*Z$83,SUMIF($C$5:$M$5,Z$6,$C97:$M97)*IF(OR(Input!$Z138=UniformDist,Input!$Z138=na),1/12,SUMPRODUCT(Input!$AB138:$AM138*(MONTH(Z$4)=MONTH(Input!$AB$128:$AM$128)))))</f>
        <v>0</v>
      </c>
      <c r="AA97" s="635">
        <f>IF(Input!$F138=EGR,-Input!$E138*AA$83,SUMIF($C$5:$M$5,AA$6,$C97:$M97)*IF(OR(Input!$Z138=UniformDist,Input!$Z138=na),1/12,SUMPRODUCT(Input!$AB138:$AM138*(MONTH(AA$4)=MONTH(Input!$AB$128:$AM$128)))))</f>
        <v>0</v>
      </c>
      <c r="AB97" s="635">
        <f>IF(Input!$F138=EGR,-Input!$E138*AB$83,SUMIF($C$5:$M$5,AB$6,$C97:$M97)*IF(OR(Input!$Z138=UniformDist,Input!$Z138=na),1/12,SUMPRODUCT(Input!$AB138:$AM138*(MONTH(AB$4)=MONTH(Input!$AB$128:$AM$128)))))</f>
        <v>0</v>
      </c>
      <c r="AC97" s="635">
        <f>IF(Input!$F138=EGR,-Input!$E138*AC$83,SUMIF($C$5:$M$5,AC$6,$C97:$M97)*IF(OR(Input!$Z138=UniformDist,Input!$Z138=na),1/12,SUMPRODUCT(Input!$AB138:$AM138*(MONTH(AC$4)=MONTH(Input!$AB$128:$AM$128)))))</f>
        <v>0</v>
      </c>
      <c r="AD97" s="635">
        <f>IF(Input!$F138=EGR,-Input!$E138*AD$83,SUMIF($C$5:$M$5,AD$6,$C97:$M97)*IF(OR(Input!$Z138=UniformDist,Input!$Z138=na),1/12,SUMPRODUCT(Input!$AB138:$AM138*(MONTH(AD$4)=MONTH(Input!$AB$128:$AM$128)))))</f>
        <v>0</v>
      </c>
      <c r="AE97" s="635">
        <f>IF(Input!$F138=EGR,-Input!$E138*AE$83,SUMIF($C$5:$M$5,AE$6,$C97:$M97)*IF(OR(Input!$Z138=UniformDist,Input!$Z138=na),1/12,SUMPRODUCT(Input!$AB138:$AM138*(MONTH(AE$4)=MONTH(Input!$AB$128:$AM$128)))))</f>
        <v>0</v>
      </c>
      <c r="AF97" s="635">
        <f>IF(Input!$F138=EGR,-Input!$E138*AF$83,SUMIF($C$5:$M$5,AF$6,$C97:$M97)*IF(OR(Input!$Z138=UniformDist,Input!$Z138=na),1/12,SUMPRODUCT(Input!$AB138:$AM138*(MONTH(AF$4)=MONTH(Input!$AB$128:$AM$128)))))</f>
        <v>0</v>
      </c>
      <c r="AG97" s="635">
        <f>IF(Input!$F138=EGR,-Input!$E138*AG$83,SUMIF($C$5:$M$5,AG$6,$C97:$M97)*IF(OR(Input!$Z138=UniformDist,Input!$Z138=na),1/12,SUMPRODUCT(Input!$AB138:$AM138*(MONTH(AG$4)=MONTH(Input!$AB$128:$AM$128)))))</f>
        <v>0</v>
      </c>
      <c r="AH97" s="635">
        <f>IF(Input!$F138=EGR,-Input!$E138*AH$83,SUMIF($C$5:$M$5,AH$6,$C97:$M97)*IF(OR(Input!$Z138=UniformDist,Input!$Z138=na),1/12,SUMPRODUCT(Input!$AB138:$AM138*(MONTH(AH$4)=MONTH(Input!$AB$128:$AM$128)))))</f>
        <v>0</v>
      </c>
      <c r="AI97" s="635">
        <f>IF(Input!$F138=EGR,-Input!$E138*AI$83,SUMIF($C$5:$M$5,AI$6,$C97:$M97)*IF(OR(Input!$Z138=UniformDist,Input!$Z138=na),1/12,SUMPRODUCT(Input!$AB138:$AM138*(MONTH(AI$4)=MONTH(Input!$AB$128:$AM$128)))))</f>
        <v>0</v>
      </c>
      <c r="AJ97" s="635">
        <f>IF(Input!$F138=EGR,-Input!$E138*AJ$83,SUMIF($C$5:$M$5,AJ$6,$C97:$M97)*IF(OR(Input!$Z138=UniformDist,Input!$Z138=na),1/12,SUMPRODUCT(Input!$AB138:$AM138*(MONTH(AJ$4)=MONTH(Input!$AB$128:$AM$128)))))</f>
        <v>0</v>
      </c>
      <c r="AK97" s="635">
        <f>IF(Input!$F138=EGR,-Input!$E138*AK$83,SUMIF($C$5:$M$5,AK$6,$C97:$M97)*IF(OR(Input!$Z138=UniformDist,Input!$Z138=na),1/12,SUMPRODUCT(Input!$AB138:$AM138*(MONTH(AK$4)=MONTH(Input!$AB$128:$AM$128)))))</f>
        <v>0</v>
      </c>
      <c r="AL97" s="635">
        <f>IF(Input!$F138=EGR,-Input!$E138*AL$83,SUMIF($C$5:$M$5,AL$6,$C97:$M97)*IF(OR(Input!$Z138=UniformDist,Input!$Z138=na),1/12,SUMPRODUCT(Input!$AB138:$AM138*(MONTH(AL$4)=MONTH(Input!$AB$128:$AM$128)))))</f>
        <v>0</v>
      </c>
      <c r="AM97" s="635">
        <f>IF(Input!$F138=EGR,-Input!$E138*AM$83,SUMIF($C$5:$M$5,AM$6,$C97:$M97)*IF(OR(Input!$Z138=UniformDist,Input!$Z138=na),1/12,SUMPRODUCT(Input!$AB138:$AM138*(MONTH(AM$4)=MONTH(Input!$AB$128:$AM$128)))))</f>
        <v>0</v>
      </c>
      <c r="AN97" s="635">
        <f>IF(Input!$F138=EGR,-Input!$E138*AN$83,SUMIF($C$5:$M$5,AN$6,$C97:$M97)*IF(OR(Input!$Z138=UniformDist,Input!$Z138=na),1/12,SUMPRODUCT(Input!$AB138:$AM138*(MONTH(AN$4)=MONTH(Input!$AB$128:$AM$128)))))</f>
        <v>0</v>
      </c>
      <c r="AO97" s="635">
        <f>IF(Input!$F138=EGR,-Input!$E138*AO$83,SUMIF($C$5:$M$5,AO$6,$C97:$M97)*IF(OR(Input!$Z138=UniformDist,Input!$Z138=na),1/12,SUMPRODUCT(Input!$AB138:$AM138*(MONTH(AO$4)=MONTH(Input!$AB$128:$AM$128)))))</f>
        <v>0</v>
      </c>
      <c r="AP97" s="635">
        <f>IF(Input!$F138=EGR,-Input!$E138*AP$83,SUMIF($C$5:$M$5,AP$6,$C97:$M97)*IF(OR(Input!$Z138=UniformDist,Input!$Z138=na),1/12,SUMPRODUCT(Input!$AB138:$AM138*(MONTH(AP$4)=MONTH(Input!$AB$128:$AM$128)))))</f>
        <v>0</v>
      </c>
      <c r="AQ97" s="635">
        <f>IF(Input!$F138=EGR,-Input!$E138*AQ$83,SUMIF($C$5:$M$5,AQ$6,$C97:$M97)*IF(OR(Input!$Z138=UniformDist,Input!$Z138=na),1/12,SUMPRODUCT(Input!$AB138:$AM138*(MONTH(AQ$4)=MONTH(Input!$AB$128:$AM$128)))))</f>
        <v>0</v>
      </c>
      <c r="AR97" s="635">
        <f>IF(Input!$F138=EGR,-Input!$E138*AR$83,SUMIF($C$5:$M$5,AR$6,$C97:$M97)*IF(OR(Input!$Z138=UniformDist,Input!$Z138=na),1/12,SUMPRODUCT(Input!$AB138:$AM138*(MONTH(AR$4)=MONTH(Input!$AB$128:$AM$128)))))</f>
        <v>0</v>
      </c>
      <c r="AS97" s="635">
        <f>IF(Input!$F138=EGR,-Input!$E138*AS$83,SUMIF($C$5:$M$5,AS$6,$C97:$M97)*IF(OR(Input!$Z138=UniformDist,Input!$Z138=na),1/12,SUMPRODUCT(Input!$AB138:$AM138*(MONTH(AS$4)=MONTH(Input!$AB$128:$AM$128)))))</f>
        <v>0</v>
      </c>
      <c r="AT97" s="635">
        <f>IF(Input!$F138=EGR,-Input!$E138*AT$83,SUMIF($C$5:$M$5,AT$6,$C97:$M97)*IF(OR(Input!$Z138=UniformDist,Input!$Z138=na),1/12,SUMPRODUCT(Input!$AB138:$AM138*(MONTH(AT$4)=MONTH(Input!$AB$128:$AM$128)))))</f>
        <v>0</v>
      </c>
      <c r="AU97" s="635">
        <f>IF(Input!$F138=EGR,-Input!$E138*AU$83,SUMIF($C$5:$M$5,AU$6,$C97:$M97)*IF(OR(Input!$Z138=UniformDist,Input!$Z138=na),1/12,SUMPRODUCT(Input!$AB138:$AM138*(MONTH(AU$4)=MONTH(Input!$AB$128:$AM$128)))))</f>
        <v>0</v>
      </c>
      <c r="AV97" s="635">
        <f>IF(Input!$F138=EGR,-Input!$E138*AV$83,SUMIF($C$5:$M$5,AV$6,$C97:$M97)*IF(OR(Input!$Z138=UniformDist,Input!$Z138=na),1/12,SUMPRODUCT(Input!$AB138:$AM138*(MONTH(AV$4)=MONTH(Input!$AB$128:$AM$128)))))</f>
        <v>0</v>
      </c>
      <c r="AW97" s="635">
        <f>IF(Input!$F138=EGR,-Input!$E138*AW$83,SUMIF($C$5:$M$5,AW$6,$C97:$M97)*IF(OR(Input!$Z138=UniformDist,Input!$Z138=na),1/12,SUMPRODUCT(Input!$AB138:$AM138*(MONTH(AW$4)=MONTH(Input!$AB$128:$AM$128)))))</f>
        <v>0</v>
      </c>
      <c r="AX97" s="635">
        <f>IF(Input!$F138=EGR,-Input!$E138*AX$83,SUMIF($C$5:$M$5,AX$6,$C97:$M97)*IF(OR(Input!$Z138=UniformDist,Input!$Z138=na),1/12,SUMPRODUCT(Input!$AB138:$AM138*(MONTH(AX$4)=MONTH(Input!$AB$128:$AM$128)))))</f>
        <v>0</v>
      </c>
      <c r="AY97" s="635">
        <f>IF(Input!$F138=EGR,-Input!$E138*AY$83,SUMIF($C$5:$M$5,AY$6,$C97:$M97)*IF(OR(Input!$Z138=UniformDist,Input!$Z138=na),1/12,SUMPRODUCT(Input!$AB138:$AM138*(MONTH(AY$4)=MONTH(Input!$AB$128:$AM$128)))))</f>
        <v>0</v>
      </c>
      <c r="AZ97" s="635">
        <f>IF(Input!$F138=EGR,-Input!$E138*AZ$83,SUMIF($C$5:$M$5,AZ$6,$C97:$M97)*IF(OR(Input!$Z138=UniformDist,Input!$Z138=na),1/12,SUMPRODUCT(Input!$AB138:$AM138*(MONTH(AZ$4)=MONTH(Input!$AB$128:$AM$128)))))</f>
        <v>0</v>
      </c>
      <c r="BA97" s="635">
        <f>IF(Input!$F138=EGR,-Input!$E138*BA$83,SUMIF($C$5:$M$5,BA$6,$C97:$M97)*IF(OR(Input!$Z138=UniformDist,Input!$Z138=na),1/12,SUMPRODUCT(Input!$AB138:$AM138*(MONTH(BA$4)=MONTH(Input!$AB$128:$AM$128)))))</f>
        <v>0</v>
      </c>
      <c r="BB97" s="192"/>
      <c r="BC97" s="192"/>
      <c r="BD97" s="192"/>
      <c r="BE97" s="192"/>
      <c r="BF97" s="192"/>
      <c r="BG97" s="192"/>
      <c r="BH97" s="192"/>
      <c r="BI97" s="192"/>
      <c r="BJ97" s="192"/>
      <c r="BK97" s="192"/>
      <c r="BL97" s="192"/>
      <c r="BM97" s="192"/>
      <c r="BN97" s="192"/>
      <c r="BO97" s="192"/>
      <c r="BP97" s="192"/>
      <c r="BQ97" s="192"/>
      <c r="BR97" s="192"/>
      <c r="BS97" s="192"/>
      <c r="BT97" s="192"/>
      <c r="BU97" s="192"/>
      <c r="BV97" s="192"/>
      <c r="BW97" s="192"/>
      <c r="BX97" s="192"/>
      <c r="BY97" s="192"/>
      <c r="BZ97" s="192"/>
      <c r="CA97" s="192"/>
      <c r="CB97" s="192"/>
      <c r="CC97" s="192"/>
      <c r="CD97" s="192"/>
      <c r="CE97" s="192"/>
      <c r="CF97" s="192"/>
      <c r="CG97" s="192"/>
      <c r="CH97" s="192"/>
      <c r="CI97" s="192"/>
      <c r="CJ97" s="192"/>
      <c r="CK97" s="192"/>
      <c r="CL97" s="192"/>
      <c r="CM97" s="192"/>
      <c r="CN97" s="192"/>
      <c r="CO97" s="192"/>
      <c r="CP97" s="192"/>
      <c r="CQ97" s="192"/>
      <c r="CR97" s="192"/>
      <c r="CS97" s="192"/>
      <c r="CT97" s="192"/>
      <c r="CU97" s="192"/>
      <c r="CV97" s="192"/>
      <c r="CW97" s="192"/>
      <c r="CX97" s="192"/>
      <c r="CY97" s="192"/>
      <c r="CZ97" s="192"/>
      <c r="DA97" s="192"/>
      <c r="DB97" s="192"/>
      <c r="DC97" s="192"/>
      <c r="DD97" s="192"/>
      <c r="DE97" s="192"/>
      <c r="DF97" s="192"/>
      <c r="DG97" s="192"/>
      <c r="DH97" s="192"/>
      <c r="DI97" s="192"/>
      <c r="DJ97" s="192"/>
      <c r="DK97" s="192"/>
      <c r="DL97" s="192"/>
      <c r="DM97" s="192"/>
      <c r="DN97" s="192"/>
      <c r="DO97" s="192"/>
      <c r="DP97" s="192"/>
      <c r="DQ97" s="192"/>
      <c r="DR97" s="192"/>
      <c r="DS97" s="192"/>
      <c r="DT97" s="192"/>
      <c r="DU97" s="192"/>
      <c r="DV97" s="192"/>
      <c r="DW97" s="192"/>
      <c r="DX97" s="192"/>
      <c r="DY97" s="192"/>
      <c r="DZ97" s="192"/>
      <c r="EA97" s="192"/>
      <c r="EB97" s="192"/>
      <c r="EC97" s="192"/>
      <c r="ED97" s="192"/>
      <c r="EE97" s="192"/>
      <c r="EF97" s="192"/>
      <c r="EG97" s="192"/>
      <c r="EH97" s="192"/>
      <c r="EI97" s="192"/>
      <c r="EJ97" s="192"/>
      <c r="EK97" s="192"/>
      <c r="EL97" s="192"/>
      <c r="EM97" s="192"/>
      <c r="EN97" s="192"/>
      <c r="EO97" s="192"/>
      <c r="EP97" s="192"/>
      <c r="EQ97" s="192"/>
      <c r="ER97" s="192"/>
      <c r="ES97" s="192"/>
      <c r="ET97" s="192"/>
    </row>
    <row r="98" spans="1:150">
      <c r="A98" s="192"/>
      <c r="B98" s="36" t="str">
        <f>Input!B139</f>
        <v>Fuel (Gas &amp; Oil)</v>
      </c>
      <c r="C98" s="635">
        <f>-Input!G139</f>
        <v>0</v>
      </c>
      <c r="D98" s="635">
        <f>-Input!H139</f>
        <v>0</v>
      </c>
      <c r="E98" s="635">
        <f>-Input!I139</f>
        <v>0</v>
      </c>
      <c r="F98" s="635">
        <f>-Input!J139</f>
        <v>0</v>
      </c>
      <c r="G98" s="635">
        <f>-Input!K139</f>
        <v>0</v>
      </c>
      <c r="H98" s="635">
        <f>-Input!L139</f>
        <v>0</v>
      </c>
      <c r="I98" s="635">
        <f>-Input!M139</f>
        <v>0</v>
      </c>
      <c r="J98" s="635">
        <f>-Input!N139</f>
        <v>0</v>
      </c>
      <c r="K98" s="635">
        <f>-Input!O139</f>
        <v>0</v>
      </c>
      <c r="L98" s="635">
        <f>-Input!P139</f>
        <v>0</v>
      </c>
      <c r="M98" s="635">
        <f>-Input!Q139</f>
        <v>0</v>
      </c>
      <c r="N98" s="192"/>
      <c r="O98" s="635">
        <f>-IF(Input!AG236,SUMPRODUCT(FVSCHEDULE(Input!AG236,InflRate*($C$5:$L$5&lt;ReversionYear))),IF(Input!$F139=EGR,Input!S139*$O$83,Input!S139))</f>
        <v>0</v>
      </c>
      <c r="P98" s="192"/>
      <c r="Q98" s="37"/>
      <c r="R98" s="635">
        <f>IF(Input!$F139=EGR,-Input!$E139*R$83,SUMIF($C$5:$M$5,R$6,$C98:$M98)*IF(OR(Input!$Z139=UniformDist,Input!$Z139=na),1/12,SUMPRODUCT(Input!$AB139:$AM139*(MONTH(R$4)=MONTH(Input!$AB$128:$AM$128)))))</f>
        <v>0</v>
      </c>
      <c r="S98" s="635">
        <f>IF(Input!$F139=EGR,-Input!$E139*S$83,SUMIF($C$5:$M$5,S$6,$C98:$M98)*IF(OR(Input!$Z139=UniformDist,Input!$Z139=na),1/12,SUMPRODUCT(Input!$AB139:$AM139*(MONTH(S$4)=MONTH(Input!$AB$128:$AM$128)))))</f>
        <v>0</v>
      </c>
      <c r="T98" s="635">
        <f>IF(Input!$F139=EGR,-Input!$E139*T$83,SUMIF($C$5:$M$5,T$6,$C98:$M98)*IF(OR(Input!$Z139=UniformDist,Input!$Z139=na),1/12,SUMPRODUCT(Input!$AB139:$AM139*(MONTH(T$4)=MONTH(Input!$AB$128:$AM$128)))))</f>
        <v>0</v>
      </c>
      <c r="U98" s="635">
        <f>IF(Input!$F139=EGR,-Input!$E139*U$83,SUMIF($C$5:$M$5,U$6,$C98:$M98)*IF(OR(Input!$Z139=UniformDist,Input!$Z139=na),1/12,SUMPRODUCT(Input!$AB139:$AM139*(MONTH(U$4)=MONTH(Input!$AB$128:$AM$128)))))</f>
        <v>0</v>
      </c>
      <c r="V98" s="635">
        <f>IF(Input!$F139=EGR,-Input!$E139*V$83,SUMIF($C$5:$M$5,V$6,$C98:$M98)*IF(OR(Input!$Z139=UniformDist,Input!$Z139=na),1/12,SUMPRODUCT(Input!$AB139:$AM139*(MONTH(V$4)=MONTH(Input!$AB$128:$AM$128)))))</f>
        <v>0</v>
      </c>
      <c r="W98" s="635">
        <f>IF(Input!$F139=EGR,-Input!$E139*W$83,SUMIF($C$5:$M$5,W$6,$C98:$M98)*IF(OR(Input!$Z139=UniformDist,Input!$Z139=na),1/12,SUMPRODUCT(Input!$AB139:$AM139*(MONTH(W$4)=MONTH(Input!$AB$128:$AM$128)))))</f>
        <v>0</v>
      </c>
      <c r="X98" s="635">
        <f>IF(Input!$F139=EGR,-Input!$E139*X$83,SUMIF($C$5:$M$5,X$6,$C98:$M98)*IF(OR(Input!$Z139=UniformDist,Input!$Z139=na),1/12,SUMPRODUCT(Input!$AB139:$AM139*(MONTH(X$4)=MONTH(Input!$AB$128:$AM$128)))))</f>
        <v>0</v>
      </c>
      <c r="Y98" s="635">
        <f>IF(Input!$F139=EGR,-Input!$E139*Y$83,SUMIF($C$5:$M$5,Y$6,$C98:$M98)*IF(OR(Input!$Z139=UniformDist,Input!$Z139=na),1/12,SUMPRODUCT(Input!$AB139:$AM139*(MONTH(Y$4)=MONTH(Input!$AB$128:$AM$128)))))</f>
        <v>0</v>
      </c>
      <c r="Z98" s="635">
        <f>IF(Input!$F139=EGR,-Input!$E139*Z$83,SUMIF($C$5:$M$5,Z$6,$C98:$M98)*IF(OR(Input!$Z139=UniformDist,Input!$Z139=na),1/12,SUMPRODUCT(Input!$AB139:$AM139*(MONTH(Z$4)=MONTH(Input!$AB$128:$AM$128)))))</f>
        <v>0</v>
      </c>
      <c r="AA98" s="635">
        <f>IF(Input!$F139=EGR,-Input!$E139*AA$83,SUMIF($C$5:$M$5,AA$6,$C98:$M98)*IF(OR(Input!$Z139=UniformDist,Input!$Z139=na),1/12,SUMPRODUCT(Input!$AB139:$AM139*(MONTH(AA$4)=MONTH(Input!$AB$128:$AM$128)))))</f>
        <v>0</v>
      </c>
      <c r="AB98" s="635">
        <f>IF(Input!$F139=EGR,-Input!$E139*AB$83,SUMIF($C$5:$M$5,AB$6,$C98:$M98)*IF(OR(Input!$Z139=UniformDist,Input!$Z139=na),1/12,SUMPRODUCT(Input!$AB139:$AM139*(MONTH(AB$4)=MONTH(Input!$AB$128:$AM$128)))))</f>
        <v>0</v>
      </c>
      <c r="AC98" s="635">
        <f>IF(Input!$F139=EGR,-Input!$E139*AC$83,SUMIF($C$5:$M$5,AC$6,$C98:$M98)*IF(OR(Input!$Z139=UniformDist,Input!$Z139=na),1/12,SUMPRODUCT(Input!$AB139:$AM139*(MONTH(AC$4)=MONTH(Input!$AB$128:$AM$128)))))</f>
        <v>0</v>
      </c>
      <c r="AD98" s="635">
        <f>IF(Input!$F139=EGR,-Input!$E139*AD$83,SUMIF($C$5:$M$5,AD$6,$C98:$M98)*IF(OR(Input!$Z139=UniformDist,Input!$Z139=na),1/12,SUMPRODUCT(Input!$AB139:$AM139*(MONTH(AD$4)=MONTH(Input!$AB$128:$AM$128)))))</f>
        <v>0</v>
      </c>
      <c r="AE98" s="635">
        <f>IF(Input!$F139=EGR,-Input!$E139*AE$83,SUMIF($C$5:$M$5,AE$6,$C98:$M98)*IF(OR(Input!$Z139=UniformDist,Input!$Z139=na),1/12,SUMPRODUCT(Input!$AB139:$AM139*(MONTH(AE$4)=MONTH(Input!$AB$128:$AM$128)))))</f>
        <v>0</v>
      </c>
      <c r="AF98" s="635">
        <f>IF(Input!$F139=EGR,-Input!$E139*AF$83,SUMIF($C$5:$M$5,AF$6,$C98:$M98)*IF(OR(Input!$Z139=UniformDist,Input!$Z139=na),1/12,SUMPRODUCT(Input!$AB139:$AM139*(MONTH(AF$4)=MONTH(Input!$AB$128:$AM$128)))))</f>
        <v>0</v>
      </c>
      <c r="AG98" s="635">
        <f>IF(Input!$F139=EGR,-Input!$E139*AG$83,SUMIF($C$5:$M$5,AG$6,$C98:$M98)*IF(OR(Input!$Z139=UniformDist,Input!$Z139=na),1/12,SUMPRODUCT(Input!$AB139:$AM139*(MONTH(AG$4)=MONTH(Input!$AB$128:$AM$128)))))</f>
        <v>0</v>
      </c>
      <c r="AH98" s="635">
        <f>IF(Input!$F139=EGR,-Input!$E139*AH$83,SUMIF($C$5:$M$5,AH$6,$C98:$M98)*IF(OR(Input!$Z139=UniformDist,Input!$Z139=na),1/12,SUMPRODUCT(Input!$AB139:$AM139*(MONTH(AH$4)=MONTH(Input!$AB$128:$AM$128)))))</f>
        <v>0</v>
      </c>
      <c r="AI98" s="635">
        <f>IF(Input!$F139=EGR,-Input!$E139*AI$83,SUMIF($C$5:$M$5,AI$6,$C98:$M98)*IF(OR(Input!$Z139=UniformDist,Input!$Z139=na),1/12,SUMPRODUCT(Input!$AB139:$AM139*(MONTH(AI$4)=MONTH(Input!$AB$128:$AM$128)))))</f>
        <v>0</v>
      </c>
      <c r="AJ98" s="635">
        <f>IF(Input!$F139=EGR,-Input!$E139*AJ$83,SUMIF($C$5:$M$5,AJ$6,$C98:$M98)*IF(OR(Input!$Z139=UniformDist,Input!$Z139=na),1/12,SUMPRODUCT(Input!$AB139:$AM139*(MONTH(AJ$4)=MONTH(Input!$AB$128:$AM$128)))))</f>
        <v>0</v>
      </c>
      <c r="AK98" s="635">
        <f>IF(Input!$F139=EGR,-Input!$E139*AK$83,SUMIF($C$5:$M$5,AK$6,$C98:$M98)*IF(OR(Input!$Z139=UniformDist,Input!$Z139=na),1/12,SUMPRODUCT(Input!$AB139:$AM139*(MONTH(AK$4)=MONTH(Input!$AB$128:$AM$128)))))</f>
        <v>0</v>
      </c>
      <c r="AL98" s="635">
        <f>IF(Input!$F139=EGR,-Input!$E139*AL$83,SUMIF($C$5:$M$5,AL$6,$C98:$M98)*IF(OR(Input!$Z139=UniformDist,Input!$Z139=na),1/12,SUMPRODUCT(Input!$AB139:$AM139*(MONTH(AL$4)=MONTH(Input!$AB$128:$AM$128)))))</f>
        <v>0</v>
      </c>
      <c r="AM98" s="635">
        <f>IF(Input!$F139=EGR,-Input!$E139*AM$83,SUMIF($C$5:$M$5,AM$6,$C98:$M98)*IF(OR(Input!$Z139=UniformDist,Input!$Z139=na),1/12,SUMPRODUCT(Input!$AB139:$AM139*(MONTH(AM$4)=MONTH(Input!$AB$128:$AM$128)))))</f>
        <v>0</v>
      </c>
      <c r="AN98" s="635">
        <f>IF(Input!$F139=EGR,-Input!$E139*AN$83,SUMIF($C$5:$M$5,AN$6,$C98:$M98)*IF(OR(Input!$Z139=UniformDist,Input!$Z139=na),1/12,SUMPRODUCT(Input!$AB139:$AM139*(MONTH(AN$4)=MONTH(Input!$AB$128:$AM$128)))))</f>
        <v>0</v>
      </c>
      <c r="AO98" s="635">
        <f>IF(Input!$F139=EGR,-Input!$E139*AO$83,SUMIF($C$5:$M$5,AO$6,$C98:$M98)*IF(OR(Input!$Z139=UniformDist,Input!$Z139=na),1/12,SUMPRODUCT(Input!$AB139:$AM139*(MONTH(AO$4)=MONTH(Input!$AB$128:$AM$128)))))</f>
        <v>0</v>
      </c>
      <c r="AP98" s="635">
        <f>IF(Input!$F139=EGR,-Input!$E139*AP$83,SUMIF($C$5:$M$5,AP$6,$C98:$M98)*IF(OR(Input!$Z139=UniformDist,Input!$Z139=na),1/12,SUMPRODUCT(Input!$AB139:$AM139*(MONTH(AP$4)=MONTH(Input!$AB$128:$AM$128)))))</f>
        <v>0</v>
      </c>
      <c r="AQ98" s="635">
        <f>IF(Input!$F139=EGR,-Input!$E139*AQ$83,SUMIF($C$5:$M$5,AQ$6,$C98:$M98)*IF(OR(Input!$Z139=UniformDist,Input!$Z139=na),1/12,SUMPRODUCT(Input!$AB139:$AM139*(MONTH(AQ$4)=MONTH(Input!$AB$128:$AM$128)))))</f>
        <v>0</v>
      </c>
      <c r="AR98" s="635">
        <f>IF(Input!$F139=EGR,-Input!$E139*AR$83,SUMIF($C$5:$M$5,AR$6,$C98:$M98)*IF(OR(Input!$Z139=UniformDist,Input!$Z139=na),1/12,SUMPRODUCT(Input!$AB139:$AM139*(MONTH(AR$4)=MONTH(Input!$AB$128:$AM$128)))))</f>
        <v>0</v>
      </c>
      <c r="AS98" s="635">
        <f>IF(Input!$F139=EGR,-Input!$E139*AS$83,SUMIF($C$5:$M$5,AS$6,$C98:$M98)*IF(OR(Input!$Z139=UniformDist,Input!$Z139=na),1/12,SUMPRODUCT(Input!$AB139:$AM139*(MONTH(AS$4)=MONTH(Input!$AB$128:$AM$128)))))</f>
        <v>0</v>
      </c>
      <c r="AT98" s="635">
        <f>IF(Input!$F139=EGR,-Input!$E139*AT$83,SUMIF($C$5:$M$5,AT$6,$C98:$M98)*IF(OR(Input!$Z139=UniformDist,Input!$Z139=na),1/12,SUMPRODUCT(Input!$AB139:$AM139*(MONTH(AT$4)=MONTH(Input!$AB$128:$AM$128)))))</f>
        <v>0</v>
      </c>
      <c r="AU98" s="635">
        <f>IF(Input!$F139=EGR,-Input!$E139*AU$83,SUMIF($C$5:$M$5,AU$6,$C98:$M98)*IF(OR(Input!$Z139=UniformDist,Input!$Z139=na),1/12,SUMPRODUCT(Input!$AB139:$AM139*(MONTH(AU$4)=MONTH(Input!$AB$128:$AM$128)))))</f>
        <v>0</v>
      </c>
      <c r="AV98" s="635">
        <f>IF(Input!$F139=EGR,-Input!$E139*AV$83,SUMIF($C$5:$M$5,AV$6,$C98:$M98)*IF(OR(Input!$Z139=UniformDist,Input!$Z139=na),1/12,SUMPRODUCT(Input!$AB139:$AM139*(MONTH(AV$4)=MONTH(Input!$AB$128:$AM$128)))))</f>
        <v>0</v>
      </c>
      <c r="AW98" s="635">
        <f>IF(Input!$F139=EGR,-Input!$E139*AW$83,SUMIF($C$5:$M$5,AW$6,$C98:$M98)*IF(OR(Input!$Z139=UniformDist,Input!$Z139=na),1/12,SUMPRODUCT(Input!$AB139:$AM139*(MONTH(AW$4)=MONTH(Input!$AB$128:$AM$128)))))</f>
        <v>0</v>
      </c>
      <c r="AX98" s="635">
        <f>IF(Input!$F139=EGR,-Input!$E139*AX$83,SUMIF($C$5:$M$5,AX$6,$C98:$M98)*IF(OR(Input!$Z139=UniformDist,Input!$Z139=na),1/12,SUMPRODUCT(Input!$AB139:$AM139*(MONTH(AX$4)=MONTH(Input!$AB$128:$AM$128)))))</f>
        <v>0</v>
      </c>
      <c r="AY98" s="635">
        <f>IF(Input!$F139=EGR,-Input!$E139*AY$83,SUMIF($C$5:$M$5,AY$6,$C98:$M98)*IF(OR(Input!$Z139=UniformDist,Input!$Z139=na),1/12,SUMPRODUCT(Input!$AB139:$AM139*(MONTH(AY$4)=MONTH(Input!$AB$128:$AM$128)))))</f>
        <v>0</v>
      </c>
      <c r="AZ98" s="635">
        <f>IF(Input!$F139=EGR,-Input!$E139*AZ$83,SUMIF($C$5:$M$5,AZ$6,$C98:$M98)*IF(OR(Input!$Z139=UniformDist,Input!$Z139=na),1/12,SUMPRODUCT(Input!$AB139:$AM139*(MONTH(AZ$4)=MONTH(Input!$AB$128:$AM$128)))))</f>
        <v>0</v>
      </c>
      <c r="BA98" s="635">
        <f>IF(Input!$F139=EGR,-Input!$E139*BA$83,SUMIF($C$5:$M$5,BA$6,$C98:$M98)*IF(OR(Input!$Z139=UniformDist,Input!$Z139=na),1/12,SUMPRODUCT(Input!$AB139:$AM139*(MONTH(BA$4)=MONTH(Input!$AB$128:$AM$128)))))</f>
        <v>0</v>
      </c>
      <c r="BB98" s="192"/>
      <c r="BC98" s="192"/>
      <c r="BD98" s="192"/>
      <c r="BE98" s="192"/>
      <c r="BF98" s="192"/>
      <c r="BG98" s="192"/>
      <c r="BH98" s="192"/>
      <c r="BI98" s="192"/>
      <c r="BJ98" s="192"/>
      <c r="BK98" s="192"/>
      <c r="BL98" s="192"/>
      <c r="BM98" s="192"/>
      <c r="BN98" s="192"/>
      <c r="BO98" s="192"/>
      <c r="BP98" s="192"/>
      <c r="BQ98" s="192"/>
      <c r="BR98" s="192"/>
      <c r="BS98" s="192"/>
      <c r="BT98" s="192"/>
      <c r="BU98" s="192"/>
      <c r="BV98" s="192"/>
      <c r="BW98" s="192"/>
      <c r="BX98" s="192"/>
      <c r="BY98" s="192"/>
      <c r="BZ98" s="192"/>
      <c r="CA98" s="192"/>
      <c r="CB98" s="192"/>
      <c r="CC98" s="192"/>
      <c r="CD98" s="192"/>
      <c r="CE98" s="192"/>
      <c r="CF98" s="192"/>
      <c r="CG98" s="192"/>
      <c r="CH98" s="192"/>
      <c r="CI98" s="192"/>
      <c r="CJ98" s="192"/>
      <c r="CK98" s="192"/>
      <c r="CL98" s="192"/>
      <c r="CM98" s="192"/>
      <c r="CN98" s="192"/>
      <c r="CO98" s="192"/>
      <c r="CP98" s="192"/>
      <c r="CQ98" s="192"/>
      <c r="CR98" s="192"/>
      <c r="CS98" s="192"/>
      <c r="CT98" s="192"/>
      <c r="CU98" s="192"/>
      <c r="CV98" s="192"/>
      <c r="CW98" s="192"/>
      <c r="CX98" s="192"/>
      <c r="CY98" s="192"/>
      <c r="CZ98" s="192"/>
      <c r="DA98" s="192"/>
      <c r="DB98" s="192"/>
      <c r="DC98" s="192"/>
      <c r="DD98" s="192"/>
      <c r="DE98" s="192"/>
      <c r="DF98" s="192"/>
      <c r="DG98" s="192"/>
      <c r="DH98" s="192"/>
      <c r="DI98" s="192"/>
      <c r="DJ98" s="192"/>
      <c r="DK98" s="192"/>
      <c r="DL98" s="192"/>
      <c r="DM98" s="192"/>
      <c r="DN98" s="192"/>
      <c r="DO98" s="192"/>
      <c r="DP98" s="192"/>
      <c r="DQ98" s="192"/>
      <c r="DR98" s="192"/>
      <c r="DS98" s="192"/>
      <c r="DT98" s="192"/>
      <c r="DU98" s="192"/>
      <c r="DV98" s="192"/>
      <c r="DW98" s="192"/>
      <c r="DX98" s="192"/>
      <c r="DY98" s="192"/>
      <c r="DZ98" s="192"/>
      <c r="EA98" s="192"/>
      <c r="EB98" s="192"/>
      <c r="EC98" s="192"/>
      <c r="ED98" s="192"/>
      <c r="EE98" s="192"/>
      <c r="EF98" s="192"/>
      <c r="EG98" s="192"/>
      <c r="EH98" s="192"/>
      <c r="EI98" s="192"/>
      <c r="EJ98" s="192"/>
      <c r="EK98" s="192"/>
      <c r="EL98" s="192"/>
      <c r="EM98" s="192"/>
      <c r="EN98" s="192"/>
      <c r="EO98" s="192"/>
      <c r="EP98" s="192"/>
      <c r="EQ98" s="192"/>
      <c r="ER98" s="192"/>
      <c r="ES98" s="192"/>
      <c r="ET98" s="192"/>
    </row>
    <row r="99" spans="1:150">
      <c r="A99" s="192"/>
      <c r="B99" s="36" t="str">
        <f>Input!B140</f>
        <v>Water &amp; Sewer</v>
      </c>
      <c r="C99" s="635">
        <f>-Input!G140</f>
        <v>0</v>
      </c>
      <c r="D99" s="635">
        <f>-Input!H140</f>
        <v>0</v>
      </c>
      <c r="E99" s="635">
        <f>-Input!I140</f>
        <v>0</v>
      </c>
      <c r="F99" s="635">
        <f>-Input!J140</f>
        <v>0</v>
      </c>
      <c r="G99" s="635">
        <f>-Input!K140</f>
        <v>0</v>
      </c>
      <c r="H99" s="635">
        <f>-Input!L140</f>
        <v>0</v>
      </c>
      <c r="I99" s="635">
        <f>-Input!M140</f>
        <v>0</v>
      </c>
      <c r="J99" s="635">
        <f>-Input!N140</f>
        <v>0</v>
      </c>
      <c r="K99" s="635">
        <f>-Input!O140</f>
        <v>0</v>
      </c>
      <c r="L99" s="635">
        <f>-Input!P140</f>
        <v>0</v>
      </c>
      <c r="M99" s="635">
        <f>-Input!Q140</f>
        <v>0</v>
      </c>
      <c r="N99" s="192"/>
      <c r="O99" s="635">
        <f>-IF(Input!AG237,SUMPRODUCT(FVSCHEDULE(Input!AG237,InflRate*($C$5:$L$5&lt;ReversionYear))),IF(Input!$F140=EGR,Input!S140*$O$83,Input!S140))</f>
        <v>0</v>
      </c>
      <c r="P99" s="192"/>
      <c r="Q99" s="37"/>
      <c r="R99" s="635">
        <f>IF(Input!$F140=EGR,-Input!$E140*R$83,SUMIF($C$5:$M$5,R$6,$C99:$M99)*IF(OR(Input!$Z140=UniformDist,Input!$Z140=na),1/12,SUMPRODUCT(Input!$AB140:$AM140*(MONTH(R$4)=MONTH(Input!$AB$128:$AM$128)))))</f>
        <v>0</v>
      </c>
      <c r="S99" s="635">
        <f>IF(Input!$F140=EGR,-Input!$E140*S$83,SUMIF($C$5:$M$5,S$6,$C99:$M99)*IF(OR(Input!$Z140=UniformDist,Input!$Z140=na),1/12,SUMPRODUCT(Input!$AB140:$AM140*(MONTH(S$4)=MONTH(Input!$AB$128:$AM$128)))))</f>
        <v>0</v>
      </c>
      <c r="T99" s="635">
        <f>IF(Input!$F140=EGR,-Input!$E140*T$83,SUMIF($C$5:$M$5,T$6,$C99:$M99)*IF(OR(Input!$Z140=UniformDist,Input!$Z140=na),1/12,SUMPRODUCT(Input!$AB140:$AM140*(MONTH(T$4)=MONTH(Input!$AB$128:$AM$128)))))</f>
        <v>0</v>
      </c>
      <c r="U99" s="635">
        <f>IF(Input!$F140=EGR,-Input!$E140*U$83,SUMIF($C$5:$M$5,U$6,$C99:$M99)*IF(OR(Input!$Z140=UniformDist,Input!$Z140=na),1/12,SUMPRODUCT(Input!$AB140:$AM140*(MONTH(U$4)=MONTH(Input!$AB$128:$AM$128)))))</f>
        <v>0</v>
      </c>
      <c r="V99" s="635">
        <f>IF(Input!$F140=EGR,-Input!$E140*V$83,SUMIF($C$5:$M$5,V$6,$C99:$M99)*IF(OR(Input!$Z140=UniformDist,Input!$Z140=na),1/12,SUMPRODUCT(Input!$AB140:$AM140*(MONTH(V$4)=MONTH(Input!$AB$128:$AM$128)))))</f>
        <v>0</v>
      </c>
      <c r="W99" s="635">
        <f>IF(Input!$F140=EGR,-Input!$E140*W$83,SUMIF($C$5:$M$5,W$6,$C99:$M99)*IF(OR(Input!$Z140=UniformDist,Input!$Z140=na),1/12,SUMPRODUCT(Input!$AB140:$AM140*(MONTH(W$4)=MONTH(Input!$AB$128:$AM$128)))))</f>
        <v>0</v>
      </c>
      <c r="X99" s="635">
        <f>IF(Input!$F140=EGR,-Input!$E140*X$83,SUMIF($C$5:$M$5,X$6,$C99:$M99)*IF(OR(Input!$Z140=UniformDist,Input!$Z140=na),1/12,SUMPRODUCT(Input!$AB140:$AM140*(MONTH(X$4)=MONTH(Input!$AB$128:$AM$128)))))</f>
        <v>0</v>
      </c>
      <c r="Y99" s="635">
        <f>IF(Input!$F140=EGR,-Input!$E140*Y$83,SUMIF($C$5:$M$5,Y$6,$C99:$M99)*IF(OR(Input!$Z140=UniformDist,Input!$Z140=na),1/12,SUMPRODUCT(Input!$AB140:$AM140*(MONTH(Y$4)=MONTH(Input!$AB$128:$AM$128)))))</f>
        <v>0</v>
      </c>
      <c r="Z99" s="635">
        <f>IF(Input!$F140=EGR,-Input!$E140*Z$83,SUMIF($C$5:$M$5,Z$6,$C99:$M99)*IF(OR(Input!$Z140=UniformDist,Input!$Z140=na),1/12,SUMPRODUCT(Input!$AB140:$AM140*(MONTH(Z$4)=MONTH(Input!$AB$128:$AM$128)))))</f>
        <v>0</v>
      </c>
      <c r="AA99" s="635">
        <f>IF(Input!$F140=EGR,-Input!$E140*AA$83,SUMIF($C$5:$M$5,AA$6,$C99:$M99)*IF(OR(Input!$Z140=UniformDist,Input!$Z140=na),1/12,SUMPRODUCT(Input!$AB140:$AM140*(MONTH(AA$4)=MONTH(Input!$AB$128:$AM$128)))))</f>
        <v>0</v>
      </c>
      <c r="AB99" s="635">
        <f>IF(Input!$F140=EGR,-Input!$E140*AB$83,SUMIF($C$5:$M$5,AB$6,$C99:$M99)*IF(OR(Input!$Z140=UniformDist,Input!$Z140=na),1/12,SUMPRODUCT(Input!$AB140:$AM140*(MONTH(AB$4)=MONTH(Input!$AB$128:$AM$128)))))</f>
        <v>0</v>
      </c>
      <c r="AC99" s="635">
        <f>IF(Input!$F140=EGR,-Input!$E140*AC$83,SUMIF($C$5:$M$5,AC$6,$C99:$M99)*IF(OR(Input!$Z140=UniformDist,Input!$Z140=na),1/12,SUMPRODUCT(Input!$AB140:$AM140*(MONTH(AC$4)=MONTH(Input!$AB$128:$AM$128)))))</f>
        <v>0</v>
      </c>
      <c r="AD99" s="635">
        <f>IF(Input!$F140=EGR,-Input!$E140*AD$83,SUMIF($C$5:$M$5,AD$6,$C99:$M99)*IF(OR(Input!$Z140=UniformDist,Input!$Z140=na),1/12,SUMPRODUCT(Input!$AB140:$AM140*(MONTH(AD$4)=MONTH(Input!$AB$128:$AM$128)))))</f>
        <v>0</v>
      </c>
      <c r="AE99" s="635">
        <f>IF(Input!$F140=EGR,-Input!$E140*AE$83,SUMIF($C$5:$M$5,AE$6,$C99:$M99)*IF(OR(Input!$Z140=UniformDist,Input!$Z140=na),1/12,SUMPRODUCT(Input!$AB140:$AM140*(MONTH(AE$4)=MONTH(Input!$AB$128:$AM$128)))))</f>
        <v>0</v>
      </c>
      <c r="AF99" s="635">
        <f>IF(Input!$F140=EGR,-Input!$E140*AF$83,SUMIF($C$5:$M$5,AF$6,$C99:$M99)*IF(OR(Input!$Z140=UniformDist,Input!$Z140=na),1/12,SUMPRODUCT(Input!$AB140:$AM140*(MONTH(AF$4)=MONTH(Input!$AB$128:$AM$128)))))</f>
        <v>0</v>
      </c>
      <c r="AG99" s="635">
        <f>IF(Input!$F140=EGR,-Input!$E140*AG$83,SUMIF($C$5:$M$5,AG$6,$C99:$M99)*IF(OR(Input!$Z140=UniformDist,Input!$Z140=na),1/12,SUMPRODUCT(Input!$AB140:$AM140*(MONTH(AG$4)=MONTH(Input!$AB$128:$AM$128)))))</f>
        <v>0</v>
      </c>
      <c r="AH99" s="635">
        <f>IF(Input!$F140=EGR,-Input!$E140*AH$83,SUMIF($C$5:$M$5,AH$6,$C99:$M99)*IF(OR(Input!$Z140=UniformDist,Input!$Z140=na),1/12,SUMPRODUCT(Input!$AB140:$AM140*(MONTH(AH$4)=MONTH(Input!$AB$128:$AM$128)))))</f>
        <v>0</v>
      </c>
      <c r="AI99" s="635">
        <f>IF(Input!$F140=EGR,-Input!$E140*AI$83,SUMIF($C$5:$M$5,AI$6,$C99:$M99)*IF(OR(Input!$Z140=UniformDist,Input!$Z140=na),1/12,SUMPRODUCT(Input!$AB140:$AM140*(MONTH(AI$4)=MONTH(Input!$AB$128:$AM$128)))))</f>
        <v>0</v>
      </c>
      <c r="AJ99" s="635">
        <f>IF(Input!$F140=EGR,-Input!$E140*AJ$83,SUMIF($C$5:$M$5,AJ$6,$C99:$M99)*IF(OR(Input!$Z140=UniformDist,Input!$Z140=na),1/12,SUMPRODUCT(Input!$AB140:$AM140*(MONTH(AJ$4)=MONTH(Input!$AB$128:$AM$128)))))</f>
        <v>0</v>
      </c>
      <c r="AK99" s="635">
        <f>IF(Input!$F140=EGR,-Input!$E140*AK$83,SUMIF($C$5:$M$5,AK$6,$C99:$M99)*IF(OR(Input!$Z140=UniformDist,Input!$Z140=na),1/12,SUMPRODUCT(Input!$AB140:$AM140*(MONTH(AK$4)=MONTH(Input!$AB$128:$AM$128)))))</f>
        <v>0</v>
      </c>
      <c r="AL99" s="635">
        <f>IF(Input!$F140=EGR,-Input!$E140*AL$83,SUMIF($C$5:$M$5,AL$6,$C99:$M99)*IF(OR(Input!$Z140=UniformDist,Input!$Z140=na),1/12,SUMPRODUCT(Input!$AB140:$AM140*(MONTH(AL$4)=MONTH(Input!$AB$128:$AM$128)))))</f>
        <v>0</v>
      </c>
      <c r="AM99" s="635">
        <f>IF(Input!$F140=EGR,-Input!$E140*AM$83,SUMIF($C$5:$M$5,AM$6,$C99:$M99)*IF(OR(Input!$Z140=UniformDist,Input!$Z140=na),1/12,SUMPRODUCT(Input!$AB140:$AM140*(MONTH(AM$4)=MONTH(Input!$AB$128:$AM$128)))))</f>
        <v>0</v>
      </c>
      <c r="AN99" s="635">
        <f>IF(Input!$F140=EGR,-Input!$E140*AN$83,SUMIF($C$5:$M$5,AN$6,$C99:$M99)*IF(OR(Input!$Z140=UniformDist,Input!$Z140=na),1/12,SUMPRODUCT(Input!$AB140:$AM140*(MONTH(AN$4)=MONTH(Input!$AB$128:$AM$128)))))</f>
        <v>0</v>
      </c>
      <c r="AO99" s="635">
        <f>IF(Input!$F140=EGR,-Input!$E140*AO$83,SUMIF($C$5:$M$5,AO$6,$C99:$M99)*IF(OR(Input!$Z140=UniformDist,Input!$Z140=na),1/12,SUMPRODUCT(Input!$AB140:$AM140*(MONTH(AO$4)=MONTH(Input!$AB$128:$AM$128)))))</f>
        <v>0</v>
      </c>
      <c r="AP99" s="635">
        <f>IF(Input!$F140=EGR,-Input!$E140*AP$83,SUMIF($C$5:$M$5,AP$6,$C99:$M99)*IF(OR(Input!$Z140=UniformDist,Input!$Z140=na),1/12,SUMPRODUCT(Input!$AB140:$AM140*(MONTH(AP$4)=MONTH(Input!$AB$128:$AM$128)))))</f>
        <v>0</v>
      </c>
      <c r="AQ99" s="635">
        <f>IF(Input!$F140=EGR,-Input!$E140*AQ$83,SUMIF($C$5:$M$5,AQ$6,$C99:$M99)*IF(OR(Input!$Z140=UniformDist,Input!$Z140=na),1/12,SUMPRODUCT(Input!$AB140:$AM140*(MONTH(AQ$4)=MONTH(Input!$AB$128:$AM$128)))))</f>
        <v>0</v>
      </c>
      <c r="AR99" s="635">
        <f>IF(Input!$F140=EGR,-Input!$E140*AR$83,SUMIF($C$5:$M$5,AR$6,$C99:$M99)*IF(OR(Input!$Z140=UniformDist,Input!$Z140=na),1/12,SUMPRODUCT(Input!$AB140:$AM140*(MONTH(AR$4)=MONTH(Input!$AB$128:$AM$128)))))</f>
        <v>0</v>
      </c>
      <c r="AS99" s="635">
        <f>IF(Input!$F140=EGR,-Input!$E140*AS$83,SUMIF($C$5:$M$5,AS$6,$C99:$M99)*IF(OR(Input!$Z140=UniformDist,Input!$Z140=na),1/12,SUMPRODUCT(Input!$AB140:$AM140*(MONTH(AS$4)=MONTH(Input!$AB$128:$AM$128)))))</f>
        <v>0</v>
      </c>
      <c r="AT99" s="635">
        <f>IF(Input!$F140=EGR,-Input!$E140*AT$83,SUMIF($C$5:$M$5,AT$6,$C99:$M99)*IF(OR(Input!$Z140=UniformDist,Input!$Z140=na),1/12,SUMPRODUCT(Input!$AB140:$AM140*(MONTH(AT$4)=MONTH(Input!$AB$128:$AM$128)))))</f>
        <v>0</v>
      </c>
      <c r="AU99" s="635">
        <f>IF(Input!$F140=EGR,-Input!$E140*AU$83,SUMIF($C$5:$M$5,AU$6,$C99:$M99)*IF(OR(Input!$Z140=UniformDist,Input!$Z140=na),1/12,SUMPRODUCT(Input!$AB140:$AM140*(MONTH(AU$4)=MONTH(Input!$AB$128:$AM$128)))))</f>
        <v>0</v>
      </c>
      <c r="AV99" s="635">
        <f>IF(Input!$F140=EGR,-Input!$E140*AV$83,SUMIF($C$5:$M$5,AV$6,$C99:$M99)*IF(OR(Input!$Z140=UniformDist,Input!$Z140=na),1/12,SUMPRODUCT(Input!$AB140:$AM140*(MONTH(AV$4)=MONTH(Input!$AB$128:$AM$128)))))</f>
        <v>0</v>
      </c>
      <c r="AW99" s="635">
        <f>IF(Input!$F140=EGR,-Input!$E140*AW$83,SUMIF($C$5:$M$5,AW$6,$C99:$M99)*IF(OR(Input!$Z140=UniformDist,Input!$Z140=na),1/12,SUMPRODUCT(Input!$AB140:$AM140*(MONTH(AW$4)=MONTH(Input!$AB$128:$AM$128)))))</f>
        <v>0</v>
      </c>
      <c r="AX99" s="635">
        <f>IF(Input!$F140=EGR,-Input!$E140*AX$83,SUMIF($C$5:$M$5,AX$6,$C99:$M99)*IF(OR(Input!$Z140=UniformDist,Input!$Z140=na),1/12,SUMPRODUCT(Input!$AB140:$AM140*(MONTH(AX$4)=MONTH(Input!$AB$128:$AM$128)))))</f>
        <v>0</v>
      </c>
      <c r="AY99" s="635">
        <f>IF(Input!$F140=EGR,-Input!$E140*AY$83,SUMIF($C$5:$M$5,AY$6,$C99:$M99)*IF(OR(Input!$Z140=UniformDist,Input!$Z140=na),1/12,SUMPRODUCT(Input!$AB140:$AM140*(MONTH(AY$4)=MONTH(Input!$AB$128:$AM$128)))))</f>
        <v>0</v>
      </c>
      <c r="AZ99" s="635">
        <f>IF(Input!$F140=EGR,-Input!$E140*AZ$83,SUMIF($C$5:$M$5,AZ$6,$C99:$M99)*IF(OR(Input!$Z140=UniformDist,Input!$Z140=na),1/12,SUMPRODUCT(Input!$AB140:$AM140*(MONTH(AZ$4)=MONTH(Input!$AB$128:$AM$128)))))</f>
        <v>0</v>
      </c>
      <c r="BA99" s="635">
        <f>IF(Input!$F140=EGR,-Input!$E140*BA$83,SUMIF($C$5:$M$5,BA$6,$C99:$M99)*IF(OR(Input!$Z140=UniformDist,Input!$Z140=na),1/12,SUMPRODUCT(Input!$AB140:$AM140*(MONTH(BA$4)=MONTH(Input!$AB$128:$AM$128)))))</f>
        <v>0</v>
      </c>
      <c r="BB99" s="192"/>
      <c r="BC99" s="192"/>
      <c r="BD99" s="192"/>
      <c r="BE99" s="192"/>
      <c r="BF99" s="192"/>
      <c r="BG99" s="192"/>
      <c r="BH99" s="192"/>
      <c r="BI99" s="192"/>
      <c r="BJ99" s="192"/>
      <c r="BK99" s="192"/>
      <c r="BL99" s="192"/>
      <c r="BM99" s="192"/>
      <c r="BN99" s="192"/>
      <c r="BO99" s="192"/>
      <c r="BP99" s="192"/>
      <c r="BQ99" s="192"/>
      <c r="BR99" s="192"/>
      <c r="BS99" s="192"/>
      <c r="BT99" s="192"/>
      <c r="BU99" s="192"/>
      <c r="BV99" s="192"/>
      <c r="BW99" s="192"/>
      <c r="BX99" s="192"/>
      <c r="BY99" s="192"/>
      <c r="BZ99" s="192"/>
      <c r="CA99" s="192"/>
      <c r="CB99" s="192"/>
      <c r="CC99" s="192"/>
      <c r="CD99" s="192"/>
      <c r="CE99" s="192"/>
      <c r="CF99" s="192"/>
      <c r="CG99" s="192"/>
      <c r="CH99" s="192"/>
      <c r="CI99" s="192"/>
      <c r="CJ99" s="192"/>
      <c r="CK99" s="192"/>
      <c r="CL99" s="192"/>
      <c r="CM99" s="192"/>
      <c r="CN99" s="192"/>
      <c r="CO99" s="192"/>
      <c r="CP99" s="192"/>
      <c r="CQ99" s="192"/>
      <c r="CR99" s="192"/>
      <c r="CS99" s="192"/>
      <c r="CT99" s="192"/>
      <c r="CU99" s="192"/>
      <c r="CV99" s="192"/>
      <c r="CW99" s="192"/>
      <c r="CX99" s="192"/>
      <c r="CY99" s="192"/>
      <c r="CZ99" s="192"/>
      <c r="DA99" s="192"/>
      <c r="DB99" s="192"/>
      <c r="DC99" s="192"/>
      <c r="DD99" s="192"/>
      <c r="DE99" s="192"/>
      <c r="DF99" s="192"/>
      <c r="DG99" s="192"/>
      <c r="DH99" s="192"/>
      <c r="DI99" s="192"/>
      <c r="DJ99" s="192"/>
      <c r="DK99" s="192"/>
      <c r="DL99" s="192"/>
      <c r="DM99" s="192"/>
      <c r="DN99" s="192"/>
      <c r="DO99" s="192"/>
      <c r="DP99" s="192"/>
      <c r="DQ99" s="192"/>
      <c r="DR99" s="192"/>
      <c r="DS99" s="192"/>
      <c r="DT99" s="192"/>
      <c r="DU99" s="192"/>
      <c r="DV99" s="192"/>
      <c r="DW99" s="192"/>
      <c r="DX99" s="192"/>
      <c r="DY99" s="192"/>
      <c r="DZ99" s="192"/>
      <c r="EA99" s="192"/>
      <c r="EB99" s="192"/>
      <c r="EC99" s="192"/>
      <c r="ED99" s="192"/>
      <c r="EE99" s="192"/>
      <c r="EF99" s="192"/>
      <c r="EG99" s="192"/>
      <c r="EH99" s="192"/>
      <c r="EI99" s="192"/>
      <c r="EJ99" s="192"/>
      <c r="EK99" s="192"/>
      <c r="EL99" s="192"/>
      <c r="EM99" s="192"/>
      <c r="EN99" s="192"/>
      <c r="EO99" s="192"/>
      <c r="EP99" s="192"/>
      <c r="EQ99" s="192"/>
      <c r="ER99" s="192"/>
      <c r="ES99" s="192"/>
      <c r="ET99" s="192"/>
    </row>
    <row r="100" spans="1:150">
      <c r="A100" s="192"/>
      <c r="B100" s="36" t="str">
        <f>Input!B141</f>
        <v>Other Utilities</v>
      </c>
      <c r="C100" s="635">
        <f>-Input!G141</f>
        <v>0</v>
      </c>
      <c r="D100" s="635">
        <f>-Input!H141</f>
        <v>0</v>
      </c>
      <c r="E100" s="635">
        <f>-Input!I141</f>
        <v>0</v>
      </c>
      <c r="F100" s="635">
        <f>-Input!J141</f>
        <v>0</v>
      </c>
      <c r="G100" s="635">
        <f>-Input!K141</f>
        <v>0</v>
      </c>
      <c r="H100" s="635">
        <f>-Input!L141</f>
        <v>0</v>
      </c>
      <c r="I100" s="635">
        <f>-Input!M141</f>
        <v>0</v>
      </c>
      <c r="J100" s="635">
        <f>-Input!N141</f>
        <v>0</v>
      </c>
      <c r="K100" s="635">
        <f>-Input!O141</f>
        <v>0</v>
      </c>
      <c r="L100" s="635">
        <f>-Input!P141</f>
        <v>0</v>
      </c>
      <c r="M100" s="635">
        <f>-Input!Q141</f>
        <v>0</v>
      </c>
      <c r="N100" s="192"/>
      <c r="O100" s="635">
        <f>-IF(Input!AG238,SUMPRODUCT(FVSCHEDULE(Input!AG238,InflRate*($C$5:$L$5&lt;ReversionYear))),IF(Input!$F141=EGR,Input!S141*$O$83,Input!S141))</f>
        <v>0</v>
      </c>
      <c r="P100" s="192"/>
      <c r="Q100" s="37"/>
      <c r="R100" s="635">
        <f>IF(Input!$F141=EGR,-Input!$E141*R$83,SUMIF($C$5:$M$5,R$6,$C100:$M100)*IF(OR(Input!$Z141=UniformDist,Input!$Z141=na),1/12,SUMPRODUCT(Input!$AB141:$AM141*(MONTH(R$4)=MONTH(Input!$AB$128:$AM$128)))))</f>
        <v>0</v>
      </c>
      <c r="S100" s="635">
        <f>IF(Input!$F141=EGR,-Input!$E141*S$83,SUMIF($C$5:$M$5,S$6,$C100:$M100)*IF(OR(Input!$Z141=UniformDist,Input!$Z141=na),1/12,SUMPRODUCT(Input!$AB141:$AM141*(MONTH(S$4)=MONTH(Input!$AB$128:$AM$128)))))</f>
        <v>0</v>
      </c>
      <c r="T100" s="635">
        <f>IF(Input!$F141=EGR,-Input!$E141*T$83,SUMIF($C$5:$M$5,T$6,$C100:$M100)*IF(OR(Input!$Z141=UniformDist,Input!$Z141=na),1/12,SUMPRODUCT(Input!$AB141:$AM141*(MONTH(T$4)=MONTH(Input!$AB$128:$AM$128)))))</f>
        <v>0</v>
      </c>
      <c r="U100" s="635">
        <f>IF(Input!$F141=EGR,-Input!$E141*U$83,SUMIF($C$5:$M$5,U$6,$C100:$M100)*IF(OR(Input!$Z141=UniformDist,Input!$Z141=na),1/12,SUMPRODUCT(Input!$AB141:$AM141*(MONTH(U$4)=MONTH(Input!$AB$128:$AM$128)))))</f>
        <v>0</v>
      </c>
      <c r="V100" s="635">
        <f>IF(Input!$F141=EGR,-Input!$E141*V$83,SUMIF($C$5:$M$5,V$6,$C100:$M100)*IF(OR(Input!$Z141=UniformDist,Input!$Z141=na),1/12,SUMPRODUCT(Input!$AB141:$AM141*(MONTH(V$4)=MONTH(Input!$AB$128:$AM$128)))))</f>
        <v>0</v>
      </c>
      <c r="W100" s="635">
        <f>IF(Input!$F141=EGR,-Input!$E141*W$83,SUMIF($C$5:$M$5,W$6,$C100:$M100)*IF(OR(Input!$Z141=UniformDist,Input!$Z141=na),1/12,SUMPRODUCT(Input!$AB141:$AM141*(MONTH(W$4)=MONTH(Input!$AB$128:$AM$128)))))</f>
        <v>0</v>
      </c>
      <c r="X100" s="635">
        <f>IF(Input!$F141=EGR,-Input!$E141*X$83,SUMIF($C$5:$M$5,X$6,$C100:$M100)*IF(OR(Input!$Z141=UniformDist,Input!$Z141=na),1/12,SUMPRODUCT(Input!$AB141:$AM141*(MONTH(X$4)=MONTH(Input!$AB$128:$AM$128)))))</f>
        <v>0</v>
      </c>
      <c r="Y100" s="635">
        <f>IF(Input!$F141=EGR,-Input!$E141*Y$83,SUMIF($C$5:$M$5,Y$6,$C100:$M100)*IF(OR(Input!$Z141=UniformDist,Input!$Z141=na),1/12,SUMPRODUCT(Input!$AB141:$AM141*(MONTH(Y$4)=MONTH(Input!$AB$128:$AM$128)))))</f>
        <v>0</v>
      </c>
      <c r="Z100" s="635">
        <f>IF(Input!$F141=EGR,-Input!$E141*Z$83,SUMIF($C$5:$M$5,Z$6,$C100:$M100)*IF(OR(Input!$Z141=UniformDist,Input!$Z141=na),1/12,SUMPRODUCT(Input!$AB141:$AM141*(MONTH(Z$4)=MONTH(Input!$AB$128:$AM$128)))))</f>
        <v>0</v>
      </c>
      <c r="AA100" s="635">
        <f>IF(Input!$F141=EGR,-Input!$E141*AA$83,SUMIF($C$5:$M$5,AA$6,$C100:$M100)*IF(OR(Input!$Z141=UniformDist,Input!$Z141=na),1/12,SUMPRODUCT(Input!$AB141:$AM141*(MONTH(AA$4)=MONTH(Input!$AB$128:$AM$128)))))</f>
        <v>0</v>
      </c>
      <c r="AB100" s="635">
        <f>IF(Input!$F141=EGR,-Input!$E141*AB$83,SUMIF($C$5:$M$5,AB$6,$C100:$M100)*IF(OR(Input!$Z141=UniformDist,Input!$Z141=na),1/12,SUMPRODUCT(Input!$AB141:$AM141*(MONTH(AB$4)=MONTH(Input!$AB$128:$AM$128)))))</f>
        <v>0</v>
      </c>
      <c r="AC100" s="635">
        <f>IF(Input!$F141=EGR,-Input!$E141*AC$83,SUMIF($C$5:$M$5,AC$6,$C100:$M100)*IF(OR(Input!$Z141=UniformDist,Input!$Z141=na),1/12,SUMPRODUCT(Input!$AB141:$AM141*(MONTH(AC$4)=MONTH(Input!$AB$128:$AM$128)))))</f>
        <v>0</v>
      </c>
      <c r="AD100" s="635">
        <f>IF(Input!$F141=EGR,-Input!$E141*AD$83,SUMIF($C$5:$M$5,AD$6,$C100:$M100)*IF(OR(Input!$Z141=UniformDist,Input!$Z141=na),1/12,SUMPRODUCT(Input!$AB141:$AM141*(MONTH(AD$4)=MONTH(Input!$AB$128:$AM$128)))))</f>
        <v>0</v>
      </c>
      <c r="AE100" s="635">
        <f>IF(Input!$F141=EGR,-Input!$E141*AE$83,SUMIF($C$5:$M$5,AE$6,$C100:$M100)*IF(OR(Input!$Z141=UniformDist,Input!$Z141=na),1/12,SUMPRODUCT(Input!$AB141:$AM141*(MONTH(AE$4)=MONTH(Input!$AB$128:$AM$128)))))</f>
        <v>0</v>
      </c>
      <c r="AF100" s="635">
        <f>IF(Input!$F141=EGR,-Input!$E141*AF$83,SUMIF($C$5:$M$5,AF$6,$C100:$M100)*IF(OR(Input!$Z141=UniformDist,Input!$Z141=na),1/12,SUMPRODUCT(Input!$AB141:$AM141*(MONTH(AF$4)=MONTH(Input!$AB$128:$AM$128)))))</f>
        <v>0</v>
      </c>
      <c r="AG100" s="635">
        <f>IF(Input!$F141=EGR,-Input!$E141*AG$83,SUMIF($C$5:$M$5,AG$6,$C100:$M100)*IF(OR(Input!$Z141=UniformDist,Input!$Z141=na),1/12,SUMPRODUCT(Input!$AB141:$AM141*(MONTH(AG$4)=MONTH(Input!$AB$128:$AM$128)))))</f>
        <v>0</v>
      </c>
      <c r="AH100" s="635">
        <f>IF(Input!$F141=EGR,-Input!$E141*AH$83,SUMIF($C$5:$M$5,AH$6,$C100:$M100)*IF(OR(Input!$Z141=UniformDist,Input!$Z141=na),1/12,SUMPRODUCT(Input!$AB141:$AM141*(MONTH(AH$4)=MONTH(Input!$AB$128:$AM$128)))))</f>
        <v>0</v>
      </c>
      <c r="AI100" s="635">
        <f>IF(Input!$F141=EGR,-Input!$E141*AI$83,SUMIF($C$5:$M$5,AI$6,$C100:$M100)*IF(OR(Input!$Z141=UniformDist,Input!$Z141=na),1/12,SUMPRODUCT(Input!$AB141:$AM141*(MONTH(AI$4)=MONTH(Input!$AB$128:$AM$128)))))</f>
        <v>0</v>
      </c>
      <c r="AJ100" s="635">
        <f>IF(Input!$F141=EGR,-Input!$E141*AJ$83,SUMIF($C$5:$M$5,AJ$6,$C100:$M100)*IF(OR(Input!$Z141=UniformDist,Input!$Z141=na),1/12,SUMPRODUCT(Input!$AB141:$AM141*(MONTH(AJ$4)=MONTH(Input!$AB$128:$AM$128)))))</f>
        <v>0</v>
      </c>
      <c r="AK100" s="635">
        <f>IF(Input!$F141=EGR,-Input!$E141*AK$83,SUMIF($C$5:$M$5,AK$6,$C100:$M100)*IF(OR(Input!$Z141=UniformDist,Input!$Z141=na),1/12,SUMPRODUCT(Input!$AB141:$AM141*(MONTH(AK$4)=MONTH(Input!$AB$128:$AM$128)))))</f>
        <v>0</v>
      </c>
      <c r="AL100" s="635">
        <f>IF(Input!$F141=EGR,-Input!$E141*AL$83,SUMIF($C$5:$M$5,AL$6,$C100:$M100)*IF(OR(Input!$Z141=UniformDist,Input!$Z141=na),1/12,SUMPRODUCT(Input!$AB141:$AM141*(MONTH(AL$4)=MONTH(Input!$AB$128:$AM$128)))))</f>
        <v>0</v>
      </c>
      <c r="AM100" s="635">
        <f>IF(Input!$F141=EGR,-Input!$E141*AM$83,SUMIF($C$5:$M$5,AM$6,$C100:$M100)*IF(OR(Input!$Z141=UniformDist,Input!$Z141=na),1/12,SUMPRODUCT(Input!$AB141:$AM141*(MONTH(AM$4)=MONTH(Input!$AB$128:$AM$128)))))</f>
        <v>0</v>
      </c>
      <c r="AN100" s="635">
        <f>IF(Input!$F141=EGR,-Input!$E141*AN$83,SUMIF($C$5:$M$5,AN$6,$C100:$M100)*IF(OR(Input!$Z141=UniformDist,Input!$Z141=na),1/12,SUMPRODUCT(Input!$AB141:$AM141*(MONTH(AN$4)=MONTH(Input!$AB$128:$AM$128)))))</f>
        <v>0</v>
      </c>
      <c r="AO100" s="635">
        <f>IF(Input!$F141=EGR,-Input!$E141*AO$83,SUMIF($C$5:$M$5,AO$6,$C100:$M100)*IF(OR(Input!$Z141=UniformDist,Input!$Z141=na),1/12,SUMPRODUCT(Input!$AB141:$AM141*(MONTH(AO$4)=MONTH(Input!$AB$128:$AM$128)))))</f>
        <v>0</v>
      </c>
      <c r="AP100" s="635">
        <f>IF(Input!$F141=EGR,-Input!$E141*AP$83,SUMIF($C$5:$M$5,AP$6,$C100:$M100)*IF(OR(Input!$Z141=UniformDist,Input!$Z141=na),1/12,SUMPRODUCT(Input!$AB141:$AM141*(MONTH(AP$4)=MONTH(Input!$AB$128:$AM$128)))))</f>
        <v>0</v>
      </c>
      <c r="AQ100" s="635">
        <f>IF(Input!$F141=EGR,-Input!$E141*AQ$83,SUMIF($C$5:$M$5,AQ$6,$C100:$M100)*IF(OR(Input!$Z141=UniformDist,Input!$Z141=na),1/12,SUMPRODUCT(Input!$AB141:$AM141*(MONTH(AQ$4)=MONTH(Input!$AB$128:$AM$128)))))</f>
        <v>0</v>
      </c>
      <c r="AR100" s="635">
        <f>IF(Input!$F141=EGR,-Input!$E141*AR$83,SUMIF($C$5:$M$5,AR$6,$C100:$M100)*IF(OR(Input!$Z141=UniformDist,Input!$Z141=na),1/12,SUMPRODUCT(Input!$AB141:$AM141*(MONTH(AR$4)=MONTH(Input!$AB$128:$AM$128)))))</f>
        <v>0</v>
      </c>
      <c r="AS100" s="635">
        <f>IF(Input!$F141=EGR,-Input!$E141*AS$83,SUMIF($C$5:$M$5,AS$6,$C100:$M100)*IF(OR(Input!$Z141=UniformDist,Input!$Z141=na),1/12,SUMPRODUCT(Input!$AB141:$AM141*(MONTH(AS$4)=MONTH(Input!$AB$128:$AM$128)))))</f>
        <v>0</v>
      </c>
      <c r="AT100" s="635">
        <f>IF(Input!$F141=EGR,-Input!$E141*AT$83,SUMIF($C$5:$M$5,AT$6,$C100:$M100)*IF(OR(Input!$Z141=UniformDist,Input!$Z141=na),1/12,SUMPRODUCT(Input!$AB141:$AM141*(MONTH(AT$4)=MONTH(Input!$AB$128:$AM$128)))))</f>
        <v>0</v>
      </c>
      <c r="AU100" s="635">
        <f>IF(Input!$F141=EGR,-Input!$E141*AU$83,SUMIF($C$5:$M$5,AU$6,$C100:$M100)*IF(OR(Input!$Z141=UniformDist,Input!$Z141=na),1/12,SUMPRODUCT(Input!$AB141:$AM141*(MONTH(AU$4)=MONTH(Input!$AB$128:$AM$128)))))</f>
        <v>0</v>
      </c>
      <c r="AV100" s="635">
        <f>IF(Input!$F141=EGR,-Input!$E141*AV$83,SUMIF($C$5:$M$5,AV$6,$C100:$M100)*IF(OR(Input!$Z141=UniformDist,Input!$Z141=na),1/12,SUMPRODUCT(Input!$AB141:$AM141*(MONTH(AV$4)=MONTH(Input!$AB$128:$AM$128)))))</f>
        <v>0</v>
      </c>
      <c r="AW100" s="635">
        <f>IF(Input!$F141=EGR,-Input!$E141*AW$83,SUMIF($C$5:$M$5,AW$6,$C100:$M100)*IF(OR(Input!$Z141=UniformDist,Input!$Z141=na),1/12,SUMPRODUCT(Input!$AB141:$AM141*(MONTH(AW$4)=MONTH(Input!$AB$128:$AM$128)))))</f>
        <v>0</v>
      </c>
      <c r="AX100" s="635">
        <f>IF(Input!$F141=EGR,-Input!$E141*AX$83,SUMIF($C$5:$M$5,AX$6,$C100:$M100)*IF(OR(Input!$Z141=UniformDist,Input!$Z141=na),1/12,SUMPRODUCT(Input!$AB141:$AM141*(MONTH(AX$4)=MONTH(Input!$AB$128:$AM$128)))))</f>
        <v>0</v>
      </c>
      <c r="AY100" s="635">
        <f>IF(Input!$F141=EGR,-Input!$E141*AY$83,SUMIF($C$5:$M$5,AY$6,$C100:$M100)*IF(OR(Input!$Z141=UniformDist,Input!$Z141=na),1/12,SUMPRODUCT(Input!$AB141:$AM141*(MONTH(AY$4)=MONTH(Input!$AB$128:$AM$128)))))</f>
        <v>0</v>
      </c>
      <c r="AZ100" s="635">
        <f>IF(Input!$F141=EGR,-Input!$E141*AZ$83,SUMIF($C$5:$M$5,AZ$6,$C100:$M100)*IF(OR(Input!$Z141=UniformDist,Input!$Z141=na),1/12,SUMPRODUCT(Input!$AB141:$AM141*(MONTH(AZ$4)=MONTH(Input!$AB$128:$AM$128)))))</f>
        <v>0</v>
      </c>
      <c r="BA100" s="635">
        <f>IF(Input!$F141=EGR,-Input!$E141*BA$83,SUMIF($C$5:$M$5,BA$6,$C100:$M100)*IF(OR(Input!$Z141=UniformDist,Input!$Z141=na),1/12,SUMPRODUCT(Input!$AB141:$AM141*(MONTH(BA$4)=MONTH(Input!$AB$128:$AM$128)))))</f>
        <v>0</v>
      </c>
      <c r="BB100" s="192"/>
      <c r="BC100" s="192"/>
      <c r="BD100" s="192"/>
      <c r="BE100" s="192"/>
      <c r="BF100" s="192"/>
      <c r="BG100" s="192"/>
      <c r="BH100" s="192"/>
      <c r="BI100" s="192"/>
      <c r="BJ100" s="192"/>
      <c r="BK100" s="192"/>
      <c r="BL100" s="192"/>
      <c r="BM100" s="192"/>
      <c r="BN100" s="192"/>
      <c r="BO100" s="192"/>
      <c r="BP100" s="192"/>
      <c r="BQ100" s="192"/>
      <c r="BR100" s="192"/>
      <c r="BS100" s="192"/>
      <c r="BT100" s="192"/>
      <c r="BU100" s="192"/>
      <c r="BV100" s="192"/>
      <c r="BW100" s="192"/>
      <c r="BX100" s="192"/>
      <c r="BY100" s="192"/>
      <c r="BZ100" s="192"/>
      <c r="CA100" s="192"/>
      <c r="CB100" s="192"/>
      <c r="CC100" s="192"/>
      <c r="CD100" s="192"/>
      <c r="CE100" s="192"/>
      <c r="CF100" s="192"/>
      <c r="CG100" s="192"/>
      <c r="CH100" s="192"/>
      <c r="CI100" s="192"/>
      <c r="CJ100" s="192"/>
      <c r="CK100" s="192"/>
      <c r="CL100" s="192"/>
      <c r="CM100" s="192"/>
      <c r="CN100" s="192"/>
      <c r="CO100" s="192"/>
      <c r="CP100" s="192"/>
      <c r="CQ100" s="192"/>
      <c r="CR100" s="192"/>
      <c r="CS100" s="192"/>
      <c r="CT100" s="192"/>
      <c r="CU100" s="192"/>
      <c r="CV100" s="192"/>
      <c r="CW100" s="192"/>
      <c r="CX100" s="192"/>
      <c r="CY100" s="192"/>
      <c r="CZ100" s="192"/>
      <c r="DA100" s="192"/>
      <c r="DB100" s="192"/>
      <c r="DC100" s="192"/>
      <c r="DD100" s="192"/>
      <c r="DE100" s="192"/>
      <c r="DF100" s="192"/>
      <c r="DG100" s="192"/>
      <c r="DH100" s="192"/>
      <c r="DI100" s="192"/>
      <c r="DJ100" s="192"/>
      <c r="DK100" s="192"/>
      <c r="DL100" s="192"/>
      <c r="DM100" s="192"/>
      <c r="DN100" s="192"/>
      <c r="DO100" s="192"/>
      <c r="DP100" s="192"/>
      <c r="DQ100" s="192"/>
      <c r="DR100" s="192"/>
      <c r="DS100" s="192"/>
      <c r="DT100" s="192"/>
      <c r="DU100" s="192"/>
      <c r="DV100" s="192"/>
      <c r="DW100" s="192"/>
      <c r="DX100" s="192"/>
      <c r="DY100" s="192"/>
      <c r="DZ100" s="192"/>
      <c r="EA100" s="192"/>
      <c r="EB100" s="192"/>
      <c r="EC100" s="192"/>
      <c r="ED100" s="192"/>
      <c r="EE100" s="192"/>
      <c r="EF100" s="192"/>
      <c r="EG100" s="192"/>
      <c r="EH100" s="192"/>
      <c r="EI100" s="192"/>
      <c r="EJ100" s="192"/>
      <c r="EK100" s="192"/>
      <c r="EL100" s="192"/>
      <c r="EM100" s="192"/>
      <c r="EN100" s="192"/>
      <c r="EO100" s="192"/>
      <c r="EP100" s="192"/>
      <c r="EQ100" s="192"/>
      <c r="ER100" s="192"/>
      <c r="ES100" s="192"/>
      <c r="ET100" s="192"/>
    </row>
    <row r="101" spans="1:150">
      <c r="A101" s="192"/>
      <c r="B101" s="36" t="str">
        <f>Input!B142</f>
        <v>Insurance</v>
      </c>
      <c r="C101" s="635">
        <f>-Input!G142</f>
        <v>0</v>
      </c>
      <c r="D101" s="635">
        <f>-Input!H142</f>
        <v>0</v>
      </c>
      <c r="E101" s="635">
        <f>-Input!I142</f>
        <v>0</v>
      </c>
      <c r="F101" s="635">
        <f>-Input!J142</f>
        <v>0</v>
      </c>
      <c r="G101" s="635">
        <f>-Input!K142</f>
        <v>0</v>
      </c>
      <c r="H101" s="635">
        <f>-Input!L142</f>
        <v>0</v>
      </c>
      <c r="I101" s="635">
        <f>-Input!M142</f>
        <v>0</v>
      </c>
      <c r="J101" s="635">
        <f>-Input!N142</f>
        <v>0</v>
      </c>
      <c r="K101" s="635">
        <f>-Input!O142</f>
        <v>0</v>
      </c>
      <c r="L101" s="635">
        <f>-Input!P142</f>
        <v>0</v>
      </c>
      <c r="M101" s="635">
        <f>-Input!Q142</f>
        <v>0</v>
      </c>
      <c r="N101" s="192"/>
      <c r="O101" s="635">
        <f>-IF(Input!AG239,SUMPRODUCT(FVSCHEDULE(Input!AG239,InflRate*($C$5:$L$5&lt;ReversionYear))),IF(Input!$F142=EGR,Input!S142*$O$83,Input!S142))</f>
        <v>0</v>
      </c>
      <c r="P101" s="192"/>
      <c r="Q101" s="37"/>
      <c r="R101" s="635">
        <f>IF(Input!$F142=EGR,-Input!$E142*R$83,SUMIF($C$5:$M$5,R$6,$C101:$M101)*IF(OR(Input!$Z142=UniformDist,Input!$Z142=na),1/12,SUMPRODUCT(Input!$AB142:$AM142*(MONTH(R$4)=MONTH(Input!$AB$128:$AM$128)))))</f>
        <v>0</v>
      </c>
      <c r="S101" s="635">
        <f>IF(Input!$F142=EGR,-Input!$E142*S$83,SUMIF($C$5:$M$5,S$6,$C101:$M101)*IF(OR(Input!$Z142=UniformDist,Input!$Z142=na),1/12,SUMPRODUCT(Input!$AB142:$AM142*(MONTH(S$4)=MONTH(Input!$AB$128:$AM$128)))))</f>
        <v>0</v>
      </c>
      <c r="T101" s="635">
        <f>IF(Input!$F142=EGR,-Input!$E142*T$83,SUMIF($C$5:$M$5,T$6,$C101:$M101)*IF(OR(Input!$Z142=UniformDist,Input!$Z142=na),1/12,SUMPRODUCT(Input!$AB142:$AM142*(MONTH(T$4)=MONTH(Input!$AB$128:$AM$128)))))</f>
        <v>0</v>
      </c>
      <c r="U101" s="635">
        <f>IF(Input!$F142=EGR,-Input!$E142*U$83,SUMIF($C$5:$M$5,U$6,$C101:$M101)*IF(OR(Input!$Z142=UniformDist,Input!$Z142=na),1/12,SUMPRODUCT(Input!$AB142:$AM142*(MONTH(U$4)=MONTH(Input!$AB$128:$AM$128)))))</f>
        <v>0</v>
      </c>
      <c r="V101" s="635">
        <f>IF(Input!$F142=EGR,-Input!$E142*V$83,SUMIF($C$5:$M$5,V$6,$C101:$M101)*IF(OR(Input!$Z142=UniformDist,Input!$Z142=na),1/12,SUMPRODUCT(Input!$AB142:$AM142*(MONTH(V$4)=MONTH(Input!$AB$128:$AM$128)))))</f>
        <v>0</v>
      </c>
      <c r="W101" s="635">
        <f>IF(Input!$F142=EGR,-Input!$E142*W$83,SUMIF($C$5:$M$5,W$6,$C101:$M101)*IF(OR(Input!$Z142=UniformDist,Input!$Z142=na),1/12,SUMPRODUCT(Input!$AB142:$AM142*(MONTH(W$4)=MONTH(Input!$AB$128:$AM$128)))))</f>
        <v>0</v>
      </c>
      <c r="X101" s="635">
        <f>IF(Input!$F142=EGR,-Input!$E142*X$83,SUMIF($C$5:$M$5,X$6,$C101:$M101)*IF(OR(Input!$Z142=UniformDist,Input!$Z142=na),1/12,SUMPRODUCT(Input!$AB142:$AM142*(MONTH(X$4)=MONTH(Input!$AB$128:$AM$128)))))</f>
        <v>0</v>
      </c>
      <c r="Y101" s="635">
        <f>IF(Input!$F142=EGR,-Input!$E142*Y$83,SUMIF($C$5:$M$5,Y$6,$C101:$M101)*IF(OR(Input!$Z142=UniformDist,Input!$Z142=na),1/12,SUMPRODUCT(Input!$AB142:$AM142*(MONTH(Y$4)=MONTH(Input!$AB$128:$AM$128)))))</f>
        <v>0</v>
      </c>
      <c r="Z101" s="635">
        <f>IF(Input!$F142=EGR,-Input!$E142*Z$83,SUMIF($C$5:$M$5,Z$6,$C101:$M101)*IF(OR(Input!$Z142=UniformDist,Input!$Z142=na),1/12,SUMPRODUCT(Input!$AB142:$AM142*(MONTH(Z$4)=MONTH(Input!$AB$128:$AM$128)))))</f>
        <v>0</v>
      </c>
      <c r="AA101" s="635">
        <f>IF(Input!$F142=EGR,-Input!$E142*AA$83,SUMIF($C$5:$M$5,AA$6,$C101:$M101)*IF(OR(Input!$Z142=UniformDist,Input!$Z142=na),1/12,SUMPRODUCT(Input!$AB142:$AM142*(MONTH(AA$4)=MONTH(Input!$AB$128:$AM$128)))))</f>
        <v>0</v>
      </c>
      <c r="AB101" s="635">
        <f>IF(Input!$F142=EGR,-Input!$E142*AB$83,SUMIF($C$5:$M$5,AB$6,$C101:$M101)*IF(OR(Input!$Z142=UniformDist,Input!$Z142=na),1/12,SUMPRODUCT(Input!$AB142:$AM142*(MONTH(AB$4)=MONTH(Input!$AB$128:$AM$128)))))</f>
        <v>0</v>
      </c>
      <c r="AC101" s="635">
        <f>IF(Input!$F142=EGR,-Input!$E142*AC$83,SUMIF($C$5:$M$5,AC$6,$C101:$M101)*IF(OR(Input!$Z142=UniformDist,Input!$Z142=na),1/12,SUMPRODUCT(Input!$AB142:$AM142*(MONTH(AC$4)=MONTH(Input!$AB$128:$AM$128)))))</f>
        <v>0</v>
      </c>
      <c r="AD101" s="635">
        <f>IF(Input!$F142=EGR,-Input!$E142*AD$83,SUMIF($C$5:$M$5,AD$6,$C101:$M101)*IF(OR(Input!$Z142=UniformDist,Input!$Z142=na),1/12,SUMPRODUCT(Input!$AB142:$AM142*(MONTH(AD$4)=MONTH(Input!$AB$128:$AM$128)))))</f>
        <v>0</v>
      </c>
      <c r="AE101" s="635">
        <f>IF(Input!$F142=EGR,-Input!$E142*AE$83,SUMIF($C$5:$M$5,AE$6,$C101:$M101)*IF(OR(Input!$Z142=UniformDist,Input!$Z142=na),1/12,SUMPRODUCT(Input!$AB142:$AM142*(MONTH(AE$4)=MONTH(Input!$AB$128:$AM$128)))))</f>
        <v>0</v>
      </c>
      <c r="AF101" s="635">
        <f>IF(Input!$F142=EGR,-Input!$E142*AF$83,SUMIF($C$5:$M$5,AF$6,$C101:$M101)*IF(OR(Input!$Z142=UniformDist,Input!$Z142=na),1/12,SUMPRODUCT(Input!$AB142:$AM142*(MONTH(AF$4)=MONTH(Input!$AB$128:$AM$128)))))</f>
        <v>0</v>
      </c>
      <c r="AG101" s="635">
        <f>IF(Input!$F142=EGR,-Input!$E142*AG$83,SUMIF($C$5:$M$5,AG$6,$C101:$M101)*IF(OR(Input!$Z142=UniformDist,Input!$Z142=na),1/12,SUMPRODUCT(Input!$AB142:$AM142*(MONTH(AG$4)=MONTH(Input!$AB$128:$AM$128)))))</f>
        <v>0</v>
      </c>
      <c r="AH101" s="635">
        <f>IF(Input!$F142=EGR,-Input!$E142*AH$83,SUMIF($C$5:$M$5,AH$6,$C101:$M101)*IF(OR(Input!$Z142=UniformDist,Input!$Z142=na),1/12,SUMPRODUCT(Input!$AB142:$AM142*(MONTH(AH$4)=MONTH(Input!$AB$128:$AM$128)))))</f>
        <v>0</v>
      </c>
      <c r="AI101" s="635">
        <f>IF(Input!$F142=EGR,-Input!$E142*AI$83,SUMIF($C$5:$M$5,AI$6,$C101:$M101)*IF(OR(Input!$Z142=UniformDist,Input!$Z142=na),1/12,SUMPRODUCT(Input!$AB142:$AM142*(MONTH(AI$4)=MONTH(Input!$AB$128:$AM$128)))))</f>
        <v>0</v>
      </c>
      <c r="AJ101" s="635">
        <f>IF(Input!$F142=EGR,-Input!$E142*AJ$83,SUMIF($C$5:$M$5,AJ$6,$C101:$M101)*IF(OR(Input!$Z142=UniformDist,Input!$Z142=na),1/12,SUMPRODUCT(Input!$AB142:$AM142*(MONTH(AJ$4)=MONTH(Input!$AB$128:$AM$128)))))</f>
        <v>0</v>
      </c>
      <c r="AK101" s="635">
        <f>IF(Input!$F142=EGR,-Input!$E142*AK$83,SUMIF($C$5:$M$5,AK$6,$C101:$M101)*IF(OR(Input!$Z142=UniformDist,Input!$Z142=na),1/12,SUMPRODUCT(Input!$AB142:$AM142*(MONTH(AK$4)=MONTH(Input!$AB$128:$AM$128)))))</f>
        <v>0</v>
      </c>
      <c r="AL101" s="635">
        <f>IF(Input!$F142=EGR,-Input!$E142*AL$83,SUMIF($C$5:$M$5,AL$6,$C101:$M101)*IF(OR(Input!$Z142=UniformDist,Input!$Z142=na),1/12,SUMPRODUCT(Input!$AB142:$AM142*(MONTH(AL$4)=MONTH(Input!$AB$128:$AM$128)))))</f>
        <v>0</v>
      </c>
      <c r="AM101" s="635">
        <f>IF(Input!$F142=EGR,-Input!$E142*AM$83,SUMIF($C$5:$M$5,AM$6,$C101:$M101)*IF(OR(Input!$Z142=UniformDist,Input!$Z142=na),1/12,SUMPRODUCT(Input!$AB142:$AM142*(MONTH(AM$4)=MONTH(Input!$AB$128:$AM$128)))))</f>
        <v>0</v>
      </c>
      <c r="AN101" s="635">
        <f>IF(Input!$F142=EGR,-Input!$E142*AN$83,SUMIF($C$5:$M$5,AN$6,$C101:$M101)*IF(OR(Input!$Z142=UniformDist,Input!$Z142=na),1/12,SUMPRODUCT(Input!$AB142:$AM142*(MONTH(AN$4)=MONTH(Input!$AB$128:$AM$128)))))</f>
        <v>0</v>
      </c>
      <c r="AO101" s="635">
        <f>IF(Input!$F142=EGR,-Input!$E142*AO$83,SUMIF($C$5:$M$5,AO$6,$C101:$M101)*IF(OR(Input!$Z142=UniformDist,Input!$Z142=na),1/12,SUMPRODUCT(Input!$AB142:$AM142*(MONTH(AO$4)=MONTH(Input!$AB$128:$AM$128)))))</f>
        <v>0</v>
      </c>
      <c r="AP101" s="635">
        <f>IF(Input!$F142=EGR,-Input!$E142*AP$83,SUMIF($C$5:$M$5,AP$6,$C101:$M101)*IF(OR(Input!$Z142=UniformDist,Input!$Z142=na),1/12,SUMPRODUCT(Input!$AB142:$AM142*(MONTH(AP$4)=MONTH(Input!$AB$128:$AM$128)))))</f>
        <v>0</v>
      </c>
      <c r="AQ101" s="635">
        <f>IF(Input!$F142=EGR,-Input!$E142*AQ$83,SUMIF($C$5:$M$5,AQ$6,$C101:$M101)*IF(OR(Input!$Z142=UniformDist,Input!$Z142=na),1/12,SUMPRODUCT(Input!$AB142:$AM142*(MONTH(AQ$4)=MONTH(Input!$AB$128:$AM$128)))))</f>
        <v>0</v>
      </c>
      <c r="AR101" s="635">
        <f>IF(Input!$F142=EGR,-Input!$E142*AR$83,SUMIF($C$5:$M$5,AR$6,$C101:$M101)*IF(OR(Input!$Z142=UniformDist,Input!$Z142=na),1/12,SUMPRODUCT(Input!$AB142:$AM142*(MONTH(AR$4)=MONTH(Input!$AB$128:$AM$128)))))</f>
        <v>0</v>
      </c>
      <c r="AS101" s="635">
        <f>IF(Input!$F142=EGR,-Input!$E142*AS$83,SUMIF($C$5:$M$5,AS$6,$C101:$M101)*IF(OR(Input!$Z142=UniformDist,Input!$Z142=na),1/12,SUMPRODUCT(Input!$AB142:$AM142*(MONTH(AS$4)=MONTH(Input!$AB$128:$AM$128)))))</f>
        <v>0</v>
      </c>
      <c r="AT101" s="635">
        <f>IF(Input!$F142=EGR,-Input!$E142*AT$83,SUMIF($C$5:$M$5,AT$6,$C101:$M101)*IF(OR(Input!$Z142=UniformDist,Input!$Z142=na),1/12,SUMPRODUCT(Input!$AB142:$AM142*(MONTH(AT$4)=MONTH(Input!$AB$128:$AM$128)))))</f>
        <v>0</v>
      </c>
      <c r="AU101" s="635">
        <f>IF(Input!$F142=EGR,-Input!$E142*AU$83,SUMIF($C$5:$M$5,AU$6,$C101:$M101)*IF(OR(Input!$Z142=UniformDist,Input!$Z142=na),1/12,SUMPRODUCT(Input!$AB142:$AM142*(MONTH(AU$4)=MONTH(Input!$AB$128:$AM$128)))))</f>
        <v>0</v>
      </c>
      <c r="AV101" s="635">
        <f>IF(Input!$F142=EGR,-Input!$E142*AV$83,SUMIF($C$5:$M$5,AV$6,$C101:$M101)*IF(OR(Input!$Z142=UniformDist,Input!$Z142=na),1/12,SUMPRODUCT(Input!$AB142:$AM142*(MONTH(AV$4)=MONTH(Input!$AB$128:$AM$128)))))</f>
        <v>0</v>
      </c>
      <c r="AW101" s="635">
        <f>IF(Input!$F142=EGR,-Input!$E142*AW$83,SUMIF($C$5:$M$5,AW$6,$C101:$M101)*IF(OR(Input!$Z142=UniformDist,Input!$Z142=na),1/12,SUMPRODUCT(Input!$AB142:$AM142*(MONTH(AW$4)=MONTH(Input!$AB$128:$AM$128)))))</f>
        <v>0</v>
      </c>
      <c r="AX101" s="635">
        <f>IF(Input!$F142=EGR,-Input!$E142*AX$83,SUMIF($C$5:$M$5,AX$6,$C101:$M101)*IF(OR(Input!$Z142=UniformDist,Input!$Z142=na),1/12,SUMPRODUCT(Input!$AB142:$AM142*(MONTH(AX$4)=MONTH(Input!$AB$128:$AM$128)))))</f>
        <v>0</v>
      </c>
      <c r="AY101" s="635">
        <f>IF(Input!$F142=EGR,-Input!$E142*AY$83,SUMIF($C$5:$M$5,AY$6,$C101:$M101)*IF(OR(Input!$Z142=UniformDist,Input!$Z142=na),1/12,SUMPRODUCT(Input!$AB142:$AM142*(MONTH(AY$4)=MONTH(Input!$AB$128:$AM$128)))))</f>
        <v>0</v>
      </c>
      <c r="AZ101" s="635">
        <f>IF(Input!$F142=EGR,-Input!$E142*AZ$83,SUMIF($C$5:$M$5,AZ$6,$C101:$M101)*IF(OR(Input!$Z142=UniformDist,Input!$Z142=na),1/12,SUMPRODUCT(Input!$AB142:$AM142*(MONTH(AZ$4)=MONTH(Input!$AB$128:$AM$128)))))</f>
        <v>0</v>
      </c>
      <c r="BA101" s="635">
        <f>IF(Input!$F142=EGR,-Input!$E142*BA$83,SUMIF($C$5:$M$5,BA$6,$C101:$M101)*IF(OR(Input!$Z142=UniformDist,Input!$Z142=na),1/12,SUMPRODUCT(Input!$AB142:$AM142*(MONTH(BA$4)=MONTH(Input!$AB$128:$AM$128)))))</f>
        <v>0</v>
      </c>
      <c r="BB101" s="192"/>
      <c r="BC101" s="192"/>
      <c r="BD101" s="192"/>
      <c r="BE101" s="192"/>
      <c r="BF101" s="192"/>
      <c r="BG101" s="192"/>
      <c r="BH101" s="192"/>
      <c r="BI101" s="192"/>
      <c r="BJ101" s="192"/>
      <c r="BK101" s="192"/>
      <c r="BL101" s="192"/>
      <c r="BM101" s="192"/>
      <c r="BN101" s="192"/>
      <c r="BO101" s="192"/>
      <c r="BP101" s="192"/>
      <c r="BQ101" s="192"/>
      <c r="BR101" s="192"/>
      <c r="BS101" s="192"/>
      <c r="BT101" s="192"/>
      <c r="BU101" s="192"/>
      <c r="BV101" s="192"/>
      <c r="BW101" s="192"/>
      <c r="BX101" s="192"/>
      <c r="BY101" s="192"/>
      <c r="BZ101" s="192"/>
      <c r="CA101" s="192"/>
      <c r="CB101" s="192"/>
      <c r="CC101" s="192"/>
      <c r="CD101" s="192"/>
      <c r="CE101" s="192"/>
      <c r="CF101" s="192"/>
      <c r="CG101" s="192"/>
      <c r="CH101" s="192"/>
      <c r="CI101" s="192"/>
      <c r="CJ101" s="192"/>
      <c r="CK101" s="192"/>
      <c r="CL101" s="192"/>
      <c r="CM101" s="192"/>
      <c r="CN101" s="192"/>
      <c r="CO101" s="192"/>
      <c r="CP101" s="192"/>
      <c r="CQ101" s="192"/>
      <c r="CR101" s="192"/>
      <c r="CS101" s="192"/>
      <c r="CT101" s="192"/>
      <c r="CU101" s="192"/>
      <c r="CV101" s="192"/>
      <c r="CW101" s="192"/>
      <c r="CX101" s="192"/>
      <c r="CY101" s="192"/>
      <c r="CZ101" s="192"/>
      <c r="DA101" s="192"/>
      <c r="DB101" s="192"/>
      <c r="DC101" s="192"/>
      <c r="DD101" s="192"/>
      <c r="DE101" s="192"/>
      <c r="DF101" s="192"/>
      <c r="DG101" s="192"/>
      <c r="DH101" s="192"/>
      <c r="DI101" s="192"/>
      <c r="DJ101" s="192"/>
      <c r="DK101" s="192"/>
      <c r="DL101" s="192"/>
      <c r="DM101" s="192"/>
      <c r="DN101" s="192"/>
      <c r="DO101" s="192"/>
      <c r="DP101" s="192"/>
      <c r="DQ101" s="192"/>
      <c r="DR101" s="192"/>
      <c r="DS101" s="192"/>
      <c r="DT101" s="192"/>
      <c r="DU101" s="192"/>
      <c r="DV101" s="192"/>
      <c r="DW101" s="192"/>
      <c r="DX101" s="192"/>
      <c r="DY101" s="192"/>
      <c r="DZ101" s="192"/>
      <c r="EA101" s="192"/>
      <c r="EB101" s="192"/>
      <c r="EC101" s="192"/>
      <c r="ED101" s="192"/>
      <c r="EE101" s="192"/>
      <c r="EF101" s="192"/>
      <c r="EG101" s="192"/>
      <c r="EH101" s="192"/>
      <c r="EI101" s="192"/>
      <c r="EJ101" s="192"/>
      <c r="EK101" s="192"/>
      <c r="EL101" s="192"/>
      <c r="EM101" s="192"/>
      <c r="EN101" s="192"/>
      <c r="EO101" s="192"/>
      <c r="EP101" s="192"/>
      <c r="EQ101" s="192"/>
      <c r="ER101" s="192"/>
      <c r="ES101" s="192"/>
      <c r="ET101" s="192"/>
    </row>
    <row r="102" spans="1:150">
      <c r="A102" s="192"/>
      <c r="B102" s="36" t="str">
        <f>Input!B143</f>
        <v>Real Estate Taxes</v>
      </c>
      <c r="C102" s="635">
        <f>-Input!G143*IF(AND(AcqValuationMethodType=132,ReimbMethodType=120,IsReassAtClosing,YrReassBeginsValue=1,MktValueAtClosingType=101),1-RETReimb,1)*(1-EarlyTaxPmntDiscnt)</f>
        <v>-182667</v>
      </c>
      <c r="D102" s="635">
        <f>-Input!H143*(1-Input!$L$160)</f>
        <v>-182667</v>
      </c>
      <c r="E102" s="635">
        <f>-Input!I143*(1-Input!$L$160)</f>
        <v>-182667</v>
      </c>
      <c r="F102" s="635">
        <f>-Input!J143*(1-Input!$L$160)</f>
        <v>-182667</v>
      </c>
      <c r="G102" s="635">
        <f>-Input!K143*(1-Input!$L$160)</f>
        <v>-182667</v>
      </c>
      <c r="H102" s="635">
        <f>-Input!L143*(1-Input!$L$160)</f>
        <v>-182667</v>
      </c>
      <c r="I102" s="635">
        <f>-Input!M143*(1-Input!$L$160)</f>
        <v>-182667</v>
      </c>
      <c r="J102" s="635">
        <f>-Input!N143*(1-Input!$L$160)</f>
        <v>-182667</v>
      </c>
      <c r="K102" s="635">
        <f>-Input!O143*(1-Input!$L$160)</f>
        <v>-182667</v>
      </c>
      <c r="L102" s="635">
        <f>-Input!P143*(1-Input!$L$160)</f>
        <v>-182667</v>
      </c>
      <c r="M102" s="635">
        <f>-Input!Q143*(1-Input!$L$160)</f>
        <v>-182667</v>
      </c>
      <c r="N102" s="192"/>
      <c r="O102" s="635">
        <f>-IF(DiscReversionTax,SUMPRODUCT(FVSCHEDULE(DiscReversionTax,RETInfRate*($C$5:$L$5&lt;ReversionYear))),IF(Input!F143&lt;&gt;EGR,ReversionTaxExpInput*IF(AND(ReimbMethodType=120,IsReassAtExit,DispValuationType=11),1-RETReimb,1)*(1-EarlyTaxPmntDiscnt),IF(IsReassAtExit,ReversionTaxExpInput*IF(AND(ReimbMethodType=120,DispValuationType=11),1-RETReimb,1)*(1-EarlyTaxPmntDiscnt),ReversionTaxExpInput*O$83)))</f>
        <v>-182667</v>
      </c>
      <c r="P102" s="192"/>
      <c r="Q102" s="37"/>
      <c r="R102" s="635">
        <f>IF(Input!$F143=EGR,-Input!$E143*R$83,SUMIF($C$5:$M$5,R$6,$C102:$M102)*IF(OR(Input!$Z143=UniformDist,Input!$Z143=na),1/12,SUMPRODUCT(Input!$AB143:$AM143*(MONTH(R$4)=MONTH(Input!$AB$128:$AM$128)))))</f>
        <v>-15222.25</v>
      </c>
      <c r="S102" s="635">
        <f>IF(Input!$F143=EGR,-Input!$E143*S$83,SUMIF($C$5:$M$5,S$6,$C102:$M102)*IF(OR(Input!$Z143=UniformDist,Input!$Z143=na),1/12,SUMPRODUCT(Input!$AB143:$AM143*(MONTH(S$4)=MONTH(Input!$AB$128:$AM$128)))))</f>
        <v>-15222.25</v>
      </c>
      <c r="T102" s="635">
        <f>IF(Input!$F143=EGR,-Input!$E143*T$83,SUMIF($C$5:$M$5,T$6,$C102:$M102)*IF(OR(Input!$Z143=UniformDist,Input!$Z143=na),1/12,SUMPRODUCT(Input!$AB143:$AM143*(MONTH(T$4)=MONTH(Input!$AB$128:$AM$128)))))</f>
        <v>-15222.25</v>
      </c>
      <c r="U102" s="635">
        <f>IF(Input!$F143=EGR,-Input!$E143*U$83,SUMIF($C$5:$M$5,U$6,$C102:$M102)*IF(OR(Input!$Z143=UniformDist,Input!$Z143=na),1/12,SUMPRODUCT(Input!$AB143:$AM143*(MONTH(U$4)=MONTH(Input!$AB$128:$AM$128)))))</f>
        <v>-15222.25</v>
      </c>
      <c r="V102" s="635">
        <f>IF(Input!$F143=EGR,-Input!$E143*V$83,SUMIF($C$5:$M$5,V$6,$C102:$M102)*IF(OR(Input!$Z143=UniformDist,Input!$Z143=na),1/12,SUMPRODUCT(Input!$AB143:$AM143*(MONTH(V$4)=MONTH(Input!$AB$128:$AM$128)))))</f>
        <v>-15222.25</v>
      </c>
      <c r="W102" s="635">
        <f>IF(Input!$F143=EGR,-Input!$E143*W$83,SUMIF($C$5:$M$5,W$6,$C102:$M102)*IF(OR(Input!$Z143=UniformDist,Input!$Z143=na),1/12,SUMPRODUCT(Input!$AB143:$AM143*(MONTH(W$4)=MONTH(Input!$AB$128:$AM$128)))))</f>
        <v>-15222.25</v>
      </c>
      <c r="X102" s="635">
        <f>IF(Input!$F143=EGR,-Input!$E143*X$83,SUMIF($C$5:$M$5,X$6,$C102:$M102)*IF(OR(Input!$Z143=UniformDist,Input!$Z143=na),1/12,SUMPRODUCT(Input!$AB143:$AM143*(MONTH(X$4)=MONTH(Input!$AB$128:$AM$128)))))</f>
        <v>-15222.25</v>
      </c>
      <c r="Y102" s="635">
        <f>IF(Input!$F143=EGR,-Input!$E143*Y$83,SUMIF($C$5:$M$5,Y$6,$C102:$M102)*IF(OR(Input!$Z143=UniformDist,Input!$Z143=na),1/12,SUMPRODUCT(Input!$AB143:$AM143*(MONTH(Y$4)=MONTH(Input!$AB$128:$AM$128)))))</f>
        <v>-15222.25</v>
      </c>
      <c r="Z102" s="635">
        <f>IF(Input!$F143=EGR,-Input!$E143*Z$83,SUMIF($C$5:$M$5,Z$6,$C102:$M102)*IF(OR(Input!$Z143=UniformDist,Input!$Z143=na),1/12,SUMPRODUCT(Input!$AB143:$AM143*(MONTH(Z$4)=MONTH(Input!$AB$128:$AM$128)))))</f>
        <v>-15222.25</v>
      </c>
      <c r="AA102" s="635">
        <f>IF(Input!$F143=EGR,-Input!$E143*AA$83,SUMIF($C$5:$M$5,AA$6,$C102:$M102)*IF(OR(Input!$Z143=UniformDist,Input!$Z143=na),1/12,SUMPRODUCT(Input!$AB143:$AM143*(MONTH(AA$4)=MONTH(Input!$AB$128:$AM$128)))))</f>
        <v>-15222.25</v>
      </c>
      <c r="AB102" s="635">
        <f>IF(Input!$F143=EGR,-Input!$E143*AB$83,SUMIF($C$5:$M$5,AB$6,$C102:$M102)*IF(OR(Input!$Z143=UniformDist,Input!$Z143=na),1/12,SUMPRODUCT(Input!$AB143:$AM143*(MONTH(AB$4)=MONTH(Input!$AB$128:$AM$128)))))</f>
        <v>-15222.25</v>
      </c>
      <c r="AC102" s="635">
        <f>IF(Input!$F143=EGR,-Input!$E143*AC$83,SUMIF($C$5:$M$5,AC$6,$C102:$M102)*IF(OR(Input!$Z143=UniformDist,Input!$Z143=na),1/12,SUMPRODUCT(Input!$AB143:$AM143*(MONTH(AC$4)=MONTH(Input!$AB$128:$AM$128)))))</f>
        <v>-15222.25</v>
      </c>
      <c r="AD102" s="635">
        <f>IF(Input!$F143=EGR,-Input!$E143*AD$83,SUMIF($C$5:$M$5,AD$6,$C102:$M102)*IF(OR(Input!$Z143=UniformDist,Input!$Z143=na),1/12,SUMPRODUCT(Input!$AB143:$AM143*(MONTH(AD$4)=MONTH(Input!$AB$128:$AM$128)))))</f>
        <v>-15222.25</v>
      </c>
      <c r="AE102" s="635">
        <f>IF(Input!$F143=EGR,-Input!$E143*AE$83,SUMIF($C$5:$M$5,AE$6,$C102:$M102)*IF(OR(Input!$Z143=UniformDist,Input!$Z143=na),1/12,SUMPRODUCT(Input!$AB143:$AM143*(MONTH(AE$4)=MONTH(Input!$AB$128:$AM$128)))))</f>
        <v>-15222.25</v>
      </c>
      <c r="AF102" s="635">
        <f>IF(Input!$F143=EGR,-Input!$E143*AF$83,SUMIF($C$5:$M$5,AF$6,$C102:$M102)*IF(OR(Input!$Z143=UniformDist,Input!$Z143=na),1/12,SUMPRODUCT(Input!$AB143:$AM143*(MONTH(AF$4)=MONTH(Input!$AB$128:$AM$128)))))</f>
        <v>-15222.25</v>
      </c>
      <c r="AG102" s="635">
        <f>IF(Input!$F143=EGR,-Input!$E143*AG$83,SUMIF($C$5:$M$5,AG$6,$C102:$M102)*IF(OR(Input!$Z143=UniformDist,Input!$Z143=na),1/12,SUMPRODUCT(Input!$AB143:$AM143*(MONTH(AG$4)=MONTH(Input!$AB$128:$AM$128)))))</f>
        <v>-15222.25</v>
      </c>
      <c r="AH102" s="635">
        <f>IF(Input!$F143=EGR,-Input!$E143*AH$83,SUMIF($C$5:$M$5,AH$6,$C102:$M102)*IF(OR(Input!$Z143=UniformDist,Input!$Z143=na),1/12,SUMPRODUCT(Input!$AB143:$AM143*(MONTH(AH$4)=MONTH(Input!$AB$128:$AM$128)))))</f>
        <v>-15222.25</v>
      </c>
      <c r="AI102" s="635">
        <f>IF(Input!$F143=EGR,-Input!$E143*AI$83,SUMIF($C$5:$M$5,AI$6,$C102:$M102)*IF(OR(Input!$Z143=UniformDist,Input!$Z143=na),1/12,SUMPRODUCT(Input!$AB143:$AM143*(MONTH(AI$4)=MONTH(Input!$AB$128:$AM$128)))))</f>
        <v>-15222.25</v>
      </c>
      <c r="AJ102" s="635">
        <f>IF(Input!$F143=EGR,-Input!$E143*AJ$83,SUMIF($C$5:$M$5,AJ$6,$C102:$M102)*IF(OR(Input!$Z143=UniformDist,Input!$Z143=na),1/12,SUMPRODUCT(Input!$AB143:$AM143*(MONTH(AJ$4)=MONTH(Input!$AB$128:$AM$128)))))</f>
        <v>-15222.25</v>
      </c>
      <c r="AK102" s="635">
        <f>IF(Input!$F143=EGR,-Input!$E143*AK$83,SUMIF($C$5:$M$5,AK$6,$C102:$M102)*IF(OR(Input!$Z143=UniformDist,Input!$Z143=na),1/12,SUMPRODUCT(Input!$AB143:$AM143*(MONTH(AK$4)=MONTH(Input!$AB$128:$AM$128)))))</f>
        <v>-15222.25</v>
      </c>
      <c r="AL102" s="635">
        <f>IF(Input!$F143=EGR,-Input!$E143*AL$83,SUMIF($C$5:$M$5,AL$6,$C102:$M102)*IF(OR(Input!$Z143=UniformDist,Input!$Z143=na),1/12,SUMPRODUCT(Input!$AB143:$AM143*(MONTH(AL$4)=MONTH(Input!$AB$128:$AM$128)))))</f>
        <v>-15222.25</v>
      </c>
      <c r="AM102" s="635">
        <f>IF(Input!$F143=EGR,-Input!$E143*AM$83,SUMIF($C$5:$M$5,AM$6,$C102:$M102)*IF(OR(Input!$Z143=UniformDist,Input!$Z143=na),1/12,SUMPRODUCT(Input!$AB143:$AM143*(MONTH(AM$4)=MONTH(Input!$AB$128:$AM$128)))))</f>
        <v>-15222.25</v>
      </c>
      <c r="AN102" s="635">
        <f>IF(Input!$F143=EGR,-Input!$E143*AN$83,SUMIF($C$5:$M$5,AN$6,$C102:$M102)*IF(OR(Input!$Z143=UniformDist,Input!$Z143=na),1/12,SUMPRODUCT(Input!$AB143:$AM143*(MONTH(AN$4)=MONTH(Input!$AB$128:$AM$128)))))</f>
        <v>-15222.25</v>
      </c>
      <c r="AO102" s="635">
        <f>IF(Input!$F143=EGR,-Input!$E143*AO$83,SUMIF($C$5:$M$5,AO$6,$C102:$M102)*IF(OR(Input!$Z143=UniformDist,Input!$Z143=na),1/12,SUMPRODUCT(Input!$AB143:$AM143*(MONTH(AO$4)=MONTH(Input!$AB$128:$AM$128)))))</f>
        <v>-15222.25</v>
      </c>
      <c r="AP102" s="635">
        <f>IF(Input!$F143=EGR,-Input!$E143*AP$83,SUMIF($C$5:$M$5,AP$6,$C102:$M102)*IF(OR(Input!$Z143=UniformDist,Input!$Z143=na),1/12,SUMPRODUCT(Input!$AB143:$AM143*(MONTH(AP$4)=MONTH(Input!$AB$128:$AM$128)))))</f>
        <v>-15222.25</v>
      </c>
      <c r="AQ102" s="635">
        <f>IF(Input!$F143=EGR,-Input!$E143*AQ$83,SUMIF($C$5:$M$5,AQ$6,$C102:$M102)*IF(OR(Input!$Z143=UniformDist,Input!$Z143=na),1/12,SUMPRODUCT(Input!$AB143:$AM143*(MONTH(AQ$4)=MONTH(Input!$AB$128:$AM$128)))))</f>
        <v>-15222.25</v>
      </c>
      <c r="AR102" s="635">
        <f>IF(Input!$F143=EGR,-Input!$E143*AR$83,SUMIF($C$5:$M$5,AR$6,$C102:$M102)*IF(OR(Input!$Z143=UniformDist,Input!$Z143=na),1/12,SUMPRODUCT(Input!$AB143:$AM143*(MONTH(AR$4)=MONTH(Input!$AB$128:$AM$128)))))</f>
        <v>-15222.25</v>
      </c>
      <c r="AS102" s="635">
        <f>IF(Input!$F143=EGR,-Input!$E143*AS$83,SUMIF($C$5:$M$5,AS$6,$C102:$M102)*IF(OR(Input!$Z143=UniformDist,Input!$Z143=na),1/12,SUMPRODUCT(Input!$AB143:$AM143*(MONTH(AS$4)=MONTH(Input!$AB$128:$AM$128)))))</f>
        <v>-15222.25</v>
      </c>
      <c r="AT102" s="635">
        <f>IF(Input!$F143=EGR,-Input!$E143*AT$83,SUMIF($C$5:$M$5,AT$6,$C102:$M102)*IF(OR(Input!$Z143=UniformDist,Input!$Z143=na),1/12,SUMPRODUCT(Input!$AB143:$AM143*(MONTH(AT$4)=MONTH(Input!$AB$128:$AM$128)))))</f>
        <v>-15222.25</v>
      </c>
      <c r="AU102" s="635">
        <f>IF(Input!$F143=EGR,-Input!$E143*AU$83,SUMIF($C$5:$M$5,AU$6,$C102:$M102)*IF(OR(Input!$Z143=UniformDist,Input!$Z143=na),1/12,SUMPRODUCT(Input!$AB143:$AM143*(MONTH(AU$4)=MONTH(Input!$AB$128:$AM$128)))))</f>
        <v>-15222.25</v>
      </c>
      <c r="AV102" s="635">
        <f>IF(Input!$F143=EGR,-Input!$E143*AV$83,SUMIF($C$5:$M$5,AV$6,$C102:$M102)*IF(OR(Input!$Z143=UniformDist,Input!$Z143=na),1/12,SUMPRODUCT(Input!$AB143:$AM143*(MONTH(AV$4)=MONTH(Input!$AB$128:$AM$128)))))</f>
        <v>-15222.25</v>
      </c>
      <c r="AW102" s="635">
        <f>IF(Input!$F143=EGR,-Input!$E143*AW$83,SUMIF($C$5:$M$5,AW$6,$C102:$M102)*IF(OR(Input!$Z143=UniformDist,Input!$Z143=na),1/12,SUMPRODUCT(Input!$AB143:$AM143*(MONTH(AW$4)=MONTH(Input!$AB$128:$AM$128)))))</f>
        <v>-15222.25</v>
      </c>
      <c r="AX102" s="635">
        <f>IF(Input!$F143=EGR,-Input!$E143*AX$83,SUMIF($C$5:$M$5,AX$6,$C102:$M102)*IF(OR(Input!$Z143=UniformDist,Input!$Z143=na),1/12,SUMPRODUCT(Input!$AB143:$AM143*(MONTH(AX$4)=MONTH(Input!$AB$128:$AM$128)))))</f>
        <v>-15222.25</v>
      </c>
      <c r="AY102" s="635">
        <f>IF(Input!$F143=EGR,-Input!$E143*AY$83,SUMIF($C$5:$M$5,AY$6,$C102:$M102)*IF(OR(Input!$Z143=UniformDist,Input!$Z143=na),1/12,SUMPRODUCT(Input!$AB143:$AM143*(MONTH(AY$4)=MONTH(Input!$AB$128:$AM$128)))))</f>
        <v>-15222.25</v>
      </c>
      <c r="AZ102" s="635">
        <f>IF(Input!$F143=EGR,-Input!$E143*AZ$83,SUMIF($C$5:$M$5,AZ$6,$C102:$M102)*IF(OR(Input!$Z143=UniformDist,Input!$Z143=na),1/12,SUMPRODUCT(Input!$AB143:$AM143*(MONTH(AZ$4)=MONTH(Input!$AB$128:$AM$128)))))</f>
        <v>-15222.25</v>
      </c>
      <c r="BA102" s="635">
        <f>IF(Input!$F143=EGR,-Input!$E143*BA$83,SUMIF($C$5:$M$5,BA$6,$C102:$M102)*IF(OR(Input!$Z143=UniformDist,Input!$Z143=na),1/12,SUMPRODUCT(Input!$AB143:$AM143*(MONTH(BA$4)=MONTH(Input!$AB$128:$AM$128)))))</f>
        <v>-15222.25</v>
      </c>
      <c r="BB102" s="192"/>
      <c r="BC102" s="192"/>
      <c r="BD102" s="192"/>
      <c r="BE102" s="192"/>
      <c r="BF102" s="192"/>
      <c r="BG102" s="192"/>
      <c r="BH102" s="192"/>
      <c r="BI102" s="192"/>
      <c r="BJ102" s="192"/>
      <c r="BK102" s="192"/>
      <c r="BL102" s="192"/>
      <c r="BM102" s="192"/>
      <c r="BN102" s="192"/>
      <c r="BO102" s="192"/>
      <c r="BP102" s="192"/>
      <c r="BQ102" s="192"/>
      <c r="BR102" s="192"/>
      <c r="BS102" s="192"/>
      <c r="BT102" s="192"/>
      <c r="BU102" s="192"/>
      <c r="BV102" s="192"/>
      <c r="BW102" s="192"/>
      <c r="BX102" s="192"/>
      <c r="BY102" s="192"/>
      <c r="BZ102" s="192"/>
      <c r="CA102" s="192"/>
      <c r="CB102" s="192"/>
      <c r="CC102" s="192"/>
      <c r="CD102" s="192"/>
      <c r="CE102" s="192"/>
      <c r="CF102" s="192"/>
      <c r="CG102" s="192"/>
      <c r="CH102" s="192"/>
      <c r="CI102" s="192"/>
      <c r="CJ102" s="192"/>
      <c r="CK102" s="192"/>
      <c r="CL102" s="192"/>
      <c r="CM102" s="192"/>
      <c r="CN102" s="192"/>
      <c r="CO102" s="192"/>
      <c r="CP102" s="192"/>
      <c r="CQ102" s="192"/>
      <c r="CR102" s="192"/>
      <c r="CS102" s="192"/>
      <c r="CT102" s="192"/>
      <c r="CU102" s="192"/>
      <c r="CV102" s="192"/>
      <c r="CW102" s="192"/>
      <c r="CX102" s="192"/>
      <c r="CY102" s="192"/>
      <c r="CZ102" s="192"/>
      <c r="DA102" s="192"/>
      <c r="DB102" s="192"/>
      <c r="DC102" s="192"/>
      <c r="DD102" s="192"/>
      <c r="DE102" s="192"/>
      <c r="DF102" s="192"/>
      <c r="DG102" s="192"/>
      <c r="DH102" s="192"/>
      <c r="DI102" s="192"/>
      <c r="DJ102" s="192"/>
      <c r="DK102" s="192"/>
      <c r="DL102" s="192"/>
      <c r="DM102" s="192"/>
      <c r="DN102" s="192"/>
      <c r="DO102" s="192"/>
      <c r="DP102" s="192"/>
      <c r="DQ102" s="192"/>
      <c r="DR102" s="192"/>
      <c r="DS102" s="192"/>
      <c r="DT102" s="192"/>
      <c r="DU102" s="192"/>
      <c r="DV102" s="192"/>
      <c r="DW102" s="192"/>
      <c r="DX102" s="192"/>
      <c r="DY102" s="192"/>
      <c r="DZ102" s="192"/>
      <c r="EA102" s="192"/>
      <c r="EB102" s="192"/>
      <c r="EC102" s="192"/>
      <c r="ED102" s="192"/>
      <c r="EE102" s="192"/>
      <c r="EF102" s="192"/>
      <c r="EG102" s="192"/>
      <c r="EH102" s="192"/>
      <c r="EI102" s="192"/>
      <c r="EJ102" s="192"/>
      <c r="EK102" s="192"/>
      <c r="EL102" s="192"/>
      <c r="EM102" s="192"/>
      <c r="EN102" s="192"/>
      <c r="EO102" s="192"/>
      <c r="EP102" s="192"/>
      <c r="EQ102" s="192"/>
      <c r="ER102" s="192"/>
      <c r="ES102" s="192"/>
      <c r="ET102" s="192"/>
    </row>
    <row r="103" spans="1:150">
      <c r="A103" s="192"/>
      <c r="B103" s="36" t="str">
        <f>Input!B144</f>
        <v>Other Property Taxes</v>
      </c>
      <c r="C103" s="635">
        <f>-Input!G144</f>
        <v>0</v>
      </c>
      <c r="D103" s="635">
        <f>-Input!H144</f>
        <v>0</v>
      </c>
      <c r="E103" s="635">
        <f>-Input!I144</f>
        <v>0</v>
      </c>
      <c r="F103" s="635">
        <f>-Input!J144</f>
        <v>0</v>
      </c>
      <c r="G103" s="635">
        <f>-Input!K144</f>
        <v>0</v>
      </c>
      <c r="H103" s="635">
        <f>-Input!L144</f>
        <v>0</v>
      </c>
      <c r="I103" s="635">
        <f>-Input!M144</f>
        <v>0</v>
      </c>
      <c r="J103" s="635">
        <f>-Input!N144</f>
        <v>0</v>
      </c>
      <c r="K103" s="635">
        <f>-Input!O144</f>
        <v>0</v>
      </c>
      <c r="L103" s="635">
        <f>-Input!P144</f>
        <v>0</v>
      </c>
      <c r="M103" s="635">
        <f>-Input!Q144</f>
        <v>0</v>
      </c>
      <c r="N103" s="192"/>
      <c r="O103" s="635">
        <f>-IF(Input!AG241,SUMPRODUCT(FVSCHEDULE(Input!AG241,InflRate*($C$5:$L$5&lt;ReversionYear))),IF(Input!$F144=EGR,Input!S144*$O$83,Input!S144))</f>
        <v>0</v>
      </c>
      <c r="P103" s="192"/>
      <c r="Q103" s="37"/>
      <c r="R103" s="635">
        <f>IF(Input!$F144=EGR,-Input!$E144*R$83,SUMIF($C$5:$M$5,R$6,$C103:$M103)*IF(OR(Input!$Z144=UniformDist,Input!$Z144=na),1/12,SUMPRODUCT(Input!$AB144:$AM144*(MONTH(R$4)=MONTH(Input!$AB$128:$AM$128)))))</f>
        <v>0</v>
      </c>
      <c r="S103" s="635">
        <f>IF(Input!$F144=EGR,-Input!$E144*S$83,SUMIF($C$5:$M$5,S$6,$C103:$M103)*IF(OR(Input!$Z144=UniformDist,Input!$Z144=na),1/12,SUMPRODUCT(Input!$AB144:$AM144*(MONTH(S$4)=MONTH(Input!$AB$128:$AM$128)))))</f>
        <v>0</v>
      </c>
      <c r="T103" s="635">
        <f>IF(Input!$F144=EGR,-Input!$E144*T$83,SUMIF($C$5:$M$5,T$6,$C103:$M103)*IF(OR(Input!$Z144=UniformDist,Input!$Z144=na),1/12,SUMPRODUCT(Input!$AB144:$AM144*(MONTH(T$4)=MONTH(Input!$AB$128:$AM$128)))))</f>
        <v>0</v>
      </c>
      <c r="U103" s="635">
        <f>IF(Input!$F144=EGR,-Input!$E144*U$83,SUMIF($C$5:$M$5,U$6,$C103:$M103)*IF(OR(Input!$Z144=UniformDist,Input!$Z144=na),1/12,SUMPRODUCT(Input!$AB144:$AM144*(MONTH(U$4)=MONTH(Input!$AB$128:$AM$128)))))</f>
        <v>0</v>
      </c>
      <c r="V103" s="635">
        <f>IF(Input!$F144=EGR,-Input!$E144*V$83,SUMIF($C$5:$M$5,V$6,$C103:$M103)*IF(OR(Input!$Z144=UniformDist,Input!$Z144=na),1/12,SUMPRODUCT(Input!$AB144:$AM144*(MONTH(V$4)=MONTH(Input!$AB$128:$AM$128)))))</f>
        <v>0</v>
      </c>
      <c r="W103" s="635">
        <f>IF(Input!$F144=EGR,-Input!$E144*W$83,SUMIF($C$5:$M$5,W$6,$C103:$M103)*IF(OR(Input!$Z144=UniformDist,Input!$Z144=na),1/12,SUMPRODUCT(Input!$AB144:$AM144*(MONTH(W$4)=MONTH(Input!$AB$128:$AM$128)))))</f>
        <v>0</v>
      </c>
      <c r="X103" s="635">
        <f>IF(Input!$F144=EGR,-Input!$E144*X$83,SUMIF($C$5:$M$5,X$6,$C103:$M103)*IF(OR(Input!$Z144=UniformDist,Input!$Z144=na),1/12,SUMPRODUCT(Input!$AB144:$AM144*(MONTH(X$4)=MONTH(Input!$AB$128:$AM$128)))))</f>
        <v>0</v>
      </c>
      <c r="Y103" s="635">
        <f>IF(Input!$F144=EGR,-Input!$E144*Y$83,SUMIF($C$5:$M$5,Y$6,$C103:$M103)*IF(OR(Input!$Z144=UniformDist,Input!$Z144=na),1/12,SUMPRODUCT(Input!$AB144:$AM144*(MONTH(Y$4)=MONTH(Input!$AB$128:$AM$128)))))</f>
        <v>0</v>
      </c>
      <c r="Z103" s="635">
        <f>IF(Input!$F144=EGR,-Input!$E144*Z$83,SUMIF($C$5:$M$5,Z$6,$C103:$M103)*IF(OR(Input!$Z144=UniformDist,Input!$Z144=na),1/12,SUMPRODUCT(Input!$AB144:$AM144*(MONTH(Z$4)=MONTH(Input!$AB$128:$AM$128)))))</f>
        <v>0</v>
      </c>
      <c r="AA103" s="635">
        <f>IF(Input!$F144=EGR,-Input!$E144*AA$83,SUMIF($C$5:$M$5,AA$6,$C103:$M103)*IF(OR(Input!$Z144=UniformDist,Input!$Z144=na),1/12,SUMPRODUCT(Input!$AB144:$AM144*(MONTH(AA$4)=MONTH(Input!$AB$128:$AM$128)))))</f>
        <v>0</v>
      </c>
      <c r="AB103" s="635">
        <f>IF(Input!$F144=EGR,-Input!$E144*AB$83,SUMIF($C$5:$M$5,AB$6,$C103:$M103)*IF(OR(Input!$Z144=UniformDist,Input!$Z144=na),1/12,SUMPRODUCT(Input!$AB144:$AM144*(MONTH(AB$4)=MONTH(Input!$AB$128:$AM$128)))))</f>
        <v>0</v>
      </c>
      <c r="AC103" s="635">
        <f>IF(Input!$F144=EGR,-Input!$E144*AC$83,SUMIF($C$5:$M$5,AC$6,$C103:$M103)*IF(OR(Input!$Z144=UniformDist,Input!$Z144=na),1/12,SUMPRODUCT(Input!$AB144:$AM144*(MONTH(AC$4)=MONTH(Input!$AB$128:$AM$128)))))</f>
        <v>0</v>
      </c>
      <c r="AD103" s="635">
        <f>IF(Input!$F144=EGR,-Input!$E144*AD$83,SUMIF($C$5:$M$5,AD$6,$C103:$M103)*IF(OR(Input!$Z144=UniformDist,Input!$Z144=na),1/12,SUMPRODUCT(Input!$AB144:$AM144*(MONTH(AD$4)=MONTH(Input!$AB$128:$AM$128)))))</f>
        <v>0</v>
      </c>
      <c r="AE103" s="635">
        <f>IF(Input!$F144=EGR,-Input!$E144*AE$83,SUMIF($C$5:$M$5,AE$6,$C103:$M103)*IF(OR(Input!$Z144=UniformDist,Input!$Z144=na),1/12,SUMPRODUCT(Input!$AB144:$AM144*(MONTH(AE$4)=MONTH(Input!$AB$128:$AM$128)))))</f>
        <v>0</v>
      </c>
      <c r="AF103" s="635">
        <f>IF(Input!$F144=EGR,-Input!$E144*AF$83,SUMIF($C$5:$M$5,AF$6,$C103:$M103)*IF(OR(Input!$Z144=UniformDist,Input!$Z144=na),1/12,SUMPRODUCT(Input!$AB144:$AM144*(MONTH(AF$4)=MONTH(Input!$AB$128:$AM$128)))))</f>
        <v>0</v>
      </c>
      <c r="AG103" s="635">
        <f>IF(Input!$F144=EGR,-Input!$E144*AG$83,SUMIF($C$5:$M$5,AG$6,$C103:$M103)*IF(OR(Input!$Z144=UniformDist,Input!$Z144=na),1/12,SUMPRODUCT(Input!$AB144:$AM144*(MONTH(AG$4)=MONTH(Input!$AB$128:$AM$128)))))</f>
        <v>0</v>
      </c>
      <c r="AH103" s="635">
        <f>IF(Input!$F144=EGR,-Input!$E144*AH$83,SUMIF($C$5:$M$5,AH$6,$C103:$M103)*IF(OR(Input!$Z144=UniformDist,Input!$Z144=na),1/12,SUMPRODUCT(Input!$AB144:$AM144*(MONTH(AH$4)=MONTH(Input!$AB$128:$AM$128)))))</f>
        <v>0</v>
      </c>
      <c r="AI103" s="635">
        <f>IF(Input!$F144=EGR,-Input!$E144*AI$83,SUMIF($C$5:$M$5,AI$6,$C103:$M103)*IF(OR(Input!$Z144=UniformDist,Input!$Z144=na),1/12,SUMPRODUCT(Input!$AB144:$AM144*(MONTH(AI$4)=MONTH(Input!$AB$128:$AM$128)))))</f>
        <v>0</v>
      </c>
      <c r="AJ103" s="635">
        <f>IF(Input!$F144=EGR,-Input!$E144*AJ$83,SUMIF($C$5:$M$5,AJ$6,$C103:$M103)*IF(OR(Input!$Z144=UniformDist,Input!$Z144=na),1/12,SUMPRODUCT(Input!$AB144:$AM144*(MONTH(AJ$4)=MONTH(Input!$AB$128:$AM$128)))))</f>
        <v>0</v>
      </c>
      <c r="AK103" s="635">
        <f>IF(Input!$F144=EGR,-Input!$E144*AK$83,SUMIF($C$5:$M$5,AK$6,$C103:$M103)*IF(OR(Input!$Z144=UniformDist,Input!$Z144=na),1/12,SUMPRODUCT(Input!$AB144:$AM144*(MONTH(AK$4)=MONTH(Input!$AB$128:$AM$128)))))</f>
        <v>0</v>
      </c>
      <c r="AL103" s="635">
        <f>IF(Input!$F144=EGR,-Input!$E144*AL$83,SUMIF($C$5:$M$5,AL$6,$C103:$M103)*IF(OR(Input!$Z144=UniformDist,Input!$Z144=na),1/12,SUMPRODUCT(Input!$AB144:$AM144*(MONTH(AL$4)=MONTH(Input!$AB$128:$AM$128)))))</f>
        <v>0</v>
      </c>
      <c r="AM103" s="635">
        <f>IF(Input!$F144=EGR,-Input!$E144*AM$83,SUMIF($C$5:$M$5,AM$6,$C103:$M103)*IF(OR(Input!$Z144=UniformDist,Input!$Z144=na),1/12,SUMPRODUCT(Input!$AB144:$AM144*(MONTH(AM$4)=MONTH(Input!$AB$128:$AM$128)))))</f>
        <v>0</v>
      </c>
      <c r="AN103" s="635">
        <f>IF(Input!$F144=EGR,-Input!$E144*AN$83,SUMIF($C$5:$M$5,AN$6,$C103:$M103)*IF(OR(Input!$Z144=UniformDist,Input!$Z144=na),1/12,SUMPRODUCT(Input!$AB144:$AM144*(MONTH(AN$4)=MONTH(Input!$AB$128:$AM$128)))))</f>
        <v>0</v>
      </c>
      <c r="AO103" s="635">
        <f>IF(Input!$F144=EGR,-Input!$E144*AO$83,SUMIF($C$5:$M$5,AO$6,$C103:$M103)*IF(OR(Input!$Z144=UniformDist,Input!$Z144=na),1/12,SUMPRODUCT(Input!$AB144:$AM144*(MONTH(AO$4)=MONTH(Input!$AB$128:$AM$128)))))</f>
        <v>0</v>
      </c>
      <c r="AP103" s="635">
        <f>IF(Input!$F144=EGR,-Input!$E144*AP$83,SUMIF($C$5:$M$5,AP$6,$C103:$M103)*IF(OR(Input!$Z144=UniformDist,Input!$Z144=na),1/12,SUMPRODUCT(Input!$AB144:$AM144*(MONTH(AP$4)=MONTH(Input!$AB$128:$AM$128)))))</f>
        <v>0</v>
      </c>
      <c r="AQ103" s="635">
        <f>IF(Input!$F144=EGR,-Input!$E144*AQ$83,SUMIF($C$5:$M$5,AQ$6,$C103:$M103)*IF(OR(Input!$Z144=UniformDist,Input!$Z144=na),1/12,SUMPRODUCT(Input!$AB144:$AM144*(MONTH(AQ$4)=MONTH(Input!$AB$128:$AM$128)))))</f>
        <v>0</v>
      </c>
      <c r="AR103" s="635">
        <f>IF(Input!$F144=EGR,-Input!$E144*AR$83,SUMIF($C$5:$M$5,AR$6,$C103:$M103)*IF(OR(Input!$Z144=UniformDist,Input!$Z144=na),1/12,SUMPRODUCT(Input!$AB144:$AM144*(MONTH(AR$4)=MONTH(Input!$AB$128:$AM$128)))))</f>
        <v>0</v>
      </c>
      <c r="AS103" s="635">
        <f>IF(Input!$F144=EGR,-Input!$E144*AS$83,SUMIF($C$5:$M$5,AS$6,$C103:$M103)*IF(OR(Input!$Z144=UniformDist,Input!$Z144=na),1/12,SUMPRODUCT(Input!$AB144:$AM144*(MONTH(AS$4)=MONTH(Input!$AB$128:$AM$128)))))</f>
        <v>0</v>
      </c>
      <c r="AT103" s="635">
        <f>IF(Input!$F144=EGR,-Input!$E144*AT$83,SUMIF($C$5:$M$5,AT$6,$C103:$M103)*IF(OR(Input!$Z144=UniformDist,Input!$Z144=na),1/12,SUMPRODUCT(Input!$AB144:$AM144*(MONTH(AT$4)=MONTH(Input!$AB$128:$AM$128)))))</f>
        <v>0</v>
      </c>
      <c r="AU103" s="635">
        <f>IF(Input!$F144=EGR,-Input!$E144*AU$83,SUMIF($C$5:$M$5,AU$6,$C103:$M103)*IF(OR(Input!$Z144=UniformDist,Input!$Z144=na),1/12,SUMPRODUCT(Input!$AB144:$AM144*(MONTH(AU$4)=MONTH(Input!$AB$128:$AM$128)))))</f>
        <v>0</v>
      </c>
      <c r="AV103" s="635">
        <f>IF(Input!$F144=EGR,-Input!$E144*AV$83,SUMIF($C$5:$M$5,AV$6,$C103:$M103)*IF(OR(Input!$Z144=UniformDist,Input!$Z144=na),1/12,SUMPRODUCT(Input!$AB144:$AM144*(MONTH(AV$4)=MONTH(Input!$AB$128:$AM$128)))))</f>
        <v>0</v>
      </c>
      <c r="AW103" s="635">
        <f>IF(Input!$F144=EGR,-Input!$E144*AW$83,SUMIF($C$5:$M$5,AW$6,$C103:$M103)*IF(OR(Input!$Z144=UniformDist,Input!$Z144=na),1/12,SUMPRODUCT(Input!$AB144:$AM144*(MONTH(AW$4)=MONTH(Input!$AB$128:$AM$128)))))</f>
        <v>0</v>
      </c>
      <c r="AX103" s="635">
        <f>IF(Input!$F144=EGR,-Input!$E144*AX$83,SUMIF($C$5:$M$5,AX$6,$C103:$M103)*IF(OR(Input!$Z144=UniformDist,Input!$Z144=na),1/12,SUMPRODUCT(Input!$AB144:$AM144*(MONTH(AX$4)=MONTH(Input!$AB$128:$AM$128)))))</f>
        <v>0</v>
      </c>
      <c r="AY103" s="635">
        <f>IF(Input!$F144=EGR,-Input!$E144*AY$83,SUMIF($C$5:$M$5,AY$6,$C103:$M103)*IF(OR(Input!$Z144=UniformDist,Input!$Z144=na),1/12,SUMPRODUCT(Input!$AB144:$AM144*(MONTH(AY$4)=MONTH(Input!$AB$128:$AM$128)))))</f>
        <v>0</v>
      </c>
      <c r="AZ103" s="635">
        <f>IF(Input!$F144=EGR,-Input!$E144*AZ$83,SUMIF($C$5:$M$5,AZ$6,$C103:$M103)*IF(OR(Input!$Z144=UniformDist,Input!$Z144=na),1/12,SUMPRODUCT(Input!$AB144:$AM144*(MONTH(AZ$4)=MONTH(Input!$AB$128:$AM$128)))))</f>
        <v>0</v>
      </c>
      <c r="BA103" s="635">
        <f>IF(Input!$F144=EGR,-Input!$E144*BA$83,SUMIF($C$5:$M$5,BA$6,$C103:$M103)*IF(OR(Input!$Z144=UniformDist,Input!$Z144=na),1/12,SUMPRODUCT(Input!$AB144:$AM144*(MONTH(BA$4)=MONTH(Input!$AB$128:$AM$128)))))</f>
        <v>0</v>
      </c>
      <c r="BB103" s="192"/>
      <c r="BC103" s="192"/>
      <c r="BD103" s="192"/>
      <c r="BE103" s="192"/>
      <c r="BF103" s="192"/>
      <c r="BG103" s="192"/>
      <c r="BH103" s="192"/>
      <c r="BI103" s="192"/>
      <c r="BJ103" s="192"/>
      <c r="BK103" s="192"/>
      <c r="BL103" s="192"/>
      <c r="BM103" s="192"/>
      <c r="BN103" s="192"/>
      <c r="BO103" s="192"/>
      <c r="BP103" s="192"/>
      <c r="BQ103" s="192"/>
      <c r="BR103" s="192"/>
      <c r="BS103" s="192"/>
      <c r="BT103" s="192"/>
      <c r="BU103" s="192"/>
      <c r="BV103" s="192"/>
      <c r="BW103" s="192"/>
      <c r="BX103" s="192"/>
      <c r="BY103" s="192"/>
      <c r="BZ103" s="192"/>
      <c r="CA103" s="192"/>
      <c r="CB103" s="192"/>
      <c r="CC103" s="192"/>
      <c r="CD103" s="192"/>
      <c r="CE103" s="192"/>
      <c r="CF103" s="192"/>
      <c r="CG103" s="192"/>
      <c r="CH103" s="192"/>
      <c r="CI103" s="192"/>
      <c r="CJ103" s="192"/>
      <c r="CK103" s="192"/>
      <c r="CL103" s="192"/>
      <c r="CM103" s="192"/>
      <c r="CN103" s="192"/>
      <c r="CO103" s="192"/>
      <c r="CP103" s="192"/>
      <c r="CQ103" s="192"/>
      <c r="CR103" s="192"/>
      <c r="CS103" s="192"/>
      <c r="CT103" s="192"/>
      <c r="CU103" s="192"/>
      <c r="CV103" s="192"/>
      <c r="CW103" s="192"/>
      <c r="CX103" s="192"/>
      <c r="CY103" s="192"/>
      <c r="CZ103" s="192"/>
      <c r="DA103" s="192"/>
      <c r="DB103" s="192"/>
      <c r="DC103" s="192"/>
      <c r="DD103" s="192"/>
      <c r="DE103" s="192"/>
      <c r="DF103" s="192"/>
      <c r="DG103" s="192"/>
      <c r="DH103" s="192"/>
      <c r="DI103" s="192"/>
      <c r="DJ103" s="192"/>
      <c r="DK103" s="192"/>
      <c r="DL103" s="192"/>
      <c r="DM103" s="192"/>
      <c r="DN103" s="192"/>
      <c r="DO103" s="192"/>
      <c r="DP103" s="192"/>
      <c r="DQ103" s="192"/>
      <c r="DR103" s="192"/>
      <c r="DS103" s="192"/>
      <c r="DT103" s="192"/>
      <c r="DU103" s="192"/>
      <c r="DV103" s="192"/>
      <c r="DW103" s="192"/>
      <c r="DX103" s="192"/>
      <c r="DY103" s="192"/>
      <c r="DZ103" s="192"/>
      <c r="EA103" s="192"/>
      <c r="EB103" s="192"/>
      <c r="EC103" s="192"/>
      <c r="ED103" s="192"/>
      <c r="EE103" s="192"/>
      <c r="EF103" s="192"/>
      <c r="EG103" s="192"/>
      <c r="EH103" s="192"/>
      <c r="EI103" s="192"/>
      <c r="EJ103" s="192"/>
      <c r="EK103" s="192"/>
      <c r="EL103" s="192"/>
      <c r="EM103" s="192"/>
      <c r="EN103" s="192"/>
      <c r="EO103" s="192"/>
      <c r="EP103" s="192"/>
      <c r="EQ103" s="192"/>
      <c r="ER103" s="192"/>
      <c r="ES103" s="192"/>
      <c r="ET103" s="192"/>
    </row>
    <row r="104" spans="1:150">
      <c r="A104" s="192"/>
      <c r="B104" s="36" t="str">
        <f>Input!B145</f>
        <v>Property Management Fee</v>
      </c>
      <c r="C104" s="635">
        <f>-Input!G145</f>
        <v>0</v>
      </c>
      <c r="D104" s="635">
        <f>-Input!H145</f>
        <v>0</v>
      </c>
      <c r="E104" s="635">
        <f>-Input!I145</f>
        <v>0</v>
      </c>
      <c r="F104" s="635">
        <f>-Input!J145</f>
        <v>0</v>
      </c>
      <c r="G104" s="635">
        <f>-Input!K145</f>
        <v>0</v>
      </c>
      <c r="H104" s="635">
        <f>-Input!L145</f>
        <v>0</v>
      </c>
      <c r="I104" s="635">
        <f>-Input!M145</f>
        <v>0</v>
      </c>
      <c r="J104" s="635">
        <f>-Input!N145</f>
        <v>0</v>
      </c>
      <c r="K104" s="635">
        <f>-Input!O145</f>
        <v>0</v>
      </c>
      <c r="L104" s="635">
        <f>-Input!P145</f>
        <v>0</v>
      </c>
      <c r="M104" s="635">
        <f>-Input!Q145</f>
        <v>0</v>
      </c>
      <c r="N104" s="192"/>
      <c r="O104" s="635">
        <f>-IF(Input!AG242,SUMPRODUCT(FVSCHEDULE(Input!AG242,InflRate*($C$5:$L$5&lt;ReversionYear))),IF(Input!$F145=EGR,Input!S145*$O$83,Input!S145))</f>
        <v>0</v>
      </c>
      <c r="P104" s="192"/>
      <c r="Q104" s="37"/>
      <c r="R104" s="635">
        <f>IF(Input!$F145=EGR,-Input!$E145*R$83,SUMIF($C$5:$M$5,R$6,$C104:$M104)*IF(OR(Input!$Z145=UniformDist,Input!$Z145=na),1/12,SUMPRODUCT(Input!$AB145:$AM145*(MONTH(R$4)=MONTH(Input!$AB$128:$AM$128)))))</f>
        <v>0</v>
      </c>
      <c r="S104" s="635">
        <f>IF(Input!$F145=EGR,-Input!$E145*S$83,SUMIF($C$5:$M$5,S$6,$C104:$M104)*IF(OR(Input!$Z145=UniformDist,Input!$Z145=na),1/12,SUMPRODUCT(Input!$AB145:$AM145*(MONTH(S$4)=MONTH(Input!$AB$128:$AM$128)))))</f>
        <v>0</v>
      </c>
      <c r="T104" s="635">
        <f>IF(Input!$F145=EGR,-Input!$E145*T$83,SUMIF($C$5:$M$5,T$6,$C104:$M104)*IF(OR(Input!$Z145=UniformDist,Input!$Z145=na),1/12,SUMPRODUCT(Input!$AB145:$AM145*(MONTH(T$4)=MONTH(Input!$AB$128:$AM$128)))))</f>
        <v>0</v>
      </c>
      <c r="U104" s="635">
        <f>IF(Input!$F145=EGR,-Input!$E145*U$83,SUMIF($C$5:$M$5,U$6,$C104:$M104)*IF(OR(Input!$Z145=UniformDist,Input!$Z145=na),1/12,SUMPRODUCT(Input!$AB145:$AM145*(MONTH(U$4)=MONTH(Input!$AB$128:$AM$128)))))</f>
        <v>0</v>
      </c>
      <c r="V104" s="635">
        <f>IF(Input!$F145=EGR,-Input!$E145*V$83,SUMIF($C$5:$M$5,V$6,$C104:$M104)*IF(OR(Input!$Z145=UniformDist,Input!$Z145=na),1/12,SUMPRODUCT(Input!$AB145:$AM145*(MONTH(V$4)=MONTH(Input!$AB$128:$AM$128)))))</f>
        <v>0</v>
      </c>
      <c r="W104" s="635">
        <f>IF(Input!$F145=EGR,-Input!$E145*W$83,SUMIF($C$5:$M$5,W$6,$C104:$M104)*IF(OR(Input!$Z145=UniformDist,Input!$Z145=na),1/12,SUMPRODUCT(Input!$AB145:$AM145*(MONTH(W$4)=MONTH(Input!$AB$128:$AM$128)))))</f>
        <v>0</v>
      </c>
      <c r="X104" s="635">
        <f>IF(Input!$F145=EGR,-Input!$E145*X$83,SUMIF($C$5:$M$5,X$6,$C104:$M104)*IF(OR(Input!$Z145=UniformDist,Input!$Z145=na),1/12,SUMPRODUCT(Input!$AB145:$AM145*(MONTH(X$4)=MONTH(Input!$AB$128:$AM$128)))))</f>
        <v>0</v>
      </c>
      <c r="Y104" s="635">
        <f>IF(Input!$F145=EGR,-Input!$E145*Y$83,SUMIF($C$5:$M$5,Y$6,$C104:$M104)*IF(OR(Input!$Z145=UniformDist,Input!$Z145=na),1/12,SUMPRODUCT(Input!$AB145:$AM145*(MONTH(Y$4)=MONTH(Input!$AB$128:$AM$128)))))</f>
        <v>0</v>
      </c>
      <c r="Z104" s="635">
        <f>IF(Input!$F145=EGR,-Input!$E145*Z$83,SUMIF($C$5:$M$5,Z$6,$C104:$M104)*IF(OR(Input!$Z145=UniformDist,Input!$Z145=na),1/12,SUMPRODUCT(Input!$AB145:$AM145*(MONTH(Z$4)=MONTH(Input!$AB$128:$AM$128)))))</f>
        <v>0</v>
      </c>
      <c r="AA104" s="635">
        <f>IF(Input!$F145=EGR,-Input!$E145*AA$83,SUMIF($C$5:$M$5,AA$6,$C104:$M104)*IF(OR(Input!$Z145=UniformDist,Input!$Z145=na),1/12,SUMPRODUCT(Input!$AB145:$AM145*(MONTH(AA$4)=MONTH(Input!$AB$128:$AM$128)))))</f>
        <v>0</v>
      </c>
      <c r="AB104" s="635">
        <f>IF(Input!$F145=EGR,-Input!$E145*AB$83,SUMIF($C$5:$M$5,AB$6,$C104:$M104)*IF(OR(Input!$Z145=UniformDist,Input!$Z145=na),1/12,SUMPRODUCT(Input!$AB145:$AM145*(MONTH(AB$4)=MONTH(Input!$AB$128:$AM$128)))))</f>
        <v>0</v>
      </c>
      <c r="AC104" s="635">
        <f>IF(Input!$F145=EGR,-Input!$E145*AC$83,SUMIF($C$5:$M$5,AC$6,$C104:$M104)*IF(OR(Input!$Z145=UniformDist,Input!$Z145=na),1/12,SUMPRODUCT(Input!$AB145:$AM145*(MONTH(AC$4)=MONTH(Input!$AB$128:$AM$128)))))</f>
        <v>0</v>
      </c>
      <c r="AD104" s="635">
        <f>IF(Input!$F145=EGR,-Input!$E145*AD$83,SUMIF($C$5:$M$5,AD$6,$C104:$M104)*IF(OR(Input!$Z145=UniformDist,Input!$Z145=na),1/12,SUMPRODUCT(Input!$AB145:$AM145*(MONTH(AD$4)=MONTH(Input!$AB$128:$AM$128)))))</f>
        <v>0</v>
      </c>
      <c r="AE104" s="635">
        <f>IF(Input!$F145=EGR,-Input!$E145*AE$83,SUMIF($C$5:$M$5,AE$6,$C104:$M104)*IF(OR(Input!$Z145=UniformDist,Input!$Z145=na),1/12,SUMPRODUCT(Input!$AB145:$AM145*(MONTH(AE$4)=MONTH(Input!$AB$128:$AM$128)))))</f>
        <v>0</v>
      </c>
      <c r="AF104" s="635">
        <f>IF(Input!$F145=EGR,-Input!$E145*AF$83,SUMIF($C$5:$M$5,AF$6,$C104:$M104)*IF(OR(Input!$Z145=UniformDist,Input!$Z145=na),1/12,SUMPRODUCT(Input!$AB145:$AM145*(MONTH(AF$4)=MONTH(Input!$AB$128:$AM$128)))))</f>
        <v>0</v>
      </c>
      <c r="AG104" s="635">
        <f>IF(Input!$F145=EGR,-Input!$E145*AG$83,SUMIF($C$5:$M$5,AG$6,$C104:$M104)*IF(OR(Input!$Z145=UniformDist,Input!$Z145=na),1/12,SUMPRODUCT(Input!$AB145:$AM145*(MONTH(AG$4)=MONTH(Input!$AB$128:$AM$128)))))</f>
        <v>0</v>
      </c>
      <c r="AH104" s="635">
        <f>IF(Input!$F145=EGR,-Input!$E145*AH$83,SUMIF($C$5:$M$5,AH$6,$C104:$M104)*IF(OR(Input!$Z145=UniformDist,Input!$Z145=na),1/12,SUMPRODUCT(Input!$AB145:$AM145*(MONTH(AH$4)=MONTH(Input!$AB$128:$AM$128)))))</f>
        <v>0</v>
      </c>
      <c r="AI104" s="635">
        <f>IF(Input!$F145=EGR,-Input!$E145*AI$83,SUMIF($C$5:$M$5,AI$6,$C104:$M104)*IF(OR(Input!$Z145=UniformDist,Input!$Z145=na),1/12,SUMPRODUCT(Input!$AB145:$AM145*(MONTH(AI$4)=MONTH(Input!$AB$128:$AM$128)))))</f>
        <v>0</v>
      </c>
      <c r="AJ104" s="635">
        <f>IF(Input!$F145=EGR,-Input!$E145*AJ$83,SUMIF($C$5:$M$5,AJ$6,$C104:$M104)*IF(OR(Input!$Z145=UniformDist,Input!$Z145=na),1/12,SUMPRODUCT(Input!$AB145:$AM145*(MONTH(AJ$4)=MONTH(Input!$AB$128:$AM$128)))))</f>
        <v>0</v>
      </c>
      <c r="AK104" s="635">
        <f>IF(Input!$F145=EGR,-Input!$E145*AK$83,SUMIF($C$5:$M$5,AK$6,$C104:$M104)*IF(OR(Input!$Z145=UniformDist,Input!$Z145=na),1/12,SUMPRODUCT(Input!$AB145:$AM145*(MONTH(AK$4)=MONTH(Input!$AB$128:$AM$128)))))</f>
        <v>0</v>
      </c>
      <c r="AL104" s="635">
        <f>IF(Input!$F145=EGR,-Input!$E145*AL$83,SUMIF($C$5:$M$5,AL$6,$C104:$M104)*IF(OR(Input!$Z145=UniformDist,Input!$Z145=na),1/12,SUMPRODUCT(Input!$AB145:$AM145*(MONTH(AL$4)=MONTH(Input!$AB$128:$AM$128)))))</f>
        <v>0</v>
      </c>
      <c r="AM104" s="635">
        <f>IF(Input!$F145=EGR,-Input!$E145*AM$83,SUMIF($C$5:$M$5,AM$6,$C104:$M104)*IF(OR(Input!$Z145=UniformDist,Input!$Z145=na),1/12,SUMPRODUCT(Input!$AB145:$AM145*(MONTH(AM$4)=MONTH(Input!$AB$128:$AM$128)))))</f>
        <v>0</v>
      </c>
      <c r="AN104" s="635">
        <f>IF(Input!$F145=EGR,-Input!$E145*AN$83,SUMIF($C$5:$M$5,AN$6,$C104:$M104)*IF(OR(Input!$Z145=UniformDist,Input!$Z145=na),1/12,SUMPRODUCT(Input!$AB145:$AM145*(MONTH(AN$4)=MONTH(Input!$AB$128:$AM$128)))))</f>
        <v>0</v>
      </c>
      <c r="AO104" s="635">
        <f>IF(Input!$F145=EGR,-Input!$E145*AO$83,SUMIF($C$5:$M$5,AO$6,$C104:$M104)*IF(OR(Input!$Z145=UniformDist,Input!$Z145=na),1/12,SUMPRODUCT(Input!$AB145:$AM145*(MONTH(AO$4)=MONTH(Input!$AB$128:$AM$128)))))</f>
        <v>0</v>
      </c>
      <c r="AP104" s="635">
        <f>IF(Input!$F145=EGR,-Input!$E145*AP$83,SUMIF($C$5:$M$5,AP$6,$C104:$M104)*IF(OR(Input!$Z145=UniformDist,Input!$Z145=na),1/12,SUMPRODUCT(Input!$AB145:$AM145*(MONTH(AP$4)=MONTH(Input!$AB$128:$AM$128)))))</f>
        <v>0</v>
      </c>
      <c r="AQ104" s="635">
        <f>IF(Input!$F145=EGR,-Input!$E145*AQ$83,SUMIF($C$5:$M$5,AQ$6,$C104:$M104)*IF(OR(Input!$Z145=UniformDist,Input!$Z145=na),1/12,SUMPRODUCT(Input!$AB145:$AM145*(MONTH(AQ$4)=MONTH(Input!$AB$128:$AM$128)))))</f>
        <v>0</v>
      </c>
      <c r="AR104" s="635">
        <f>IF(Input!$F145=EGR,-Input!$E145*AR$83,SUMIF($C$5:$M$5,AR$6,$C104:$M104)*IF(OR(Input!$Z145=UniformDist,Input!$Z145=na),1/12,SUMPRODUCT(Input!$AB145:$AM145*(MONTH(AR$4)=MONTH(Input!$AB$128:$AM$128)))))</f>
        <v>0</v>
      </c>
      <c r="AS104" s="635">
        <f>IF(Input!$F145=EGR,-Input!$E145*AS$83,SUMIF($C$5:$M$5,AS$6,$C104:$M104)*IF(OR(Input!$Z145=UniformDist,Input!$Z145=na),1/12,SUMPRODUCT(Input!$AB145:$AM145*(MONTH(AS$4)=MONTH(Input!$AB$128:$AM$128)))))</f>
        <v>0</v>
      </c>
      <c r="AT104" s="635">
        <f>IF(Input!$F145=EGR,-Input!$E145*AT$83,SUMIF($C$5:$M$5,AT$6,$C104:$M104)*IF(OR(Input!$Z145=UniformDist,Input!$Z145=na),1/12,SUMPRODUCT(Input!$AB145:$AM145*(MONTH(AT$4)=MONTH(Input!$AB$128:$AM$128)))))</f>
        <v>0</v>
      </c>
      <c r="AU104" s="635">
        <f>IF(Input!$F145=EGR,-Input!$E145*AU$83,SUMIF($C$5:$M$5,AU$6,$C104:$M104)*IF(OR(Input!$Z145=UniformDist,Input!$Z145=na),1/12,SUMPRODUCT(Input!$AB145:$AM145*(MONTH(AU$4)=MONTH(Input!$AB$128:$AM$128)))))</f>
        <v>0</v>
      </c>
      <c r="AV104" s="635">
        <f>IF(Input!$F145=EGR,-Input!$E145*AV$83,SUMIF($C$5:$M$5,AV$6,$C104:$M104)*IF(OR(Input!$Z145=UniformDist,Input!$Z145=na),1/12,SUMPRODUCT(Input!$AB145:$AM145*(MONTH(AV$4)=MONTH(Input!$AB$128:$AM$128)))))</f>
        <v>0</v>
      </c>
      <c r="AW104" s="635">
        <f>IF(Input!$F145=EGR,-Input!$E145*AW$83,SUMIF($C$5:$M$5,AW$6,$C104:$M104)*IF(OR(Input!$Z145=UniformDist,Input!$Z145=na),1/12,SUMPRODUCT(Input!$AB145:$AM145*(MONTH(AW$4)=MONTH(Input!$AB$128:$AM$128)))))</f>
        <v>0</v>
      </c>
      <c r="AX104" s="635">
        <f>IF(Input!$F145=EGR,-Input!$E145*AX$83,SUMIF($C$5:$M$5,AX$6,$C104:$M104)*IF(OR(Input!$Z145=UniformDist,Input!$Z145=na),1/12,SUMPRODUCT(Input!$AB145:$AM145*(MONTH(AX$4)=MONTH(Input!$AB$128:$AM$128)))))</f>
        <v>0</v>
      </c>
      <c r="AY104" s="635">
        <f>IF(Input!$F145=EGR,-Input!$E145*AY$83,SUMIF($C$5:$M$5,AY$6,$C104:$M104)*IF(OR(Input!$Z145=UniformDist,Input!$Z145=na),1/12,SUMPRODUCT(Input!$AB145:$AM145*(MONTH(AY$4)=MONTH(Input!$AB$128:$AM$128)))))</f>
        <v>0</v>
      </c>
      <c r="AZ104" s="635">
        <f>IF(Input!$F145=EGR,-Input!$E145*AZ$83,SUMIF($C$5:$M$5,AZ$6,$C104:$M104)*IF(OR(Input!$Z145=UniformDist,Input!$Z145=na),1/12,SUMPRODUCT(Input!$AB145:$AM145*(MONTH(AZ$4)=MONTH(Input!$AB$128:$AM$128)))))</f>
        <v>0</v>
      </c>
      <c r="BA104" s="635">
        <f>IF(Input!$F145=EGR,-Input!$E145*BA$83,SUMIF($C$5:$M$5,BA$6,$C104:$M104)*IF(OR(Input!$Z145=UniformDist,Input!$Z145=na),1/12,SUMPRODUCT(Input!$AB145:$AM145*(MONTH(BA$4)=MONTH(Input!$AB$128:$AM$128)))))</f>
        <v>0</v>
      </c>
      <c r="BB104" s="192"/>
      <c r="BC104" s="192"/>
      <c r="BD104" s="192"/>
      <c r="BE104" s="192"/>
      <c r="BF104" s="192"/>
      <c r="BG104" s="192"/>
      <c r="BH104" s="192"/>
      <c r="BI104" s="192"/>
      <c r="BJ104" s="192"/>
      <c r="BK104" s="192"/>
      <c r="BL104" s="192"/>
      <c r="BM104" s="192"/>
      <c r="BN104" s="192"/>
      <c r="BO104" s="192"/>
      <c r="BP104" s="192"/>
      <c r="BQ104" s="192"/>
      <c r="BR104" s="192"/>
      <c r="BS104" s="192"/>
      <c r="BT104" s="192"/>
      <c r="BU104" s="192"/>
      <c r="BV104" s="192"/>
      <c r="BW104" s="192"/>
      <c r="BX104" s="192"/>
      <c r="BY104" s="192"/>
      <c r="BZ104" s="192"/>
      <c r="CA104" s="192"/>
      <c r="CB104" s="192"/>
      <c r="CC104" s="192"/>
      <c r="CD104" s="192"/>
      <c r="CE104" s="192"/>
      <c r="CF104" s="192"/>
      <c r="CG104" s="192"/>
      <c r="CH104" s="192"/>
      <c r="CI104" s="192"/>
      <c r="CJ104" s="192"/>
      <c r="CK104" s="192"/>
      <c r="CL104" s="192"/>
      <c r="CM104" s="192"/>
      <c r="CN104" s="192"/>
      <c r="CO104" s="192"/>
      <c r="CP104" s="192"/>
      <c r="CQ104" s="192"/>
      <c r="CR104" s="192"/>
      <c r="CS104" s="192"/>
      <c r="CT104" s="192"/>
      <c r="CU104" s="192"/>
      <c r="CV104" s="192"/>
      <c r="CW104" s="192"/>
      <c r="CX104" s="192"/>
      <c r="CY104" s="192"/>
      <c r="CZ104" s="192"/>
      <c r="DA104" s="192"/>
      <c r="DB104" s="192"/>
      <c r="DC104" s="192"/>
      <c r="DD104" s="192"/>
      <c r="DE104" s="192"/>
      <c r="DF104" s="192"/>
      <c r="DG104" s="192"/>
      <c r="DH104" s="192"/>
      <c r="DI104" s="192"/>
      <c r="DJ104" s="192"/>
      <c r="DK104" s="192"/>
      <c r="DL104" s="192"/>
      <c r="DM104" s="192"/>
      <c r="DN104" s="192"/>
      <c r="DO104" s="192"/>
      <c r="DP104" s="192"/>
      <c r="DQ104" s="192"/>
      <c r="DR104" s="192"/>
      <c r="DS104" s="192"/>
      <c r="DT104" s="192"/>
      <c r="DU104" s="192"/>
      <c r="DV104" s="192"/>
      <c r="DW104" s="192"/>
      <c r="DX104" s="192"/>
      <c r="DY104" s="192"/>
      <c r="DZ104" s="192"/>
      <c r="EA104" s="192"/>
      <c r="EB104" s="192"/>
      <c r="EC104" s="192"/>
      <c r="ED104" s="192"/>
      <c r="EE104" s="192"/>
      <c r="EF104" s="192"/>
      <c r="EG104" s="192"/>
      <c r="EH104" s="192"/>
      <c r="EI104" s="192"/>
      <c r="EJ104" s="192"/>
      <c r="EK104" s="192"/>
      <c r="EL104" s="192"/>
      <c r="EM104" s="192"/>
      <c r="EN104" s="192"/>
      <c r="EO104" s="192"/>
      <c r="EP104" s="192"/>
      <c r="EQ104" s="192"/>
      <c r="ER104" s="192"/>
      <c r="ES104" s="192"/>
      <c r="ET104" s="192"/>
    </row>
    <row r="105" spans="1:150">
      <c r="A105" s="192"/>
      <c r="B105" s="36" t="str">
        <f>Input!B146</f>
        <v>Other Operating Expenses</v>
      </c>
      <c r="C105" s="635">
        <f>-Input!G146</f>
        <v>0</v>
      </c>
      <c r="D105" s="635">
        <f>-Input!H146</f>
        <v>0</v>
      </c>
      <c r="E105" s="635">
        <f>-Input!I146</f>
        <v>0</v>
      </c>
      <c r="F105" s="635">
        <f>-Input!J146</f>
        <v>0</v>
      </c>
      <c r="G105" s="635">
        <f>-Input!K146</f>
        <v>0</v>
      </c>
      <c r="H105" s="635">
        <f>-Input!L146</f>
        <v>0</v>
      </c>
      <c r="I105" s="635">
        <f>-Input!M146</f>
        <v>0</v>
      </c>
      <c r="J105" s="635">
        <f>-Input!N146</f>
        <v>0</v>
      </c>
      <c r="K105" s="635">
        <f>-Input!O146</f>
        <v>0</v>
      </c>
      <c r="L105" s="635">
        <f>-Input!P146</f>
        <v>0</v>
      </c>
      <c r="M105" s="635">
        <f>-Input!Q146</f>
        <v>0</v>
      </c>
      <c r="N105" s="192"/>
      <c r="O105" s="635">
        <f>-IF(Input!AG243,SUMPRODUCT(FVSCHEDULE(Input!AG243,InflRate*($C$5:$L$5&lt;ReversionYear))),IF(Input!$F146=EGR,Input!S146*$O$83,Input!S146))</f>
        <v>0</v>
      </c>
      <c r="P105" s="192"/>
      <c r="Q105" s="37"/>
      <c r="R105" s="635">
        <f>IF(Input!$F146=EGR,-Input!$E146*R$83,SUMIF($C$5:$M$5,R$6,$C105:$M105)*IF(OR(Input!$Z146=UniformDist,Input!$Z146=na),1/12,SUMPRODUCT(Input!$AB146:$AM146*(MONTH(R$4)=MONTH(Input!$AB$128:$AM$128)))))</f>
        <v>0</v>
      </c>
      <c r="S105" s="635">
        <f>IF(Input!$F146=EGR,-Input!$E146*S$83,SUMIF($C$5:$M$5,S$6,$C105:$M105)*IF(OR(Input!$Z146=UniformDist,Input!$Z146=na),1/12,SUMPRODUCT(Input!$AB146:$AM146*(MONTH(S$4)=MONTH(Input!$AB$128:$AM$128)))))</f>
        <v>0</v>
      </c>
      <c r="T105" s="635">
        <f>IF(Input!$F146=EGR,-Input!$E146*T$83,SUMIF($C$5:$M$5,T$6,$C105:$M105)*IF(OR(Input!$Z146=UniformDist,Input!$Z146=na),1/12,SUMPRODUCT(Input!$AB146:$AM146*(MONTH(T$4)=MONTH(Input!$AB$128:$AM$128)))))</f>
        <v>0</v>
      </c>
      <c r="U105" s="635">
        <f>IF(Input!$F146=EGR,-Input!$E146*U$83,SUMIF($C$5:$M$5,U$6,$C105:$M105)*IF(OR(Input!$Z146=UniformDist,Input!$Z146=na),1/12,SUMPRODUCT(Input!$AB146:$AM146*(MONTH(U$4)=MONTH(Input!$AB$128:$AM$128)))))</f>
        <v>0</v>
      </c>
      <c r="V105" s="635">
        <f>IF(Input!$F146=EGR,-Input!$E146*V$83,SUMIF($C$5:$M$5,V$6,$C105:$M105)*IF(OR(Input!$Z146=UniformDist,Input!$Z146=na),1/12,SUMPRODUCT(Input!$AB146:$AM146*(MONTH(V$4)=MONTH(Input!$AB$128:$AM$128)))))</f>
        <v>0</v>
      </c>
      <c r="W105" s="635">
        <f>IF(Input!$F146=EGR,-Input!$E146*W$83,SUMIF($C$5:$M$5,W$6,$C105:$M105)*IF(OR(Input!$Z146=UniformDist,Input!$Z146=na),1/12,SUMPRODUCT(Input!$AB146:$AM146*(MONTH(W$4)=MONTH(Input!$AB$128:$AM$128)))))</f>
        <v>0</v>
      </c>
      <c r="X105" s="635">
        <f>IF(Input!$F146=EGR,-Input!$E146*X$83,SUMIF($C$5:$M$5,X$6,$C105:$M105)*IF(OR(Input!$Z146=UniformDist,Input!$Z146=na),1/12,SUMPRODUCT(Input!$AB146:$AM146*(MONTH(X$4)=MONTH(Input!$AB$128:$AM$128)))))</f>
        <v>0</v>
      </c>
      <c r="Y105" s="635">
        <f>IF(Input!$F146=EGR,-Input!$E146*Y$83,SUMIF($C$5:$M$5,Y$6,$C105:$M105)*IF(OR(Input!$Z146=UniformDist,Input!$Z146=na),1/12,SUMPRODUCT(Input!$AB146:$AM146*(MONTH(Y$4)=MONTH(Input!$AB$128:$AM$128)))))</f>
        <v>0</v>
      </c>
      <c r="Z105" s="635">
        <f>IF(Input!$F146=EGR,-Input!$E146*Z$83,SUMIF($C$5:$M$5,Z$6,$C105:$M105)*IF(OR(Input!$Z146=UniformDist,Input!$Z146=na),1/12,SUMPRODUCT(Input!$AB146:$AM146*(MONTH(Z$4)=MONTH(Input!$AB$128:$AM$128)))))</f>
        <v>0</v>
      </c>
      <c r="AA105" s="635">
        <f>IF(Input!$F146=EGR,-Input!$E146*AA$83,SUMIF($C$5:$M$5,AA$6,$C105:$M105)*IF(OR(Input!$Z146=UniformDist,Input!$Z146=na),1/12,SUMPRODUCT(Input!$AB146:$AM146*(MONTH(AA$4)=MONTH(Input!$AB$128:$AM$128)))))</f>
        <v>0</v>
      </c>
      <c r="AB105" s="635">
        <f>IF(Input!$F146=EGR,-Input!$E146*AB$83,SUMIF($C$5:$M$5,AB$6,$C105:$M105)*IF(OR(Input!$Z146=UniformDist,Input!$Z146=na),1/12,SUMPRODUCT(Input!$AB146:$AM146*(MONTH(AB$4)=MONTH(Input!$AB$128:$AM$128)))))</f>
        <v>0</v>
      </c>
      <c r="AC105" s="635">
        <f>IF(Input!$F146=EGR,-Input!$E146*AC$83,SUMIF($C$5:$M$5,AC$6,$C105:$M105)*IF(OR(Input!$Z146=UniformDist,Input!$Z146=na),1/12,SUMPRODUCT(Input!$AB146:$AM146*(MONTH(AC$4)=MONTH(Input!$AB$128:$AM$128)))))</f>
        <v>0</v>
      </c>
      <c r="AD105" s="635">
        <f>IF(Input!$F146=EGR,-Input!$E146*AD$83,SUMIF($C$5:$M$5,AD$6,$C105:$M105)*IF(OR(Input!$Z146=UniformDist,Input!$Z146=na),1/12,SUMPRODUCT(Input!$AB146:$AM146*(MONTH(AD$4)=MONTH(Input!$AB$128:$AM$128)))))</f>
        <v>0</v>
      </c>
      <c r="AE105" s="635">
        <f>IF(Input!$F146=EGR,-Input!$E146*AE$83,SUMIF($C$5:$M$5,AE$6,$C105:$M105)*IF(OR(Input!$Z146=UniformDist,Input!$Z146=na),1/12,SUMPRODUCT(Input!$AB146:$AM146*(MONTH(AE$4)=MONTH(Input!$AB$128:$AM$128)))))</f>
        <v>0</v>
      </c>
      <c r="AF105" s="635">
        <f>IF(Input!$F146=EGR,-Input!$E146*AF$83,SUMIF($C$5:$M$5,AF$6,$C105:$M105)*IF(OR(Input!$Z146=UniformDist,Input!$Z146=na),1/12,SUMPRODUCT(Input!$AB146:$AM146*(MONTH(AF$4)=MONTH(Input!$AB$128:$AM$128)))))</f>
        <v>0</v>
      </c>
      <c r="AG105" s="635">
        <f>IF(Input!$F146=EGR,-Input!$E146*AG$83,SUMIF($C$5:$M$5,AG$6,$C105:$M105)*IF(OR(Input!$Z146=UniformDist,Input!$Z146=na),1/12,SUMPRODUCT(Input!$AB146:$AM146*(MONTH(AG$4)=MONTH(Input!$AB$128:$AM$128)))))</f>
        <v>0</v>
      </c>
      <c r="AH105" s="635">
        <f>IF(Input!$F146=EGR,-Input!$E146*AH$83,SUMIF($C$5:$M$5,AH$6,$C105:$M105)*IF(OR(Input!$Z146=UniformDist,Input!$Z146=na),1/12,SUMPRODUCT(Input!$AB146:$AM146*(MONTH(AH$4)=MONTH(Input!$AB$128:$AM$128)))))</f>
        <v>0</v>
      </c>
      <c r="AI105" s="635">
        <f>IF(Input!$F146=EGR,-Input!$E146*AI$83,SUMIF($C$5:$M$5,AI$6,$C105:$M105)*IF(OR(Input!$Z146=UniformDist,Input!$Z146=na),1/12,SUMPRODUCT(Input!$AB146:$AM146*(MONTH(AI$4)=MONTH(Input!$AB$128:$AM$128)))))</f>
        <v>0</v>
      </c>
      <c r="AJ105" s="635">
        <f>IF(Input!$F146=EGR,-Input!$E146*AJ$83,SUMIF($C$5:$M$5,AJ$6,$C105:$M105)*IF(OR(Input!$Z146=UniformDist,Input!$Z146=na),1/12,SUMPRODUCT(Input!$AB146:$AM146*(MONTH(AJ$4)=MONTH(Input!$AB$128:$AM$128)))))</f>
        <v>0</v>
      </c>
      <c r="AK105" s="635">
        <f>IF(Input!$F146=EGR,-Input!$E146*AK$83,SUMIF($C$5:$M$5,AK$6,$C105:$M105)*IF(OR(Input!$Z146=UniformDist,Input!$Z146=na),1/12,SUMPRODUCT(Input!$AB146:$AM146*(MONTH(AK$4)=MONTH(Input!$AB$128:$AM$128)))))</f>
        <v>0</v>
      </c>
      <c r="AL105" s="635">
        <f>IF(Input!$F146=EGR,-Input!$E146*AL$83,SUMIF($C$5:$M$5,AL$6,$C105:$M105)*IF(OR(Input!$Z146=UniformDist,Input!$Z146=na),1/12,SUMPRODUCT(Input!$AB146:$AM146*(MONTH(AL$4)=MONTH(Input!$AB$128:$AM$128)))))</f>
        <v>0</v>
      </c>
      <c r="AM105" s="635">
        <f>IF(Input!$F146=EGR,-Input!$E146*AM$83,SUMIF($C$5:$M$5,AM$6,$C105:$M105)*IF(OR(Input!$Z146=UniformDist,Input!$Z146=na),1/12,SUMPRODUCT(Input!$AB146:$AM146*(MONTH(AM$4)=MONTH(Input!$AB$128:$AM$128)))))</f>
        <v>0</v>
      </c>
      <c r="AN105" s="635">
        <f>IF(Input!$F146=EGR,-Input!$E146*AN$83,SUMIF($C$5:$M$5,AN$6,$C105:$M105)*IF(OR(Input!$Z146=UniformDist,Input!$Z146=na),1/12,SUMPRODUCT(Input!$AB146:$AM146*(MONTH(AN$4)=MONTH(Input!$AB$128:$AM$128)))))</f>
        <v>0</v>
      </c>
      <c r="AO105" s="635">
        <f>IF(Input!$F146=EGR,-Input!$E146*AO$83,SUMIF($C$5:$M$5,AO$6,$C105:$M105)*IF(OR(Input!$Z146=UniformDist,Input!$Z146=na),1/12,SUMPRODUCT(Input!$AB146:$AM146*(MONTH(AO$4)=MONTH(Input!$AB$128:$AM$128)))))</f>
        <v>0</v>
      </c>
      <c r="AP105" s="635">
        <f>IF(Input!$F146=EGR,-Input!$E146*AP$83,SUMIF($C$5:$M$5,AP$6,$C105:$M105)*IF(OR(Input!$Z146=UniformDist,Input!$Z146=na),1/12,SUMPRODUCT(Input!$AB146:$AM146*(MONTH(AP$4)=MONTH(Input!$AB$128:$AM$128)))))</f>
        <v>0</v>
      </c>
      <c r="AQ105" s="635">
        <f>IF(Input!$F146=EGR,-Input!$E146*AQ$83,SUMIF($C$5:$M$5,AQ$6,$C105:$M105)*IF(OR(Input!$Z146=UniformDist,Input!$Z146=na),1/12,SUMPRODUCT(Input!$AB146:$AM146*(MONTH(AQ$4)=MONTH(Input!$AB$128:$AM$128)))))</f>
        <v>0</v>
      </c>
      <c r="AR105" s="635">
        <f>IF(Input!$F146=EGR,-Input!$E146*AR$83,SUMIF($C$5:$M$5,AR$6,$C105:$M105)*IF(OR(Input!$Z146=UniformDist,Input!$Z146=na),1/12,SUMPRODUCT(Input!$AB146:$AM146*(MONTH(AR$4)=MONTH(Input!$AB$128:$AM$128)))))</f>
        <v>0</v>
      </c>
      <c r="AS105" s="635">
        <f>IF(Input!$F146=EGR,-Input!$E146*AS$83,SUMIF($C$5:$M$5,AS$6,$C105:$M105)*IF(OR(Input!$Z146=UniformDist,Input!$Z146=na),1/12,SUMPRODUCT(Input!$AB146:$AM146*(MONTH(AS$4)=MONTH(Input!$AB$128:$AM$128)))))</f>
        <v>0</v>
      </c>
      <c r="AT105" s="635">
        <f>IF(Input!$F146=EGR,-Input!$E146*AT$83,SUMIF($C$5:$M$5,AT$6,$C105:$M105)*IF(OR(Input!$Z146=UniformDist,Input!$Z146=na),1/12,SUMPRODUCT(Input!$AB146:$AM146*(MONTH(AT$4)=MONTH(Input!$AB$128:$AM$128)))))</f>
        <v>0</v>
      </c>
      <c r="AU105" s="635">
        <f>IF(Input!$F146=EGR,-Input!$E146*AU$83,SUMIF($C$5:$M$5,AU$6,$C105:$M105)*IF(OR(Input!$Z146=UniformDist,Input!$Z146=na),1/12,SUMPRODUCT(Input!$AB146:$AM146*(MONTH(AU$4)=MONTH(Input!$AB$128:$AM$128)))))</f>
        <v>0</v>
      </c>
      <c r="AV105" s="635">
        <f>IF(Input!$F146=EGR,-Input!$E146*AV$83,SUMIF($C$5:$M$5,AV$6,$C105:$M105)*IF(OR(Input!$Z146=UniformDist,Input!$Z146=na),1/12,SUMPRODUCT(Input!$AB146:$AM146*(MONTH(AV$4)=MONTH(Input!$AB$128:$AM$128)))))</f>
        <v>0</v>
      </c>
      <c r="AW105" s="635">
        <f>IF(Input!$F146=EGR,-Input!$E146*AW$83,SUMIF($C$5:$M$5,AW$6,$C105:$M105)*IF(OR(Input!$Z146=UniformDist,Input!$Z146=na),1/12,SUMPRODUCT(Input!$AB146:$AM146*(MONTH(AW$4)=MONTH(Input!$AB$128:$AM$128)))))</f>
        <v>0</v>
      </c>
      <c r="AX105" s="635">
        <f>IF(Input!$F146=EGR,-Input!$E146*AX$83,SUMIF($C$5:$M$5,AX$6,$C105:$M105)*IF(OR(Input!$Z146=UniformDist,Input!$Z146=na),1/12,SUMPRODUCT(Input!$AB146:$AM146*(MONTH(AX$4)=MONTH(Input!$AB$128:$AM$128)))))</f>
        <v>0</v>
      </c>
      <c r="AY105" s="635">
        <f>IF(Input!$F146=EGR,-Input!$E146*AY$83,SUMIF($C$5:$M$5,AY$6,$C105:$M105)*IF(OR(Input!$Z146=UniformDist,Input!$Z146=na),1/12,SUMPRODUCT(Input!$AB146:$AM146*(MONTH(AY$4)=MONTH(Input!$AB$128:$AM$128)))))</f>
        <v>0</v>
      </c>
      <c r="AZ105" s="635">
        <f>IF(Input!$F146=EGR,-Input!$E146*AZ$83,SUMIF($C$5:$M$5,AZ$6,$C105:$M105)*IF(OR(Input!$Z146=UniformDist,Input!$Z146=na),1/12,SUMPRODUCT(Input!$AB146:$AM146*(MONTH(AZ$4)=MONTH(Input!$AB$128:$AM$128)))))</f>
        <v>0</v>
      </c>
      <c r="BA105" s="635">
        <f>IF(Input!$F146=EGR,-Input!$E146*BA$83,SUMIF($C$5:$M$5,BA$6,$C105:$M105)*IF(OR(Input!$Z146=UniformDist,Input!$Z146=na),1/12,SUMPRODUCT(Input!$AB146:$AM146*(MONTH(BA$4)=MONTH(Input!$AB$128:$AM$128)))))</f>
        <v>0</v>
      </c>
      <c r="BB105" s="192"/>
      <c r="BC105" s="192"/>
      <c r="BD105" s="192"/>
      <c r="BE105" s="192"/>
      <c r="BF105" s="192"/>
      <c r="BG105" s="192"/>
      <c r="BH105" s="192"/>
      <c r="BI105" s="192"/>
      <c r="BJ105" s="192"/>
      <c r="BK105" s="192"/>
      <c r="BL105" s="192"/>
      <c r="BM105" s="192"/>
      <c r="BN105" s="192"/>
      <c r="BO105" s="192"/>
      <c r="BP105" s="192"/>
      <c r="BQ105" s="192"/>
      <c r="BR105" s="192"/>
      <c r="BS105" s="192"/>
      <c r="BT105" s="192"/>
      <c r="BU105" s="192"/>
      <c r="BV105" s="192"/>
      <c r="BW105" s="192"/>
      <c r="BX105" s="192"/>
      <c r="BY105" s="192"/>
      <c r="BZ105" s="192"/>
      <c r="CA105" s="192"/>
      <c r="CB105" s="192"/>
      <c r="CC105" s="192"/>
      <c r="CD105" s="192"/>
      <c r="CE105" s="192"/>
      <c r="CF105" s="192"/>
      <c r="CG105" s="192"/>
      <c r="CH105" s="192"/>
      <c r="CI105" s="192"/>
      <c r="CJ105" s="192"/>
      <c r="CK105" s="192"/>
      <c r="CL105" s="192"/>
      <c r="CM105" s="192"/>
      <c r="CN105" s="192"/>
      <c r="CO105" s="192"/>
      <c r="CP105" s="192"/>
      <c r="CQ105" s="192"/>
      <c r="CR105" s="192"/>
      <c r="CS105" s="192"/>
      <c r="CT105" s="192"/>
      <c r="CU105" s="192"/>
      <c r="CV105" s="192"/>
      <c r="CW105" s="192"/>
      <c r="CX105" s="192"/>
      <c r="CY105" s="192"/>
      <c r="CZ105" s="192"/>
      <c r="DA105" s="192"/>
      <c r="DB105" s="192"/>
      <c r="DC105" s="192"/>
      <c r="DD105" s="192"/>
      <c r="DE105" s="192"/>
      <c r="DF105" s="192"/>
      <c r="DG105" s="192"/>
      <c r="DH105" s="192"/>
      <c r="DI105" s="192"/>
      <c r="DJ105" s="192"/>
      <c r="DK105" s="192"/>
      <c r="DL105" s="192"/>
      <c r="DM105" s="192"/>
      <c r="DN105" s="192"/>
      <c r="DO105" s="192"/>
      <c r="DP105" s="192"/>
      <c r="DQ105" s="192"/>
      <c r="DR105" s="192"/>
      <c r="DS105" s="192"/>
      <c r="DT105" s="192"/>
      <c r="DU105" s="192"/>
      <c r="DV105" s="192"/>
      <c r="DW105" s="192"/>
      <c r="DX105" s="192"/>
      <c r="DY105" s="192"/>
      <c r="DZ105" s="192"/>
      <c r="EA105" s="192"/>
      <c r="EB105" s="192"/>
      <c r="EC105" s="192"/>
      <c r="ED105" s="192"/>
      <c r="EE105" s="192"/>
      <c r="EF105" s="192"/>
      <c r="EG105" s="192"/>
      <c r="EH105" s="192"/>
      <c r="EI105" s="192"/>
      <c r="EJ105" s="192"/>
      <c r="EK105" s="192"/>
      <c r="EL105" s="192"/>
      <c r="EM105" s="192"/>
      <c r="EN105" s="192"/>
      <c r="EO105" s="192"/>
      <c r="EP105" s="192"/>
      <c r="EQ105" s="192"/>
      <c r="ER105" s="192"/>
      <c r="ES105" s="192"/>
      <c r="ET105" s="192"/>
    </row>
    <row r="106" spans="1:150">
      <c r="A106" s="192"/>
      <c r="B106" s="36" t="str">
        <f>Input!B147</f>
        <v>Customizable 1</v>
      </c>
      <c r="C106" s="635">
        <f>-Input!G147</f>
        <v>0</v>
      </c>
      <c r="D106" s="635">
        <f>-Input!H147</f>
        <v>0</v>
      </c>
      <c r="E106" s="635">
        <f>-Input!I147</f>
        <v>0</v>
      </c>
      <c r="F106" s="635">
        <f>-Input!J147</f>
        <v>0</v>
      </c>
      <c r="G106" s="635">
        <f>-Input!K147</f>
        <v>0</v>
      </c>
      <c r="H106" s="635">
        <f>-Input!L147</f>
        <v>0</v>
      </c>
      <c r="I106" s="635">
        <f>-Input!M147</f>
        <v>0</v>
      </c>
      <c r="J106" s="635">
        <f>-Input!N147</f>
        <v>0</v>
      </c>
      <c r="K106" s="635">
        <f>-Input!O147</f>
        <v>0</v>
      </c>
      <c r="L106" s="635">
        <f>-Input!P147</f>
        <v>0</v>
      </c>
      <c r="M106" s="635">
        <f>-Input!Q147</f>
        <v>0</v>
      </c>
      <c r="N106" s="192"/>
      <c r="O106" s="635">
        <f>-IF(Input!AG244,SUMPRODUCT(FVSCHEDULE(Input!AG244,InflRate*($C$5:$L$5&lt;ReversionYear))),IF(Input!$F147=EGR,Input!S147*$O$83,Input!S147))</f>
        <v>0</v>
      </c>
      <c r="P106" s="192"/>
      <c r="Q106" s="37"/>
      <c r="R106" s="635">
        <f>IF(Input!$F147=EGR,-Input!$E147*R$83,SUMIF($C$5:$M$5,R$6,$C106:$M106)*IF(OR(Input!$Z147=UniformDist,Input!$Z147=na),1/12,SUMPRODUCT(Input!$AB147:$AM147*(MONTH(R$4)=MONTH(Input!$AB$128:$AM$128)))))</f>
        <v>0</v>
      </c>
      <c r="S106" s="635">
        <f>IF(Input!$F147=EGR,-Input!$E147*S$83,SUMIF($C$5:$M$5,S$6,$C106:$M106)*IF(OR(Input!$Z147=UniformDist,Input!$Z147=na),1/12,SUMPRODUCT(Input!$AB147:$AM147*(MONTH(S$4)=MONTH(Input!$AB$128:$AM$128)))))</f>
        <v>0</v>
      </c>
      <c r="T106" s="635">
        <f>IF(Input!$F147=EGR,-Input!$E147*T$83,SUMIF($C$5:$M$5,T$6,$C106:$M106)*IF(OR(Input!$Z147=UniformDist,Input!$Z147=na),1/12,SUMPRODUCT(Input!$AB147:$AM147*(MONTH(T$4)=MONTH(Input!$AB$128:$AM$128)))))</f>
        <v>0</v>
      </c>
      <c r="U106" s="635">
        <f>IF(Input!$F147=EGR,-Input!$E147*U$83,SUMIF($C$5:$M$5,U$6,$C106:$M106)*IF(OR(Input!$Z147=UniformDist,Input!$Z147=na),1/12,SUMPRODUCT(Input!$AB147:$AM147*(MONTH(U$4)=MONTH(Input!$AB$128:$AM$128)))))</f>
        <v>0</v>
      </c>
      <c r="V106" s="635">
        <f>IF(Input!$F147=EGR,-Input!$E147*V$83,SUMIF($C$5:$M$5,V$6,$C106:$M106)*IF(OR(Input!$Z147=UniformDist,Input!$Z147=na),1/12,SUMPRODUCT(Input!$AB147:$AM147*(MONTH(V$4)=MONTH(Input!$AB$128:$AM$128)))))</f>
        <v>0</v>
      </c>
      <c r="W106" s="635">
        <f>IF(Input!$F147=EGR,-Input!$E147*W$83,SUMIF($C$5:$M$5,W$6,$C106:$M106)*IF(OR(Input!$Z147=UniformDist,Input!$Z147=na),1/12,SUMPRODUCT(Input!$AB147:$AM147*(MONTH(W$4)=MONTH(Input!$AB$128:$AM$128)))))</f>
        <v>0</v>
      </c>
      <c r="X106" s="635">
        <f>IF(Input!$F147=EGR,-Input!$E147*X$83,SUMIF($C$5:$M$5,X$6,$C106:$M106)*IF(OR(Input!$Z147=UniformDist,Input!$Z147=na),1/12,SUMPRODUCT(Input!$AB147:$AM147*(MONTH(X$4)=MONTH(Input!$AB$128:$AM$128)))))</f>
        <v>0</v>
      </c>
      <c r="Y106" s="635">
        <f>IF(Input!$F147=EGR,-Input!$E147*Y$83,SUMIF($C$5:$M$5,Y$6,$C106:$M106)*IF(OR(Input!$Z147=UniformDist,Input!$Z147=na),1/12,SUMPRODUCT(Input!$AB147:$AM147*(MONTH(Y$4)=MONTH(Input!$AB$128:$AM$128)))))</f>
        <v>0</v>
      </c>
      <c r="Z106" s="635">
        <f>IF(Input!$F147=EGR,-Input!$E147*Z$83,SUMIF($C$5:$M$5,Z$6,$C106:$M106)*IF(OR(Input!$Z147=UniformDist,Input!$Z147=na),1/12,SUMPRODUCT(Input!$AB147:$AM147*(MONTH(Z$4)=MONTH(Input!$AB$128:$AM$128)))))</f>
        <v>0</v>
      </c>
      <c r="AA106" s="635">
        <f>IF(Input!$F147=EGR,-Input!$E147*AA$83,SUMIF($C$5:$M$5,AA$6,$C106:$M106)*IF(OR(Input!$Z147=UniformDist,Input!$Z147=na),1/12,SUMPRODUCT(Input!$AB147:$AM147*(MONTH(AA$4)=MONTH(Input!$AB$128:$AM$128)))))</f>
        <v>0</v>
      </c>
      <c r="AB106" s="635">
        <f>IF(Input!$F147=EGR,-Input!$E147*AB$83,SUMIF($C$5:$M$5,AB$6,$C106:$M106)*IF(OR(Input!$Z147=UniformDist,Input!$Z147=na),1/12,SUMPRODUCT(Input!$AB147:$AM147*(MONTH(AB$4)=MONTH(Input!$AB$128:$AM$128)))))</f>
        <v>0</v>
      </c>
      <c r="AC106" s="635">
        <f>IF(Input!$F147=EGR,-Input!$E147*AC$83,SUMIF($C$5:$M$5,AC$6,$C106:$M106)*IF(OR(Input!$Z147=UniformDist,Input!$Z147=na),1/12,SUMPRODUCT(Input!$AB147:$AM147*(MONTH(AC$4)=MONTH(Input!$AB$128:$AM$128)))))</f>
        <v>0</v>
      </c>
      <c r="AD106" s="635">
        <f>IF(Input!$F147=EGR,-Input!$E147*AD$83,SUMIF($C$5:$M$5,AD$6,$C106:$M106)*IF(OR(Input!$Z147=UniformDist,Input!$Z147=na),1/12,SUMPRODUCT(Input!$AB147:$AM147*(MONTH(AD$4)=MONTH(Input!$AB$128:$AM$128)))))</f>
        <v>0</v>
      </c>
      <c r="AE106" s="635">
        <f>IF(Input!$F147=EGR,-Input!$E147*AE$83,SUMIF($C$5:$M$5,AE$6,$C106:$M106)*IF(OR(Input!$Z147=UniformDist,Input!$Z147=na),1/12,SUMPRODUCT(Input!$AB147:$AM147*(MONTH(AE$4)=MONTH(Input!$AB$128:$AM$128)))))</f>
        <v>0</v>
      </c>
      <c r="AF106" s="635">
        <f>IF(Input!$F147=EGR,-Input!$E147*AF$83,SUMIF($C$5:$M$5,AF$6,$C106:$M106)*IF(OR(Input!$Z147=UniformDist,Input!$Z147=na),1/12,SUMPRODUCT(Input!$AB147:$AM147*(MONTH(AF$4)=MONTH(Input!$AB$128:$AM$128)))))</f>
        <v>0</v>
      </c>
      <c r="AG106" s="635">
        <f>IF(Input!$F147=EGR,-Input!$E147*AG$83,SUMIF($C$5:$M$5,AG$6,$C106:$M106)*IF(OR(Input!$Z147=UniformDist,Input!$Z147=na),1/12,SUMPRODUCT(Input!$AB147:$AM147*(MONTH(AG$4)=MONTH(Input!$AB$128:$AM$128)))))</f>
        <v>0</v>
      </c>
      <c r="AH106" s="635">
        <f>IF(Input!$F147=EGR,-Input!$E147*AH$83,SUMIF($C$5:$M$5,AH$6,$C106:$M106)*IF(OR(Input!$Z147=UniformDist,Input!$Z147=na),1/12,SUMPRODUCT(Input!$AB147:$AM147*(MONTH(AH$4)=MONTH(Input!$AB$128:$AM$128)))))</f>
        <v>0</v>
      </c>
      <c r="AI106" s="635">
        <f>IF(Input!$F147=EGR,-Input!$E147*AI$83,SUMIF($C$5:$M$5,AI$6,$C106:$M106)*IF(OR(Input!$Z147=UniformDist,Input!$Z147=na),1/12,SUMPRODUCT(Input!$AB147:$AM147*(MONTH(AI$4)=MONTH(Input!$AB$128:$AM$128)))))</f>
        <v>0</v>
      </c>
      <c r="AJ106" s="635">
        <f>IF(Input!$F147=EGR,-Input!$E147*AJ$83,SUMIF($C$5:$M$5,AJ$6,$C106:$M106)*IF(OR(Input!$Z147=UniformDist,Input!$Z147=na),1/12,SUMPRODUCT(Input!$AB147:$AM147*(MONTH(AJ$4)=MONTH(Input!$AB$128:$AM$128)))))</f>
        <v>0</v>
      </c>
      <c r="AK106" s="635">
        <f>IF(Input!$F147=EGR,-Input!$E147*AK$83,SUMIF($C$5:$M$5,AK$6,$C106:$M106)*IF(OR(Input!$Z147=UniformDist,Input!$Z147=na),1/12,SUMPRODUCT(Input!$AB147:$AM147*(MONTH(AK$4)=MONTH(Input!$AB$128:$AM$128)))))</f>
        <v>0</v>
      </c>
      <c r="AL106" s="635">
        <f>IF(Input!$F147=EGR,-Input!$E147*AL$83,SUMIF($C$5:$M$5,AL$6,$C106:$M106)*IF(OR(Input!$Z147=UniformDist,Input!$Z147=na),1/12,SUMPRODUCT(Input!$AB147:$AM147*(MONTH(AL$4)=MONTH(Input!$AB$128:$AM$128)))))</f>
        <v>0</v>
      </c>
      <c r="AM106" s="635">
        <f>IF(Input!$F147=EGR,-Input!$E147*AM$83,SUMIF($C$5:$M$5,AM$6,$C106:$M106)*IF(OR(Input!$Z147=UniformDist,Input!$Z147=na),1/12,SUMPRODUCT(Input!$AB147:$AM147*(MONTH(AM$4)=MONTH(Input!$AB$128:$AM$128)))))</f>
        <v>0</v>
      </c>
      <c r="AN106" s="635">
        <f>IF(Input!$F147=EGR,-Input!$E147*AN$83,SUMIF($C$5:$M$5,AN$6,$C106:$M106)*IF(OR(Input!$Z147=UniformDist,Input!$Z147=na),1/12,SUMPRODUCT(Input!$AB147:$AM147*(MONTH(AN$4)=MONTH(Input!$AB$128:$AM$128)))))</f>
        <v>0</v>
      </c>
      <c r="AO106" s="635">
        <f>IF(Input!$F147=EGR,-Input!$E147*AO$83,SUMIF($C$5:$M$5,AO$6,$C106:$M106)*IF(OR(Input!$Z147=UniformDist,Input!$Z147=na),1/12,SUMPRODUCT(Input!$AB147:$AM147*(MONTH(AO$4)=MONTH(Input!$AB$128:$AM$128)))))</f>
        <v>0</v>
      </c>
      <c r="AP106" s="635">
        <f>IF(Input!$F147=EGR,-Input!$E147*AP$83,SUMIF($C$5:$M$5,AP$6,$C106:$M106)*IF(OR(Input!$Z147=UniformDist,Input!$Z147=na),1/12,SUMPRODUCT(Input!$AB147:$AM147*(MONTH(AP$4)=MONTH(Input!$AB$128:$AM$128)))))</f>
        <v>0</v>
      </c>
      <c r="AQ106" s="635">
        <f>IF(Input!$F147=EGR,-Input!$E147*AQ$83,SUMIF($C$5:$M$5,AQ$6,$C106:$M106)*IF(OR(Input!$Z147=UniformDist,Input!$Z147=na),1/12,SUMPRODUCT(Input!$AB147:$AM147*(MONTH(AQ$4)=MONTH(Input!$AB$128:$AM$128)))))</f>
        <v>0</v>
      </c>
      <c r="AR106" s="635">
        <f>IF(Input!$F147=EGR,-Input!$E147*AR$83,SUMIF($C$5:$M$5,AR$6,$C106:$M106)*IF(OR(Input!$Z147=UniformDist,Input!$Z147=na),1/12,SUMPRODUCT(Input!$AB147:$AM147*(MONTH(AR$4)=MONTH(Input!$AB$128:$AM$128)))))</f>
        <v>0</v>
      </c>
      <c r="AS106" s="635">
        <f>IF(Input!$F147=EGR,-Input!$E147*AS$83,SUMIF($C$5:$M$5,AS$6,$C106:$M106)*IF(OR(Input!$Z147=UniformDist,Input!$Z147=na),1/12,SUMPRODUCT(Input!$AB147:$AM147*(MONTH(AS$4)=MONTH(Input!$AB$128:$AM$128)))))</f>
        <v>0</v>
      </c>
      <c r="AT106" s="635">
        <f>IF(Input!$F147=EGR,-Input!$E147*AT$83,SUMIF($C$5:$M$5,AT$6,$C106:$M106)*IF(OR(Input!$Z147=UniformDist,Input!$Z147=na),1/12,SUMPRODUCT(Input!$AB147:$AM147*(MONTH(AT$4)=MONTH(Input!$AB$128:$AM$128)))))</f>
        <v>0</v>
      </c>
      <c r="AU106" s="635">
        <f>IF(Input!$F147=EGR,-Input!$E147*AU$83,SUMIF($C$5:$M$5,AU$6,$C106:$M106)*IF(OR(Input!$Z147=UniformDist,Input!$Z147=na),1/12,SUMPRODUCT(Input!$AB147:$AM147*(MONTH(AU$4)=MONTH(Input!$AB$128:$AM$128)))))</f>
        <v>0</v>
      </c>
      <c r="AV106" s="635">
        <f>IF(Input!$F147=EGR,-Input!$E147*AV$83,SUMIF($C$5:$M$5,AV$6,$C106:$M106)*IF(OR(Input!$Z147=UniformDist,Input!$Z147=na),1/12,SUMPRODUCT(Input!$AB147:$AM147*(MONTH(AV$4)=MONTH(Input!$AB$128:$AM$128)))))</f>
        <v>0</v>
      </c>
      <c r="AW106" s="635">
        <f>IF(Input!$F147=EGR,-Input!$E147*AW$83,SUMIF($C$5:$M$5,AW$6,$C106:$M106)*IF(OR(Input!$Z147=UniformDist,Input!$Z147=na),1/12,SUMPRODUCT(Input!$AB147:$AM147*(MONTH(AW$4)=MONTH(Input!$AB$128:$AM$128)))))</f>
        <v>0</v>
      </c>
      <c r="AX106" s="635">
        <f>IF(Input!$F147=EGR,-Input!$E147*AX$83,SUMIF($C$5:$M$5,AX$6,$C106:$M106)*IF(OR(Input!$Z147=UniformDist,Input!$Z147=na),1/12,SUMPRODUCT(Input!$AB147:$AM147*(MONTH(AX$4)=MONTH(Input!$AB$128:$AM$128)))))</f>
        <v>0</v>
      </c>
      <c r="AY106" s="635">
        <f>IF(Input!$F147=EGR,-Input!$E147*AY$83,SUMIF($C$5:$M$5,AY$6,$C106:$M106)*IF(OR(Input!$Z147=UniformDist,Input!$Z147=na),1/12,SUMPRODUCT(Input!$AB147:$AM147*(MONTH(AY$4)=MONTH(Input!$AB$128:$AM$128)))))</f>
        <v>0</v>
      </c>
      <c r="AZ106" s="635">
        <f>IF(Input!$F147=EGR,-Input!$E147*AZ$83,SUMIF($C$5:$M$5,AZ$6,$C106:$M106)*IF(OR(Input!$Z147=UniformDist,Input!$Z147=na),1/12,SUMPRODUCT(Input!$AB147:$AM147*(MONTH(AZ$4)=MONTH(Input!$AB$128:$AM$128)))))</f>
        <v>0</v>
      </c>
      <c r="BA106" s="635">
        <f>IF(Input!$F147=EGR,-Input!$E147*BA$83,SUMIF($C$5:$M$5,BA$6,$C106:$M106)*IF(OR(Input!$Z147=UniformDist,Input!$Z147=na),1/12,SUMPRODUCT(Input!$AB147:$AM147*(MONTH(BA$4)=MONTH(Input!$AB$128:$AM$128)))))</f>
        <v>0</v>
      </c>
      <c r="BB106" s="192"/>
      <c r="BC106" s="192"/>
      <c r="BD106" s="192"/>
      <c r="BE106" s="192"/>
      <c r="BF106" s="192"/>
      <c r="BG106" s="192"/>
      <c r="BH106" s="192"/>
      <c r="BI106" s="192"/>
      <c r="BJ106" s="192"/>
      <c r="BK106" s="192"/>
      <c r="BL106" s="192"/>
      <c r="BM106" s="192"/>
      <c r="BN106" s="192"/>
      <c r="BO106" s="192"/>
      <c r="BP106" s="192"/>
      <c r="BQ106" s="192"/>
      <c r="BR106" s="192"/>
      <c r="BS106" s="192"/>
      <c r="BT106" s="192"/>
      <c r="BU106" s="192"/>
      <c r="BV106" s="192"/>
      <c r="BW106" s="192"/>
      <c r="BX106" s="192"/>
      <c r="BY106" s="192"/>
      <c r="BZ106" s="192"/>
      <c r="CA106" s="192"/>
      <c r="CB106" s="192"/>
      <c r="CC106" s="192"/>
      <c r="CD106" s="192"/>
      <c r="CE106" s="192"/>
      <c r="CF106" s="192"/>
      <c r="CG106" s="192"/>
      <c r="CH106" s="192"/>
      <c r="CI106" s="192"/>
      <c r="CJ106" s="192"/>
      <c r="CK106" s="192"/>
      <c r="CL106" s="192"/>
      <c r="CM106" s="192"/>
      <c r="CN106" s="192"/>
      <c r="CO106" s="192"/>
      <c r="CP106" s="192"/>
      <c r="CQ106" s="192"/>
      <c r="CR106" s="192"/>
      <c r="CS106" s="192"/>
      <c r="CT106" s="192"/>
      <c r="CU106" s="192"/>
      <c r="CV106" s="192"/>
      <c r="CW106" s="192"/>
      <c r="CX106" s="192"/>
      <c r="CY106" s="192"/>
      <c r="CZ106" s="192"/>
      <c r="DA106" s="192"/>
      <c r="DB106" s="192"/>
      <c r="DC106" s="192"/>
      <c r="DD106" s="192"/>
      <c r="DE106" s="192"/>
      <c r="DF106" s="192"/>
      <c r="DG106" s="192"/>
      <c r="DH106" s="192"/>
      <c r="DI106" s="192"/>
      <c r="DJ106" s="192"/>
      <c r="DK106" s="192"/>
      <c r="DL106" s="192"/>
      <c r="DM106" s="192"/>
      <c r="DN106" s="192"/>
      <c r="DO106" s="192"/>
      <c r="DP106" s="192"/>
      <c r="DQ106" s="192"/>
      <c r="DR106" s="192"/>
      <c r="DS106" s="192"/>
      <c r="DT106" s="192"/>
      <c r="DU106" s="192"/>
      <c r="DV106" s="192"/>
      <c r="DW106" s="192"/>
      <c r="DX106" s="192"/>
      <c r="DY106" s="192"/>
      <c r="DZ106" s="192"/>
      <c r="EA106" s="192"/>
      <c r="EB106" s="192"/>
      <c r="EC106" s="192"/>
      <c r="ED106" s="192"/>
      <c r="EE106" s="192"/>
      <c r="EF106" s="192"/>
      <c r="EG106" s="192"/>
      <c r="EH106" s="192"/>
      <c r="EI106" s="192"/>
      <c r="EJ106" s="192"/>
      <c r="EK106" s="192"/>
      <c r="EL106" s="192"/>
      <c r="EM106" s="192"/>
      <c r="EN106" s="192"/>
      <c r="EO106" s="192"/>
      <c r="EP106" s="192"/>
      <c r="EQ106" s="192"/>
      <c r="ER106" s="192"/>
      <c r="ES106" s="192"/>
      <c r="ET106" s="192"/>
    </row>
    <row r="107" spans="1:150">
      <c r="A107" s="192"/>
      <c r="B107" s="36" t="str">
        <f>Input!B148</f>
        <v>Customizable 2</v>
      </c>
      <c r="C107" s="635">
        <f>-Input!G148</f>
        <v>0</v>
      </c>
      <c r="D107" s="635">
        <f>-Input!H148</f>
        <v>0</v>
      </c>
      <c r="E107" s="635">
        <f>-Input!I148</f>
        <v>0</v>
      </c>
      <c r="F107" s="635">
        <f>-Input!J148</f>
        <v>0</v>
      </c>
      <c r="G107" s="635">
        <f>-Input!K148</f>
        <v>0</v>
      </c>
      <c r="H107" s="635">
        <f>-Input!L148</f>
        <v>0</v>
      </c>
      <c r="I107" s="635">
        <f>-Input!M148</f>
        <v>0</v>
      </c>
      <c r="J107" s="635">
        <f>-Input!N148</f>
        <v>0</v>
      </c>
      <c r="K107" s="635">
        <f>-Input!O148</f>
        <v>0</v>
      </c>
      <c r="L107" s="635">
        <f>-Input!P148</f>
        <v>0</v>
      </c>
      <c r="M107" s="635">
        <f>-Input!Q148</f>
        <v>0</v>
      </c>
      <c r="N107" s="192"/>
      <c r="O107" s="635">
        <f>-IF(Input!AG245,SUMPRODUCT(FVSCHEDULE(Input!AG245,InflRate*($C$5:$L$5&lt;ReversionYear))),IF(Input!$F148=EGR,Input!S148*$O$83,Input!S148))</f>
        <v>0</v>
      </c>
      <c r="P107" s="192"/>
      <c r="Q107" s="37"/>
      <c r="R107" s="635">
        <f>IF(Input!$F148=EGR,-Input!$E148*R$83,SUMIF($C$5:$M$5,R$6,$C107:$M107)*IF(OR(Input!$Z148=UniformDist,Input!$Z148=na),1/12,SUMPRODUCT(Input!$AB148:$AM148*(MONTH(R$4)=MONTH(Input!$AB$128:$AM$128)))))</f>
        <v>0</v>
      </c>
      <c r="S107" s="635">
        <f>IF(Input!$F148=EGR,-Input!$E148*S$83,SUMIF($C$5:$M$5,S$6,$C107:$M107)*IF(OR(Input!$Z148=UniformDist,Input!$Z148=na),1/12,SUMPRODUCT(Input!$AB148:$AM148*(MONTH(S$4)=MONTH(Input!$AB$128:$AM$128)))))</f>
        <v>0</v>
      </c>
      <c r="T107" s="635">
        <f>IF(Input!$F148=EGR,-Input!$E148*T$83,SUMIF($C$5:$M$5,T$6,$C107:$M107)*IF(OR(Input!$Z148=UniformDist,Input!$Z148=na),1/12,SUMPRODUCT(Input!$AB148:$AM148*(MONTH(T$4)=MONTH(Input!$AB$128:$AM$128)))))</f>
        <v>0</v>
      </c>
      <c r="U107" s="635">
        <f>IF(Input!$F148=EGR,-Input!$E148*U$83,SUMIF($C$5:$M$5,U$6,$C107:$M107)*IF(OR(Input!$Z148=UniformDist,Input!$Z148=na),1/12,SUMPRODUCT(Input!$AB148:$AM148*(MONTH(U$4)=MONTH(Input!$AB$128:$AM$128)))))</f>
        <v>0</v>
      </c>
      <c r="V107" s="635">
        <f>IF(Input!$F148=EGR,-Input!$E148*V$83,SUMIF($C$5:$M$5,V$6,$C107:$M107)*IF(OR(Input!$Z148=UniformDist,Input!$Z148=na),1/12,SUMPRODUCT(Input!$AB148:$AM148*(MONTH(V$4)=MONTH(Input!$AB$128:$AM$128)))))</f>
        <v>0</v>
      </c>
      <c r="W107" s="635">
        <f>IF(Input!$F148=EGR,-Input!$E148*W$83,SUMIF($C$5:$M$5,W$6,$C107:$M107)*IF(OR(Input!$Z148=UniformDist,Input!$Z148=na),1/12,SUMPRODUCT(Input!$AB148:$AM148*(MONTH(W$4)=MONTH(Input!$AB$128:$AM$128)))))</f>
        <v>0</v>
      </c>
      <c r="X107" s="635">
        <f>IF(Input!$F148=EGR,-Input!$E148*X$83,SUMIF($C$5:$M$5,X$6,$C107:$M107)*IF(OR(Input!$Z148=UniformDist,Input!$Z148=na),1/12,SUMPRODUCT(Input!$AB148:$AM148*(MONTH(X$4)=MONTH(Input!$AB$128:$AM$128)))))</f>
        <v>0</v>
      </c>
      <c r="Y107" s="635">
        <f>IF(Input!$F148=EGR,-Input!$E148*Y$83,SUMIF($C$5:$M$5,Y$6,$C107:$M107)*IF(OR(Input!$Z148=UniformDist,Input!$Z148=na),1/12,SUMPRODUCT(Input!$AB148:$AM148*(MONTH(Y$4)=MONTH(Input!$AB$128:$AM$128)))))</f>
        <v>0</v>
      </c>
      <c r="Z107" s="635">
        <f>IF(Input!$F148=EGR,-Input!$E148*Z$83,SUMIF($C$5:$M$5,Z$6,$C107:$M107)*IF(OR(Input!$Z148=UniformDist,Input!$Z148=na),1/12,SUMPRODUCT(Input!$AB148:$AM148*(MONTH(Z$4)=MONTH(Input!$AB$128:$AM$128)))))</f>
        <v>0</v>
      </c>
      <c r="AA107" s="635">
        <f>IF(Input!$F148=EGR,-Input!$E148*AA$83,SUMIF($C$5:$M$5,AA$6,$C107:$M107)*IF(OR(Input!$Z148=UniformDist,Input!$Z148=na),1/12,SUMPRODUCT(Input!$AB148:$AM148*(MONTH(AA$4)=MONTH(Input!$AB$128:$AM$128)))))</f>
        <v>0</v>
      </c>
      <c r="AB107" s="635">
        <f>IF(Input!$F148=EGR,-Input!$E148*AB$83,SUMIF($C$5:$M$5,AB$6,$C107:$M107)*IF(OR(Input!$Z148=UniformDist,Input!$Z148=na),1/12,SUMPRODUCT(Input!$AB148:$AM148*(MONTH(AB$4)=MONTH(Input!$AB$128:$AM$128)))))</f>
        <v>0</v>
      </c>
      <c r="AC107" s="635">
        <f>IF(Input!$F148=EGR,-Input!$E148*AC$83,SUMIF($C$5:$M$5,AC$6,$C107:$M107)*IF(OR(Input!$Z148=UniformDist,Input!$Z148=na),1/12,SUMPRODUCT(Input!$AB148:$AM148*(MONTH(AC$4)=MONTH(Input!$AB$128:$AM$128)))))</f>
        <v>0</v>
      </c>
      <c r="AD107" s="635">
        <f>IF(Input!$F148=EGR,-Input!$E148*AD$83,SUMIF($C$5:$M$5,AD$6,$C107:$M107)*IF(OR(Input!$Z148=UniformDist,Input!$Z148=na),1/12,SUMPRODUCT(Input!$AB148:$AM148*(MONTH(AD$4)=MONTH(Input!$AB$128:$AM$128)))))</f>
        <v>0</v>
      </c>
      <c r="AE107" s="635">
        <f>IF(Input!$F148=EGR,-Input!$E148*AE$83,SUMIF($C$5:$M$5,AE$6,$C107:$M107)*IF(OR(Input!$Z148=UniformDist,Input!$Z148=na),1/12,SUMPRODUCT(Input!$AB148:$AM148*(MONTH(AE$4)=MONTH(Input!$AB$128:$AM$128)))))</f>
        <v>0</v>
      </c>
      <c r="AF107" s="635">
        <f>IF(Input!$F148=EGR,-Input!$E148*AF$83,SUMIF($C$5:$M$5,AF$6,$C107:$M107)*IF(OR(Input!$Z148=UniformDist,Input!$Z148=na),1/12,SUMPRODUCT(Input!$AB148:$AM148*(MONTH(AF$4)=MONTH(Input!$AB$128:$AM$128)))))</f>
        <v>0</v>
      </c>
      <c r="AG107" s="635">
        <f>IF(Input!$F148=EGR,-Input!$E148*AG$83,SUMIF($C$5:$M$5,AG$6,$C107:$M107)*IF(OR(Input!$Z148=UniformDist,Input!$Z148=na),1/12,SUMPRODUCT(Input!$AB148:$AM148*(MONTH(AG$4)=MONTH(Input!$AB$128:$AM$128)))))</f>
        <v>0</v>
      </c>
      <c r="AH107" s="635">
        <f>IF(Input!$F148=EGR,-Input!$E148*AH$83,SUMIF($C$5:$M$5,AH$6,$C107:$M107)*IF(OR(Input!$Z148=UniformDist,Input!$Z148=na),1/12,SUMPRODUCT(Input!$AB148:$AM148*(MONTH(AH$4)=MONTH(Input!$AB$128:$AM$128)))))</f>
        <v>0</v>
      </c>
      <c r="AI107" s="635">
        <f>IF(Input!$F148=EGR,-Input!$E148*AI$83,SUMIF($C$5:$M$5,AI$6,$C107:$M107)*IF(OR(Input!$Z148=UniformDist,Input!$Z148=na),1/12,SUMPRODUCT(Input!$AB148:$AM148*(MONTH(AI$4)=MONTH(Input!$AB$128:$AM$128)))))</f>
        <v>0</v>
      </c>
      <c r="AJ107" s="635">
        <f>IF(Input!$F148=EGR,-Input!$E148*AJ$83,SUMIF($C$5:$M$5,AJ$6,$C107:$M107)*IF(OR(Input!$Z148=UniformDist,Input!$Z148=na),1/12,SUMPRODUCT(Input!$AB148:$AM148*(MONTH(AJ$4)=MONTH(Input!$AB$128:$AM$128)))))</f>
        <v>0</v>
      </c>
      <c r="AK107" s="635">
        <f>IF(Input!$F148=EGR,-Input!$E148*AK$83,SUMIF($C$5:$M$5,AK$6,$C107:$M107)*IF(OR(Input!$Z148=UniformDist,Input!$Z148=na),1/12,SUMPRODUCT(Input!$AB148:$AM148*(MONTH(AK$4)=MONTH(Input!$AB$128:$AM$128)))))</f>
        <v>0</v>
      </c>
      <c r="AL107" s="635">
        <f>IF(Input!$F148=EGR,-Input!$E148*AL$83,SUMIF($C$5:$M$5,AL$6,$C107:$M107)*IF(OR(Input!$Z148=UniformDist,Input!$Z148=na),1/12,SUMPRODUCT(Input!$AB148:$AM148*(MONTH(AL$4)=MONTH(Input!$AB$128:$AM$128)))))</f>
        <v>0</v>
      </c>
      <c r="AM107" s="635">
        <f>IF(Input!$F148=EGR,-Input!$E148*AM$83,SUMIF($C$5:$M$5,AM$6,$C107:$M107)*IF(OR(Input!$Z148=UniformDist,Input!$Z148=na),1/12,SUMPRODUCT(Input!$AB148:$AM148*(MONTH(AM$4)=MONTH(Input!$AB$128:$AM$128)))))</f>
        <v>0</v>
      </c>
      <c r="AN107" s="635">
        <f>IF(Input!$F148=EGR,-Input!$E148*AN$83,SUMIF($C$5:$M$5,AN$6,$C107:$M107)*IF(OR(Input!$Z148=UniformDist,Input!$Z148=na),1/12,SUMPRODUCT(Input!$AB148:$AM148*(MONTH(AN$4)=MONTH(Input!$AB$128:$AM$128)))))</f>
        <v>0</v>
      </c>
      <c r="AO107" s="635">
        <f>IF(Input!$F148=EGR,-Input!$E148*AO$83,SUMIF($C$5:$M$5,AO$6,$C107:$M107)*IF(OR(Input!$Z148=UniformDist,Input!$Z148=na),1/12,SUMPRODUCT(Input!$AB148:$AM148*(MONTH(AO$4)=MONTH(Input!$AB$128:$AM$128)))))</f>
        <v>0</v>
      </c>
      <c r="AP107" s="635">
        <f>IF(Input!$F148=EGR,-Input!$E148*AP$83,SUMIF($C$5:$M$5,AP$6,$C107:$M107)*IF(OR(Input!$Z148=UniformDist,Input!$Z148=na),1/12,SUMPRODUCT(Input!$AB148:$AM148*(MONTH(AP$4)=MONTH(Input!$AB$128:$AM$128)))))</f>
        <v>0</v>
      </c>
      <c r="AQ107" s="635">
        <f>IF(Input!$F148=EGR,-Input!$E148*AQ$83,SUMIF($C$5:$M$5,AQ$6,$C107:$M107)*IF(OR(Input!$Z148=UniformDist,Input!$Z148=na),1/12,SUMPRODUCT(Input!$AB148:$AM148*(MONTH(AQ$4)=MONTH(Input!$AB$128:$AM$128)))))</f>
        <v>0</v>
      </c>
      <c r="AR107" s="635">
        <f>IF(Input!$F148=EGR,-Input!$E148*AR$83,SUMIF($C$5:$M$5,AR$6,$C107:$M107)*IF(OR(Input!$Z148=UniformDist,Input!$Z148=na),1/12,SUMPRODUCT(Input!$AB148:$AM148*(MONTH(AR$4)=MONTH(Input!$AB$128:$AM$128)))))</f>
        <v>0</v>
      </c>
      <c r="AS107" s="635">
        <f>IF(Input!$F148=EGR,-Input!$E148*AS$83,SUMIF($C$5:$M$5,AS$6,$C107:$M107)*IF(OR(Input!$Z148=UniformDist,Input!$Z148=na),1/12,SUMPRODUCT(Input!$AB148:$AM148*(MONTH(AS$4)=MONTH(Input!$AB$128:$AM$128)))))</f>
        <v>0</v>
      </c>
      <c r="AT107" s="635">
        <f>IF(Input!$F148=EGR,-Input!$E148*AT$83,SUMIF($C$5:$M$5,AT$6,$C107:$M107)*IF(OR(Input!$Z148=UniformDist,Input!$Z148=na),1/12,SUMPRODUCT(Input!$AB148:$AM148*(MONTH(AT$4)=MONTH(Input!$AB$128:$AM$128)))))</f>
        <v>0</v>
      </c>
      <c r="AU107" s="635">
        <f>IF(Input!$F148=EGR,-Input!$E148*AU$83,SUMIF($C$5:$M$5,AU$6,$C107:$M107)*IF(OR(Input!$Z148=UniformDist,Input!$Z148=na),1/12,SUMPRODUCT(Input!$AB148:$AM148*(MONTH(AU$4)=MONTH(Input!$AB$128:$AM$128)))))</f>
        <v>0</v>
      </c>
      <c r="AV107" s="635">
        <f>IF(Input!$F148=EGR,-Input!$E148*AV$83,SUMIF($C$5:$M$5,AV$6,$C107:$M107)*IF(OR(Input!$Z148=UniformDist,Input!$Z148=na),1/12,SUMPRODUCT(Input!$AB148:$AM148*(MONTH(AV$4)=MONTH(Input!$AB$128:$AM$128)))))</f>
        <v>0</v>
      </c>
      <c r="AW107" s="635">
        <f>IF(Input!$F148=EGR,-Input!$E148*AW$83,SUMIF($C$5:$M$5,AW$6,$C107:$M107)*IF(OR(Input!$Z148=UniformDist,Input!$Z148=na),1/12,SUMPRODUCT(Input!$AB148:$AM148*(MONTH(AW$4)=MONTH(Input!$AB$128:$AM$128)))))</f>
        <v>0</v>
      </c>
      <c r="AX107" s="635">
        <f>IF(Input!$F148=EGR,-Input!$E148*AX$83,SUMIF($C$5:$M$5,AX$6,$C107:$M107)*IF(OR(Input!$Z148=UniformDist,Input!$Z148=na),1/12,SUMPRODUCT(Input!$AB148:$AM148*(MONTH(AX$4)=MONTH(Input!$AB$128:$AM$128)))))</f>
        <v>0</v>
      </c>
      <c r="AY107" s="635">
        <f>IF(Input!$F148=EGR,-Input!$E148*AY$83,SUMIF($C$5:$M$5,AY$6,$C107:$M107)*IF(OR(Input!$Z148=UniformDist,Input!$Z148=na),1/12,SUMPRODUCT(Input!$AB148:$AM148*(MONTH(AY$4)=MONTH(Input!$AB$128:$AM$128)))))</f>
        <v>0</v>
      </c>
      <c r="AZ107" s="635">
        <f>IF(Input!$F148=EGR,-Input!$E148*AZ$83,SUMIF($C$5:$M$5,AZ$6,$C107:$M107)*IF(OR(Input!$Z148=UniformDist,Input!$Z148=na),1/12,SUMPRODUCT(Input!$AB148:$AM148*(MONTH(AZ$4)=MONTH(Input!$AB$128:$AM$128)))))</f>
        <v>0</v>
      </c>
      <c r="BA107" s="635">
        <f>IF(Input!$F148=EGR,-Input!$E148*BA$83,SUMIF($C$5:$M$5,BA$6,$C107:$M107)*IF(OR(Input!$Z148=UniformDist,Input!$Z148=na),1/12,SUMPRODUCT(Input!$AB148:$AM148*(MONTH(BA$4)=MONTH(Input!$AB$128:$AM$128)))))</f>
        <v>0</v>
      </c>
      <c r="BB107" s="192"/>
      <c r="BC107" s="192"/>
      <c r="BD107" s="192"/>
      <c r="BE107" s="192"/>
      <c r="BF107" s="192"/>
      <c r="BG107" s="192"/>
      <c r="BH107" s="192"/>
      <c r="BI107" s="192"/>
      <c r="BJ107" s="192"/>
      <c r="BK107" s="192"/>
      <c r="BL107" s="192"/>
      <c r="BM107" s="192"/>
      <c r="BN107" s="192"/>
      <c r="BO107" s="192"/>
      <c r="BP107" s="192"/>
      <c r="BQ107" s="192"/>
      <c r="BR107" s="192"/>
      <c r="BS107" s="192"/>
      <c r="BT107" s="192"/>
      <c r="BU107" s="192"/>
      <c r="BV107" s="192"/>
      <c r="BW107" s="192"/>
      <c r="BX107" s="192"/>
      <c r="BY107" s="192"/>
      <c r="BZ107" s="192"/>
      <c r="CA107" s="192"/>
      <c r="CB107" s="192"/>
      <c r="CC107" s="192"/>
      <c r="CD107" s="192"/>
      <c r="CE107" s="192"/>
      <c r="CF107" s="192"/>
      <c r="CG107" s="192"/>
      <c r="CH107" s="192"/>
      <c r="CI107" s="192"/>
      <c r="CJ107" s="192"/>
      <c r="CK107" s="192"/>
      <c r="CL107" s="192"/>
      <c r="CM107" s="192"/>
      <c r="CN107" s="192"/>
      <c r="CO107" s="192"/>
      <c r="CP107" s="192"/>
      <c r="CQ107" s="192"/>
      <c r="CR107" s="192"/>
      <c r="CS107" s="192"/>
      <c r="CT107" s="192"/>
      <c r="CU107" s="192"/>
      <c r="CV107" s="192"/>
      <c r="CW107" s="192"/>
      <c r="CX107" s="192"/>
      <c r="CY107" s="192"/>
      <c r="CZ107" s="192"/>
      <c r="DA107" s="192"/>
      <c r="DB107" s="192"/>
      <c r="DC107" s="192"/>
      <c r="DD107" s="192"/>
      <c r="DE107" s="192"/>
      <c r="DF107" s="192"/>
      <c r="DG107" s="192"/>
      <c r="DH107" s="192"/>
      <c r="DI107" s="192"/>
      <c r="DJ107" s="192"/>
      <c r="DK107" s="192"/>
      <c r="DL107" s="192"/>
      <c r="DM107" s="192"/>
      <c r="DN107" s="192"/>
      <c r="DO107" s="192"/>
      <c r="DP107" s="192"/>
      <c r="DQ107" s="192"/>
      <c r="DR107" s="192"/>
      <c r="DS107" s="192"/>
      <c r="DT107" s="192"/>
      <c r="DU107" s="192"/>
      <c r="DV107" s="192"/>
      <c r="DW107" s="192"/>
      <c r="DX107" s="192"/>
      <c r="DY107" s="192"/>
      <c r="DZ107" s="192"/>
      <c r="EA107" s="192"/>
      <c r="EB107" s="192"/>
      <c r="EC107" s="192"/>
      <c r="ED107" s="192"/>
      <c r="EE107" s="192"/>
      <c r="EF107" s="192"/>
      <c r="EG107" s="192"/>
      <c r="EH107" s="192"/>
      <c r="EI107" s="192"/>
      <c r="EJ107" s="192"/>
      <c r="EK107" s="192"/>
      <c r="EL107" s="192"/>
      <c r="EM107" s="192"/>
      <c r="EN107" s="192"/>
      <c r="EO107" s="192"/>
      <c r="EP107" s="192"/>
      <c r="EQ107" s="192"/>
      <c r="ER107" s="192"/>
      <c r="ES107" s="192"/>
      <c r="ET107" s="192"/>
    </row>
    <row r="108" spans="1:150">
      <c r="A108" s="192"/>
      <c r="B108" s="378" t="s">
        <v>571</v>
      </c>
      <c r="C108" s="831">
        <f t="shared" ref="C108:M108" si="137">SUM(C88:C107)</f>
        <v>-439367</v>
      </c>
      <c r="D108" s="831">
        <f t="shared" si="137"/>
        <v>-439367</v>
      </c>
      <c r="E108" s="831">
        <f t="shared" si="137"/>
        <v>-439367</v>
      </c>
      <c r="F108" s="831">
        <f t="shared" si="137"/>
        <v>-439367</v>
      </c>
      <c r="G108" s="831">
        <f t="shared" si="137"/>
        <v>-439367</v>
      </c>
      <c r="H108" s="831">
        <f t="shared" si="137"/>
        <v>-439367</v>
      </c>
      <c r="I108" s="831">
        <f t="shared" si="137"/>
        <v>-439367</v>
      </c>
      <c r="J108" s="831">
        <f t="shared" si="137"/>
        <v>-439367</v>
      </c>
      <c r="K108" s="831">
        <f t="shared" si="137"/>
        <v>-439367</v>
      </c>
      <c r="L108" s="831">
        <f t="shared" si="137"/>
        <v>-439367</v>
      </c>
      <c r="M108" s="831">
        <f t="shared" si="137"/>
        <v>-439367</v>
      </c>
      <c r="N108" s="192"/>
      <c r="O108" s="831">
        <f>SUM(O88:O107)</f>
        <v>-439367</v>
      </c>
      <c r="P108" s="192"/>
      <c r="Q108" s="37"/>
      <c r="R108" s="831">
        <f t="shared" ref="R108:BA108" si="138">SUM(R88:R107)</f>
        <v>-36613.916666666664</v>
      </c>
      <c r="S108" s="831">
        <f t="shared" si="138"/>
        <v>-36613.916666666664</v>
      </c>
      <c r="T108" s="831">
        <f t="shared" si="138"/>
        <v>-36613.916666666664</v>
      </c>
      <c r="U108" s="831">
        <f t="shared" si="138"/>
        <v>-36613.916666666664</v>
      </c>
      <c r="V108" s="831">
        <f t="shared" si="138"/>
        <v>-36613.916666666664</v>
      </c>
      <c r="W108" s="831">
        <f t="shared" si="138"/>
        <v>-36613.916666666664</v>
      </c>
      <c r="X108" s="831">
        <f t="shared" si="138"/>
        <v>-36613.916666666664</v>
      </c>
      <c r="Y108" s="831">
        <f t="shared" si="138"/>
        <v>-36613.916666666664</v>
      </c>
      <c r="Z108" s="831">
        <f t="shared" si="138"/>
        <v>-36613.916666666664</v>
      </c>
      <c r="AA108" s="831">
        <f t="shared" si="138"/>
        <v>-36613.916666666664</v>
      </c>
      <c r="AB108" s="831">
        <f t="shared" si="138"/>
        <v>-36613.916666666664</v>
      </c>
      <c r="AC108" s="831">
        <f t="shared" si="138"/>
        <v>-36613.916666666664</v>
      </c>
      <c r="AD108" s="831">
        <f t="shared" si="138"/>
        <v>-36613.916666666664</v>
      </c>
      <c r="AE108" s="831">
        <f t="shared" si="138"/>
        <v>-36613.916666666664</v>
      </c>
      <c r="AF108" s="831">
        <f t="shared" si="138"/>
        <v>-36613.916666666664</v>
      </c>
      <c r="AG108" s="831">
        <f t="shared" si="138"/>
        <v>-36613.916666666664</v>
      </c>
      <c r="AH108" s="831">
        <f t="shared" si="138"/>
        <v>-36613.916666666664</v>
      </c>
      <c r="AI108" s="831">
        <f t="shared" si="138"/>
        <v>-36613.916666666664</v>
      </c>
      <c r="AJ108" s="831">
        <f t="shared" si="138"/>
        <v>-36613.916666666664</v>
      </c>
      <c r="AK108" s="831">
        <f t="shared" si="138"/>
        <v>-36613.916666666664</v>
      </c>
      <c r="AL108" s="831">
        <f t="shared" si="138"/>
        <v>-36613.916666666664</v>
      </c>
      <c r="AM108" s="831">
        <f t="shared" si="138"/>
        <v>-36613.916666666664</v>
      </c>
      <c r="AN108" s="831">
        <f t="shared" si="138"/>
        <v>-36613.916666666664</v>
      </c>
      <c r="AO108" s="831">
        <f t="shared" si="138"/>
        <v>-36613.916666666664</v>
      </c>
      <c r="AP108" s="831">
        <f t="shared" si="138"/>
        <v>-36613.916666666664</v>
      </c>
      <c r="AQ108" s="831">
        <f t="shared" si="138"/>
        <v>-36613.916666666664</v>
      </c>
      <c r="AR108" s="831">
        <f t="shared" si="138"/>
        <v>-36613.916666666664</v>
      </c>
      <c r="AS108" s="831">
        <f t="shared" si="138"/>
        <v>-36613.916666666664</v>
      </c>
      <c r="AT108" s="831">
        <f t="shared" si="138"/>
        <v>-36613.916666666664</v>
      </c>
      <c r="AU108" s="831">
        <f t="shared" si="138"/>
        <v>-36613.916666666664</v>
      </c>
      <c r="AV108" s="831">
        <f t="shared" si="138"/>
        <v>-36613.916666666664</v>
      </c>
      <c r="AW108" s="831">
        <f t="shared" si="138"/>
        <v>-36613.916666666664</v>
      </c>
      <c r="AX108" s="831">
        <f t="shared" si="138"/>
        <v>-36613.916666666664</v>
      </c>
      <c r="AY108" s="831">
        <f t="shared" si="138"/>
        <v>-36613.916666666664</v>
      </c>
      <c r="AZ108" s="831">
        <f t="shared" si="138"/>
        <v>-36613.916666666664</v>
      </c>
      <c r="BA108" s="831">
        <f t="shared" si="138"/>
        <v>-36613.916666666664</v>
      </c>
      <c r="BB108" s="192"/>
      <c r="BC108" s="192"/>
      <c r="BD108" s="192"/>
      <c r="BE108" s="192"/>
      <c r="BF108" s="192"/>
      <c r="BG108" s="192"/>
      <c r="BH108" s="192"/>
      <c r="BI108" s="192"/>
      <c r="BJ108" s="192"/>
      <c r="BK108" s="192"/>
      <c r="BL108" s="192"/>
      <c r="BM108" s="192"/>
      <c r="BN108" s="192"/>
      <c r="BO108" s="192"/>
      <c r="BP108" s="192"/>
      <c r="BQ108" s="192"/>
      <c r="BR108" s="192"/>
      <c r="BS108" s="192"/>
      <c r="BT108" s="192"/>
      <c r="BU108" s="192"/>
      <c r="BV108" s="192"/>
      <c r="BW108" s="192"/>
      <c r="BX108" s="192"/>
      <c r="BY108" s="192"/>
      <c r="BZ108" s="192"/>
      <c r="CA108" s="192"/>
      <c r="CB108" s="192"/>
      <c r="CC108" s="192"/>
      <c r="CD108" s="192"/>
      <c r="CE108" s="192"/>
      <c r="CF108" s="192"/>
      <c r="CG108" s="192"/>
      <c r="CH108" s="192"/>
      <c r="CI108" s="192"/>
      <c r="CJ108" s="192"/>
      <c r="CK108" s="192"/>
      <c r="CL108" s="192"/>
      <c r="CM108" s="192"/>
      <c r="CN108" s="192"/>
      <c r="CO108" s="192"/>
      <c r="CP108" s="192"/>
      <c r="CQ108" s="192"/>
      <c r="CR108" s="192"/>
      <c r="CS108" s="192"/>
      <c r="CT108" s="192"/>
      <c r="CU108" s="192"/>
      <c r="CV108" s="192"/>
      <c r="CW108" s="192"/>
      <c r="CX108" s="192"/>
      <c r="CY108" s="192"/>
      <c r="CZ108" s="192"/>
      <c r="DA108" s="192"/>
      <c r="DB108" s="192"/>
      <c r="DC108" s="192"/>
      <c r="DD108" s="192"/>
      <c r="DE108" s="192"/>
      <c r="DF108" s="192"/>
      <c r="DG108" s="192"/>
      <c r="DH108" s="192"/>
      <c r="DI108" s="192"/>
      <c r="DJ108" s="192"/>
      <c r="DK108" s="192"/>
      <c r="DL108" s="192"/>
      <c r="DM108" s="192"/>
      <c r="DN108" s="192"/>
      <c r="DO108" s="192"/>
      <c r="DP108" s="192"/>
      <c r="DQ108" s="192"/>
      <c r="DR108" s="192"/>
      <c r="DS108" s="192"/>
      <c r="DT108" s="192"/>
      <c r="DU108" s="192"/>
      <c r="DV108" s="192"/>
      <c r="DW108" s="192"/>
      <c r="DX108" s="192"/>
      <c r="DY108" s="192"/>
      <c r="DZ108" s="192"/>
      <c r="EA108" s="192"/>
      <c r="EB108" s="192"/>
      <c r="EC108" s="192"/>
      <c r="ED108" s="192"/>
      <c r="EE108" s="192"/>
      <c r="EF108" s="192"/>
      <c r="EG108" s="192"/>
      <c r="EH108" s="192"/>
      <c r="EI108" s="192"/>
      <c r="EJ108" s="192"/>
      <c r="EK108" s="192"/>
      <c r="EL108" s="192"/>
      <c r="EM108" s="192"/>
      <c r="EN108" s="192"/>
      <c r="EO108" s="192"/>
      <c r="EP108" s="192"/>
      <c r="EQ108" s="192"/>
      <c r="ER108" s="192"/>
      <c r="ES108" s="192"/>
      <c r="ET108" s="192"/>
    </row>
    <row r="109" spans="1:150">
      <c r="A109" s="192"/>
      <c r="B109" s="37"/>
      <c r="C109" s="37"/>
      <c r="D109" s="37"/>
      <c r="E109" s="37"/>
      <c r="F109" s="37"/>
      <c r="G109" s="37"/>
      <c r="H109" s="37"/>
      <c r="I109" s="37"/>
      <c r="J109" s="37"/>
      <c r="K109" s="37"/>
      <c r="L109" s="37"/>
      <c r="M109" s="37"/>
      <c r="N109" s="192"/>
      <c r="O109" s="37"/>
      <c r="P109" s="192"/>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37"/>
      <c r="AV109" s="37"/>
      <c r="AW109" s="37"/>
      <c r="AX109" s="37"/>
      <c r="AY109" s="37"/>
      <c r="AZ109" s="37"/>
      <c r="BA109" s="37"/>
      <c r="BB109" s="192"/>
      <c r="BC109" s="192"/>
      <c r="BD109" s="192"/>
      <c r="BE109" s="192"/>
      <c r="BF109" s="192"/>
      <c r="BG109" s="192"/>
      <c r="BH109" s="192"/>
      <c r="BI109" s="192"/>
      <c r="BJ109" s="192"/>
      <c r="BK109" s="192"/>
      <c r="BL109" s="192"/>
      <c r="BM109" s="192"/>
      <c r="BN109" s="192"/>
      <c r="BO109" s="192"/>
      <c r="BP109" s="192"/>
      <c r="BQ109" s="192"/>
      <c r="BR109" s="192"/>
      <c r="BS109" s="192"/>
      <c r="BT109" s="192"/>
      <c r="BU109" s="192"/>
      <c r="BV109" s="192"/>
      <c r="BW109" s="192"/>
      <c r="BX109" s="192"/>
      <c r="BY109" s="192"/>
      <c r="BZ109" s="192"/>
      <c r="CA109" s="192"/>
      <c r="CB109" s="192"/>
      <c r="CC109" s="192"/>
      <c r="CD109" s="192"/>
      <c r="CE109" s="192"/>
      <c r="CF109" s="192"/>
      <c r="CG109" s="192"/>
      <c r="CH109" s="192"/>
      <c r="CI109" s="192"/>
      <c r="CJ109" s="192"/>
      <c r="CK109" s="192"/>
      <c r="CL109" s="192"/>
      <c r="CM109" s="192"/>
      <c r="CN109" s="192"/>
      <c r="CO109" s="192"/>
      <c r="CP109" s="192"/>
      <c r="CQ109" s="192"/>
      <c r="CR109" s="192"/>
      <c r="CS109" s="192"/>
      <c r="CT109" s="192"/>
      <c r="CU109" s="192"/>
      <c r="CV109" s="192"/>
      <c r="CW109" s="192"/>
      <c r="CX109" s="192"/>
      <c r="CY109" s="192"/>
      <c r="CZ109" s="192"/>
      <c r="DA109" s="192"/>
      <c r="DB109" s="192"/>
      <c r="DC109" s="192"/>
      <c r="DD109" s="192"/>
      <c r="DE109" s="192"/>
      <c r="DF109" s="192"/>
      <c r="DG109" s="192"/>
      <c r="DH109" s="192"/>
      <c r="DI109" s="192"/>
      <c r="DJ109" s="192"/>
      <c r="DK109" s="192"/>
      <c r="DL109" s="192"/>
      <c r="DM109" s="192"/>
      <c r="DN109" s="192"/>
      <c r="DO109" s="192"/>
      <c r="DP109" s="192"/>
      <c r="DQ109" s="192"/>
      <c r="DR109" s="192"/>
      <c r="DS109" s="192"/>
      <c r="DT109" s="192"/>
      <c r="DU109" s="192"/>
      <c r="DV109" s="192"/>
      <c r="DW109" s="192"/>
      <c r="DX109" s="192"/>
      <c r="DY109" s="192"/>
      <c r="DZ109" s="192"/>
      <c r="EA109" s="192"/>
      <c r="EB109" s="192"/>
      <c r="EC109" s="192"/>
      <c r="ED109" s="192"/>
      <c r="EE109" s="192"/>
      <c r="EF109" s="192"/>
      <c r="EG109" s="192"/>
      <c r="EH109" s="192"/>
      <c r="EI109" s="192"/>
      <c r="EJ109" s="192"/>
      <c r="EK109" s="192"/>
      <c r="EL109" s="192"/>
      <c r="EM109" s="192"/>
      <c r="EN109" s="192"/>
      <c r="EO109" s="192"/>
      <c r="EP109" s="192"/>
      <c r="EQ109" s="192"/>
      <c r="ER109" s="192"/>
      <c r="ES109" s="192"/>
      <c r="ET109" s="192"/>
    </row>
    <row r="110" spans="1:150" ht="10.5" customHeight="1">
      <c r="A110" s="192"/>
      <c r="B110" s="192"/>
      <c r="C110" s="192"/>
      <c r="D110" s="192"/>
      <c r="E110" s="192"/>
      <c r="F110" s="192"/>
      <c r="G110" s="192"/>
      <c r="H110" s="192"/>
      <c r="I110" s="192"/>
      <c r="J110" s="192"/>
      <c r="K110" s="192"/>
      <c r="L110" s="192"/>
      <c r="M110" s="192"/>
      <c r="N110" s="192"/>
      <c r="O110" s="192"/>
      <c r="P110" s="192"/>
      <c r="Q110" s="192"/>
      <c r="R110" s="192"/>
      <c r="S110" s="192"/>
      <c r="T110" s="192"/>
      <c r="U110" s="192"/>
      <c r="V110" s="192"/>
      <c r="W110" s="192"/>
      <c r="X110" s="192"/>
      <c r="Y110" s="192"/>
      <c r="Z110" s="192"/>
      <c r="AA110" s="192"/>
      <c r="AB110" s="192"/>
      <c r="AC110" s="192"/>
      <c r="AD110" s="192"/>
      <c r="AE110" s="192"/>
      <c r="AF110" s="192"/>
      <c r="AG110" s="192"/>
      <c r="AH110" s="192"/>
      <c r="AI110" s="192"/>
      <c r="AJ110" s="192"/>
      <c r="AK110" s="192"/>
      <c r="AL110" s="192"/>
      <c r="AM110" s="192"/>
      <c r="AN110" s="192"/>
      <c r="AO110" s="192"/>
      <c r="AP110" s="192"/>
      <c r="AQ110" s="192"/>
      <c r="AR110" s="192"/>
      <c r="AS110" s="192"/>
      <c r="AT110" s="192"/>
      <c r="AU110" s="192"/>
      <c r="AV110" s="192"/>
      <c r="AW110" s="192"/>
      <c r="AX110" s="192"/>
      <c r="AY110" s="192"/>
      <c r="AZ110" s="192"/>
      <c r="BA110" s="192"/>
      <c r="BB110" s="192"/>
      <c r="BC110" s="192"/>
      <c r="BD110" s="192"/>
      <c r="BE110" s="192"/>
      <c r="BF110" s="192"/>
      <c r="BG110" s="192"/>
      <c r="BH110" s="192"/>
      <c r="BI110" s="192"/>
      <c r="BJ110" s="192"/>
      <c r="BK110" s="192"/>
      <c r="BL110" s="192"/>
      <c r="BM110" s="192"/>
      <c r="BN110" s="192"/>
      <c r="BO110" s="192"/>
      <c r="BP110" s="192"/>
      <c r="BQ110" s="192"/>
      <c r="BR110" s="192"/>
      <c r="BS110" s="192"/>
      <c r="BT110" s="192"/>
      <c r="BU110" s="192"/>
      <c r="BV110" s="192"/>
      <c r="BW110" s="192"/>
      <c r="BX110" s="192"/>
      <c r="BY110" s="192"/>
      <c r="BZ110" s="192"/>
      <c r="CA110" s="192"/>
      <c r="CB110" s="192"/>
      <c r="CC110" s="192"/>
      <c r="CD110" s="192"/>
      <c r="CE110" s="192"/>
      <c r="CF110" s="192"/>
      <c r="CG110" s="192"/>
      <c r="CH110" s="192"/>
      <c r="CI110" s="192"/>
      <c r="CJ110" s="192"/>
      <c r="CK110" s="192"/>
      <c r="CL110" s="192"/>
      <c r="CM110" s="192"/>
      <c r="CN110" s="192"/>
      <c r="CO110" s="192"/>
      <c r="CP110" s="192"/>
      <c r="CQ110" s="192"/>
      <c r="CR110" s="192"/>
      <c r="CS110" s="192"/>
      <c r="CT110" s="192"/>
      <c r="CU110" s="192"/>
      <c r="CV110" s="192"/>
      <c r="CW110" s="192"/>
      <c r="CX110" s="192"/>
      <c r="CY110" s="192"/>
      <c r="CZ110" s="192"/>
      <c r="DA110" s="192"/>
      <c r="DB110" s="192"/>
      <c r="DC110" s="192"/>
      <c r="DD110" s="192"/>
      <c r="DE110" s="192"/>
      <c r="DF110" s="192"/>
      <c r="DG110" s="192"/>
      <c r="DH110" s="192"/>
      <c r="DI110" s="192"/>
      <c r="DJ110" s="192"/>
      <c r="DK110" s="192"/>
      <c r="DL110" s="192"/>
      <c r="DM110" s="192"/>
      <c r="DN110" s="192"/>
      <c r="DO110" s="192"/>
      <c r="DP110" s="192"/>
      <c r="DQ110" s="192"/>
      <c r="DR110" s="192"/>
      <c r="DS110" s="192"/>
      <c r="DT110" s="192"/>
      <c r="DU110" s="192"/>
      <c r="DV110" s="192"/>
      <c r="DW110" s="192"/>
      <c r="DX110" s="192"/>
      <c r="DY110" s="192"/>
      <c r="DZ110" s="192"/>
      <c r="EA110" s="192"/>
      <c r="EB110" s="192"/>
      <c r="EC110" s="192"/>
      <c r="ED110" s="192"/>
      <c r="EE110" s="192"/>
      <c r="EF110" s="192"/>
      <c r="EG110" s="192"/>
      <c r="EH110" s="192"/>
      <c r="EI110" s="192"/>
      <c r="EJ110" s="192"/>
      <c r="EK110" s="192"/>
      <c r="EL110" s="192"/>
      <c r="EM110" s="192"/>
      <c r="EN110" s="192"/>
      <c r="EO110" s="192"/>
      <c r="EP110" s="192"/>
      <c r="EQ110" s="192"/>
      <c r="ER110" s="192"/>
      <c r="ES110" s="192"/>
      <c r="ET110" s="192"/>
    </row>
    <row r="111" spans="1:150" ht="10.5" customHeight="1">
      <c r="A111" s="192"/>
      <c r="B111" s="192"/>
      <c r="C111" s="192"/>
      <c r="D111" s="192"/>
      <c r="E111" s="192"/>
      <c r="F111" s="192"/>
      <c r="G111" s="192"/>
      <c r="H111" s="192"/>
      <c r="I111" s="192"/>
      <c r="J111" s="192"/>
      <c r="K111" s="192"/>
      <c r="L111" s="192"/>
      <c r="M111" s="192"/>
      <c r="N111" s="192"/>
      <c r="O111" s="192"/>
      <c r="P111" s="192"/>
      <c r="Q111" s="192"/>
      <c r="R111" s="192"/>
      <c r="S111" s="192"/>
      <c r="T111" s="192"/>
      <c r="U111" s="192"/>
      <c r="V111" s="192"/>
      <c r="W111" s="192"/>
      <c r="X111" s="192"/>
      <c r="Y111" s="192"/>
      <c r="Z111" s="192"/>
      <c r="AA111" s="192"/>
      <c r="AB111" s="192"/>
      <c r="AC111" s="192"/>
      <c r="AD111" s="192"/>
      <c r="AE111" s="192"/>
      <c r="AF111" s="192"/>
      <c r="AG111" s="192"/>
      <c r="AH111" s="192"/>
      <c r="AI111" s="192"/>
      <c r="AJ111" s="192"/>
      <c r="AK111" s="192"/>
      <c r="AL111" s="192"/>
      <c r="AM111" s="192"/>
      <c r="AN111" s="192"/>
      <c r="AO111" s="192"/>
      <c r="AP111" s="192"/>
      <c r="AQ111" s="192"/>
      <c r="AR111" s="192"/>
      <c r="AS111" s="192"/>
      <c r="AT111" s="192"/>
      <c r="AU111" s="192"/>
      <c r="AV111" s="192"/>
      <c r="AW111" s="192"/>
      <c r="AX111" s="192"/>
      <c r="AY111" s="192"/>
      <c r="AZ111" s="192"/>
      <c r="BA111" s="192"/>
      <c r="BB111" s="192"/>
      <c r="BC111" s="192"/>
      <c r="BD111" s="192"/>
      <c r="BE111" s="192"/>
      <c r="BF111" s="192"/>
      <c r="BG111" s="192"/>
      <c r="BH111" s="192"/>
      <c r="BI111" s="192"/>
      <c r="BJ111" s="192"/>
      <c r="BK111" s="192"/>
      <c r="BL111" s="192"/>
      <c r="BM111" s="192"/>
      <c r="BN111" s="192"/>
      <c r="BO111" s="192"/>
      <c r="BP111" s="192"/>
      <c r="BQ111" s="192"/>
      <c r="BR111" s="192"/>
      <c r="BS111" s="192"/>
      <c r="BT111" s="192"/>
      <c r="BU111" s="192"/>
      <c r="BV111" s="192"/>
      <c r="BW111" s="192"/>
      <c r="BX111" s="192"/>
      <c r="BY111" s="192"/>
      <c r="BZ111" s="192"/>
      <c r="CA111" s="192"/>
      <c r="CB111" s="192"/>
      <c r="CC111" s="192"/>
      <c r="CD111" s="192"/>
      <c r="CE111" s="192"/>
      <c r="CF111" s="192"/>
      <c r="CG111" s="192"/>
      <c r="CH111" s="192"/>
      <c r="CI111" s="192"/>
      <c r="CJ111" s="192"/>
      <c r="CK111" s="192"/>
      <c r="CL111" s="192"/>
      <c r="CM111" s="192"/>
      <c r="CN111" s="192"/>
      <c r="CO111" s="192"/>
      <c r="CP111" s="192"/>
      <c r="CQ111" s="192"/>
      <c r="CR111" s="192"/>
      <c r="CS111" s="192"/>
      <c r="CT111" s="192"/>
      <c r="CU111" s="192"/>
      <c r="CV111" s="192"/>
      <c r="CW111" s="192"/>
      <c r="CX111" s="192"/>
      <c r="CY111" s="192"/>
      <c r="CZ111" s="192"/>
      <c r="DA111" s="192"/>
      <c r="DB111" s="192"/>
      <c r="DC111" s="192"/>
      <c r="DD111" s="192"/>
      <c r="DE111" s="192"/>
      <c r="DF111" s="192"/>
      <c r="DG111" s="192"/>
      <c r="DH111" s="192"/>
      <c r="DI111" s="192"/>
      <c r="DJ111" s="192"/>
      <c r="DK111" s="192"/>
      <c r="DL111" s="192"/>
      <c r="DM111" s="192"/>
      <c r="DN111" s="192"/>
      <c r="DO111" s="192"/>
      <c r="DP111" s="192"/>
      <c r="DQ111" s="192"/>
      <c r="DR111" s="192"/>
      <c r="DS111" s="192"/>
      <c r="DT111" s="192"/>
      <c r="DU111" s="192"/>
      <c r="DV111" s="192"/>
      <c r="DW111" s="192"/>
      <c r="DX111" s="192"/>
      <c r="DY111" s="192"/>
      <c r="DZ111" s="192"/>
      <c r="EA111" s="192"/>
      <c r="EB111" s="192"/>
      <c r="EC111" s="192"/>
      <c r="ED111" s="192"/>
      <c r="EE111" s="192"/>
      <c r="EF111" s="192"/>
      <c r="EG111" s="192"/>
      <c r="EH111" s="192"/>
      <c r="EI111" s="192"/>
      <c r="EJ111" s="192"/>
      <c r="EK111" s="192"/>
      <c r="EL111" s="192"/>
      <c r="EM111" s="192"/>
      <c r="EN111" s="192"/>
      <c r="EO111" s="192"/>
      <c r="EP111" s="192"/>
      <c r="EQ111" s="192"/>
      <c r="ER111" s="192"/>
      <c r="ES111" s="192"/>
      <c r="ET111" s="192"/>
    </row>
    <row r="112" spans="1:150" s="192" customFormat="1" ht="15.75" customHeight="1">
      <c r="B112" s="1034" t="s">
        <v>572</v>
      </c>
      <c r="C112" s="1019"/>
      <c r="D112" s="1019"/>
      <c r="E112" s="1019"/>
      <c r="F112" s="1019"/>
      <c r="G112" s="1019"/>
      <c r="H112" s="1019"/>
      <c r="I112" s="1019"/>
      <c r="J112" s="1019"/>
      <c r="K112" s="1019"/>
      <c r="L112" s="1019"/>
      <c r="M112" s="1019"/>
      <c r="O112" s="1019"/>
      <c r="Q112" s="1034" t="s">
        <v>572</v>
      </c>
      <c r="R112" s="1019"/>
      <c r="S112" s="1019"/>
      <c r="T112" s="1019"/>
      <c r="U112" s="1019"/>
      <c r="V112" s="1019"/>
      <c r="W112" s="1019"/>
      <c r="X112" s="1019"/>
      <c r="Y112" s="1019"/>
      <c r="Z112" s="1019"/>
      <c r="AA112" s="1019"/>
      <c r="AB112" s="1019"/>
      <c r="AC112" s="1019"/>
      <c r="AD112" s="1019"/>
      <c r="AE112" s="1019"/>
      <c r="AF112" s="1019"/>
      <c r="AG112" s="1019"/>
      <c r="AH112" s="1019"/>
      <c r="AI112" s="1019"/>
      <c r="AJ112" s="1019"/>
      <c r="AK112" s="1019"/>
      <c r="AL112" s="1019"/>
      <c r="AM112" s="1019"/>
      <c r="AN112" s="1019"/>
      <c r="AO112" s="1019"/>
      <c r="AP112" s="1019"/>
      <c r="AQ112" s="1019"/>
      <c r="AR112" s="1019"/>
      <c r="AS112" s="1019"/>
      <c r="AT112" s="1019"/>
      <c r="AU112" s="1019"/>
      <c r="AV112" s="1019"/>
      <c r="AW112" s="1019"/>
      <c r="AX112" s="1019"/>
      <c r="AY112" s="1019"/>
      <c r="AZ112" s="1019"/>
      <c r="BA112" s="1019"/>
    </row>
    <row r="113" spans="1:150">
      <c r="A113" s="192"/>
      <c r="B113" s="614"/>
      <c r="C113" s="192"/>
      <c r="D113" s="192"/>
      <c r="E113" s="192"/>
      <c r="F113" s="192"/>
      <c r="G113" s="192"/>
      <c r="H113" s="192"/>
      <c r="I113" s="192"/>
      <c r="J113" s="192"/>
      <c r="K113" s="192"/>
      <c r="L113" s="192"/>
      <c r="M113" s="192"/>
      <c r="N113" s="192"/>
      <c r="O113" s="192"/>
      <c r="P113" s="192"/>
      <c r="Q113" s="192"/>
      <c r="R113" s="192"/>
      <c r="S113" s="192"/>
      <c r="T113" s="192"/>
      <c r="U113" s="192"/>
      <c r="V113" s="192"/>
      <c r="W113" s="192"/>
      <c r="X113" s="192"/>
      <c r="Y113" s="192"/>
      <c r="Z113" s="192"/>
      <c r="AA113" s="192"/>
      <c r="AB113" s="192"/>
      <c r="AC113" s="192"/>
      <c r="AD113" s="192"/>
      <c r="AE113" s="192"/>
      <c r="AF113" s="192"/>
      <c r="AG113" s="192"/>
      <c r="AH113" s="192"/>
      <c r="AI113" s="192"/>
      <c r="AJ113" s="192"/>
      <c r="AK113" s="192"/>
      <c r="AL113" s="192"/>
      <c r="AM113" s="192"/>
      <c r="AN113" s="192"/>
      <c r="AO113" s="192"/>
      <c r="AP113" s="192"/>
      <c r="AQ113" s="192"/>
      <c r="AR113" s="192"/>
      <c r="AS113" s="192"/>
      <c r="AT113" s="192"/>
      <c r="AU113" s="192"/>
      <c r="AV113" s="192"/>
      <c r="AW113" s="192"/>
      <c r="AX113" s="192"/>
      <c r="AY113" s="192"/>
      <c r="AZ113" s="192"/>
      <c r="BA113" s="192"/>
      <c r="BB113" s="192"/>
      <c r="BC113" s="192"/>
      <c r="BD113" s="192"/>
      <c r="BE113" s="192"/>
      <c r="BF113" s="192"/>
      <c r="BG113" s="192"/>
      <c r="BH113" s="192"/>
      <c r="BI113" s="192"/>
      <c r="BJ113" s="192"/>
      <c r="BK113" s="192"/>
      <c r="BL113" s="192"/>
      <c r="BM113" s="192"/>
      <c r="BN113" s="192"/>
      <c r="BO113" s="192"/>
      <c r="BP113" s="192"/>
      <c r="BQ113" s="192"/>
      <c r="BR113" s="192"/>
      <c r="BS113" s="192"/>
      <c r="BT113" s="192"/>
      <c r="BU113" s="192"/>
      <c r="BV113" s="192"/>
      <c r="BW113" s="192"/>
      <c r="BX113" s="192"/>
      <c r="BY113" s="192"/>
      <c r="BZ113" s="192"/>
      <c r="CA113" s="192"/>
      <c r="CB113" s="192"/>
      <c r="CC113" s="192"/>
      <c r="CD113" s="192"/>
      <c r="CE113" s="192"/>
      <c r="CF113" s="192"/>
      <c r="CG113" s="192"/>
      <c r="CH113" s="192"/>
      <c r="CI113" s="192"/>
      <c r="CJ113" s="192"/>
      <c r="CK113" s="192"/>
      <c r="CL113" s="192"/>
      <c r="CM113" s="192"/>
      <c r="CN113" s="192"/>
      <c r="CO113" s="192"/>
      <c r="CP113" s="192"/>
      <c r="CQ113" s="192"/>
      <c r="CR113" s="192"/>
      <c r="CS113" s="192"/>
      <c r="CT113" s="192"/>
      <c r="CU113" s="192"/>
      <c r="CV113" s="192"/>
      <c r="CW113" s="192"/>
      <c r="CX113" s="192"/>
      <c r="CY113" s="192"/>
      <c r="CZ113" s="192"/>
      <c r="DA113" s="192"/>
      <c r="DB113" s="192"/>
      <c r="DC113" s="192"/>
      <c r="DD113" s="192"/>
      <c r="DE113" s="192"/>
      <c r="DF113" s="192"/>
      <c r="DG113" s="192"/>
      <c r="DH113" s="192"/>
      <c r="DI113" s="192"/>
      <c r="DJ113" s="192"/>
      <c r="DK113" s="192"/>
      <c r="DL113" s="192"/>
      <c r="DM113" s="192"/>
      <c r="DN113" s="192"/>
      <c r="DO113" s="192"/>
      <c r="DP113" s="192"/>
      <c r="DQ113" s="192"/>
      <c r="DR113" s="192"/>
      <c r="DS113" s="192"/>
      <c r="DT113" s="192"/>
      <c r="DU113" s="192"/>
      <c r="DV113" s="192"/>
      <c r="DW113" s="192"/>
      <c r="DX113" s="192"/>
      <c r="DY113" s="192"/>
      <c r="DZ113" s="192"/>
      <c r="EA113" s="192"/>
      <c r="EB113" s="192"/>
      <c r="EC113" s="192"/>
      <c r="ED113" s="192"/>
      <c r="EE113" s="192"/>
      <c r="EF113" s="192"/>
      <c r="EG113" s="192"/>
      <c r="EH113" s="192"/>
      <c r="EI113" s="192"/>
      <c r="EJ113" s="192"/>
      <c r="EK113" s="192"/>
      <c r="EL113" s="192"/>
      <c r="EM113" s="192"/>
      <c r="EN113" s="192"/>
      <c r="EO113" s="192"/>
      <c r="EP113" s="192"/>
      <c r="EQ113" s="192"/>
      <c r="ER113" s="192"/>
      <c r="ES113" s="192"/>
      <c r="ET113" s="192"/>
    </row>
    <row r="114" spans="1:150" s="192" customFormat="1" ht="14.25" customHeight="1" collapsed="1">
      <c r="B114" s="1043" t="s">
        <v>573</v>
      </c>
      <c r="C114" s="196"/>
      <c r="D114" s="197"/>
      <c r="E114" s="197"/>
      <c r="F114" s="197"/>
      <c r="G114" s="197"/>
      <c r="H114" s="197"/>
      <c r="I114" s="197"/>
      <c r="J114" s="197"/>
      <c r="K114" s="197"/>
      <c r="L114" s="197"/>
      <c r="M114" s="197"/>
      <c r="O114" s="197"/>
      <c r="Q114" s="197"/>
      <c r="R114" s="197"/>
      <c r="S114" s="197"/>
      <c r="T114" s="197"/>
      <c r="U114" s="197"/>
      <c r="V114" s="197"/>
      <c r="W114" s="197"/>
      <c r="X114" s="197"/>
      <c r="Y114" s="197"/>
      <c r="Z114" s="197"/>
      <c r="AA114" s="197"/>
      <c r="AB114" s="197"/>
      <c r="AC114" s="197"/>
      <c r="AD114" s="197"/>
      <c r="AE114" s="197"/>
      <c r="AF114" s="197"/>
      <c r="AG114" s="197"/>
      <c r="AH114" s="197"/>
      <c r="AI114" s="197"/>
      <c r="AJ114" s="197"/>
      <c r="AK114" s="197"/>
      <c r="AL114" s="197"/>
      <c r="AM114" s="197"/>
      <c r="AN114" s="197"/>
      <c r="AO114" s="197"/>
      <c r="AP114" s="197"/>
      <c r="AQ114" s="197"/>
      <c r="AR114" s="197"/>
      <c r="AS114" s="197"/>
      <c r="AT114" s="197"/>
      <c r="AU114" s="197"/>
      <c r="AV114" s="197"/>
      <c r="AW114" s="197"/>
      <c r="AX114" s="197"/>
      <c r="AY114" s="197"/>
      <c r="AZ114" s="197"/>
      <c r="BA114" s="197"/>
    </row>
    <row r="115" spans="1:150">
      <c r="A115" s="192"/>
      <c r="B115" s="36" t="str">
        <f>Input!B129</f>
        <v>Repair &amp; Maintenance</v>
      </c>
      <c r="C115" s="635">
        <f>-IF(AND(Input!$F129=EGR,ReimbMethodType=120),,Input!$T129*C88)</f>
        <v>0</v>
      </c>
      <c r="D115" s="635">
        <f>-IF(AND(Input!$F129=EGR,ReimbMethodType=120),,Input!$T129*D88)</f>
        <v>0</v>
      </c>
      <c r="E115" s="635">
        <f>-IF(AND(Input!$F129=EGR,ReimbMethodType=120),,Input!$T129*E88)</f>
        <v>0</v>
      </c>
      <c r="F115" s="635">
        <f>-IF(AND(Input!$F129=EGR,ReimbMethodType=120),,Input!$T129*F88)</f>
        <v>0</v>
      </c>
      <c r="G115" s="635">
        <f>-IF(AND(Input!$F129=EGR,ReimbMethodType=120),,Input!$T129*G88)</f>
        <v>0</v>
      </c>
      <c r="H115" s="635">
        <f>-IF(AND(Input!$F129=EGR,ReimbMethodType=120),,Input!$T129*H88)</f>
        <v>0</v>
      </c>
      <c r="I115" s="635">
        <f>-IF(AND(Input!$F129=EGR,ReimbMethodType=120),,Input!$T129*I88)</f>
        <v>0</v>
      </c>
      <c r="J115" s="635">
        <f>-IF(AND(Input!$F129=EGR,ReimbMethodType=120),,Input!$T129*J88)</f>
        <v>0</v>
      </c>
      <c r="K115" s="635">
        <f>-IF(AND(Input!$F129=EGR,ReimbMethodType=120),,Input!$T129*K88)</f>
        <v>0</v>
      </c>
      <c r="L115" s="635">
        <f>-IF(AND(Input!$F129=EGR,ReimbMethodType=120),,Input!$T129*L88)</f>
        <v>0</v>
      </c>
      <c r="M115" s="635">
        <f>-IF(AND(Input!$F129=EGR,ReimbMethodType=120),,Input!$T129*M88)</f>
        <v>0</v>
      </c>
      <c r="N115" s="827"/>
      <c r="O115" s="635">
        <f>-IF(AND(Input!$F129=EGR,ReimbMethodType=120),,Input!$T129*O88)</f>
        <v>0</v>
      </c>
      <c r="P115" s="827"/>
      <c r="Q115" s="376"/>
      <c r="R115" s="635">
        <f>-IF(AND(Input!$F129=EGR,ReimbMethodType=120),,Input!$T129*R88)</f>
        <v>0</v>
      </c>
      <c r="S115" s="635">
        <f>-IF(AND(Input!$F129=EGR,ReimbMethodType=120),,Input!$T129*S88)</f>
        <v>0</v>
      </c>
      <c r="T115" s="635">
        <f>-IF(AND(Input!$F129=EGR,ReimbMethodType=120),,Input!$T129*T88)</f>
        <v>0</v>
      </c>
      <c r="U115" s="635">
        <f>-IF(AND(Input!$F129=EGR,ReimbMethodType=120),,Input!$T129*U88)</f>
        <v>0</v>
      </c>
      <c r="V115" s="635">
        <f>-IF(AND(Input!$F129=EGR,ReimbMethodType=120),,Input!$T129*V88)</f>
        <v>0</v>
      </c>
      <c r="W115" s="635">
        <f>-IF(AND(Input!$F129=EGR,ReimbMethodType=120),,Input!$T129*W88)</f>
        <v>0</v>
      </c>
      <c r="X115" s="635">
        <f>-IF(AND(Input!$F129=EGR,ReimbMethodType=120),,Input!$T129*X88)</f>
        <v>0</v>
      </c>
      <c r="Y115" s="635">
        <f>-IF(AND(Input!$F129=EGR,ReimbMethodType=120),,Input!$T129*Y88)</f>
        <v>0</v>
      </c>
      <c r="Z115" s="635">
        <f>-IF(AND(Input!$F129=EGR,ReimbMethodType=120),,Input!$T129*Z88)</f>
        <v>0</v>
      </c>
      <c r="AA115" s="635">
        <f>-IF(AND(Input!$F129=EGR,ReimbMethodType=120),,Input!$T129*AA88)</f>
        <v>0</v>
      </c>
      <c r="AB115" s="635">
        <f>-IF(AND(Input!$F129=EGR,ReimbMethodType=120),,Input!$T129*AB88)</f>
        <v>0</v>
      </c>
      <c r="AC115" s="635">
        <f>-IF(AND(Input!$F129=EGR,ReimbMethodType=120),,Input!$T129*AC88)</f>
        <v>0</v>
      </c>
      <c r="AD115" s="635">
        <f>-IF(AND(Input!$F129=EGR,ReimbMethodType=120),,Input!$T129*AD88)</f>
        <v>0</v>
      </c>
      <c r="AE115" s="635">
        <f>-IF(AND(Input!$F129=EGR,ReimbMethodType=120),,Input!$T129*AE88)</f>
        <v>0</v>
      </c>
      <c r="AF115" s="635">
        <f>-IF(AND(Input!$F129=EGR,ReimbMethodType=120),,Input!$T129*AF88)</f>
        <v>0</v>
      </c>
      <c r="AG115" s="635">
        <f>-IF(AND(Input!$F129=EGR,ReimbMethodType=120),,Input!$T129*AG88)</f>
        <v>0</v>
      </c>
      <c r="AH115" s="635">
        <f>-IF(AND(Input!$F129=EGR,ReimbMethodType=120),,Input!$T129*AH88)</f>
        <v>0</v>
      </c>
      <c r="AI115" s="635">
        <f>-IF(AND(Input!$F129=EGR,ReimbMethodType=120),,Input!$T129*AI88)</f>
        <v>0</v>
      </c>
      <c r="AJ115" s="635">
        <f>-IF(AND(Input!$F129=EGR,ReimbMethodType=120),,Input!$T129*AJ88)</f>
        <v>0</v>
      </c>
      <c r="AK115" s="635">
        <f>-IF(AND(Input!$F129=EGR,ReimbMethodType=120),,Input!$T129*AK88)</f>
        <v>0</v>
      </c>
      <c r="AL115" s="635">
        <f>-IF(AND(Input!$F129=EGR,ReimbMethodType=120),,Input!$T129*AL88)</f>
        <v>0</v>
      </c>
      <c r="AM115" s="635">
        <f>-IF(AND(Input!$F129=EGR,ReimbMethodType=120),,Input!$T129*AM88)</f>
        <v>0</v>
      </c>
      <c r="AN115" s="635">
        <f>-IF(AND(Input!$F129=EGR,ReimbMethodType=120),,Input!$T129*AN88)</f>
        <v>0</v>
      </c>
      <c r="AO115" s="635">
        <f>-IF(AND(Input!$F129=EGR,ReimbMethodType=120),,Input!$T129*AO88)</f>
        <v>0</v>
      </c>
      <c r="AP115" s="635">
        <f>-IF(AND(Input!$F129=EGR,ReimbMethodType=120),,Input!$T129*AP88)</f>
        <v>0</v>
      </c>
      <c r="AQ115" s="635">
        <f>-IF(AND(Input!$F129=EGR,ReimbMethodType=120),,Input!$T129*AQ88)</f>
        <v>0</v>
      </c>
      <c r="AR115" s="635">
        <f>-IF(AND(Input!$F129=EGR,ReimbMethodType=120),,Input!$T129*AR88)</f>
        <v>0</v>
      </c>
      <c r="AS115" s="635">
        <f>-IF(AND(Input!$F129=EGR,ReimbMethodType=120),,Input!$T129*AS88)</f>
        <v>0</v>
      </c>
      <c r="AT115" s="635">
        <f>-IF(AND(Input!$F129=EGR,ReimbMethodType=120),,Input!$T129*AT88)</f>
        <v>0</v>
      </c>
      <c r="AU115" s="635">
        <f>-IF(AND(Input!$F129=EGR,ReimbMethodType=120),,Input!$T129*AU88)</f>
        <v>0</v>
      </c>
      <c r="AV115" s="635">
        <f>-IF(AND(Input!$F129=EGR,ReimbMethodType=120),,Input!$T129*AV88)</f>
        <v>0</v>
      </c>
      <c r="AW115" s="635">
        <f>-IF(AND(Input!$F129=EGR,ReimbMethodType=120),,Input!$T129*AW88)</f>
        <v>0</v>
      </c>
      <c r="AX115" s="635">
        <f>-IF(AND(Input!$F129=EGR,ReimbMethodType=120),,Input!$T129*AX88)</f>
        <v>0</v>
      </c>
      <c r="AY115" s="635">
        <f>-IF(AND(Input!$F129=EGR,ReimbMethodType=120),,Input!$T129*AY88)</f>
        <v>0</v>
      </c>
      <c r="AZ115" s="635">
        <f>-IF(AND(Input!$F129=EGR,ReimbMethodType=120),,Input!$T129*AZ88)</f>
        <v>0</v>
      </c>
      <c r="BA115" s="635">
        <f>-IF(AND(Input!$F129=EGR,ReimbMethodType=120),,Input!$T129*BA88)</f>
        <v>0</v>
      </c>
      <c r="BB115" s="192"/>
      <c r="BC115" s="192"/>
      <c r="BD115" s="192"/>
      <c r="BE115" s="192"/>
      <c r="BF115" s="192"/>
      <c r="BG115" s="192"/>
      <c r="BH115" s="192"/>
      <c r="BI115" s="192"/>
      <c r="BJ115" s="192"/>
      <c r="BK115" s="192"/>
      <c r="BL115" s="192"/>
      <c r="BM115" s="192"/>
      <c r="BN115" s="192"/>
      <c r="BO115" s="192"/>
      <c r="BP115" s="192"/>
      <c r="BQ115" s="192"/>
      <c r="BR115" s="192"/>
      <c r="BS115" s="192"/>
      <c r="BT115" s="192"/>
      <c r="BU115" s="192"/>
      <c r="BV115" s="192"/>
      <c r="BW115" s="192"/>
      <c r="BX115" s="192"/>
      <c r="BY115" s="192"/>
      <c r="BZ115" s="192"/>
      <c r="CA115" s="192"/>
      <c r="CB115" s="192"/>
      <c r="CC115" s="192"/>
      <c r="CD115" s="192"/>
      <c r="CE115" s="192"/>
      <c r="CF115" s="192"/>
      <c r="CG115" s="192"/>
      <c r="CH115" s="192"/>
      <c r="CI115" s="192"/>
      <c r="CJ115" s="192"/>
      <c r="CK115" s="192"/>
      <c r="CL115" s="192"/>
      <c r="CM115" s="192"/>
      <c r="CN115" s="192"/>
      <c r="CO115" s="192"/>
      <c r="CP115" s="192"/>
      <c r="CQ115" s="192"/>
      <c r="CR115" s="192"/>
      <c r="CS115" s="192"/>
      <c r="CT115" s="192"/>
      <c r="CU115" s="192"/>
      <c r="CV115" s="192"/>
      <c r="CW115" s="192"/>
      <c r="CX115" s="192"/>
      <c r="CY115" s="192"/>
      <c r="CZ115" s="192"/>
      <c r="DA115" s="192"/>
      <c r="DB115" s="192"/>
      <c r="DC115" s="192"/>
      <c r="DD115" s="192"/>
      <c r="DE115" s="192"/>
      <c r="DF115" s="192"/>
      <c r="DG115" s="192"/>
      <c r="DH115" s="192"/>
      <c r="DI115" s="192"/>
      <c r="DJ115" s="192"/>
      <c r="DK115" s="192"/>
      <c r="DL115" s="192"/>
      <c r="DM115" s="192"/>
      <c r="DN115" s="192"/>
      <c r="DO115" s="192"/>
      <c r="DP115" s="192"/>
      <c r="DQ115" s="192"/>
      <c r="DR115" s="192"/>
      <c r="DS115" s="192"/>
      <c r="DT115" s="192"/>
      <c r="DU115" s="192"/>
      <c r="DV115" s="192"/>
      <c r="DW115" s="192"/>
      <c r="DX115" s="192"/>
      <c r="DY115" s="192"/>
      <c r="DZ115" s="192"/>
      <c r="EA115" s="192"/>
      <c r="EB115" s="192"/>
      <c r="EC115" s="192"/>
      <c r="ED115" s="192"/>
      <c r="EE115" s="192"/>
      <c r="EF115" s="192"/>
      <c r="EG115" s="192"/>
      <c r="EH115" s="192"/>
      <c r="EI115" s="192"/>
      <c r="EJ115" s="192"/>
      <c r="EK115" s="192"/>
      <c r="EL115" s="192"/>
      <c r="EM115" s="192"/>
      <c r="EN115" s="192"/>
      <c r="EO115" s="192"/>
      <c r="EP115" s="192"/>
      <c r="EQ115" s="192"/>
      <c r="ER115" s="192"/>
      <c r="ES115" s="192"/>
      <c r="ET115" s="192"/>
    </row>
    <row r="116" spans="1:150">
      <c r="A116" s="192"/>
      <c r="B116" s="36" t="str">
        <f>Input!B130</f>
        <v>Contract Services</v>
      </c>
      <c r="C116" s="635">
        <f>-IF(AND(Input!$F130=EGR,ReimbMethodType=120),,Input!$T130*C89)</f>
        <v>0</v>
      </c>
      <c r="D116" s="635">
        <f>-IF(AND(Input!$F130=EGR,ReimbMethodType=120),,Input!$T130*D89)</f>
        <v>0</v>
      </c>
      <c r="E116" s="635">
        <f>-IF(AND(Input!$F130=EGR,ReimbMethodType=120),,Input!$T130*E89)</f>
        <v>0</v>
      </c>
      <c r="F116" s="635">
        <f>-IF(AND(Input!$F130=EGR,ReimbMethodType=120),,Input!$T130*F89)</f>
        <v>0</v>
      </c>
      <c r="G116" s="635">
        <f>-IF(AND(Input!$F130=EGR,ReimbMethodType=120),,Input!$T130*G89)</f>
        <v>0</v>
      </c>
      <c r="H116" s="635">
        <f>-IF(AND(Input!$F130=EGR,ReimbMethodType=120),,Input!$T130*H89)</f>
        <v>0</v>
      </c>
      <c r="I116" s="635">
        <f>-IF(AND(Input!$F130=EGR,ReimbMethodType=120),,Input!$T130*I89)</f>
        <v>0</v>
      </c>
      <c r="J116" s="635">
        <f>-IF(AND(Input!$F130=EGR,ReimbMethodType=120),,Input!$T130*J89)</f>
        <v>0</v>
      </c>
      <c r="K116" s="635">
        <f>-IF(AND(Input!$F130=EGR,ReimbMethodType=120),,Input!$T130*K89)</f>
        <v>0</v>
      </c>
      <c r="L116" s="635">
        <f>-IF(AND(Input!$F130=EGR,ReimbMethodType=120),,Input!$T130*L89)</f>
        <v>0</v>
      </c>
      <c r="M116" s="635">
        <f>-IF(AND(Input!$F130=EGR,ReimbMethodType=120),,Input!$T130*M89)</f>
        <v>0</v>
      </c>
      <c r="N116" s="192"/>
      <c r="O116" s="635">
        <f>-IF(AND(Input!$F130=EGR,ReimbMethodType=120),,Input!$T130*O89)</f>
        <v>0</v>
      </c>
      <c r="P116" s="192"/>
      <c r="Q116" s="834"/>
      <c r="R116" s="635">
        <f>-IF(AND(Input!$F130=EGR,ReimbMethodType=120),,Input!$T130*R89)</f>
        <v>0</v>
      </c>
      <c r="S116" s="635">
        <f>-IF(AND(Input!$F130=EGR,ReimbMethodType=120),,Input!$T130*S89)</f>
        <v>0</v>
      </c>
      <c r="T116" s="635">
        <f>-IF(AND(Input!$F130=EGR,ReimbMethodType=120),,Input!$T130*T89)</f>
        <v>0</v>
      </c>
      <c r="U116" s="635">
        <f>-IF(AND(Input!$F130=EGR,ReimbMethodType=120),,Input!$T130*U89)</f>
        <v>0</v>
      </c>
      <c r="V116" s="635">
        <f>-IF(AND(Input!$F130=EGR,ReimbMethodType=120),,Input!$T130*V89)</f>
        <v>0</v>
      </c>
      <c r="W116" s="635">
        <f>-IF(AND(Input!$F130=EGR,ReimbMethodType=120),,Input!$T130*W89)</f>
        <v>0</v>
      </c>
      <c r="X116" s="635">
        <f>-IF(AND(Input!$F130=EGR,ReimbMethodType=120),,Input!$T130*X89)</f>
        <v>0</v>
      </c>
      <c r="Y116" s="635">
        <f>-IF(AND(Input!$F130=EGR,ReimbMethodType=120),,Input!$T130*Y89)</f>
        <v>0</v>
      </c>
      <c r="Z116" s="635">
        <f>-IF(AND(Input!$F130=EGR,ReimbMethodType=120),,Input!$T130*Z89)</f>
        <v>0</v>
      </c>
      <c r="AA116" s="635">
        <f>-IF(AND(Input!$F130=EGR,ReimbMethodType=120),,Input!$T130*AA89)</f>
        <v>0</v>
      </c>
      <c r="AB116" s="635">
        <f>-IF(AND(Input!$F130=EGR,ReimbMethodType=120),,Input!$T130*AB89)</f>
        <v>0</v>
      </c>
      <c r="AC116" s="635">
        <f>-IF(AND(Input!$F130=EGR,ReimbMethodType=120),,Input!$T130*AC89)</f>
        <v>0</v>
      </c>
      <c r="AD116" s="635">
        <f>-IF(AND(Input!$F130=EGR,ReimbMethodType=120),,Input!$T130*AD89)</f>
        <v>0</v>
      </c>
      <c r="AE116" s="635">
        <f>-IF(AND(Input!$F130=EGR,ReimbMethodType=120),,Input!$T130*AE89)</f>
        <v>0</v>
      </c>
      <c r="AF116" s="635">
        <f>-IF(AND(Input!$F130=EGR,ReimbMethodType=120),,Input!$T130*AF89)</f>
        <v>0</v>
      </c>
      <c r="AG116" s="635">
        <f>-IF(AND(Input!$F130=EGR,ReimbMethodType=120),,Input!$T130*AG89)</f>
        <v>0</v>
      </c>
      <c r="AH116" s="635">
        <f>-IF(AND(Input!$F130=EGR,ReimbMethodType=120),,Input!$T130*AH89)</f>
        <v>0</v>
      </c>
      <c r="AI116" s="635">
        <f>-IF(AND(Input!$F130=EGR,ReimbMethodType=120),,Input!$T130*AI89)</f>
        <v>0</v>
      </c>
      <c r="AJ116" s="635">
        <f>-IF(AND(Input!$F130=EGR,ReimbMethodType=120),,Input!$T130*AJ89)</f>
        <v>0</v>
      </c>
      <c r="AK116" s="635">
        <f>-IF(AND(Input!$F130=EGR,ReimbMethodType=120),,Input!$T130*AK89)</f>
        <v>0</v>
      </c>
      <c r="AL116" s="635">
        <f>-IF(AND(Input!$F130=EGR,ReimbMethodType=120),,Input!$T130*AL89)</f>
        <v>0</v>
      </c>
      <c r="AM116" s="635">
        <f>-IF(AND(Input!$F130=EGR,ReimbMethodType=120),,Input!$T130*AM89)</f>
        <v>0</v>
      </c>
      <c r="AN116" s="635">
        <f>-IF(AND(Input!$F130=EGR,ReimbMethodType=120),,Input!$T130*AN89)</f>
        <v>0</v>
      </c>
      <c r="AO116" s="635">
        <f>-IF(AND(Input!$F130=EGR,ReimbMethodType=120),,Input!$T130*AO89)</f>
        <v>0</v>
      </c>
      <c r="AP116" s="635">
        <f>-IF(AND(Input!$F130=EGR,ReimbMethodType=120),,Input!$T130*AP89)</f>
        <v>0</v>
      </c>
      <c r="AQ116" s="635">
        <f>-IF(AND(Input!$F130=EGR,ReimbMethodType=120),,Input!$T130*AQ89)</f>
        <v>0</v>
      </c>
      <c r="AR116" s="635">
        <f>-IF(AND(Input!$F130=EGR,ReimbMethodType=120),,Input!$T130*AR89)</f>
        <v>0</v>
      </c>
      <c r="AS116" s="635">
        <f>-IF(AND(Input!$F130=EGR,ReimbMethodType=120),,Input!$T130*AS89)</f>
        <v>0</v>
      </c>
      <c r="AT116" s="635">
        <f>-IF(AND(Input!$F130=EGR,ReimbMethodType=120),,Input!$T130*AT89)</f>
        <v>0</v>
      </c>
      <c r="AU116" s="635">
        <f>-IF(AND(Input!$F130=EGR,ReimbMethodType=120),,Input!$T130*AU89)</f>
        <v>0</v>
      </c>
      <c r="AV116" s="635">
        <f>-IF(AND(Input!$F130=EGR,ReimbMethodType=120),,Input!$T130*AV89)</f>
        <v>0</v>
      </c>
      <c r="AW116" s="635">
        <f>-IF(AND(Input!$F130=EGR,ReimbMethodType=120),,Input!$T130*AW89)</f>
        <v>0</v>
      </c>
      <c r="AX116" s="635">
        <f>-IF(AND(Input!$F130=EGR,ReimbMethodType=120),,Input!$T130*AX89)</f>
        <v>0</v>
      </c>
      <c r="AY116" s="635">
        <f>-IF(AND(Input!$F130=EGR,ReimbMethodType=120),,Input!$T130*AY89)</f>
        <v>0</v>
      </c>
      <c r="AZ116" s="635">
        <f>-IF(AND(Input!$F130=EGR,ReimbMethodType=120),,Input!$T130*AZ89)</f>
        <v>0</v>
      </c>
      <c r="BA116" s="635">
        <f>-IF(AND(Input!$F130=EGR,ReimbMethodType=120),,Input!$T130*BA89)</f>
        <v>0</v>
      </c>
      <c r="BB116" s="192"/>
      <c r="BC116" s="192"/>
      <c r="BD116" s="192"/>
      <c r="BE116" s="192"/>
      <c r="BF116" s="192"/>
      <c r="BG116" s="192"/>
      <c r="BH116" s="192"/>
      <c r="BI116" s="192"/>
      <c r="BJ116" s="192"/>
      <c r="BK116" s="192"/>
      <c r="BL116" s="192"/>
      <c r="BM116" s="192"/>
      <c r="BN116" s="192"/>
      <c r="BO116" s="192"/>
      <c r="BP116" s="192"/>
      <c r="BQ116" s="192"/>
      <c r="BR116" s="192"/>
      <c r="BS116" s="192"/>
      <c r="BT116" s="192"/>
      <c r="BU116" s="192"/>
      <c r="BV116" s="192"/>
      <c r="BW116" s="192"/>
      <c r="BX116" s="192"/>
      <c r="BY116" s="192"/>
      <c r="BZ116" s="192"/>
      <c r="CA116" s="192"/>
      <c r="CB116" s="192"/>
      <c r="CC116" s="192"/>
      <c r="CD116" s="192"/>
      <c r="CE116" s="192"/>
      <c r="CF116" s="192"/>
      <c r="CG116" s="192"/>
      <c r="CH116" s="192"/>
      <c r="CI116" s="192"/>
      <c r="CJ116" s="192"/>
      <c r="CK116" s="192"/>
      <c r="CL116" s="192"/>
      <c r="CM116" s="192"/>
      <c r="CN116" s="192"/>
      <c r="CO116" s="192"/>
      <c r="CP116" s="192"/>
      <c r="CQ116" s="192"/>
      <c r="CR116" s="192"/>
      <c r="CS116" s="192"/>
      <c r="CT116" s="192"/>
      <c r="CU116" s="192"/>
      <c r="CV116" s="192"/>
      <c r="CW116" s="192"/>
      <c r="CX116" s="192"/>
      <c r="CY116" s="192"/>
      <c r="CZ116" s="192"/>
      <c r="DA116" s="192"/>
      <c r="DB116" s="192"/>
      <c r="DC116" s="192"/>
      <c r="DD116" s="192"/>
      <c r="DE116" s="192"/>
      <c r="DF116" s="192"/>
      <c r="DG116" s="192"/>
      <c r="DH116" s="192"/>
      <c r="DI116" s="192"/>
      <c r="DJ116" s="192"/>
      <c r="DK116" s="192"/>
      <c r="DL116" s="192"/>
      <c r="DM116" s="192"/>
      <c r="DN116" s="192"/>
      <c r="DO116" s="192"/>
      <c r="DP116" s="192"/>
      <c r="DQ116" s="192"/>
      <c r="DR116" s="192"/>
      <c r="DS116" s="192"/>
      <c r="DT116" s="192"/>
      <c r="DU116" s="192"/>
      <c r="DV116" s="192"/>
      <c r="DW116" s="192"/>
      <c r="DX116" s="192"/>
      <c r="DY116" s="192"/>
      <c r="DZ116" s="192"/>
      <c r="EA116" s="192"/>
      <c r="EB116" s="192"/>
      <c r="EC116" s="192"/>
      <c r="ED116" s="192"/>
      <c r="EE116" s="192"/>
      <c r="EF116" s="192"/>
      <c r="EG116" s="192"/>
      <c r="EH116" s="192"/>
      <c r="EI116" s="192"/>
      <c r="EJ116" s="192"/>
      <c r="EK116" s="192"/>
      <c r="EL116" s="192"/>
      <c r="EM116" s="192"/>
      <c r="EN116" s="192"/>
      <c r="EO116" s="192"/>
      <c r="EP116" s="192"/>
      <c r="EQ116" s="192"/>
      <c r="ER116" s="192"/>
      <c r="ES116" s="192"/>
      <c r="ET116" s="192"/>
    </row>
    <row r="117" spans="1:150">
      <c r="A117" s="192"/>
      <c r="B117" s="36" t="str">
        <f>Input!B131</f>
        <v>Security</v>
      </c>
      <c r="C117" s="635">
        <f>-IF(AND(Input!$F131=EGR,ReimbMethodType=120),,Input!$T131*C90)</f>
        <v>0</v>
      </c>
      <c r="D117" s="635">
        <f>-IF(AND(Input!$F131=EGR,ReimbMethodType=120),,Input!$T131*D90)</f>
        <v>0</v>
      </c>
      <c r="E117" s="635">
        <f>-IF(AND(Input!$F131=EGR,ReimbMethodType=120),,Input!$T131*E90)</f>
        <v>0</v>
      </c>
      <c r="F117" s="635">
        <f>-IF(AND(Input!$F131=EGR,ReimbMethodType=120),,Input!$T131*F90)</f>
        <v>0</v>
      </c>
      <c r="G117" s="635">
        <f>-IF(AND(Input!$F131=EGR,ReimbMethodType=120),,Input!$T131*G90)</f>
        <v>0</v>
      </c>
      <c r="H117" s="635">
        <f>-IF(AND(Input!$F131=EGR,ReimbMethodType=120),,Input!$T131*H90)</f>
        <v>0</v>
      </c>
      <c r="I117" s="635">
        <f>-IF(AND(Input!$F131=EGR,ReimbMethodType=120),,Input!$T131*I90)</f>
        <v>0</v>
      </c>
      <c r="J117" s="635">
        <f>-IF(AND(Input!$F131=EGR,ReimbMethodType=120),,Input!$T131*J90)</f>
        <v>0</v>
      </c>
      <c r="K117" s="635">
        <f>-IF(AND(Input!$F131=EGR,ReimbMethodType=120),,Input!$T131*K90)</f>
        <v>0</v>
      </c>
      <c r="L117" s="635">
        <f>-IF(AND(Input!$F131=EGR,ReimbMethodType=120),,Input!$T131*L90)</f>
        <v>0</v>
      </c>
      <c r="M117" s="635">
        <f>-IF(AND(Input!$F131=EGR,ReimbMethodType=120),,Input!$T131*M90)</f>
        <v>0</v>
      </c>
      <c r="N117" s="192"/>
      <c r="O117" s="635">
        <f>-IF(AND(Input!$F131=EGR,ReimbMethodType=120),,Input!$T131*O90)</f>
        <v>0</v>
      </c>
      <c r="P117" s="192"/>
      <c r="Q117" s="37"/>
      <c r="R117" s="635">
        <f>-IF(AND(Input!$F131=EGR,ReimbMethodType=120),,Input!$T131*R90)</f>
        <v>0</v>
      </c>
      <c r="S117" s="635">
        <f>-IF(AND(Input!$F131=EGR,ReimbMethodType=120),,Input!$T131*S90)</f>
        <v>0</v>
      </c>
      <c r="T117" s="635">
        <f>-IF(AND(Input!$F131=EGR,ReimbMethodType=120),,Input!$T131*T90)</f>
        <v>0</v>
      </c>
      <c r="U117" s="635">
        <f>-IF(AND(Input!$F131=EGR,ReimbMethodType=120),,Input!$T131*U90)</f>
        <v>0</v>
      </c>
      <c r="V117" s="635">
        <f>-IF(AND(Input!$F131=EGR,ReimbMethodType=120),,Input!$T131*V90)</f>
        <v>0</v>
      </c>
      <c r="W117" s="635">
        <f>-IF(AND(Input!$F131=EGR,ReimbMethodType=120),,Input!$T131*W90)</f>
        <v>0</v>
      </c>
      <c r="X117" s="635">
        <f>-IF(AND(Input!$F131=EGR,ReimbMethodType=120),,Input!$T131*X90)</f>
        <v>0</v>
      </c>
      <c r="Y117" s="635">
        <f>-IF(AND(Input!$F131=EGR,ReimbMethodType=120),,Input!$T131*Y90)</f>
        <v>0</v>
      </c>
      <c r="Z117" s="635">
        <f>-IF(AND(Input!$F131=EGR,ReimbMethodType=120),,Input!$T131*Z90)</f>
        <v>0</v>
      </c>
      <c r="AA117" s="635">
        <f>-IF(AND(Input!$F131=EGR,ReimbMethodType=120),,Input!$T131*AA90)</f>
        <v>0</v>
      </c>
      <c r="AB117" s="635">
        <f>-IF(AND(Input!$F131=EGR,ReimbMethodType=120),,Input!$T131*AB90)</f>
        <v>0</v>
      </c>
      <c r="AC117" s="635">
        <f>-IF(AND(Input!$F131=EGR,ReimbMethodType=120),,Input!$T131*AC90)</f>
        <v>0</v>
      </c>
      <c r="AD117" s="635">
        <f>-IF(AND(Input!$F131=EGR,ReimbMethodType=120),,Input!$T131*AD90)</f>
        <v>0</v>
      </c>
      <c r="AE117" s="635">
        <f>-IF(AND(Input!$F131=EGR,ReimbMethodType=120),,Input!$T131*AE90)</f>
        <v>0</v>
      </c>
      <c r="AF117" s="635">
        <f>-IF(AND(Input!$F131=EGR,ReimbMethodType=120),,Input!$T131*AF90)</f>
        <v>0</v>
      </c>
      <c r="AG117" s="635">
        <f>-IF(AND(Input!$F131=EGR,ReimbMethodType=120),,Input!$T131*AG90)</f>
        <v>0</v>
      </c>
      <c r="AH117" s="635">
        <f>-IF(AND(Input!$F131=EGR,ReimbMethodType=120),,Input!$T131*AH90)</f>
        <v>0</v>
      </c>
      <c r="AI117" s="635">
        <f>-IF(AND(Input!$F131=EGR,ReimbMethodType=120),,Input!$T131*AI90)</f>
        <v>0</v>
      </c>
      <c r="AJ117" s="635">
        <f>-IF(AND(Input!$F131=EGR,ReimbMethodType=120),,Input!$T131*AJ90)</f>
        <v>0</v>
      </c>
      <c r="AK117" s="635">
        <f>-IF(AND(Input!$F131=EGR,ReimbMethodType=120),,Input!$T131*AK90)</f>
        <v>0</v>
      </c>
      <c r="AL117" s="635">
        <f>-IF(AND(Input!$F131=EGR,ReimbMethodType=120),,Input!$T131*AL90)</f>
        <v>0</v>
      </c>
      <c r="AM117" s="635">
        <f>-IF(AND(Input!$F131=EGR,ReimbMethodType=120),,Input!$T131*AM90)</f>
        <v>0</v>
      </c>
      <c r="AN117" s="635">
        <f>-IF(AND(Input!$F131=EGR,ReimbMethodType=120),,Input!$T131*AN90)</f>
        <v>0</v>
      </c>
      <c r="AO117" s="635">
        <f>-IF(AND(Input!$F131=EGR,ReimbMethodType=120),,Input!$T131*AO90)</f>
        <v>0</v>
      </c>
      <c r="AP117" s="635">
        <f>-IF(AND(Input!$F131=EGR,ReimbMethodType=120),,Input!$T131*AP90)</f>
        <v>0</v>
      </c>
      <c r="AQ117" s="635">
        <f>-IF(AND(Input!$F131=EGR,ReimbMethodType=120),,Input!$T131*AQ90)</f>
        <v>0</v>
      </c>
      <c r="AR117" s="635">
        <f>-IF(AND(Input!$F131=EGR,ReimbMethodType=120),,Input!$T131*AR90)</f>
        <v>0</v>
      </c>
      <c r="AS117" s="635">
        <f>-IF(AND(Input!$F131=EGR,ReimbMethodType=120),,Input!$T131*AS90)</f>
        <v>0</v>
      </c>
      <c r="AT117" s="635">
        <f>-IF(AND(Input!$F131=EGR,ReimbMethodType=120),,Input!$T131*AT90)</f>
        <v>0</v>
      </c>
      <c r="AU117" s="635">
        <f>-IF(AND(Input!$F131=EGR,ReimbMethodType=120),,Input!$T131*AU90)</f>
        <v>0</v>
      </c>
      <c r="AV117" s="635">
        <f>-IF(AND(Input!$F131=EGR,ReimbMethodType=120),,Input!$T131*AV90)</f>
        <v>0</v>
      </c>
      <c r="AW117" s="635">
        <f>-IF(AND(Input!$F131=EGR,ReimbMethodType=120),,Input!$T131*AW90)</f>
        <v>0</v>
      </c>
      <c r="AX117" s="635">
        <f>-IF(AND(Input!$F131=EGR,ReimbMethodType=120),,Input!$T131*AX90)</f>
        <v>0</v>
      </c>
      <c r="AY117" s="635">
        <f>-IF(AND(Input!$F131=EGR,ReimbMethodType=120),,Input!$T131*AY90)</f>
        <v>0</v>
      </c>
      <c r="AZ117" s="635">
        <f>-IF(AND(Input!$F131=EGR,ReimbMethodType=120),,Input!$T131*AZ90)</f>
        <v>0</v>
      </c>
      <c r="BA117" s="635">
        <f>-IF(AND(Input!$F131=EGR,ReimbMethodType=120),,Input!$T131*BA90)</f>
        <v>0</v>
      </c>
      <c r="BB117" s="192"/>
      <c r="BC117" s="192"/>
      <c r="BD117" s="192"/>
      <c r="BE117" s="192"/>
      <c r="BF117" s="192"/>
      <c r="BG117" s="192"/>
      <c r="BH117" s="192"/>
      <c r="BI117" s="192"/>
      <c r="BJ117" s="192"/>
      <c r="BK117" s="192"/>
      <c r="BL117" s="192"/>
      <c r="BM117" s="192"/>
      <c r="BN117" s="192"/>
      <c r="BO117" s="192"/>
      <c r="BP117" s="192"/>
      <c r="BQ117" s="192"/>
      <c r="BR117" s="192"/>
      <c r="BS117" s="192"/>
      <c r="BT117" s="192"/>
      <c r="BU117" s="192"/>
      <c r="BV117" s="192"/>
      <c r="BW117" s="192"/>
      <c r="BX117" s="192"/>
      <c r="BY117" s="192"/>
      <c r="BZ117" s="192"/>
      <c r="CA117" s="192"/>
      <c r="CB117" s="192"/>
      <c r="CC117" s="192"/>
      <c r="CD117" s="192"/>
      <c r="CE117" s="192"/>
      <c r="CF117" s="192"/>
      <c r="CG117" s="192"/>
      <c r="CH117" s="192"/>
      <c r="CI117" s="192"/>
      <c r="CJ117" s="192"/>
      <c r="CK117" s="192"/>
      <c r="CL117" s="192"/>
      <c r="CM117" s="192"/>
      <c r="CN117" s="192"/>
      <c r="CO117" s="192"/>
      <c r="CP117" s="192"/>
      <c r="CQ117" s="192"/>
      <c r="CR117" s="192"/>
      <c r="CS117" s="192"/>
      <c r="CT117" s="192"/>
      <c r="CU117" s="192"/>
      <c r="CV117" s="192"/>
      <c r="CW117" s="192"/>
      <c r="CX117" s="192"/>
      <c r="CY117" s="192"/>
      <c r="CZ117" s="192"/>
      <c r="DA117" s="192"/>
      <c r="DB117" s="192"/>
      <c r="DC117" s="192"/>
      <c r="DD117" s="192"/>
      <c r="DE117" s="192"/>
      <c r="DF117" s="192"/>
      <c r="DG117" s="192"/>
      <c r="DH117" s="192"/>
      <c r="DI117" s="192"/>
      <c r="DJ117" s="192"/>
      <c r="DK117" s="192"/>
      <c r="DL117" s="192"/>
      <c r="DM117" s="192"/>
      <c r="DN117" s="192"/>
      <c r="DO117" s="192"/>
      <c r="DP117" s="192"/>
      <c r="DQ117" s="192"/>
      <c r="DR117" s="192"/>
      <c r="DS117" s="192"/>
      <c r="DT117" s="192"/>
      <c r="DU117" s="192"/>
      <c r="DV117" s="192"/>
      <c r="DW117" s="192"/>
      <c r="DX117" s="192"/>
      <c r="DY117" s="192"/>
      <c r="DZ117" s="192"/>
      <c r="EA117" s="192"/>
      <c r="EB117" s="192"/>
      <c r="EC117" s="192"/>
      <c r="ED117" s="192"/>
      <c r="EE117" s="192"/>
      <c r="EF117" s="192"/>
      <c r="EG117" s="192"/>
      <c r="EH117" s="192"/>
      <c r="EI117" s="192"/>
      <c r="EJ117" s="192"/>
      <c r="EK117" s="192"/>
      <c r="EL117" s="192"/>
      <c r="EM117" s="192"/>
      <c r="EN117" s="192"/>
      <c r="EO117" s="192"/>
      <c r="EP117" s="192"/>
      <c r="EQ117" s="192"/>
      <c r="ER117" s="192"/>
      <c r="ES117" s="192"/>
      <c r="ET117" s="192"/>
    </row>
    <row r="118" spans="1:150">
      <c r="A118" s="192"/>
      <c r="B118" s="36" t="str">
        <f>Input!B132</f>
        <v>Landscaping / Grounds</v>
      </c>
      <c r="C118" s="635">
        <f>-IF(AND(Input!$F132=EGR,ReimbMethodType=120),,Input!$T132*C91)</f>
        <v>0</v>
      </c>
      <c r="D118" s="635">
        <f>-IF(AND(Input!$F132=EGR,ReimbMethodType=120),,Input!$T132*D91)</f>
        <v>0</v>
      </c>
      <c r="E118" s="635">
        <f>-IF(AND(Input!$F132=EGR,ReimbMethodType=120),,Input!$T132*E91)</f>
        <v>0</v>
      </c>
      <c r="F118" s="635">
        <f>-IF(AND(Input!$F132=EGR,ReimbMethodType=120),,Input!$T132*F91)</f>
        <v>0</v>
      </c>
      <c r="G118" s="635">
        <f>-IF(AND(Input!$F132=EGR,ReimbMethodType=120),,Input!$T132*G91)</f>
        <v>0</v>
      </c>
      <c r="H118" s="635">
        <f>-IF(AND(Input!$F132=EGR,ReimbMethodType=120),,Input!$T132*H91)</f>
        <v>0</v>
      </c>
      <c r="I118" s="635">
        <f>-IF(AND(Input!$F132=EGR,ReimbMethodType=120),,Input!$T132*I91)</f>
        <v>0</v>
      </c>
      <c r="J118" s="635">
        <f>-IF(AND(Input!$F132=EGR,ReimbMethodType=120),,Input!$T132*J91)</f>
        <v>0</v>
      </c>
      <c r="K118" s="635">
        <f>-IF(AND(Input!$F132=EGR,ReimbMethodType=120),,Input!$T132*K91)</f>
        <v>0</v>
      </c>
      <c r="L118" s="635">
        <f>-IF(AND(Input!$F132=EGR,ReimbMethodType=120),,Input!$T132*L91)</f>
        <v>0</v>
      </c>
      <c r="M118" s="635">
        <f>-IF(AND(Input!$F132=EGR,ReimbMethodType=120),,Input!$T132*M91)</f>
        <v>0</v>
      </c>
      <c r="N118" s="192"/>
      <c r="O118" s="635">
        <f>-IF(AND(Input!$F132=EGR,ReimbMethodType=120),,Input!$T132*O91)</f>
        <v>0</v>
      </c>
      <c r="P118" s="192"/>
      <c r="Q118" s="37"/>
      <c r="R118" s="635">
        <f>-IF(AND(Input!$F132=EGR,ReimbMethodType=120),,Input!$T132*R91)</f>
        <v>0</v>
      </c>
      <c r="S118" s="635">
        <f>-IF(AND(Input!$F132=EGR,ReimbMethodType=120),,Input!$T132*S91)</f>
        <v>0</v>
      </c>
      <c r="T118" s="635">
        <f>-IF(AND(Input!$F132=EGR,ReimbMethodType=120),,Input!$T132*T91)</f>
        <v>0</v>
      </c>
      <c r="U118" s="635">
        <f>-IF(AND(Input!$F132=EGR,ReimbMethodType=120),,Input!$T132*U91)</f>
        <v>0</v>
      </c>
      <c r="V118" s="635">
        <f>-IF(AND(Input!$F132=EGR,ReimbMethodType=120),,Input!$T132*V91)</f>
        <v>0</v>
      </c>
      <c r="W118" s="635">
        <f>-IF(AND(Input!$F132=EGR,ReimbMethodType=120),,Input!$T132*W91)</f>
        <v>0</v>
      </c>
      <c r="X118" s="635">
        <f>-IF(AND(Input!$F132=EGR,ReimbMethodType=120),,Input!$T132*X91)</f>
        <v>0</v>
      </c>
      <c r="Y118" s="635">
        <f>-IF(AND(Input!$F132=EGR,ReimbMethodType=120),,Input!$T132*Y91)</f>
        <v>0</v>
      </c>
      <c r="Z118" s="635">
        <f>-IF(AND(Input!$F132=EGR,ReimbMethodType=120),,Input!$T132*Z91)</f>
        <v>0</v>
      </c>
      <c r="AA118" s="635">
        <f>-IF(AND(Input!$F132=EGR,ReimbMethodType=120),,Input!$T132*AA91)</f>
        <v>0</v>
      </c>
      <c r="AB118" s="635">
        <f>-IF(AND(Input!$F132=EGR,ReimbMethodType=120),,Input!$T132*AB91)</f>
        <v>0</v>
      </c>
      <c r="AC118" s="635">
        <f>-IF(AND(Input!$F132=EGR,ReimbMethodType=120),,Input!$T132*AC91)</f>
        <v>0</v>
      </c>
      <c r="AD118" s="635">
        <f>-IF(AND(Input!$F132=EGR,ReimbMethodType=120),,Input!$T132*AD91)</f>
        <v>0</v>
      </c>
      <c r="AE118" s="635">
        <f>-IF(AND(Input!$F132=EGR,ReimbMethodType=120),,Input!$T132*AE91)</f>
        <v>0</v>
      </c>
      <c r="AF118" s="635">
        <f>-IF(AND(Input!$F132=EGR,ReimbMethodType=120),,Input!$T132*AF91)</f>
        <v>0</v>
      </c>
      <c r="AG118" s="635">
        <f>-IF(AND(Input!$F132=EGR,ReimbMethodType=120),,Input!$T132*AG91)</f>
        <v>0</v>
      </c>
      <c r="AH118" s="635">
        <f>-IF(AND(Input!$F132=EGR,ReimbMethodType=120),,Input!$T132*AH91)</f>
        <v>0</v>
      </c>
      <c r="AI118" s="635">
        <f>-IF(AND(Input!$F132=EGR,ReimbMethodType=120),,Input!$T132*AI91)</f>
        <v>0</v>
      </c>
      <c r="AJ118" s="635">
        <f>-IF(AND(Input!$F132=EGR,ReimbMethodType=120),,Input!$T132*AJ91)</f>
        <v>0</v>
      </c>
      <c r="AK118" s="635">
        <f>-IF(AND(Input!$F132=EGR,ReimbMethodType=120),,Input!$T132*AK91)</f>
        <v>0</v>
      </c>
      <c r="AL118" s="635">
        <f>-IF(AND(Input!$F132=EGR,ReimbMethodType=120),,Input!$T132*AL91)</f>
        <v>0</v>
      </c>
      <c r="AM118" s="635">
        <f>-IF(AND(Input!$F132=EGR,ReimbMethodType=120),,Input!$T132*AM91)</f>
        <v>0</v>
      </c>
      <c r="AN118" s="635">
        <f>-IF(AND(Input!$F132=EGR,ReimbMethodType=120),,Input!$T132*AN91)</f>
        <v>0</v>
      </c>
      <c r="AO118" s="635">
        <f>-IF(AND(Input!$F132=EGR,ReimbMethodType=120),,Input!$T132*AO91)</f>
        <v>0</v>
      </c>
      <c r="AP118" s="635">
        <f>-IF(AND(Input!$F132=EGR,ReimbMethodType=120),,Input!$T132*AP91)</f>
        <v>0</v>
      </c>
      <c r="AQ118" s="635">
        <f>-IF(AND(Input!$F132=EGR,ReimbMethodType=120),,Input!$T132*AQ91)</f>
        <v>0</v>
      </c>
      <c r="AR118" s="635">
        <f>-IF(AND(Input!$F132=EGR,ReimbMethodType=120),,Input!$T132*AR91)</f>
        <v>0</v>
      </c>
      <c r="AS118" s="635">
        <f>-IF(AND(Input!$F132=EGR,ReimbMethodType=120),,Input!$T132*AS91)</f>
        <v>0</v>
      </c>
      <c r="AT118" s="635">
        <f>-IF(AND(Input!$F132=EGR,ReimbMethodType=120),,Input!$T132*AT91)</f>
        <v>0</v>
      </c>
      <c r="AU118" s="635">
        <f>-IF(AND(Input!$F132=EGR,ReimbMethodType=120),,Input!$T132*AU91)</f>
        <v>0</v>
      </c>
      <c r="AV118" s="635">
        <f>-IF(AND(Input!$F132=EGR,ReimbMethodType=120),,Input!$T132*AV91)</f>
        <v>0</v>
      </c>
      <c r="AW118" s="635">
        <f>-IF(AND(Input!$F132=EGR,ReimbMethodType=120),,Input!$T132*AW91)</f>
        <v>0</v>
      </c>
      <c r="AX118" s="635">
        <f>-IF(AND(Input!$F132=EGR,ReimbMethodType=120),,Input!$T132*AX91)</f>
        <v>0</v>
      </c>
      <c r="AY118" s="635">
        <f>-IF(AND(Input!$F132=EGR,ReimbMethodType=120),,Input!$T132*AY91)</f>
        <v>0</v>
      </c>
      <c r="AZ118" s="635">
        <f>-IF(AND(Input!$F132=EGR,ReimbMethodType=120),,Input!$T132*AZ91)</f>
        <v>0</v>
      </c>
      <c r="BA118" s="635">
        <f>-IF(AND(Input!$F132=EGR,ReimbMethodType=120),,Input!$T132*BA91)</f>
        <v>0</v>
      </c>
      <c r="BB118" s="192"/>
      <c r="BC118" s="192"/>
      <c r="BD118" s="192"/>
      <c r="BE118" s="192"/>
      <c r="BF118" s="192"/>
      <c r="BG118" s="192"/>
      <c r="BH118" s="192"/>
      <c r="BI118" s="192"/>
      <c r="BJ118" s="192"/>
      <c r="BK118" s="192"/>
      <c r="BL118" s="192"/>
      <c r="BM118" s="192"/>
      <c r="BN118" s="192"/>
      <c r="BO118" s="192"/>
      <c r="BP118" s="192"/>
      <c r="BQ118" s="192"/>
      <c r="BR118" s="192"/>
      <c r="BS118" s="192"/>
      <c r="BT118" s="192"/>
      <c r="BU118" s="192"/>
      <c r="BV118" s="192"/>
      <c r="BW118" s="192"/>
      <c r="BX118" s="192"/>
      <c r="BY118" s="192"/>
      <c r="BZ118" s="192"/>
      <c r="CA118" s="192"/>
      <c r="CB118" s="192"/>
      <c r="CC118" s="192"/>
      <c r="CD118" s="192"/>
      <c r="CE118" s="192"/>
      <c r="CF118" s="192"/>
      <c r="CG118" s="192"/>
      <c r="CH118" s="192"/>
      <c r="CI118" s="192"/>
      <c r="CJ118" s="192"/>
      <c r="CK118" s="192"/>
      <c r="CL118" s="192"/>
      <c r="CM118" s="192"/>
      <c r="CN118" s="192"/>
      <c r="CO118" s="192"/>
      <c r="CP118" s="192"/>
      <c r="CQ118" s="192"/>
      <c r="CR118" s="192"/>
      <c r="CS118" s="192"/>
      <c r="CT118" s="192"/>
      <c r="CU118" s="192"/>
      <c r="CV118" s="192"/>
      <c r="CW118" s="192"/>
      <c r="CX118" s="192"/>
      <c r="CY118" s="192"/>
      <c r="CZ118" s="192"/>
      <c r="DA118" s="192"/>
      <c r="DB118" s="192"/>
      <c r="DC118" s="192"/>
      <c r="DD118" s="192"/>
      <c r="DE118" s="192"/>
      <c r="DF118" s="192"/>
      <c r="DG118" s="192"/>
      <c r="DH118" s="192"/>
      <c r="DI118" s="192"/>
      <c r="DJ118" s="192"/>
      <c r="DK118" s="192"/>
      <c r="DL118" s="192"/>
      <c r="DM118" s="192"/>
      <c r="DN118" s="192"/>
      <c r="DO118" s="192"/>
      <c r="DP118" s="192"/>
      <c r="DQ118" s="192"/>
      <c r="DR118" s="192"/>
      <c r="DS118" s="192"/>
      <c r="DT118" s="192"/>
      <c r="DU118" s="192"/>
      <c r="DV118" s="192"/>
      <c r="DW118" s="192"/>
      <c r="DX118" s="192"/>
      <c r="DY118" s="192"/>
      <c r="DZ118" s="192"/>
      <c r="EA118" s="192"/>
      <c r="EB118" s="192"/>
      <c r="EC118" s="192"/>
      <c r="ED118" s="192"/>
      <c r="EE118" s="192"/>
      <c r="EF118" s="192"/>
      <c r="EG118" s="192"/>
      <c r="EH118" s="192"/>
      <c r="EI118" s="192"/>
      <c r="EJ118" s="192"/>
      <c r="EK118" s="192"/>
      <c r="EL118" s="192"/>
      <c r="EM118" s="192"/>
      <c r="EN118" s="192"/>
      <c r="EO118" s="192"/>
      <c r="EP118" s="192"/>
      <c r="EQ118" s="192"/>
      <c r="ER118" s="192"/>
      <c r="ES118" s="192"/>
      <c r="ET118" s="192"/>
    </row>
    <row r="119" spans="1:150">
      <c r="A119" s="192"/>
      <c r="B119" s="36" t="str">
        <f>Input!B133</f>
        <v>Personnel</v>
      </c>
      <c r="C119" s="635">
        <f>-IF(AND(Input!$F133=EGR,ReimbMethodType=120),,Input!$T133*C92)</f>
        <v>0</v>
      </c>
      <c r="D119" s="635">
        <f>-IF(AND(Input!$F133=EGR,ReimbMethodType=120),,Input!$T133*D92)</f>
        <v>0</v>
      </c>
      <c r="E119" s="635">
        <f>-IF(AND(Input!$F133=EGR,ReimbMethodType=120),,Input!$T133*E92)</f>
        <v>0</v>
      </c>
      <c r="F119" s="635">
        <f>-IF(AND(Input!$F133=EGR,ReimbMethodType=120),,Input!$T133*F92)</f>
        <v>0</v>
      </c>
      <c r="G119" s="635">
        <f>-IF(AND(Input!$F133=EGR,ReimbMethodType=120),,Input!$T133*G92)</f>
        <v>0</v>
      </c>
      <c r="H119" s="635">
        <f>-IF(AND(Input!$F133=EGR,ReimbMethodType=120),,Input!$T133*H92)</f>
        <v>0</v>
      </c>
      <c r="I119" s="635">
        <f>-IF(AND(Input!$F133=EGR,ReimbMethodType=120),,Input!$T133*I92)</f>
        <v>0</v>
      </c>
      <c r="J119" s="635">
        <f>-IF(AND(Input!$F133=EGR,ReimbMethodType=120),,Input!$T133*J92)</f>
        <v>0</v>
      </c>
      <c r="K119" s="635">
        <f>-IF(AND(Input!$F133=EGR,ReimbMethodType=120),,Input!$T133*K92)</f>
        <v>0</v>
      </c>
      <c r="L119" s="635">
        <f>-IF(AND(Input!$F133=EGR,ReimbMethodType=120),,Input!$T133*L92)</f>
        <v>0</v>
      </c>
      <c r="M119" s="635">
        <f>-IF(AND(Input!$F133=EGR,ReimbMethodType=120),,Input!$T133*M92)</f>
        <v>0</v>
      </c>
      <c r="N119" s="192"/>
      <c r="O119" s="635">
        <f>-IF(AND(Input!$F133=EGR,ReimbMethodType=120),,Input!$T133*O92)</f>
        <v>0</v>
      </c>
      <c r="P119" s="192"/>
      <c r="Q119" s="37"/>
      <c r="R119" s="635">
        <f>-IF(AND(Input!$F133=EGR,ReimbMethodType=120),,Input!$T133*R92)</f>
        <v>0</v>
      </c>
      <c r="S119" s="635">
        <f>-IF(AND(Input!$F133=EGR,ReimbMethodType=120),,Input!$T133*S92)</f>
        <v>0</v>
      </c>
      <c r="T119" s="635">
        <f>-IF(AND(Input!$F133=EGR,ReimbMethodType=120),,Input!$T133*T92)</f>
        <v>0</v>
      </c>
      <c r="U119" s="635">
        <f>-IF(AND(Input!$F133=EGR,ReimbMethodType=120),,Input!$T133*U92)</f>
        <v>0</v>
      </c>
      <c r="V119" s="635">
        <f>-IF(AND(Input!$F133=EGR,ReimbMethodType=120),,Input!$T133*V92)</f>
        <v>0</v>
      </c>
      <c r="W119" s="635">
        <f>-IF(AND(Input!$F133=EGR,ReimbMethodType=120),,Input!$T133*W92)</f>
        <v>0</v>
      </c>
      <c r="X119" s="635">
        <f>-IF(AND(Input!$F133=EGR,ReimbMethodType=120),,Input!$T133*X92)</f>
        <v>0</v>
      </c>
      <c r="Y119" s="635">
        <f>-IF(AND(Input!$F133=EGR,ReimbMethodType=120),,Input!$T133*Y92)</f>
        <v>0</v>
      </c>
      <c r="Z119" s="635">
        <f>-IF(AND(Input!$F133=EGR,ReimbMethodType=120),,Input!$T133*Z92)</f>
        <v>0</v>
      </c>
      <c r="AA119" s="635">
        <f>-IF(AND(Input!$F133=EGR,ReimbMethodType=120),,Input!$T133*AA92)</f>
        <v>0</v>
      </c>
      <c r="AB119" s="635">
        <f>-IF(AND(Input!$F133=EGR,ReimbMethodType=120),,Input!$T133*AB92)</f>
        <v>0</v>
      </c>
      <c r="AC119" s="635">
        <f>-IF(AND(Input!$F133=EGR,ReimbMethodType=120),,Input!$T133*AC92)</f>
        <v>0</v>
      </c>
      <c r="AD119" s="635">
        <f>-IF(AND(Input!$F133=EGR,ReimbMethodType=120),,Input!$T133*AD92)</f>
        <v>0</v>
      </c>
      <c r="AE119" s="635">
        <f>-IF(AND(Input!$F133=EGR,ReimbMethodType=120),,Input!$T133*AE92)</f>
        <v>0</v>
      </c>
      <c r="AF119" s="635">
        <f>-IF(AND(Input!$F133=EGR,ReimbMethodType=120),,Input!$T133*AF92)</f>
        <v>0</v>
      </c>
      <c r="AG119" s="635">
        <f>-IF(AND(Input!$F133=EGR,ReimbMethodType=120),,Input!$T133*AG92)</f>
        <v>0</v>
      </c>
      <c r="AH119" s="635">
        <f>-IF(AND(Input!$F133=EGR,ReimbMethodType=120),,Input!$T133*AH92)</f>
        <v>0</v>
      </c>
      <c r="AI119" s="635">
        <f>-IF(AND(Input!$F133=EGR,ReimbMethodType=120),,Input!$T133*AI92)</f>
        <v>0</v>
      </c>
      <c r="AJ119" s="635">
        <f>-IF(AND(Input!$F133=EGR,ReimbMethodType=120),,Input!$T133*AJ92)</f>
        <v>0</v>
      </c>
      <c r="AK119" s="635">
        <f>-IF(AND(Input!$F133=EGR,ReimbMethodType=120),,Input!$T133*AK92)</f>
        <v>0</v>
      </c>
      <c r="AL119" s="635">
        <f>-IF(AND(Input!$F133=EGR,ReimbMethodType=120),,Input!$T133*AL92)</f>
        <v>0</v>
      </c>
      <c r="AM119" s="635">
        <f>-IF(AND(Input!$F133=EGR,ReimbMethodType=120),,Input!$T133*AM92)</f>
        <v>0</v>
      </c>
      <c r="AN119" s="635">
        <f>-IF(AND(Input!$F133=EGR,ReimbMethodType=120),,Input!$T133*AN92)</f>
        <v>0</v>
      </c>
      <c r="AO119" s="635">
        <f>-IF(AND(Input!$F133=EGR,ReimbMethodType=120),,Input!$T133*AO92)</f>
        <v>0</v>
      </c>
      <c r="AP119" s="635">
        <f>-IF(AND(Input!$F133=EGR,ReimbMethodType=120),,Input!$T133*AP92)</f>
        <v>0</v>
      </c>
      <c r="AQ119" s="635">
        <f>-IF(AND(Input!$F133=EGR,ReimbMethodType=120),,Input!$T133*AQ92)</f>
        <v>0</v>
      </c>
      <c r="AR119" s="635">
        <f>-IF(AND(Input!$F133=EGR,ReimbMethodType=120),,Input!$T133*AR92)</f>
        <v>0</v>
      </c>
      <c r="AS119" s="635">
        <f>-IF(AND(Input!$F133=EGR,ReimbMethodType=120),,Input!$T133*AS92)</f>
        <v>0</v>
      </c>
      <c r="AT119" s="635">
        <f>-IF(AND(Input!$F133=EGR,ReimbMethodType=120),,Input!$T133*AT92)</f>
        <v>0</v>
      </c>
      <c r="AU119" s="635">
        <f>-IF(AND(Input!$F133=EGR,ReimbMethodType=120),,Input!$T133*AU92)</f>
        <v>0</v>
      </c>
      <c r="AV119" s="635">
        <f>-IF(AND(Input!$F133=EGR,ReimbMethodType=120),,Input!$T133*AV92)</f>
        <v>0</v>
      </c>
      <c r="AW119" s="635">
        <f>-IF(AND(Input!$F133=EGR,ReimbMethodType=120),,Input!$T133*AW92)</f>
        <v>0</v>
      </c>
      <c r="AX119" s="635">
        <f>-IF(AND(Input!$F133=EGR,ReimbMethodType=120),,Input!$T133*AX92)</f>
        <v>0</v>
      </c>
      <c r="AY119" s="635">
        <f>-IF(AND(Input!$F133=EGR,ReimbMethodType=120),,Input!$T133*AY92)</f>
        <v>0</v>
      </c>
      <c r="AZ119" s="635">
        <f>-IF(AND(Input!$F133=EGR,ReimbMethodType=120),,Input!$T133*AZ92)</f>
        <v>0</v>
      </c>
      <c r="BA119" s="635">
        <f>-IF(AND(Input!$F133=EGR,ReimbMethodType=120),,Input!$T133*BA92)</f>
        <v>0</v>
      </c>
      <c r="BB119" s="192"/>
      <c r="BC119" s="192"/>
      <c r="BD119" s="192"/>
      <c r="BE119" s="192"/>
      <c r="BF119" s="192"/>
      <c r="BG119" s="192"/>
      <c r="BH119" s="192"/>
      <c r="BI119" s="192"/>
      <c r="BJ119" s="192"/>
      <c r="BK119" s="192"/>
      <c r="BL119" s="192"/>
      <c r="BM119" s="192"/>
      <c r="BN119" s="192"/>
      <c r="BO119" s="192"/>
      <c r="BP119" s="192"/>
      <c r="BQ119" s="192"/>
      <c r="BR119" s="192"/>
      <c r="BS119" s="192"/>
      <c r="BT119" s="192"/>
      <c r="BU119" s="192"/>
      <c r="BV119" s="192"/>
      <c r="BW119" s="192"/>
      <c r="BX119" s="192"/>
      <c r="BY119" s="192"/>
      <c r="BZ119" s="192"/>
      <c r="CA119" s="192"/>
      <c r="CB119" s="192"/>
      <c r="CC119" s="192"/>
      <c r="CD119" s="192"/>
      <c r="CE119" s="192"/>
      <c r="CF119" s="192"/>
      <c r="CG119" s="192"/>
      <c r="CH119" s="192"/>
      <c r="CI119" s="192"/>
      <c r="CJ119" s="192"/>
      <c r="CK119" s="192"/>
      <c r="CL119" s="192"/>
      <c r="CM119" s="192"/>
      <c r="CN119" s="192"/>
      <c r="CO119" s="192"/>
      <c r="CP119" s="192"/>
      <c r="CQ119" s="192"/>
      <c r="CR119" s="192"/>
      <c r="CS119" s="192"/>
      <c r="CT119" s="192"/>
      <c r="CU119" s="192"/>
      <c r="CV119" s="192"/>
      <c r="CW119" s="192"/>
      <c r="CX119" s="192"/>
      <c r="CY119" s="192"/>
      <c r="CZ119" s="192"/>
      <c r="DA119" s="192"/>
      <c r="DB119" s="192"/>
      <c r="DC119" s="192"/>
      <c r="DD119" s="192"/>
      <c r="DE119" s="192"/>
      <c r="DF119" s="192"/>
      <c r="DG119" s="192"/>
      <c r="DH119" s="192"/>
      <c r="DI119" s="192"/>
      <c r="DJ119" s="192"/>
      <c r="DK119" s="192"/>
      <c r="DL119" s="192"/>
      <c r="DM119" s="192"/>
      <c r="DN119" s="192"/>
      <c r="DO119" s="192"/>
      <c r="DP119" s="192"/>
      <c r="DQ119" s="192"/>
      <c r="DR119" s="192"/>
      <c r="DS119" s="192"/>
      <c r="DT119" s="192"/>
      <c r="DU119" s="192"/>
      <c r="DV119" s="192"/>
      <c r="DW119" s="192"/>
      <c r="DX119" s="192"/>
      <c r="DY119" s="192"/>
      <c r="DZ119" s="192"/>
      <c r="EA119" s="192"/>
      <c r="EB119" s="192"/>
      <c r="EC119" s="192"/>
      <c r="ED119" s="192"/>
      <c r="EE119" s="192"/>
      <c r="EF119" s="192"/>
      <c r="EG119" s="192"/>
      <c r="EH119" s="192"/>
      <c r="EI119" s="192"/>
      <c r="EJ119" s="192"/>
      <c r="EK119" s="192"/>
      <c r="EL119" s="192"/>
      <c r="EM119" s="192"/>
      <c r="EN119" s="192"/>
      <c r="EO119" s="192"/>
      <c r="EP119" s="192"/>
      <c r="EQ119" s="192"/>
      <c r="ER119" s="192"/>
      <c r="ES119" s="192"/>
      <c r="ET119" s="192"/>
    </row>
    <row r="120" spans="1:150">
      <c r="A120" s="192"/>
      <c r="B120" s="36" t="str">
        <f>Input!B134</f>
        <v>Marketing / Advertising</v>
      </c>
      <c r="C120" s="635">
        <f>-IF(AND(Input!$F134=EGR,ReimbMethodType=120),,Input!$T134*C93)</f>
        <v>0</v>
      </c>
      <c r="D120" s="635">
        <f>-IF(AND(Input!$F134=EGR,ReimbMethodType=120),,Input!$T134*D93)</f>
        <v>0</v>
      </c>
      <c r="E120" s="635">
        <f>-IF(AND(Input!$F134=EGR,ReimbMethodType=120),,Input!$T134*E93)</f>
        <v>0</v>
      </c>
      <c r="F120" s="635">
        <f>-IF(AND(Input!$F134=EGR,ReimbMethodType=120),,Input!$T134*F93)</f>
        <v>0</v>
      </c>
      <c r="G120" s="635">
        <f>-IF(AND(Input!$F134=EGR,ReimbMethodType=120),,Input!$T134*G93)</f>
        <v>0</v>
      </c>
      <c r="H120" s="635">
        <f>-IF(AND(Input!$F134=EGR,ReimbMethodType=120),,Input!$T134*H93)</f>
        <v>0</v>
      </c>
      <c r="I120" s="635">
        <f>-IF(AND(Input!$F134=EGR,ReimbMethodType=120),,Input!$T134*I93)</f>
        <v>0</v>
      </c>
      <c r="J120" s="635">
        <f>-IF(AND(Input!$F134=EGR,ReimbMethodType=120),,Input!$T134*J93)</f>
        <v>0</v>
      </c>
      <c r="K120" s="635">
        <f>-IF(AND(Input!$F134=EGR,ReimbMethodType=120),,Input!$T134*K93)</f>
        <v>0</v>
      </c>
      <c r="L120" s="635">
        <f>-IF(AND(Input!$F134=EGR,ReimbMethodType=120),,Input!$T134*L93)</f>
        <v>0</v>
      </c>
      <c r="M120" s="635">
        <f>-IF(AND(Input!$F134=EGR,ReimbMethodType=120),,Input!$T134*M93)</f>
        <v>0</v>
      </c>
      <c r="N120" s="192"/>
      <c r="O120" s="635">
        <f>-IF(AND(Input!$F134=EGR,ReimbMethodType=120),,Input!$T134*O93)</f>
        <v>0</v>
      </c>
      <c r="P120" s="192"/>
      <c r="Q120" s="37"/>
      <c r="R120" s="635">
        <f>-IF(AND(Input!$F134=EGR,ReimbMethodType=120),,Input!$T134*R93)</f>
        <v>0</v>
      </c>
      <c r="S120" s="635">
        <f>-IF(AND(Input!$F134=EGR,ReimbMethodType=120),,Input!$T134*S93)</f>
        <v>0</v>
      </c>
      <c r="T120" s="635">
        <f>-IF(AND(Input!$F134=EGR,ReimbMethodType=120),,Input!$T134*T93)</f>
        <v>0</v>
      </c>
      <c r="U120" s="635">
        <f>-IF(AND(Input!$F134=EGR,ReimbMethodType=120),,Input!$T134*U93)</f>
        <v>0</v>
      </c>
      <c r="V120" s="635">
        <f>-IF(AND(Input!$F134=EGR,ReimbMethodType=120),,Input!$T134*V93)</f>
        <v>0</v>
      </c>
      <c r="W120" s="635">
        <f>-IF(AND(Input!$F134=EGR,ReimbMethodType=120),,Input!$T134*W93)</f>
        <v>0</v>
      </c>
      <c r="X120" s="635">
        <f>-IF(AND(Input!$F134=EGR,ReimbMethodType=120),,Input!$T134*X93)</f>
        <v>0</v>
      </c>
      <c r="Y120" s="635">
        <f>-IF(AND(Input!$F134=EGR,ReimbMethodType=120),,Input!$T134*Y93)</f>
        <v>0</v>
      </c>
      <c r="Z120" s="635">
        <f>-IF(AND(Input!$F134=EGR,ReimbMethodType=120),,Input!$T134*Z93)</f>
        <v>0</v>
      </c>
      <c r="AA120" s="635">
        <f>-IF(AND(Input!$F134=EGR,ReimbMethodType=120),,Input!$T134*AA93)</f>
        <v>0</v>
      </c>
      <c r="AB120" s="635">
        <f>-IF(AND(Input!$F134=EGR,ReimbMethodType=120),,Input!$T134*AB93)</f>
        <v>0</v>
      </c>
      <c r="AC120" s="635">
        <f>-IF(AND(Input!$F134=EGR,ReimbMethodType=120),,Input!$T134*AC93)</f>
        <v>0</v>
      </c>
      <c r="AD120" s="635">
        <f>-IF(AND(Input!$F134=EGR,ReimbMethodType=120),,Input!$T134*AD93)</f>
        <v>0</v>
      </c>
      <c r="AE120" s="635">
        <f>-IF(AND(Input!$F134=EGR,ReimbMethodType=120),,Input!$T134*AE93)</f>
        <v>0</v>
      </c>
      <c r="AF120" s="635">
        <f>-IF(AND(Input!$F134=EGR,ReimbMethodType=120),,Input!$T134*AF93)</f>
        <v>0</v>
      </c>
      <c r="AG120" s="635">
        <f>-IF(AND(Input!$F134=EGR,ReimbMethodType=120),,Input!$T134*AG93)</f>
        <v>0</v>
      </c>
      <c r="AH120" s="635">
        <f>-IF(AND(Input!$F134=EGR,ReimbMethodType=120),,Input!$T134*AH93)</f>
        <v>0</v>
      </c>
      <c r="AI120" s="635">
        <f>-IF(AND(Input!$F134=EGR,ReimbMethodType=120),,Input!$T134*AI93)</f>
        <v>0</v>
      </c>
      <c r="AJ120" s="635">
        <f>-IF(AND(Input!$F134=EGR,ReimbMethodType=120),,Input!$T134*AJ93)</f>
        <v>0</v>
      </c>
      <c r="AK120" s="635">
        <f>-IF(AND(Input!$F134=EGR,ReimbMethodType=120),,Input!$T134*AK93)</f>
        <v>0</v>
      </c>
      <c r="AL120" s="635">
        <f>-IF(AND(Input!$F134=EGR,ReimbMethodType=120),,Input!$T134*AL93)</f>
        <v>0</v>
      </c>
      <c r="AM120" s="635">
        <f>-IF(AND(Input!$F134=EGR,ReimbMethodType=120),,Input!$T134*AM93)</f>
        <v>0</v>
      </c>
      <c r="AN120" s="635">
        <f>-IF(AND(Input!$F134=EGR,ReimbMethodType=120),,Input!$T134*AN93)</f>
        <v>0</v>
      </c>
      <c r="AO120" s="635">
        <f>-IF(AND(Input!$F134=EGR,ReimbMethodType=120),,Input!$T134*AO93)</f>
        <v>0</v>
      </c>
      <c r="AP120" s="635">
        <f>-IF(AND(Input!$F134=EGR,ReimbMethodType=120),,Input!$T134*AP93)</f>
        <v>0</v>
      </c>
      <c r="AQ120" s="635">
        <f>-IF(AND(Input!$F134=EGR,ReimbMethodType=120),,Input!$T134*AQ93)</f>
        <v>0</v>
      </c>
      <c r="AR120" s="635">
        <f>-IF(AND(Input!$F134=EGR,ReimbMethodType=120),,Input!$T134*AR93)</f>
        <v>0</v>
      </c>
      <c r="AS120" s="635">
        <f>-IF(AND(Input!$F134=EGR,ReimbMethodType=120),,Input!$T134*AS93)</f>
        <v>0</v>
      </c>
      <c r="AT120" s="635">
        <f>-IF(AND(Input!$F134=EGR,ReimbMethodType=120),,Input!$T134*AT93)</f>
        <v>0</v>
      </c>
      <c r="AU120" s="635">
        <f>-IF(AND(Input!$F134=EGR,ReimbMethodType=120),,Input!$T134*AU93)</f>
        <v>0</v>
      </c>
      <c r="AV120" s="635">
        <f>-IF(AND(Input!$F134=EGR,ReimbMethodType=120),,Input!$T134*AV93)</f>
        <v>0</v>
      </c>
      <c r="AW120" s="635">
        <f>-IF(AND(Input!$F134=EGR,ReimbMethodType=120),,Input!$T134*AW93)</f>
        <v>0</v>
      </c>
      <c r="AX120" s="635">
        <f>-IF(AND(Input!$F134=EGR,ReimbMethodType=120),,Input!$T134*AX93)</f>
        <v>0</v>
      </c>
      <c r="AY120" s="635">
        <f>-IF(AND(Input!$F134=EGR,ReimbMethodType=120),,Input!$T134*AY93)</f>
        <v>0</v>
      </c>
      <c r="AZ120" s="635">
        <f>-IF(AND(Input!$F134=EGR,ReimbMethodType=120),,Input!$T134*AZ93)</f>
        <v>0</v>
      </c>
      <c r="BA120" s="635">
        <f>-IF(AND(Input!$F134=EGR,ReimbMethodType=120),,Input!$T134*BA93)</f>
        <v>0</v>
      </c>
      <c r="BB120" s="192"/>
      <c r="BC120" s="192"/>
      <c r="BD120" s="192"/>
      <c r="BE120" s="192"/>
      <c r="BF120" s="192"/>
      <c r="BG120" s="192"/>
      <c r="BH120" s="192"/>
      <c r="BI120" s="192"/>
      <c r="BJ120" s="192"/>
      <c r="BK120" s="192"/>
      <c r="BL120" s="192"/>
      <c r="BM120" s="192"/>
      <c r="BN120" s="192"/>
      <c r="BO120" s="192"/>
      <c r="BP120" s="192"/>
      <c r="BQ120" s="192"/>
      <c r="BR120" s="192"/>
      <c r="BS120" s="192"/>
      <c r="BT120" s="192"/>
      <c r="BU120" s="192"/>
      <c r="BV120" s="192"/>
      <c r="BW120" s="192"/>
      <c r="BX120" s="192"/>
      <c r="BY120" s="192"/>
      <c r="BZ120" s="192"/>
      <c r="CA120" s="192"/>
      <c r="CB120" s="192"/>
      <c r="CC120" s="192"/>
      <c r="CD120" s="192"/>
      <c r="CE120" s="192"/>
      <c r="CF120" s="192"/>
      <c r="CG120" s="192"/>
      <c r="CH120" s="192"/>
      <c r="CI120" s="192"/>
      <c r="CJ120" s="192"/>
      <c r="CK120" s="192"/>
      <c r="CL120" s="192"/>
      <c r="CM120" s="192"/>
      <c r="CN120" s="192"/>
      <c r="CO120" s="192"/>
      <c r="CP120" s="192"/>
      <c r="CQ120" s="192"/>
      <c r="CR120" s="192"/>
      <c r="CS120" s="192"/>
      <c r="CT120" s="192"/>
      <c r="CU120" s="192"/>
      <c r="CV120" s="192"/>
      <c r="CW120" s="192"/>
      <c r="CX120" s="192"/>
      <c r="CY120" s="192"/>
      <c r="CZ120" s="192"/>
      <c r="DA120" s="192"/>
      <c r="DB120" s="192"/>
      <c r="DC120" s="192"/>
      <c r="DD120" s="192"/>
      <c r="DE120" s="192"/>
      <c r="DF120" s="192"/>
      <c r="DG120" s="192"/>
      <c r="DH120" s="192"/>
      <c r="DI120" s="192"/>
      <c r="DJ120" s="192"/>
      <c r="DK120" s="192"/>
      <c r="DL120" s="192"/>
      <c r="DM120" s="192"/>
      <c r="DN120" s="192"/>
      <c r="DO120" s="192"/>
      <c r="DP120" s="192"/>
      <c r="DQ120" s="192"/>
      <c r="DR120" s="192"/>
      <c r="DS120" s="192"/>
      <c r="DT120" s="192"/>
      <c r="DU120" s="192"/>
      <c r="DV120" s="192"/>
      <c r="DW120" s="192"/>
      <c r="DX120" s="192"/>
      <c r="DY120" s="192"/>
      <c r="DZ120" s="192"/>
      <c r="EA120" s="192"/>
      <c r="EB120" s="192"/>
      <c r="EC120" s="192"/>
      <c r="ED120" s="192"/>
      <c r="EE120" s="192"/>
      <c r="EF120" s="192"/>
      <c r="EG120" s="192"/>
      <c r="EH120" s="192"/>
      <c r="EI120" s="192"/>
      <c r="EJ120" s="192"/>
      <c r="EK120" s="192"/>
      <c r="EL120" s="192"/>
      <c r="EM120" s="192"/>
      <c r="EN120" s="192"/>
      <c r="EO120" s="192"/>
      <c r="EP120" s="192"/>
      <c r="EQ120" s="192"/>
      <c r="ER120" s="192"/>
      <c r="ES120" s="192"/>
      <c r="ET120" s="192"/>
    </row>
    <row r="121" spans="1:150">
      <c r="A121" s="192"/>
      <c r="B121" s="36" t="str">
        <f>Input!B135</f>
        <v>Leasing Commissions</v>
      </c>
      <c r="C121" s="635">
        <f>-IF(AND(Input!$F135=EGR,ReimbMethodType=120),,Input!$T135*C94)</f>
        <v>0</v>
      </c>
      <c r="D121" s="635">
        <f>-IF(AND(Input!$F135=EGR,ReimbMethodType=120),,Input!$T135*D94)</f>
        <v>0</v>
      </c>
      <c r="E121" s="635">
        <f>-IF(AND(Input!$F135=EGR,ReimbMethodType=120),,Input!$T135*E94)</f>
        <v>0</v>
      </c>
      <c r="F121" s="635">
        <f>-IF(AND(Input!$F135=EGR,ReimbMethodType=120),,Input!$T135*F94)</f>
        <v>0</v>
      </c>
      <c r="G121" s="635">
        <f>-IF(AND(Input!$F135=EGR,ReimbMethodType=120),,Input!$T135*G94)</f>
        <v>0</v>
      </c>
      <c r="H121" s="635">
        <f>-IF(AND(Input!$F135=EGR,ReimbMethodType=120),,Input!$T135*H94)</f>
        <v>0</v>
      </c>
      <c r="I121" s="635">
        <f>-IF(AND(Input!$F135=EGR,ReimbMethodType=120),,Input!$T135*I94)</f>
        <v>0</v>
      </c>
      <c r="J121" s="635">
        <f>-IF(AND(Input!$F135=EGR,ReimbMethodType=120),,Input!$T135*J94)</f>
        <v>0</v>
      </c>
      <c r="K121" s="635">
        <f>-IF(AND(Input!$F135=EGR,ReimbMethodType=120),,Input!$T135*K94)</f>
        <v>0</v>
      </c>
      <c r="L121" s="635">
        <f>-IF(AND(Input!$F135=EGR,ReimbMethodType=120),,Input!$T135*L94)</f>
        <v>0</v>
      </c>
      <c r="M121" s="635">
        <f>-IF(AND(Input!$F135=EGR,ReimbMethodType=120),,Input!$T135*M94)</f>
        <v>0</v>
      </c>
      <c r="N121" s="192"/>
      <c r="O121" s="635">
        <f>-IF(AND(Input!$F135=EGR,ReimbMethodType=120),,Input!$T135*O94)</f>
        <v>0</v>
      </c>
      <c r="P121" s="192"/>
      <c r="Q121" s="37"/>
      <c r="R121" s="635">
        <f>-IF(AND(Input!$F135=EGR,ReimbMethodType=120),,Input!$T135*R94)</f>
        <v>0</v>
      </c>
      <c r="S121" s="635">
        <f>-IF(AND(Input!$F135=EGR,ReimbMethodType=120),,Input!$T135*S94)</f>
        <v>0</v>
      </c>
      <c r="T121" s="635">
        <f>-IF(AND(Input!$F135=EGR,ReimbMethodType=120),,Input!$T135*T94)</f>
        <v>0</v>
      </c>
      <c r="U121" s="635">
        <f>-IF(AND(Input!$F135=EGR,ReimbMethodType=120),,Input!$T135*U94)</f>
        <v>0</v>
      </c>
      <c r="V121" s="635">
        <f>-IF(AND(Input!$F135=EGR,ReimbMethodType=120),,Input!$T135*V94)</f>
        <v>0</v>
      </c>
      <c r="W121" s="635">
        <f>-IF(AND(Input!$F135=EGR,ReimbMethodType=120),,Input!$T135*W94)</f>
        <v>0</v>
      </c>
      <c r="X121" s="635">
        <f>-IF(AND(Input!$F135=EGR,ReimbMethodType=120),,Input!$T135*X94)</f>
        <v>0</v>
      </c>
      <c r="Y121" s="635">
        <f>-IF(AND(Input!$F135=EGR,ReimbMethodType=120),,Input!$T135*Y94)</f>
        <v>0</v>
      </c>
      <c r="Z121" s="635">
        <f>-IF(AND(Input!$F135=EGR,ReimbMethodType=120),,Input!$T135*Z94)</f>
        <v>0</v>
      </c>
      <c r="AA121" s="635">
        <f>-IF(AND(Input!$F135=EGR,ReimbMethodType=120),,Input!$T135*AA94)</f>
        <v>0</v>
      </c>
      <c r="AB121" s="635">
        <f>-IF(AND(Input!$F135=EGR,ReimbMethodType=120),,Input!$T135*AB94)</f>
        <v>0</v>
      </c>
      <c r="AC121" s="635">
        <f>-IF(AND(Input!$F135=EGR,ReimbMethodType=120),,Input!$T135*AC94)</f>
        <v>0</v>
      </c>
      <c r="AD121" s="635">
        <f>-IF(AND(Input!$F135=EGR,ReimbMethodType=120),,Input!$T135*AD94)</f>
        <v>0</v>
      </c>
      <c r="AE121" s="635">
        <f>-IF(AND(Input!$F135=EGR,ReimbMethodType=120),,Input!$T135*AE94)</f>
        <v>0</v>
      </c>
      <c r="AF121" s="635">
        <f>-IF(AND(Input!$F135=EGR,ReimbMethodType=120),,Input!$T135*AF94)</f>
        <v>0</v>
      </c>
      <c r="AG121" s="635">
        <f>-IF(AND(Input!$F135=EGR,ReimbMethodType=120),,Input!$T135*AG94)</f>
        <v>0</v>
      </c>
      <c r="AH121" s="635">
        <f>-IF(AND(Input!$F135=EGR,ReimbMethodType=120),,Input!$T135*AH94)</f>
        <v>0</v>
      </c>
      <c r="AI121" s="635">
        <f>-IF(AND(Input!$F135=EGR,ReimbMethodType=120),,Input!$T135*AI94)</f>
        <v>0</v>
      </c>
      <c r="AJ121" s="635">
        <f>-IF(AND(Input!$F135=EGR,ReimbMethodType=120),,Input!$T135*AJ94)</f>
        <v>0</v>
      </c>
      <c r="AK121" s="635">
        <f>-IF(AND(Input!$F135=EGR,ReimbMethodType=120),,Input!$T135*AK94)</f>
        <v>0</v>
      </c>
      <c r="AL121" s="635">
        <f>-IF(AND(Input!$F135=EGR,ReimbMethodType=120),,Input!$T135*AL94)</f>
        <v>0</v>
      </c>
      <c r="AM121" s="635">
        <f>-IF(AND(Input!$F135=EGR,ReimbMethodType=120),,Input!$T135*AM94)</f>
        <v>0</v>
      </c>
      <c r="AN121" s="635">
        <f>-IF(AND(Input!$F135=EGR,ReimbMethodType=120),,Input!$T135*AN94)</f>
        <v>0</v>
      </c>
      <c r="AO121" s="635">
        <f>-IF(AND(Input!$F135=EGR,ReimbMethodType=120),,Input!$T135*AO94)</f>
        <v>0</v>
      </c>
      <c r="AP121" s="635">
        <f>-IF(AND(Input!$F135=EGR,ReimbMethodType=120),,Input!$T135*AP94)</f>
        <v>0</v>
      </c>
      <c r="AQ121" s="635">
        <f>-IF(AND(Input!$F135=EGR,ReimbMethodType=120),,Input!$T135*AQ94)</f>
        <v>0</v>
      </c>
      <c r="AR121" s="635">
        <f>-IF(AND(Input!$F135=EGR,ReimbMethodType=120),,Input!$T135*AR94)</f>
        <v>0</v>
      </c>
      <c r="AS121" s="635">
        <f>-IF(AND(Input!$F135=EGR,ReimbMethodType=120),,Input!$T135*AS94)</f>
        <v>0</v>
      </c>
      <c r="AT121" s="635">
        <f>-IF(AND(Input!$F135=EGR,ReimbMethodType=120),,Input!$T135*AT94)</f>
        <v>0</v>
      </c>
      <c r="AU121" s="635">
        <f>-IF(AND(Input!$F135=EGR,ReimbMethodType=120),,Input!$T135*AU94)</f>
        <v>0</v>
      </c>
      <c r="AV121" s="635">
        <f>-IF(AND(Input!$F135=EGR,ReimbMethodType=120),,Input!$T135*AV94)</f>
        <v>0</v>
      </c>
      <c r="AW121" s="635">
        <f>-IF(AND(Input!$F135=EGR,ReimbMethodType=120),,Input!$T135*AW94)</f>
        <v>0</v>
      </c>
      <c r="AX121" s="635">
        <f>-IF(AND(Input!$F135=EGR,ReimbMethodType=120),,Input!$T135*AX94)</f>
        <v>0</v>
      </c>
      <c r="AY121" s="635">
        <f>-IF(AND(Input!$F135=EGR,ReimbMethodType=120),,Input!$T135*AY94)</f>
        <v>0</v>
      </c>
      <c r="AZ121" s="635">
        <f>-IF(AND(Input!$F135=EGR,ReimbMethodType=120),,Input!$T135*AZ94)</f>
        <v>0</v>
      </c>
      <c r="BA121" s="635">
        <f>-IF(AND(Input!$F135=EGR,ReimbMethodType=120),,Input!$T135*BA94)</f>
        <v>0</v>
      </c>
      <c r="BB121" s="192"/>
      <c r="BC121" s="192"/>
      <c r="BD121" s="192"/>
      <c r="BE121" s="192"/>
      <c r="BF121" s="192"/>
      <c r="BG121" s="192"/>
      <c r="BH121" s="192"/>
      <c r="BI121" s="192"/>
      <c r="BJ121" s="192"/>
      <c r="BK121" s="192"/>
      <c r="BL121" s="192"/>
      <c r="BM121" s="192"/>
      <c r="BN121" s="192"/>
      <c r="BO121" s="192"/>
      <c r="BP121" s="192"/>
      <c r="BQ121" s="192"/>
      <c r="BR121" s="192"/>
      <c r="BS121" s="192"/>
      <c r="BT121" s="192"/>
      <c r="BU121" s="192"/>
      <c r="BV121" s="192"/>
      <c r="BW121" s="192"/>
      <c r="BX121" s="192"/>
      <c r="BY121" s="192"/>
      <c r="BZ121" s="192"/>
      <c r="CA121" s="192"/>
      <c r="CB121" s="192"/>
      <c r="CC121" s="192"/>
      <c r="CD121" s="192"/>
      <c r="CE121" s="192"/>
      <c r="CF121" s="192"/>
      <c r="CG121" s="192"/>
      <c r="CH121" s="192"/>
      <c r="CI121" s="192"/>
      <c r="CJ121" s="192"/>
      <c r="CK121" s="192"/>
      <c r="CL121" s="192"/>
      <c r="CM121" s="192"/>
      <c r="CN121" s="192"/>
      <c r="CO121" s="192"/>
      <c r="CP121" s="192"/>
      <c r="CQ121" s="192"/>
      <c r="CR121" s="192"/>
      <c r="CS121" s="192"/>
      <c r="CT121" s="192"/>
      <c r="CU121" s="192"/>
      <c r="CV121" s="192"/>
      <c r="CW121" s="192"/>
      <c r="CX121" s="192"/>
      <c r="CY121" s="192"/>
      <c r="CZ121" s="192"/>
      <c r="DA121" s="192"/>
      <c r="DB121" s="192"/>
      <c r="DC121" s="192"/>
      <c r="DD121" s="192"/>
      <c r="DE121" s="192"/>
      <c r="DF121" s="192"/>
      <c r="DG121" s="192"/>
      <c r="DH121" s="192"/>
      <c r="DI121" s="192"/>
      <c r="DJ121" s="192"/>
      <c r="DK121" s="192"/>
      <c r="DL121" s="192"/>
      <c r="DM121" s="192"/>
      <c r="DN121" s="192"/>
      <c r="DO121" s="192"/>
      <c r="DP121" s="192"/>
      <c r="DQ121" s="192"/>
      <c r="DR121" s="192"/>
      <c r="DS121" s="192"/>
      <c r="DT121" s="192"/>
      <c r="DU121" s="192"/>
      <c r="DV121" s="192"/>
      <c r="DW121" s="192"/>
      <c r="DX121" s="192"/>
      <c r="DY121" s="192"/>
      <c r="DZ121" s="192"/>
      <c r="EA121" s="192"/>
      <c r="EB121" s="192"/>
      <c r="EC121" s="192"/>
      <c r="ED121" s="192"/>
      <c r="EE121" s="192"/>
      <c r="EF121" s="192"/>
      <c r="EG121" s="192"/>
      <c r="EH121" s="192"/>
      <c r="EI121" s="192"/>
      <c r="EJ121" s="192"/>
      <c r="EK121" s="192"/>
      <c r="EL121" s="192"/>
      <c r="EM121" s="192"/>
      <c r="EN121" s="192"/>
      <c r="EO121" s="192"/>
      <c r="EP121" s="192"/>
      <c r="EQ121" s="192"/>
      <c r="ER121" s="192"/>
      <c r="ES121" s="192"/>
      <c r="ET121" s="192"/>
    </row>
    <row r="122" spans="1:150">
      <c r="A122" s="192"/>
      <c r="B122" s="36" t="str">
        <f>Input!B136</f>
        <v>Administrative Expenses</v>
      </c>
      <c r="C122" s="635">
        <f>-IF(AND(Input!$F136=EGR,ReimbMethodType=120),,Input!$T136*C95)</f>
        <v>0</v>
      </c>
      <c r="D122" s="635">
        <f>-IF(AND(Input!$F136=EGR,ReimbMethodType=120),,Input!$T136*D95)</f>
        <v>0</v>
      </c>
      <c r="E122" s="635">
        <f>-IF(AND(Input!$F136=EGR,ReimbMethodType=120),,Input!$T136*E95)</f>
        <v>0</v>
      </c>
      <c r="F122" s="635">
        <f>-IF(AND(Input!$F136=EGR,ReimbMethodType=120),,Input!$T136*F95)</f>
        <v>0</v>
      </c>
      <c r="G122" s="635">
        <f>-IF(AND(Input!$F136=EGR,ReimbMethodType=120),,Input!$T136*G95)</f>
        <v>0</v>
      </c>
      <c r="H122" s="635">
        <f>-IF(AND(Input!$F136=EGR,ReimbMethodType=120),,Input!$T136*H95)</f>
        <v>0</v>
      </c>
      <c r="I122" s="635">
        <f>-IF(AND(Input!$F136=EGR,ReimbMethodType=120),,Input!$T136*I95)</f>
        <v>0</v>
      </c>
      <c r="J122" s="635">
        <f>-IF(AND(Input!$F136=EGR,ReimbMethodType=120),,Input!$T136*J95)</f>
        <v>0</v>
      </c>
      <c r="K122" s="635">
        <f>-IF(AND(Input!$F136=EGR,ReimbMethodType=120),,Input!$T136*K95)</f>
        <v>0</v>
      </c>
      <c r="L122" s="635">
        <f>-IF(AND(Input!$F136=EGR,ReimbMethodType=120),,Input!$T136*L95)</f>
        <v>0</v>
      </c>
      <c r="M122" s="635">
        <f>-IF(AND(Input!$F136=EGR,ReimbMethodType=120),,Input!$T136*M95)</f>
        <v>0</v>
      </c>
      <c r="N122" s="192"/>
      <c r="O122" s="635">
        <f>-IF(AND(Input!$F136=EGR,ReimbMethodType=120),,Input!$T136*O95)</f>
        <v>0</v>
      </c>
      <c r="P122" s="192"/>
      <c r="Q122" s="37"/>
      <c r="R122" s="635">
        <f>-IF(AND(Input!$F136=EGR,ReimbMethodType=120),,Input!$T136*R95)</f>
        <v>0</v>
      </c>
      <c r="S122" s="635">
        <f>-IF(AND(Input!$F136=EGR,ReimbMethodType=120),,Input!$T136*S95)</f>
        <v>0</v>
      </c>
      <c r="T122" s="635">
        <f>-IF(AND(Input!$F136=EGR,ReimbMethodType=120),,Input!$T136*T95)</f>
        <v>0</v>
      </c>
      <c r="U122" s="635">
        <f>-IF(AND(Input!$F136=EGR,ReimbMethodType=120),,Input!$T136*U95)</f>
        <v>0</v>
      </c>
      <c r="V122" s="635">
        <f>-IF(AND(Input!$F136=EGR,ReimbMethodType=120),,Input!$T136*V95)</f>
        <v>0</v>
      </c>
      <c r="W122" s="635">
        <f>-IF(AND(Input!$F136=EGR,ReimbMethodType=120),,Input!$T136*W95)</f>
        <v>0</v>
      </c>
      <c r="X122" s="635">
        <f>-IF(AND(Input!$F136=EGR,ReimbMethodType=120),,Input!$T136*X95)</f>
        <v>0</v>
      </c>
      <c r="Y122" s="635">
        <f>-IF(AND(Input!$F136=EGR,ReimbMethodType=120),,Input!$T136*Y95)</f>
        <v>0</v>
      </c>
      <c r="Z122" s="635">
        <f>-IF(AND(Input!$F136=EGR,ReimbMethodType=120),,Input!$T136*Z95)</f>
        <v>0</v>
      </c>
      <c r="AA122" s="635">
        <f>-IF(AND(Input!$F136=EGR,ReimbMethodType=120),,Input!$T136*AA95)</f>
        <v>0</v>
      </c>
      <c r="AB122" s="635">
        <f>-IF(AND(Input!$F136=EGR,ReimbMethodType=120),,Input!$T136*AB95)</f>
        <v>0</v>
      </c>
      <c r="AC122" s="635">
        <f>-IF(AND(Input!$F136=EGR,ReimbMethodType=120),,Input!$T136*AC95)</f>
        <v>0</v>
      </c>
      <c r="AD122" s="635">
        <f>-IF(AND(Input!$F136=EGR,ReimbMethodType=120),,Input!$T136*AD95)</f>
        <v>0</v>
      </c>
      <c r="AE122" s="635">
        <f>-IF(AND(Input!$F136=EGR,ReimbMethodType=120),,Input!$T136*AE95)</f>
        <v>0</v>
      </c>
      <c r="AF122" s="635">
        <f>-IF(AND(Input!$F136=EGR,ReimbMethodType=120),,Input!$T136*AF95)</f>
        <v>0</v>
      </c>
      <c r="AG122" s="635">
        <f>-IF(AND(Input!$F136=EGR,ReimbMethodType=120),,Input!$T136*AG95)</f>
        <v>0</v>
      </c>
      <c r="AH122" s="635">
        <f>-IF(AND(Input!$F136=EGR,ReimbMethodType=120),,Input!$T136*AH95)</f>
        <v>0</v>
      </c>
      <c r="AI122" s="635">
        <f>-IF(AND(Input!$F136=EGR,ReimbMethodType=120),,Input!$T136*AI95)</f>
        <v>0</v>
      </c>
      <c r="AJ122" s="635">
        <f>-IF(AND(Input!$F136=EGR,ReimbMethodType=120),,Input!$T136*AJ95)</f>
        <v>0</v>
      </c>
      <c r="AK122" s="635">
        <f>-IF(AND(Input!$F136=EGR,ReimbMethodType=120),,Input!$T136*AK95)</f>
        <v>0</v>
      </c>
      <c r="AL122" s="635">
        <f>-IF(AND(Input!$F136=EGR,ReimbMethodType=120),,Input!$T136*AL95)</f>
        <v>0</v>
      </c>
      <c r="AM122" s="635">
        <f>-IF(AND(Input!$F136=EGR,ReimbMethodType=120),,Input!$T136*AM95)</f>
        <v>0</v>
      </c>
      <c r="AN122" s="635">
        <f>-IF(AND(Input!$F136=EGR,ReimbMethodType=120),,Input!$T136*AN95)</f>
        <v>0</v>
      </c>
      <c r="AO122" s="635">
        <f>-IF(AND(Input!$F136=EGR,ReimbMethodType=120),,Input!$T136*AO95)</f>
        <v>0</v>
      </c>
      <c r="AP122" s="635">
        <f>-IF(AND(Input!$F136=EGR,ReimbMethodType=120),,Input!$T136*AP95)</f>
        <v>0</v>
      </c>
      <c r="AQ122" s="635">
        <f>-IF(AND(Input!$F136=EGR,ReimbMethodType=120),,Input!$T136*AQ95)</f>
        <v>0</v>
      </c>
      <c r="AR122" s="635">
        <f>-IF(AND(Input!$F136=EGR,ReimbMethodType=120),,Input!$T136*AR95)</f>
        <v>0</v>
      </c>
      <c r="AS122" s="635">
        <f>-IF(AND(Input!$F136=EGR,ReimbMethodType=120),,Input!$T136*AS95)</f>
        <v>0</v>
      </c>
      <c r="AT122" s="635">
        <f>-IF(AND(Input!$F136=EGR,ReimbMethodType=120),,Input!$T136*AT95)</f>
        <v>0</v>
      </c>
      <c r="AU122" s="635">
        <f>-IF(AND(Input!$F136=EGR,ReimbMethodType=120),,Input!$T136*AU95)</f>
        <v>0</v>
      </c>
      <c r="AV122" s="635">
        <f>-IF(AND(Input!$F136=EGR,ReimbMethodType=120),,Input!$T136*AV95)</f>
        <v>0</v>
      </c>
      <c r="AW122" s="635">
        <f>-IF(AND(Input!$F136=EGR,ReimbMethodType=120),,Input!$T136*AW95)</f>
        <v>0</v>
      </c>
      <c r="AX122" s="635">
        <f>-IF(AND(Input!$F136=EGR,ReimbMethodType=120),,Input!$T136*AX95)</f>
        <v>0</v>
      </c>
      <c r="AY122" s="635">
        <f>-IF(AND(Input!$F136=EGR,ReimbMethodType=120),,Input!$T136*AY95)</f>
        <v>0</v>
      </c>
      <c r="AZ122" s="635">
        <f>-IF(AND(Input!$F136=EGR,ReimbMethodType=120),,Input!$T136*AZ95)</f>
        <v>0</v>
      </c>
      <c r="BA122" s="635">
        <f>-IF(AND(Input!$F136=EGR,ReimbMethodType=120),,Input!$T136*BA95)</f>
        <v>0</v>
      </c>
      <c r="BB122" s="192"/>
      <c r="BC122" s="192"/>
      <c r="BD122" s="192"/>
      <c r="BE122" s="192"/>
      <c r="BF122" s="192"/>
      <c r="BG122" s="192"/>
      <c r="BH122" s="192"/>
      <c r="BI122" s="192"/>
      <c r="BJ122" s="192"/>
      <c r="BK122" s="192"/>
      <c r="BL122" s="192"/>
      <c r="BM122" s="192"/>
      <c r="BN122" s="192"/>
      <c r="BO122" s="192"/>
      <c r="BP122" s="192"/>
      <c r="BQ122" s="192"/>
      <c r="BR122" s="192"/>
      <c r="BS122" s="192"/>
      <c r="BT122" s="192"/>
      <c r="BU122" s="192"/>
      <c r="BV122" s="192"/>
      <c r="BW122" s="192"/>
      <c r="BX122" s="192"/>
      <c r="BY122" s="192"/>
      <c r="BZ122" s="192"/>
      <c r="CA122" s="192"/>
      <c r="CB122" s="192"/>
      <c r="CC122" s="192"/>
      <c r="CD122" s="192"/>
      <c r="CE122" s="192"/>
      <c r="CF122" s="192"/>
      <c r="CG122" s="192"/>
      <c r="CH122" s="192"/>
      <c r="CI122" s="192"/>
      <c r="CJ122" s="192"/>
      <c r="CK122" s="192"/>
      <c r="CL122" s="192"/>
      <c r="CM122" s="192"/>
      <c r="CN122" s="192"/>
      <c r="CO122" s="192"/>
      <c r="CP122" s="192"/>
      <c r="CQ122" s="192"/>
      <c r="CR122" s="192"/>
      <c r="CS122" s="192"/>
      <c r="CT122" s="192"/>
      <c r="CU122" s="192"/>
      <c r="CV122" s="192"/>
      <c r="CW122" s="192"/>
      <c r="CX122" s="192"/>
      <c r="CY122" s="192"/>
      <c r="CZ122" s="192"/>
      <c r="DA122" s="192"/>
      <c r="DB122" s="192"/>
      <c r="DC122" s="192"/>
      <c r="DD122" s="192"/>
      <c r="DE122" s="192"/>
      <c r="DF122" s="192"/>
      <c r="DG122" s="192"/>
      <c r="DH122" s="192"/>
      <c r="DI122" s="192"/>
      <c r="DJ122" s="192"/>
      <c r="DK122" s="192"/>
      <c r="DL122" s="192"/>
      <c r="DM122" s="192"/>
      <c r="DN122" s="192"/>
      <c r="DO122" s="192"/>
      <c r="DP122" s="192"/>
      <c r="DQ122" s="192"/>
      <c r="DR122" s="192"/>
      <c r="DS122" s="192"/>
      <c r="DT122" s="192"/>
      <c r="DU122" s="192"/>
      <c r="DV122" s="192"/>
      <c r="DW122" s="192"/>
      <c r="DX122" s="192"/>
      <c r="DY122" s="192"/>
      <c r="DZ122" s="192"/>
      <c r="EA122" s="192"/>
      <c r="EB122" s="192"/>
      <c r="EC122" s="192"/>
      <c r="ED122" s="192"/>
      <c r="EE122" s="192"/>
      <c r="EF122" s="192"/>
      <c r="EG122" s="192"/>
      <c r="EH122" s="192"/>
      <c r="EI122" s="192"/>
      <c r="EJ122" s="192"/>
      <c r="EK122" s="192"/>
      <c r="EL122" s="192"/>
      <c r="EM122" s="192"/>
      <c r="EN122" s="192"/>
      <c r="EO122" s="192"/>
      <c r="EP122" s="192"/>
      <c r="EQ122" s="192"/>
      <c r="ER122" s="192"/>
      <c r="ES122" s="192"/>
      <c r="ET122" s="192"/>
    </row>
    <row r="123" spans="1:150">
      <c r="A123" s="192"/>
      <c r="B123" s="36" t="str">
        <f>Input!B137</f>
        <v>Turnover / Make-Ready</v>
      </c>
      <c r="C123" s="635">
        <f>-IF(AND(Input!$F137=EGR,ReimbMethodType=120),,Input!$T137*C96)</f>
        <v>0</v>
      </c>
      <c r="D123" s="635">
        <f>-IF(AND(Input!$F137=EGR,ReimbMethodType=120),,Input!$T137*D96)</f>
        <v>0</v>
      </c>
      <c r="E123" s="635">
        <f>-IF(AND(Input!$F137=EGR,ReimbMethodType=120),,Input!$T137*E96)</f>
        <v>0</v>
      </c>
      <c r="F123" s="635">
        <f>-IF(AND(Input!$F137=EGR,ReimbMethodType=120),,Input!$T137*F96)</f>
        <v>0</v>
      </c>
      <c r="G123" s="635">
        <f>-IF(AND(Input!$F137=EGR,ReimbMethodType=120),,Input!$T137*G96)</f>
        <v>0</v>
      </c>
      <c r="H123" s="635">
        <f>-IF(AND(Input!$F137=EGR,ReimbMethodType=120),,Input!$T137*H96)</f>
        <v>0</v>
      </c>
      <c r="I123" s="635">
        <f>-IF(AND(Input!$F137=EGR,ReimbMethodType=120),,Input!$T137*I96)</f>
        <v>0</v>
      </c>
      <c r="J123" s="635">
        <f>-IF(AND(Input!$F137=EGR,ReimbMethodType=120),,Input!$T137*J96)</f>
        <v>0</v>
      </c>
      <c r="K123" s="635">
        <f>-IF(AND(Input!$F137=EGR,ReimbMethodType=120),,Input!$T137*K96)</f>
        <v>0</v>
      </c>
      <c r="L123" s="635">
        <f>-IF(AND(Input!$F137=EGR,ReimbMethodType=120),,Input!$T137*L96)</f>
        <v>0</v>
      </c>
      <c r="M123" s="635">
        <f>-IF(AND(Input!$F137=EGR,ReimbMethodType=120),,Input!$T137*M96)</f>
        <v>0</v>
      </c>
      <c r="N123" s="192"/>
      <c r="O123" s="635">
        <f>-IF(AND(Input!$F137=EGR,ReimbMethodType=120),,Input!$T137*O96)</f>
        <v>0</v>
      </c>
      <c r="P123" s="192"/>
      <c r="Q123" s="835"/>
      <c r="R123" s="635">
        <f>-IF(AND(Input!$F137=EGR,ReimbMethodType=120),,Input!$T137*R96)</f>
        <v>0</v>
      </c>
      <c r="S123" s="635">
        <f>-IF(AND(Input!$F137=EGR,ReimbMethodType=120),,Input!$T137*S96)</f>
        <v>0</v>
      </c>
      <c r="T123" s="635">
        <f>-IF(AND(Input!$F137=EGR,ReimbMethodType=120),,Input!$T137*T96)</f>
        <v>0</v>
      </c>
      <c r="U123" s="635">
        <f>-IF(AND(Input!$F137=EGR,ReimbMethodType=120),,Input!$T137*U96)</f>
        <v>0</v>
      </c>
      <c r="V123" s="635">
        <f>-IF(AND(Input!$F137=EGR,ReimbMethodType=120),,Input!$T137*V96)</f>
        <v>0</v>
      </c>
      <c r="W123" s="635">
        <f>-IF(AND(Input!$F137=EGR,ReimbMethodType=120),,Input!$T137*W96)</f>
        <v>0</v>
      </c>
      <c r="X123" s="635">
        <f>-IF(AND(Input!$F137=EGR,ReimbMethodType=120),,Input!$T137*X96)</f>
        <v>0</v>
      </c>
      <c r="Y123" s="635">
        <f>-IF(AND(Input!$F137=EGR,ReimbMethodType=120),,Input!$T137*Y96)</f>
        <v>0</v>
      </c>
      <c r="Z123" s="635">
        <f>-IF(AND(Input!$F137=EGR,ReimbMethodType=120),,Input!$T137*Z96)</f>
        <v>0</v>
      </c>
      <c r="AA123" s="635">
        <f>-IF(AND(Input!$F137=EGR,ReimbMethodType=120),,Input!$T137*AA96)</f>
        <v>0</v>
      </c>
      <c r="AB123" s="635">
        <f>-IF(AND(Input!$F137=EGR,ReimbMethodType=120),,Input!$T137*AB96)</f>
        <v>0</v>
      </c>
      <c r="AC123" s="635">
        <f>-IF(AND(Input!$F137=EGR,ReimbMethodType=120),,Input!$T137*AC96)</f>
        <v>0</v>
      </c>
      <c r="AD123" s="635">
        <f>-IF(AND(Input!$F137=EGR,ReimbMethodType=120),,Input!$T137*AD96)</f>
        <v>0</v>
      </c>
      <c r="AE123" s="635">
        <f>-IF(AND(Input!$F137=EGR,ReimbMethodType=120),,Input!$T137*AE96)</f>
        <v>0</v>
      </c>
      <c r="AF123" s="635">
        <f>-IF(AND(Input!$F137=EGR,ReimbMethodType=120),,Input!$T137*AF96)</f>
        <v>0</v>
      </c>
      <c r="AG123" s="635">
        <f>-IF(AND(Input!$F137=EGR,ReimbMethodType=120),,Input!$T137*AG96)</f>
        <v>0</v>
      </c>
      <c r="AH123" s="635">
        <f>-IF(AND(Input!$F137=EGR,ReimbMethodType=120),,Input!$T137*AH96)</f>
        <v>0</v>
      </c>
      <c r="AI123" s="635">
        <f>-IF(AND(Input!$F137=EGR,ReimbMethodType=120),,Input!$T137*AI96)</f>
        <v>0</v>
      </c>
      <c r="AJ123" s="635">
        <f>-IF(AND(Input!$F137=EGR,ReimbMethodType=120),,Input!$T137*AJ96)</f>
        <v>0</v>
      </c>
      <c r="AK123" s="635">
        <f>-IF(AND(Input!$F137=EGR,ReimbMethodType=120),,Input!$T137*AK96)</f>
        <v>0</v>
      </c>
      <c r="AL123" s="635">
        <f>-IF(AND(Input!$F137=EGR,ReimbMethodType=120),,Input!$T137*AL96)</f>
        <v>0</v>
      </c>
      <c r="AM123" s="635">
        <f>-IF(AND(Input!$F137=EGR,ReimbMethodType=120),,Input!$T137*AM96)</f>
        <v>0</v>
      </c>
      <c r="AN123" s="635">
        <f>-IF(AND(Input!$F137=EGR,ReimbMethodType=120),,Input!$T137*AN96)</f>
        <v>0</v>
      </c>
      <c r="AO123" s="635">
        <f>-IF(AND(Input!$F137=EGR,ReimbMethodType=120),,Input!$T137*AO96)</f>
        <v>0</v>
      </c>
      <c r="AP123" s="635">
        <f>-IF(AND(Input!$F137=EGR,ReimbMethodType=120),,Input!$T137*AP96)</f>
        <v>0</v>
      </c>
      <c r="AQ123" s="635">
        <f>-IF(AND(Input!$F137=EGR,ReimbMethodType=120),,Input!$T137*AQ96)</f>
        <v>0</v>
      </c>
      <c r="AR123" s="635">
        <f>-IF(AND(Input!$F137=EGR,ReimbMethodType=120),,Input!$T137*AR96)</f>
        <v>0</v>
      </c>
      <c r="AS123" s="635">
        <f>-IF(AND(Input!$F137=EGR,ReimbMethodType=120),,Input!$T137*AS96)</f>
        <v>0</v>
      </c>
      <c r="AT123" s="635">
        <f>-IF(AND(Input!$F137=EGR,ReimbMethodType=120),,Input!$T137*AT96)</f>
        <v>0</v>
      </c>
      <c r="AU123" s="635">
        <f>-IF(AND(Input!$F137=EGR,ReimbMethodType=120),,Input!$T137*AU96)</f>
        <v>0</v>
      </c>
      <c r="AV123" s="635">
        <f>-IF(AND(Input!$F137=EGR,ReimbMethodType=120),,Input!$T137*AV96)</f>
        <v>0</v>
      </c>
      <c r="AW123" s="635">
        <f>-IF(AND(Input!$F137=EGR,ReimbMethodType=120),,Input!$T137*AW96)</f>
        <v>0</v>
      </c>
      <c r="AX123" s="635">
        <f>-IF(AND(Input!$F137=EGR,ReimbMethodType=120),,Input!$T137*AX96)</f>
        <v>0</v>
      </c>
      <c r="AY123" s="635">
        <f>-IF(AND(Input!$F137=EGR,ReimbMethodType=120),,Input!$T137*AY96)</f>
        <v>0</v>
      </c>
      <c r="AZ123" s="635">
        <f>-IF(AND(Input!$F137=EGR,ReimbMethodType=120),,Input!$T137*AZ96)</f>
        <v>0</v>
      </c>
      <c r="BA123" s="635">
        <f>-IF(AND(Input!$F137=EGR,ReimbMethodType=120),,Input!$T137*BA96)</f>
        <v>0</v>
      </c>
      <c r="BB123" s="192"/>
      <c r="BC123" s="192"/>
      <c r="BD123" s="192"/>
      <c r="BE123" s="192"/>
      <c r="BF123" s="192"/>
      <c r="BG123" s="192"/>
      <c r="BH123" s="192"/>
      <c r="BI123" s="192"/>
      <c r="BJ123" s="192"/>
      <c r="BK123" s="192"/>
      <c r="BL123" s="192"/>
      <c r="BM123" s="192"/>
      <c r="BN123" s="192"/>
      <c r="BO123" s="192"/>
      <c r="BP123" s="192"/>
      <c r="BQ123" s="192"/>
      <c r="BR123" s="192"/>
      <c r="BS123" s="192"/>
      <c r="BT123" s="192"/>
      <c r="BU123" s="192"/>
      <c r="BV123" s="192"/>
      <c r="BW123" s="192"/>
      <c r="BX123" s="192"/>
      <c r="BY123" s="192"/>
      <c r="BZ123" s="192"/>
      <c r="CA123" s="192"/>
      <c r="CB123" s="192"/>
      <c r="CC123" s="192"/>
      <c r="CD123" s="192"/>
      <c r="CE123" s="192"/>
      <c r="CF123" s="192"/>
      <c r="CG123" s="192"/>
      <c r="CH123" s="192"/>
      <c r="CI123" s="192"/>
      <c r="CJ123" s="192"/>
      <c r="CK123" s="192"/>
      <c r="CL123" s="192"/>
      <c r="CM123" s="192"/>
      <c r="CN123" s="192"/>
      <c r="CO123" s="192"/>
      <c r="CP123" s="192"/>
      <c r="CQ123" s="192"/>
      <c r="CR123" s="192"/>
      <c r="CS123" s="192"/>
      <c r="CT123" s="192"/>
      <c r="CU123" s="192"/>
      <c r="CV123" s="192"/>
      <c r="CW123" s="192"/>
      <c r="CX123" s="192"/>
      <c r="CY123" s="192"/>
      <c r="CZ123" s="192"/>
      <c r="DA123" s="192"/>
      <c r="DB123" s="192"/>
      <c r="DC123" s="192"/>
      <c r="DD123" s="192"/>
      <c r="DE123" s="192"/>
      <c r="DF123" s="192"/>
      <c r="DG123" s="192"/>
      <c r="DH123" s="192"/>
      <c r="DI123" s="192"/>
      <c r="DJ123" s="192"/>
      <c r="DK123" s="192"/>
      <c r="DL123" s="192"/>
      <c r="DM123" s="192"/>
      <c r="DN123" s="192"/>
      <c r="DO123" s="192"/>
      <c r="DP123" s="192"/>
      <c r="DQ123" s="192"/>
      <c r="DR123" s="192"/>
      <c r="DS123" s="192"/>
      <c r="DT123" s="192"/>
      <c r="DU123" s="192"/>
      <c r="DV123" s="192"/>
      <c r="DW123" s="192"/>
      <c r="DX123" s="192"/>
      <c r="DY123" s="192"/>
      <c r="DZ123" s="192"/>
      <c r="EA123" s="192"/>
      <c r="EB123" s="192"/>
      <c r="EC123" s="192"/>
      <c r="ED123" s="192"/>
      <c r="EE123" s="192"/>
      <c r="EF123" s="192"/>
      <c r="EG123" s="192"/>
      <c r="EH123" s="192"/>
      <c r="EI123" s="192"/>
      <c r="EJ123" s="192"/>
      <c r="EK123" s="192"/>
      <c r="EL123" s="192"/>
      <c r="EM123" s="192"/>
      <c r="EN123" s="192"/>
      <c r="EO123" s="192"/>
      <c r="EP123" s="192"/>
      <c r="EQ123" s="192"/>
      <c r="ER123" s="192"/>
      <c r="ES123" s="192"/>
      <c r="ET123" s="192"/>
    </row>
    <row r="124" spans="1:150">
      <c r="A124" s="192"/>
      <c r="B124" s="36" t="str">
        <f>Input!B138</f>
        <v>Electricity</v>
      </c>
      <c r="C124" s="635">
        <f>-IF(AND(Input!$F138=EGR,ReimbMethodType=120),,Input!$T138*C97)</f>
        <v>0</v>
      </c>
      <c r="D124" s="635">
        <f>-IF(AND(Input!$F138=EGR,ReimbMethodType=120),,Input!$T138*D97)</f>
        <v>0</v>
      </c>
      <c r="E124" s="635">
        <f>-IF(AND(Input!$F138=EGR,ReimbMethodType=120),,Input!$T138*E97)</f>
        <v>0</v>
      </c>
      <c r="F124" s="635">
        <f>-IF(AND(Input!$F138=EGR,ReimbMethodType=120),,Input!$T138*F97)</f>
        <v>0</v>
      </c>
      <c r="G124" s="635">
        <f>-IF(AND(Input!$F138=EGR,ReimbMethodType=120),,Input!$T138*G97)</f>
        <v>0</v>
      </c>
      <c r="H124" s="635">
        <f>-IF(AND(Input!$F138=EGR,ReimbMethodType=120),,Input!$T138*H97)</f>
        <v>0</v>
      </c>
      <c r="I124" s="635">
        <f>-IF(AND(Input!$F138=EGR,ReimbMethodType=120),,Input!$T138*I97)</f>
        <v>0</v>
      </c>
      <c r="J124" s="635">
        <f>-IF(AND(Input!$F138=EGR,ReimbMethodType=120),,Input!$T138*J97)</f>
        <v>0</v>
      </c>
      <c r="K124" s="635">
        <f>-IF(AND(Input!$F138=EGR,ReimbMethodType=120),,Input!$T138*K97)</f>
        <v>0</v>
      </c>
      <c r="L124" s="635">
        <f>-IF(AND(Input!$F138=EGR,ReimbMethodType=120),,Input!$T138*L97)</f>
        <v>0</v>
      </c>
      <c r="M124" s="635">
        <f>-IF(AND(Input!$F138=EGR,ReimbMethodType=120),,Input!$T138*M97)</f>
        <v>0</v>
      </c>
      <c r="N124" s="192"/>
      <c r="O124" s="635">
        <f>-IF(AND(Input!$F138=EGR,ReimbMethodType=120),,Input!$T138*O97)</f>
        <v>0</v>
      </c>
      <c r="P124" s="192"/>
      <c r="Q124" s="37"/>
      <c r="R124" s="635">
        <f>-IF(AND(Input!$F138=EGR,ReimbMethodType=120),,Input!$T138*R97)</f>
        <v>0</v>
      </c>
      <c r="S124" s="635">
        <f>-IF(AND(Input!$F138=EGR,ReimbMethodType=120),,Input!$T138*S97)</f>
        <v>0</v>
      </c>
      <c r="T124" s="635">
        <f>-IF(AND(Input!$F138=EGR,ReimbMethodType=120),,Input!$T138*T97)</f>
        <v>0</v>
      </c>
      <c r="U124" s="635">
        <f>-IF(AND(Input!$F138=EGR,ReimbMethodType=120),,Input!$T138*U97)</f>
        <v>0</v>
      </c>
      <c r="V124" s="635">
        <f>-IF(AND(Input!$F138=EGR,ReimbMethodType=120),,Input!$T138*V97)</f>
        <v>0</v>
      </c>
      <c r="W124" s="635">
        <f>-IF(AND(Input!$F138=EGR,ReimbMethodType=120),,Input!$T138*W97)</f>
        <v>0</v>
      </c>
      <c r="X124" s="635">
        <f>-IF(AND(Input!$F138=EGR,ReimbMethodType=120),,Input!$T138*X97)</f>
        <v>0</v>
      </c>
      <c r="Y124" s="635">
        <f>-IF(AND(Input!$F138=EGR,ReimbMethodType=120),,Input!$T138*Y97)</f>
        <v>0</v>
      </c>
      <c r="Z124" s="635">
        <f>-IF(AND(Input!$F138=EGR,ReimbMethodType=120),,Input!$T138*Z97)</f>
        <v>0</v>
      </c>
      <c r="AA124" s="635">
        <f>-IF(AND(Input!$F138=EGR,ReimbMethodType=120),,Input!$T138*AA97)</f>
        <v>0</v>
      </c>
      <c r="AB124" s="635">
        <f>-IF(AND(Input!$F138=EGR,ReimbMethodType=120),,Input!$T138*AB97)</f>
        <v>0</v>
      </c>
      <c r="AC124" s="635">
        <f>-IF(AND(Input!$F138=EGR,ReimbMethodType=120),,Input!$T138*AC97)</f>
        <v>0</v>
      </c>
      <c r="AD124" s="635">
        <f>-IF(AND(Input!$F138=EGR,ReimbMethodType=120),,Input!$T138*AD97)</f>
        <v>0</v>
      </c>
      <c r="AE124" s="635">
        <f>-IF(AND(Input!$F138=EGR,ReimbMethodType=120),,Input!$T138*AE97)</f>
        <v>0</v>
      </c>
      <c r="AF124" s="635">
        <f>-IF(AND(Input!$F138=EGR,ReimbMethodType=120),,Input!$T138*AF97)</f>
        <v>0</v>
      </c>
      <c r="AG124" s="635">
        <f>-IF(AND(Input!$F138=EGR,ReimbMethodType=120),,Input!$T138*AG97)</f>
        <v>0</v>
      </c>
      <c r="AH124" s="635">
        <f>-IF(AND(Input!$F138=EGR,ReimbMethodType=120),,Input!$T138*AH97)</f>
        <v>0</v>
      </c>
      <c r="AI124" s="635">
        <f>-IF(AND(Input!$F138=EGR,ReimbMethodType=120),,Input!$T138*AI97)</f>
        <v>0</v>
      </c>
      <c r="AJ124" s="635">
        <f>-IF(AND(Input!$F138=EGR,ReimbMethodType=120),,Input!$T138*AJ97)</f>
        <v>0</v>
      </c>
      <c r="AK124" s="635">
        <f>-IF(AND(Input!$F138=EGR,ReimbMethodType=120),,Input!$T138*AK97)</f>
        <v>0</v>
      </c>
      <c r="AL124" s="635">
        <f>-IF(AND(Input!$F138=EGR,ReimbMethodType=120),,Input!$T138*AL97)</f>
        <v>0</v>
      </c>
      <c r="AM124" s="635">
        <f>-IF(AND(Input!$F138=EGR,ReimbMethodType=120),,Input!$T138*AM97)</f>
        <v>0</v>
      </c>
      <c r="AN124" s="635">
        <f>-IF(AND(Input!$F138=EGR,ReimbMethodType=120),,Input!$T138*AN97)</f>
        <v>0</v>
      </c>
      <c r="AO124" s="635">
        <f>-IF(AND(Input!$F138=EGR,ReimbMethodType=120),,Input!$T138*AO97)</f>
        <v>0</v>
      </c>
      <c r="AP124" s="635">
        <f>-IF(AND(Input!$F138=EGR,ReimbMethodType=120),,Input!$T138*AP97)</f>
        <v>0</v>
      </c>
      <c r="AQ124" s="635">
        <f>-IF(AND(Input!$F138=EGR,ReimbMethodType=120),,Input!$T138*AQ97)</f>
        <v>0</v>
      </c>
      <c r="AR124" s="635">
        <f>-IF(AND(Input!$F138=EGR,ReimbMethodType=120),,Input!$T138*AR97)</f>
        <v>0</v>
      </c>
      <c r="AS124" s="635">
        <f>-IF(AND(Input!$F138=EGR,ReimbMethodType=120),,Input!$T138*AS97)</f>
        <v>0</v>
      </c>
      <c r="AT124" s="635">
        <f>-IF(AND(Input!$F138=EGR,ReimbMethodType=120),,Input!$T138*AT97)</f>
        <v>0</v>
      </c>
      <c r="AU124" s="635">
        <f>-IF(AND(Input!$F138=EGR,ReimbMethodType=120),,Input!$T138*AU97)</f>
        <v>0</v>
      </c>
      <c r="AV124" s="635">
        <f>-IF(AND(Input!$F138=EGR,ReimbMethodType=120),,Input!$T138*AV97)</f>
        <v>0</v>
      </c>
      <c r="AW124" s="635">
        <f>-IF(AND(Input!$F138=EGR,ReimbMethodType=120),,Input!$T138*AW97)</f>
        <v>0</v>
      </c>
      <c r="AX124" s="635">
        <f>-IF(AND(Input!$F138=EGR,ReimbMethodType=120),,Input!$T138*AX97)</f>
        <v>0</v>
      </c>
      <c r="AY124" s="635">
        <f>-IF(AND(Input!$F138=EGR,ReimbMethodType=120),,Input!$T138*AY97)</f>
        <v>0</v>
      </c>
      <c r="AZ124" s="635">
        <f>-IF(AND(Input!$F138=EGR,ReimbMethodType=120),,Input!$T138*AZ97)</f>
        <v>0</v>
      </c>
      <c r="BA124" s="635">
        <f>-IF(AND(Input!$F138=EGR,ReimbMethodType=120),,Input!$T138*BA97)</f>
        <v>0</v>
      </c>
      <c r="BB124" s="192"/>
      <c r="BC124" s="192"/>
      <c r="BD124" s="192"/>
      <c r="BE124" s="192"/>
      <c r="BF124" s="192"/>
      <c r="BG124" s="192"/>
      <c r="BH124" s="192"/>
      <c r="BI124" s="192"/>
      <c r="BJ124" s="192"/>
      <c r="BK124" s="192"/>
      <c r="BL124" s="192"/>
      <c r="BM124" s="192"/>
      <c r="BN124" s="192"/>
      <c r="BO124" s="192"/>
      <c r="BP124" s="192"/>
      <c r="BQ124" s="192"/>
      <c r="BR124" s="192"/>
      <c r="BS124" s="192"/>
      <c r="BT124" s="192"/>
      <c r="BU124" s="192"/>
      <c r="BV124" s="192"/>
      <c r="BW124" s="192"/>
      <c r="BX124" s="192"/>
      <c r="BY124" s="192"/>
      <c r="BZ124" s="192"/>
      <c r="CA124" s="192"/>
      <c r="CB124" s="192"/>
      <c r="CC124" s="192"/>
      <c r="CD124" s="192"/>
      <c r="CE124" s="192"/>
      <c r="CF124" s="192"/>
      <c r="CG124" s="192"/>
      <c r="CH124" s="192"/>
      <c r="CI124" s="192"/>
      <c r="CJ124" s="192"/>
      <c r="CK124" s="192"/>
      <c r="CL124" s="192"/>
      <c r="CM124" s="192"/>
      <c r="CN124" s="192"/>
      <c r="CO124" s="192"/>
      <c r="CP124" s="192"/>
      <c r="CQ124" s="192"/>
      <c r="CR124" s="192"/>
      <c r="CS124" s="192"/>
      <c r="CT124" s="192"/>
      <c r="CU124" s="192"/>
      <c r="CV124" s="192"/>
      <c r="CW124" s="192"/>
      <c r="CX124" s="192"/>
      <c r="CY124" s="192"/>
      <c r="CZ124" s="192"/>
      <c r="DA124" s="192"/>
      <c r="DB124" s="192"/>
      <c r="DC124" s="192"/>
      <c r="DD124" s="192"/>
      <c r="DE124" s="192"/>
      <c r="DF124" s="192"/>
      <c r="DG124" s="192"/>
      <c r="DH124" s="192"/>
      <c r="DI124" s="192"/>
      <c r="DJ124" s="192"/>
      <c r="DK124" s="192"/>
      <c r="DL124" s="192"/>
      <c r="DM124" s="192"/>
      <c r="DN124" s="192"/>
      <c r="DO124" s="192"/>
      <c r="DP124" s="192"/>
      <c r="DQ124" s="192"/>
      <c r="DR124" s="192"/>
      <c r="DS124" s="192"/>
      <c r="DT124" s="192"/>
      <c r="DU124" s="192"/>
      <c r="DV124" s="192"/>
      <c r="DW124" s="192"/>
      <c r="DX124" s="192"/>
      <c r="DY124" s="192"/>
      <c r="DZ124" s="192"/>
      <c r="EA124" s="192"/>
      <c r="EB124" s="192"/>
      <c r="EC124" s="192"/>
      <c r="ED124" s="192"/>
      <c r="EE124" s="192"/>
      <c r="EF124" s="192"/>
      <c r="EG124" s="192"/>
      <c r="EH124" s="192"/>
      <c r="EI124" s="192"/>
      <c r="EJ124" s="192"/>
      <c r="EK124" s="192"/>
      <c r="EL124" s="192"/>
      <c r="EM124" s="192"/>
      <c r="EN124" s="192"/>
      <c r="EO124" s="192"/>
      <c r="EP124" s="192"/>
      <c r="EQ124" s="192"/>
      <c r="ER124" s="192"/>
      <c r="ES124" s="192"/>
      <c r="ET124" s="192"/>
    </row>
    <row r="125" spans="1:150">
      <c r="A125" s="192"/>
      <c r="B125" s="36" t="str">
        <f>Input!B139</f>
        <v>Fuel (Gas &amp; Oil)</v>
      </c>
      <c r="C125" s="635">
        <f>-IF(AND(Input!$F139=EGR,ReimbMethodType=120),,Input!$T139*C98)</f>
        <v>0</v>
      </c>
      <c r="D125" s="635">
        <f>-IF(AND(Input!$F139=EGR,ReimbMethodType=120),,Input!$T139*D98)</f>
        <v>0</v>
      </c>
      <c r="E125" s="635">
        <f>-IF(AND(Input!$F139=EGR,ReimbMethodType=120),,Input!$T139*E98)</f>
        <v>0</v>
      </c>
      <c r="F125" s="635">
        <f>-IF(AND(Input!$F139=EGR,ReimbMethodType=120),,Input!$T139*F98)</f>
        <v>0</v>
      </c>
      <c r="G125" s="635">
        <f>-IF(AND(Input!$F139=EGR,ReimbMethodType=120),,Input!$T139*G98)</f>
        <v>0</v>
      </c>
      <c r="H125" s="635">
        <f>-IF(AND(Input!$F139=EGR,ReimbMethodType=120),,Input!$T139*H98)</f>
        <v>0</v>
      </c>
      <c r="I125" s="635">
        <f>-IF(AND(Input!$F139=EGR,ReimbMethodType=120),,Input!$T139*I98)</f>
        <v>0</v>
      </c>
      <c r="J125" s="635">
        <f>-IF(AND(Input!$F139=EGR,ReimbMethodType=120),,Input!$T139*J98)</f>
        <v>0</v>
      </c>
      <c r="K125" s="635">
        <f>-IF(AND(Input!$F139=EGR,ReimbMethodType=120),,Input!$T139*K98)</f>
        <v>0</v>
      </c>
      <c r="L125" s="635">
        <f>-IF(AND(Input!$F139=EGR,ReimbMethodType=120),,Input!$T139*L98)</f>
        <v>0</v>
      </c>
      <c r="M125" s="635">
        <f>-IF(AND(Input!$F139=EGR,ReimbMethodType=120),,Input!$T139*M98)</f>
        <v>0</v>
      </c>
      <c r="N125" s="192"/>
      <c r="O125" s="635">
        <f>-IF(AND(Input!$F139=EGR,ReimbMethodType=120),,Input!$T139*O98)</f>
        <v>0</v>
      </c>
      <c r="P125" s="192"/>
      <c r="Q125" s="37"/>
      <c r="R125" s="635">
        <f>-IF(AND(Input!$F139=EGR,ReimbMethodType=120),,Input!$T139*R98)</f>
        <v>0</v>
      </c>
      <c r="S125" s="635">
        <f>-IF(AND(Input!$F139=EGR,ReimbMethodType=120),,Input!$T139*S98)</f>
        <v>0</v>
      </c>
      <c r="T125" s="635">
        <f>-IF(AND(Input!$F139=EGR,ReimbMethodType=120),,Input!$T139*T98)</f>
        <v>0</v>
      </c>
      <c r="U125" s="635">
        <f>-IF(AND(Input!$F139=EGR,ReimbMethodType=120),,Input!$T139*U98)</f>
        <v>0</v>
      </c>
      <c r="V125" s="635">
        <f>-IF(AND(Input!$F139=EGR,ReimbMethodType=120),,Input!$T139*V98)</f>
        <v>0</v>
      </c>
      <c r="W125" s="635">
        <f>-IF(AND(Input!$F139=EGR,ReimbMethodType=120),,Input!$T139*W98)</f>
        <v>0</v>
      </c>
      <c r="X125" s="635">
        <f>-IF(AND(Input!$F139=EGR,ReimbMethodType=120),,Input!$T139*X98)</f>
        <v>0</v>
      </c>
      <c r="Y125" s="635">
        <f>-IF(AND(Input!$F139=EGR,ReimbMethodType=120),,Input!$T139*Y98)</f>
        <v>0</v>
      </c>
      <c r="Z125" s="635">
        <f>-IF(AND(Input!$F139=EGR,ReimbMethodType=120),,Input!$T139*Z98)</f>
        <v>0</v>
      </c>
      <c r="AA125" s="635">
        <f>-IF(AND(Input!$F139=EGR,ReimbMethodType=120),,Input!$T139*AA98)</f>
        <v>0</v>
      </c>
      <c r="AB125" s="635">
        <f>-IF(AND(Input!$F139=EGR,ReimbMethodType=120),,Input!$T139*AB98)</f>
        <v>0</v>
      </c>
      <c r="AC125" s="635">
        <f>-IF(AND(Input!$F139=EGR,ReimbMethodType=120),,Input!$T139*AC98)</f>
        <v>0</v>
      </c>
      <c r="AD125" s="635">
        <f>-IF(AND(Input!$F139=EGR,ReimbMethodType=120),,Input!$T139*AD98)</f>
        <v>0</v>
      </c>
      <c r="AE125" s="635">
        <f>-IF(AND(Input!$F139=EGR,ReimbMethodType=120),,Input!$T139*AE98)</f>
        <v>0</v>
      </c>
      <c r="AF125" s="635">
        <f>-IF(AND(Input!$F139=EGR,ReimbMethodType=120),,Input!$T139*AF98)</f>
        <v>0</v>
      </c>
      <c r="AG125" s="635">
        <f>-IF(AND(Input!$F139=EGR,ReimbMethodType=120),,Input!$T139*AG98)</f>
        <v>0</v>
      </c>
      <c r="AH125" s="635">
        <f>-IF(AND(Input!$F139=EGR,ReimbMethodType=120),,Input!$T139*AH98)</f>
        <v>0</v>
      </c>
      <c r="AI125" s="635">
        <f>-IF(AND(Input!$F139=EGR,ReimbMethodType=120),,Input!$T139*AI98)</f>
        <v>0</v>
      </c>
      <c r="AJ125" s="635">
        <f>-IF(AND(Input!$F139=EGR,ReimbMethodType=120),,Input!$T139*AJ98)</f>
        <v>0</v>
      </c>
      <c r="AK125" s="635">
        <f>-IF(AND(Input!$F139=EGR,ReimbMethodType=120),,Input!$T139*AK98)</f>
        <v>0</v>
      </c>
      <c r="AL125" s="635">
        <f>-IF(AND(Input!$F139=EGR,ReimbMethodType=120),,Input!$T139*AL98)</f>
        <v>0</v>
      </c>
      <c r="AM125" s="635">
        <f>-IF(AND(Input!$F139=EGR,ReimbMethodType=120),,Input!$T139*AM98)</f>
        <v>0</v>
      </c>
      <c r="AN125" s="635">
        <f>-IF(AND(Input!$F139=EGR,ReimbMethodType=120),,Input!$T139*AN98)</f>
        <v>0</v>
      </c>
      <c r="AO125" s="635">
        <f>-IF(AND(Input!$F139=EGR,ReimbMethodType=120),,Input!$T139*AO98)</f>
        <v>0</v>
      </c>
      <c r="AP125" s="635">
        <f>-IF(AND(Input!$F139=EGR,ReimbMethodType=120),,Input!$T139*AP98)</f>
        <v>0</v>
      </c>
      <c r="AQ125" s="635">
        <f>-IF(AND(Input!$F139=EGR,ReimbMethodType=120),,Input!$T139*AQ98)</f>
        <v>0</v>
      </c>
      <c r="AR125" s="635">
        <f>-IF(AND(Input!$F139=EGR,ReimbMethodType=120),,Input!$T139*AR98)</f>
        <v>0</v>
      </c>
      <c r="AS125" s="635">
        <f>-IF(AND(Input!$F139=EGR,ReimbMethodType=120),,Input!$T139*AS98)</f>
        <v>0</v>
      </c>
      <c r="AT125" s="635">
        <f>-IF(AND(Input!$F139=EGR,ReimbMethodType=120),,Input!$T139*AT98)</f>
        <v>0</v>
      </c>
      <c r="AU125" s="635">
        <f>-IF(AND(Input!$F139=EGR,ReimbMethodType=120),,Input!$T139*AU98)</f>
        <v>0</v>
      </c>
      <c r="AV125" s="635">
        <f>-IF(AND(Input!$F139=EGR,ReimbMethodType=120),,Input!$T139*AV98)</f>
        <v>0</v>
      </c>
      <c r="AW125" s="635">
        <f>-IF(AND(Input!$F139=EGR,ReimbMethodType=120),,Input!$T139*AW98)</f>
        <v>0</v>
      </c>
      <c r="AX125" s="635">
        <f>-IF(AND(Input!$F139=EGR,ReimbMethodType=120),,Input!$T139*AX98)</f>
        <v>0</v>
      </c>
      <c r="AY125" s="635">
        <f>-IF(AND(Input!$F139=EGR,ReimbMethodType=120),,Input!$T139*AY98)</f>
        <v>0</v>
      </c>
      <c r="AZ125" s="635">
        <f>-IF(AND(Input!$F139=EGR,ReimbMethodType=120),,Input!$T139*AZ98)</f>
        <v>0</v>
      </c>
      <c r="BA125" s="635">
        <f>-IF(AND(Input!$F139=EGR,ReimbMethodType=120),,Input!$T139*BA98)</f>
        <v>0</v>
      </c>
      <c r="BB125" s="192"/>
      <c r="BC125" s="192"/>
      <c r="BD125" s="192"/>
      <c r="BE125" s="192"/>
      <c r="BF125" s="192"/>
      <c r="BG125" s="192"/>
      <c r="BH125" s="192"/>
      <c r="BI125" s="192"/>
      <c r="BJ125" s="192"/>
      <c r="BK125" s="192"/>
      <c r="BL125" s="192"/>
      <c r="BM125" s="192"/>
      <c r="BN125" s="192"/>
      <c r="BO125" s="192"/>
      <c r="BP125" s="192"/>
      <c r="BQ125" s="192"/>
      <c r="BR125" s="192"/>
      <c r="BS125" s="192"/>
      <c r="BT125" s="192"/>
      <c r="BU125" s="192"/>
      <c r="BV125" s="192"/>
      <c r="BW125" s="192"/>
      <c r="BX125" s="192"/>
      <c r="BY125" s="192"/>
      <c r="BZ125" s="192"/>
      <c r="CA125" s="192"/>
      <c r="CB125" s="192"/>
      <c r="CC125" s="192"/>
      <c r="CD125" s="192"/>
      <c r="CE125" s="192"/>
      <c r="CF125" s="192"/>
      <c r="CG125" s="192"/>
      <c r="CH125" s="192"/>
      <c r="CI125" s="192"/>
      <c r="CJ125" s="192"/>
      <c r="CK125" s="192"/>
      <c r="CL125" s="192"/>
      <c r="CM125" s="192"/>
      <c r="CN125" s="192"/>
      <c r="CO125" s="192"/>
      <c r="CP125" s="192"/>
      <c r="CQ125" s="192"/>
      <c r="CR125" s="192"/>
      <c r="CS125" s="192"/>
      <c r="CT125" s="192"/>
      <c r="CU125" s="192"/>
      <c r="CV125" s="192"/>
      <c r="CW125" s="192"/>
      <c r="CX125" s="192"/>
      <c r="CY125" s="192"/>
      <c r="CZ125" s="192"/>
      <c r="DA125" s="192"/>
      <c r="DB125" s="192"/>
      <c r="DC125" s="192"/>
      <c r="DD125" s="192"/>
      <c r="DE125" s="192"/>
      <c r="DF125" s="192"/>
      <c r="DG125" s="192"/>
      <c r="DH125" s="192"/>
      <c r="DI125" s="192"/>
      <c r="DJ125" s="192"/>
      <c r="DK125" s="192"/>
      <c r="DL125" s="192"/>
      <c r="DM125" s="192"/>
      <c r="DN125" s="192"/>
      <c r="DO125" s="192"/>
      <c r="DP125" s="192"/>
      <c r="DQ125" s="192"/>
      <c r="DR125" s="192"/>
      <c r="DS125" s="192"/>
      <c r="DT125" s="192"/>
      <c r="DU125" s="192"/>
      <c r="DV125" s="192"/>
      <c r="DW125" s="192"/>
      <c r="DX125" s="192"/>
      <c r="DY125" s="192"/>
      <c r="DZ125" s="192"/>
      <c r="EA125" s="192"/>
      <c r="EB125" s="192"/>
      <c r="EC125" s="192"/>
      <c r="ED125" s="192"/>
      <c r="EE125" s="192"/>
      <c r="EF125" s="192"/>
      <c r="EG125" s="192"/>
      <c r="EH125" s="192"/>
      <c r="EI125" s="192"/>
      <c r="EJ125" s="192"/>
      <c r="EK125" s="192"/>
      <c r="EL125" s="192"/>
      <c r="EM125" s="192"/>
      <c r="EN125" s="192"/>
      <c r="EO125" s="192"/>
      <c r="EP125" s="192"/>
      <c r="EQ125" s="192"/>
      <c r="ER125" s="192"/>
      <c r="ES125" s="192"/>
      <c r="ET125" s="192"/>
    </row>
    <row r="126" spans="1:150">
      <c r="A126" s="192"/>
      <c r="B126" s="36" t="str">
        <f>Input!B140</f>
        <v>Water &amp; Sewer</v>
      </c>
      <c r="C126" s="635">
        <f>-IF(AND(Input!$F140=EGR,ReimbMethodType=120),,Input!$T140*C99)</f>
        <v>0</v>
      </c>
      <c r="D126" s="635">
        <f>-IF(AND(Input!$F140=EGR,ReimbMethodType=120),,Input!$T140*D99)</f>
        <v>0</v>
      </c>
      <c r="E126" s="635">
        <f>-IF(AND(Input!$F140=EGR,ReimbMethodType=120),,Input!$T140*E99)</f>
        <v>0</v>
      </c>
      <c r="F126" s="635">
        <f>-IF(AND(Input!$F140=EGR,ReimbMethodType=120),,Input!$T140*F99)</f>
        <v>0</v>
      </c>
      <c r="G126" s="635">
        <f>-IF(AND(Input!$F140=EGR,ReimbMethodType=120),,Input!$T140*G99)</f>
        <v>0</v>
      </c>
      <c r="H126" s="635">
        <f>-IF(AND(Input!$F140=EGR,ReimbMethodType=120),,Input!$T140*H99)</f>
        <v>0</v>
      </c>
      <c r="I126" s="635">
        <f>-IF(AND(Input!$F140=EGR,ReimbMethodType=120),,Input!$T140*I99)</f>
        <v>0</v>
      </c>
      <c r="J126" s="635">
        <f>-IF(AND(Input!$F140=EGR,ReimbMethodType=120),,Input!$T140*J99)</f>
        <v>0</v>
      </c>
      <c r="K126" s="635">
        <f>-IF(AND(Input!$F140=EGR,ReimbMethodType=120),,Input!$T140*K99)</f>
        <v>0</v>
      </c>
      <c r="L126" s="635">
        <f>-IF(AND(Input!$F140=EGR,ReimbMethodType=120),,Input!$T140*L99)</f>
        <v>0</v>
      </c>
      <c r="M126" s="635">
        <f>-IF(AND(Input!$F140=EGR,ReimbMethodType=120),,Input!$T140*M99)</f>
        <v>0</v>
      </c>
      <c r="N126" s="192"/>
      <c r="O126" s="635">
        <f>-IF(AND(Input!$F140=EGR,ReimbMethodType=120),,Input!$T140*O99)</f>
        <v>0</v>
      </c>
      <c r="P126" s="192"/>
      <c r="Q126" s="37"/>
      <c r="R126" s="635">
        <f>-IF(AND(Input!$F140=EGR,ReimbMethodType=120),,Input!$T140*R99)</f>
        <v>0</v>
      </c>
      <c r="S126" s="635">
        <f>-IF(AND(Input!$F140=EGR,ReimbMethodType=120),,Input!$T140*S99)</f>
        <v>0</v>
      </c>
      <c r="T126" s="635">
        <f>-IF(AND(Input!$F140=EGR,ReimbMethodType=120),,Input!$T140*T99)</f>
        <v>0</v>
      </c>
      <c r="U126" s="635">
        <f>-IF(AND(Input!$F140=EGR,ReimbMethodType=120),,Input!$T140*U99)</f>
        <v>0</v>
      </c>
      <c r="V126" s="635">
        <f>-IF(AND(Input!$F140=EGR,ReimbMethodType=120),,Input!$T140*V99)</f>
        <v>0</v>
      </c>
      <c r="W126" s="635">
        <f>-IF(AND(Input!$F140=EGR,ReimbMethodType=120),,Input!$T140*W99)</f>
        <v>0</v>
      </c>
      <c r="X126" s="635">
        <f>-IF(AND(Input!$F140=EGR,ReimbMethodType=120),,Input!$T140*X99)</f>
        <v>0</v>
      </c>
      <c r="Y126" s="635">
        <f>-IF(AND(Input!$F140=EGR,ReimbMethodType=120),,Input!$T140*Y99)</f>
        <v>0</v>
      </c>
      <c r="Z126" s="635">
        <f>-IF(AND(Input!$F140=EGR,ReimbMethodType=120),,Input!$T140*Z99)</f>
        <v>0</v>
      </c>
      <c r="AA126" s="635">
        <f>-IF(AND(Input!$F140=EGR,ReimbMethodType=120),,Input!$T140*AA99)</f>
        <v>0</v>
      </c>
      <c r="AB126" s="635">
        <f>-IF(AND(Input!$F140=EGR,ReimbMethodType=120),,Input!$T140*AB99)</f>
        <v>0</v>
      </c>
      <c r="AC126" s="635">
        <f>-IF(AND(Input!$F140=EGR,ReimbMethodType=120),,Input!$T140*AC99)</f>
        <v>0</v>
      </c>
      <c r="AD126" s="635">
        <f>-IF(AND(Input!$F140=EGR,ReimbMethodType=120),,Input!$T140*AD99)</f>
        <v>0</v>
      </c>
      <c r="AE126" s="635">
        <f>-IF(AND(Input!$F140=EGR,ReimbMethodType=120),,Input!$T140*AE99)</f>
        <v>0</v>
      </c>
      <c r="AF126" s="635">
        <f>-IF(AND(Input!$F140=EGR,ReimbMethodType=120),,Input!$T140*AF99)</f>
        <v>0</v>
      </c>
      <c r="AG126" s="635">
        <f>-IF(AND(Input!$F140=EGR,ReimbMethodType=120),,Input!$T140*AG99)</f>
        <v>0</v>
      </c>
      <c r="AH126" s="635">
        <f>-IF(AND(Input!$F140=EGR,ReimbMethodType=120),,Input!$T140*AH99)</f>
        <v>0</v>
      </c>
      <c r="AI126" s="635">
        <f>-IF(AND(Input!$F140=EGR,ReimbMethodType=120),,Input!$T140*AI99)</f>
        <v>0</v>
      </c>
      <c r="AJ126" s="635">
        <f>-IF(AND(Input!$F140=EGR,ReimbMethodType=120),,Input!$T140*AJ99)</f>
        <v>0</v>
      </c>
      <c r="AK126" s="635">
        <f>-IF(AND(Input!$F140=EGR,ReimbMethodType=120),,Input!$T140*AK99)</f>
        <v>0</v>
      </c>
      <c r="AL126" s="635">
        <f>-IF(AND(Input!$F140=EGR,ReimbMethodType=120),,Input!$T140*AL99)</f>
        <v>0</v>
      </c>
      <c r="AM126" s="635">
        <f>-IF(AND(Input!$F140=EGR,ReimbMethodType=120),,Input!$T140*AM99)</f>
        <v>0</v>
      </c>
      <c r="AN126" s="635">
        <f>-IF(AND(Input!$F140=EGR,ReimbMethodType=120),,Input!$T140*AN99)</f>
        <v>0</v>
      </c>
      <c r="AO126" s="635">
        <f>-IF(AND(Input!$F140=EGR,ReimbMethodType=120),,Input!$T140*AO99)</f>
        <v>0</v>
      </c>
      <c r="AP126" s="635">
        <f>-IF(AND(Input!$F140=EGR,ReimbMethodType=120),,Input!$T140*AP99)</f>
        <v>0</v>
      </c>
      <c r="AQ126" s="635">
        <f>-IF(AND(Input!$F140=EGR,ReimbMethodType=120),,Input!$T140*AQ99)</f>
        <v>0</v>
      </c>
      <c r="AR126" s="635">
        <f>-IF(AND(Input!$F140=EGR,ReimbMethodType=120),,Input!$T140*AR99)</f>
        <v>0</v>
      </c>
      <c r="AS126" s="635">
        <f>-IF(AND(Input!$F140=EGR,ReimbMethodType=120),,Input!$T140*AS99)</f>
        <v>0</v>
      </c>
      <c r="AT126" s="635">
        <f>-IF(AND(Input!$F140=EGR,ReimbMethodType=120),,Input!$T140*AT99)</f>
        <v>0</v>
      </c>
      <c r="AU126" s="635">
        <f>-IF(AND(Input!$F140=EGR,ReimbMethodType=120),,Input!$T140*AU99)</f>
        <v>0</v>
      </c>
      <c r="AV126" s="635">
        <f>-IF(AND(Input!$F140=EGR,ReimbMethodType=120),,Input!$T140*AV99)</f>
        <v>0</v>
      </c>
      <c r="AW126" s="635">
        <f>-IF(AND(Input!$F140=EGR,ReimbMethodType=120),,Input!$T140*AW99)</f>
        <v>0</v>
      </c>
      <c r="AX126" s="635">
        <f>-IF(AND(Input!$F140=EGR,ReimbMethodType=120),,Input!$T140*AX99)</f>
        <v>0</v>
      </c>
      <c r="AY126" s="635">
        <f>-IF(AND(Input!$F140=EGR,ReimbMethodType=120),,Input!$T140*AY99)</f>
        <v>0</v>
      </c>
      <c r="AZ126" s="635">
        <f>-IF(AND(Input!$F140=EGR,ReimbMethodType=120),,Input!$T140*AZ99)</f>
        <v>0</v>
      </c>
      <c r="BA126" s="635">
        <f>-IF(AND(Input!$F140=EGR,ReimbMethodType=120),,Input!$T140*BA99)</f>
        <v>0</v>
      </c>
      <c r="BB126" s="192"/>
      <c r="BC126" s="192"/>
      <c r="BD126" s="192"/>
      <c r="BE126" s="192"/>
      <c r="BF126" s="192"/>
      <c r="BG126" s="192"/>
      <c r="BH126" s="192"/>
      <c r="BI126" s="192"/>
      <c r="BJ126" s="192"/>
      <c r="BK126" s="192"/>
      <c r="BL126" s="192"/>
      <c r="BM126" s="192"/>
      <c r="BN126" s="192"/>
      <c r="BO126" s="192"/>
      <c r="BP126" s="192"/>
      <c r="BQ126" s="192"/>
      <c r="BR126" s="192"/>
      <c r="BS126" s="192"/>
      <c r="BT126" s="192"/>
      <c r="BU126" s="192"/>
      <c r="BV126" s="192"/>
      <c r="BW126" s="192"/>
      <c r="BX126" s="192"/>
      <c r="BY126" s="192"/>
      <c r="BZ126" s="192"/>
      <c r="CA126" s="192"/>
      <c r="CB126" s="192"/>
      <c r="CC126" s="192"/>
      <c r="CD126" s="192"/>
      <c r="CE126" s="192"/>
      <c r="CF126" s="192"/>
      <c r="CG126" s="192"/>
      <c r="CH126" s="192"/>
      <c r="CI126" s="192"/>
      <c r="CJ126" s="192"/>
      <c r="CK126" s="192"/>
      <c r="CL126" s="192"/>
      <c r="CM126" s="192"/>
      <c r="CN126" s="192"/>
      <c r="CO126" s="192"/>
      <c r="CP126" s="192"/>
      <c r="CQ126" s="192"/>
      <c r="CR126" s="192"/>
      <c r="CS126" s="192"/>
      <c r="CT126" s="192"/>
      <c r="CU126" s="192"/>
      <c r="CV126" s="192"/>
      <c r="CW126" s="192"/>
      <c r="CX126" s="192"/>
      <c r="CY126" s="192"/>
      <c r="CZ126" s="192"/>
      <c r="DA126" s="192"/>
      <c r="DB126" s="192"/>
      <c r="DC126" s="192"/>
      <c r="DD126" s="192"/>
      <c r="DE126" s="192"/>
      <c r="DF126" s="192"/>
      <c r="DG126" s="192"/>
      <c r="DH126" s="192"/>
      <c r="DI126" s="192"/>
      <c r="DJ126" s="192"/>
      <c r="DK126" s="192"/>
      <c r="DL126" s="192"/>
      <c r="DM126" s="192"/>
      <c r="DN126" s="192"/>
      <c r="DO126" s="192"/>
      <c r="DP126" s="192"/>
      <c r="DQ126" s="192"/>
      <c r="DR126" s="192"/>
      <c r="DS126" s="192"/>
      <c r="DT126" s="192"/>
      <c r="DU126" s="192"/>
      <c r="DV126" s="192"/>
      <c r="DW126" s="192"/>
      <c r="DX126" s="192"/>
      <c r="DY126" s="192"/>
      <c r="DZ126" s="192"/>
      <c r="EA126" s="192"/>
      <c r="EB126" s="192"/>
      <c r="EC126" s="192"/>
      <c r="ED126" s="192"/>
      <c r="EE126" s="192"/>
      <c r="EF126" s="192"/>
      <c r="EG126" s="192"/>
      <c r="EH126" s="192"/>
      <c r="EI126" s="192"/>
      <c r="EJ126" s="192"/>
      <c r="EK126" s="192"/>
      <c r="EL126" s="192"/>
      <c r="EM126" s="192"/>
      <c r="EN126" s="192"/>
      <c r="EO126" s="192"/>
      <c r="EP126" s="192"/>
      <c r="EQ126" s="192"/>
      <c r="ER126" s="192"/>
      <c r="ES126" s="192"/>
      <c r="ET126" s="192"/>
    </row>
    <row r="127" spans="1:150">
      <c r="A127" s="192"/>
      <c r="B127" s="36" t="str">
        <f>Input!B141</f>
        <v>Other Utilities</v>
      </c>
      <c r="C127" s="635">
        <f>-IF(AND(Input!$F141=EGR,ReimbMethodType=120),,Input!$T141*C100)</f>
        <v>0</v>
      </c>
      <c r="D127" s="635">
        <f>-IF(AND(Input!$F141=EGR,ReimbMethodType=120),,Input!$T141*D100)</f>
        <v>0</v>
      </c>
      <c r="E127" s="635">
        <f>-IF(AND(Input!$F141=EGR,ReimbMethodType=120),,Input!$T141*E100)</f>
        <v>0</v>
      </c>
      <c r="F127" s="635">
        <f>-IF(AND(Input!$F141=EGR,ReimbMethodType=120),,Input!$T141*F100)</f>
        <v>0</v>
      </c>
      <c r="G127" s="635">
        <f>-IF(AND(Input!$F141=EGR,ReimbMethodType=120),,Input!$T141*G100)</f>
        <v>0</v>
      </c>
      <c r="H127" s="635">
        <f>-IF(AND(Input!$F141=EGR,ReimbMethodType=120),,Input!$T141*H100)</f>
        <v>0</v>
      </c>
      <c r="I127" s="635">
        <f>-IF(AND(Input!$F141=EGR,ReimbMethodType=120),,Input!$T141*I100)</f>
        <v>0</v>
      </c>
      <c r="J127" s="635">
        <f>-IF(AND(Input!$F141=EGR,ReimbMethodType=120),,Input!$T141*J100)</f>
        <v>0</v>
      </c>
      <c r="K127" s="635">
        <f>-IF(AND(Input!$F141=EGR,ReimbMethodType=120),,Input!$T141*K100)</f>
        <v>0</v>
      </c>
      <c r="L127" s="635">
        <f>-IF(AND(Input!$F141=EGR,ReimbMethodType=120),,Input!$T141*L100)</f>
        <v>0</v>
      </c>
      <c r="M127" s="635">
        <f>-IF(AND(Input!$F141=EGR,ReimbMethodType=120),,Input!$T141*M100)</f>
        <v>0</v>
      </c>
      <c r="N127" s="192"/>
      <c r="O127" s="635">
        <f>-IF(AND(Input!$F141=EGR,ReimbMethodType=120),,Input!$T141*O100)</f>
        <v>0</v>
      </c>
      <c r="P127" s="192"/>
      <c r="Q127" s="37"/>
      <c r="R127" s="635">
        <f>-IF(AND(Input!$F141=EGR,ReimbMethodType=120),,Input!$T141*R100)</f>
        <v>0</v>
      </c>
      <c r="S127" s="635">
        <f>-IF(AND(Input!$F141=EGR,ReimbMethodType=120),,Input!$T141*S100)</f>
        <v>0</v>
      </c>
      <c r="T127" s="635">
        <f>-IF(AND(Input!$F141=EGR,ReimbMethodType=120),,Input!$T141*T100)</f>
        <v>0</v>
      </c>
      <c r="U127" s="635">
        <f>-IF(AND(Input!$F141=EGR,ReimbMethodType=120),,Input!$T141*U100)</f>
        <v>0</v>
      </c>
      <c r="V127" s="635">
        <f>-IF(AND(Input!$F141=EGR,ReimbMethodType=120),,Input!$T141*V100)</f>
        <v>0</v>
      </c>
      <c r="W127" s="635">
        <f>-IF(AND(Input!$F141=EGR,ReimbMethodType=120),,Input!$T141*W100)</f>
        <v>0</v>
      </c>
      <c r="X127" s="635">
        <f>-IF(AND(Input!$F141=EGR,ReimbMethodType=120),,Input!$T141*X100)</f>
        <v>0</v>
      </c>
      <c r="Y127" s="635">
        <f>-IF(AND(Input!$F141=EGR,ReimbMethodType=120),,Input!$T141*Y100)</f>
        <v>0</v>
      </c>
      <c r="Z127" s="635">
        <f>-IF(AND(Input!$F141=EGR,ReimbMethodType=120),,Input!$T141*Z100)</f>
        <v>0</v>
      </c>
      <c r="AA127" s="635">
        <f>-IF(AND(Input!$F141=EGR,ReimbMethodType=120),,Input!$T141*AA100)</f>
        <v>0</v>
      </c>
      <c r="AB127" s="635">
        <f>-IF(AND(Input!$F141=EGR,ReimbMethodType=120),,Input!$T141*AB100)</f>
        <v>0</v>
      </c>
      <c r="AC127" s="635">
        <f>-IF(AND(Input!$F141=EGR,ReimbMethodType=120),,Input!$T141*AC100)</f>
        <v>0</v>
      </c>
      <c r="AD127" s="635">
        <f>-IF(AND(Input!$F141=EGR,ReimbMethodType=120),,Input!$T141*AD100)</f>
        <v>0</v>
      </c>
      <c r="AE127" s="635">
        <f>-IF(AND(Input!$F141=EGR,ReimbMethodType=120),,Input!$T141*AE100)</f>
        <v>0</v>
      </c>
      <c r="AF127" s="635">
        <f>-IF(AND(Input!$F141=EGR,ReimbMethodType=120),,Input!$T141*AF100)</f>
        <v>0</v>
      </c>
      <c r="AG127" s="635">
        <f>-IF(AND(Input!$F141=EGR,ReimbMethodType=120),,Input!$T141*AG100)</f>
        <v>0</v>
      </c>
      <c r="AH127" s="635">
        <f>-IF(AND(Input!$F141=EGR,ReimbMethodType=120),,Input!$T141*AH100)</f>
        <v>0</v>
      </c>
      <c r="AI127" s="635">
        <f>-IF(AND(Input!$F141=EGR,ReimbMethodType=120),,Input!$T141*AI100)</f>
        <v>0</v>
      </c>
      <c r="AJ127" s="635">
        <f>-IF(AND(Input!$F141=EGR,ReimbMethodType=120),,Input!$T141*AJ100)</f>
        <v>0</v>
      </c>
      <c r="AK127" s="635">
        <f>-IF(AND(Input!$F141=EGR,ReimbMethodType=120),,Input!$T141*AK100)</f>
        <v>0</v>
      </c>
      <c r="AL127" s="635">
        <f>-IF(AND(Input!$F141=EGR,ReimbMethodType=120),,Input!$T141*AL100)</f>
        <v>0</v>
      </c>
      <c r="AM127" s="635">
        <f>-IF(AND(Input!$F141=EGR,ReimbMethodType=120),,Input!$T141*AM100)</f>
        <v>0</v>
      </c>
      <c r="AN127" s="635">
        <f>-IF(AND(Input!$F141=EGR,ReimbMethodType=120),,Input!$T141*AN100)</f>
        <v>0</v>
      </c>
      <c r="AO127" s="635">
        <f>-IF(AND(Input!$F141=EGR,ReimbMethodType=120),,Input!$T141*AO100)</f>
        <v>0</v>
      </c>
      <c r="AP127" s="635">
        <f>-IF(AND(Input!$F141=EGR,ReimbMethodType=120),,Input!$T141*AP100)</f>
        <v>0</v>
      </c>
      <c r="AQ127" s="635">
        <f>-IF(AND(Input!$F141=EGR,ReimbMethodType=120),,Input!$T141*AQ100)</f>
        <v>0</v>
      </c>
      <c r="AR127" s="635">
        <f>-IF(AND(Input!$F141=EGR,ReimbMethodType=120),,Input!$T141*AR100)</f>
        <v>0</v>
      </c>
      <c r="AS127" s="635">
        <f>-IF(AND(Input!$F141=EGR,ReimbMethodType=120),,Input!$T141*AS100)</f>
        <v>0</v>
      </c>
      <c r="AT127" s="635">
        <f>-IF(AND(Input!$F141=EGR,ReimbMethodType=120),,Input!$T141*AT100)</f>
        <v>0</v>
      </c>
      <c r="AU127" s="635">
        <f>-IF(AND(Input!$F141=EGR,ReimbMethodType=120),,Input!$T141*AU100)</f>
        <v>0</v>
      </c>
      <c r="AV127" s="635">
        <f>-IF(AND(Input!$F141=EGR,ReimbMethodType=120),,Input!$T141*AV100)</f>
        <v>0</v>
      </c>
      <c r="AW127" s="635">
        <f>-IF(AND(Input!$F141=EGR,ReimbMethodType=120),,Input!$T141*AW100)</f>
        <v>0</v>
      </c>
      <c r="AX127" s="635">
        <f>-IF(AND(Input!$F141=EGR,ReimbMethodType=120),,Input!$T141*AX100)</f>
        <v>0</v>
      </c>
      <c r="AY127" s="635">
        <f>-IF(AND(Input!$F141=EGR,ReimbMethodType=120),,Input!$T141*AY100)</f>
        <v>0</v>
      </c>
      <c r="AZ127" s="635">
        <f>-IF(AND(Input!$F141=EGR,ReimbMethodType=120),,Input!$T141*AZ100)</f>
        <v>0</v>
      </c>
      <c r="BA127" s="635">
        <f>-IF(AND(Input!$F141=EGR,ReimbMethodType=120),,Input!$T141*BA100)</f>
        <v>0</v>
      </c>
      <c r="BB127" s="192"/>
      <c r="BC127" s="192"/>
      <c r="BD127" s="192"/>
      <c r="BE127" s="192"/>
      <c r="BF127" s="192"/>
      <c r="BG127" s="192"/>
      <c r="BH127" s="192"/>
      <c r="BI127" s="192"/>
      <c r="BJ127" s="192"/>
      <c r="BK127" s="192"/>
      <c r="BL127" s="192"/>
      <c r="BM127" s="192"/>
      <c r="BN127" s="192"/>
      <c r="BO127" s="192"/>
      <c r="BP127" s="192"/>
      <c r="BQ127" s="192"/>
      <c r="BR127" s="192"/>
      <c r="BS127" s="192"/>
      <c r="BT127" s="192"/>
      <c r="BU127" s="192"/>
      <c r="BV127" s="192"/>
      <c r="BW127" s="192"/>
      <c r="BX127" s="192"/>
      <c r="BY127" s="192"/>
      <c r="BZ127" s="192"/>
      <c r="CA127" s="192"/>
      <c r="CB127" s="192"/>
      <c r="CC127" s="192"/>
      <c r="CD127" s="192"/>
      <c r="CE127" s="192"/>
      <c r="CF127" s="192"/>
      <c r="CG127" s="192"/>
      <c r="CH127" s="192"/>
      <c r="CI127" s="192"/>
      <c r="CJ127" s="192"/>
      <c r="CK127" s="192"/>
      <c r="CL127" s="192"/>
      <c r="CM127" s="192"/>
      <c r="CN127" s="192"/>
      <c r="CO127" s="192"/>
      <c r="CP127" s="192"/>
      <c r="CQ127" s="192"/>
      <c r="CR127" s="192"/>
      <c r="CS127" s="192"/>
      <c r="CT127" s="192"/>
      <c r="CU127" s="192"/>
      <c r="CV127" s="192"/>
      <c r="CW127" s="192"/>
      <c r="CX127" s="192"/>
      <c r="CY127" s="192"/>
      <c r="CZ127" s="192"/>
      <c r="DA127" s="192"/>
      <c r="DB127" s="192"/>
      <c r="DC127" s="192"/>
      <c r="DD127" s="192"/>
      <c r="DE127" s="192"/>
      <c r="DF127" s="192"/>
      <c r="DG127" s="192"/>
      <c r="DH127" s="192"/>
      <c r="DI127" s="192"/>
      <c r="DJ127" s="192"/>
      <c r="DK127" s="192"/>
      <c r="DL127" s="192"/>
      <c r="DM127" s="192"/>
      <c r="DN127" s="192"/>
      <c r="DO127" s="192"/>
      <c r="DP127" s="192"/>
      <c r="DQ127" s="192"/>
      <c r="DR127" s="192"/>
      <c r="DS127" s="192"/>
      <c r="DT127" s="192"/>
      <c r="DU127" s="192"/>
      <c r="DV127" s="192"/>
      <c r="DW127" s="192"/>
      <c r="DX127" s="192"/>
      <c r="DY127" s="192"/>
      <c r="DZ127" s="192"/>
      <c r="EA127" s="192"/>
      <c r="EB127" s="192"/>
      <c r="EC127" s="192"/>
      <c r="ED127" s="192"/>
      <c r="EE127" s="192"/>
      <c r="EF127" s="192"/>
      <c r="EG127" s="192"/>
      <c r="EH127" s="192"/>
      <c r="EI127" s="192"/>
      <c r="EJ127" s="192"/>
      <c r="EK127" s="192"/>
      <c r="EL127" s="192"/>
      <c r="EM127" s="192"/>
      <c r="EN127" s="192"/>
      <c r="EO127" s="192"/>
      <c r="EP127" s="192"/>
      <c r="EQ127" s="192"/>
      <c r="ER127" s="192"/>
      <c r="ES127" s="192"/>
      <c r="ET127" s="192"/>
    </row>
    <row r="128" spans="1:150">
      <c r="A128" s="192"/>
      <c r="B128" s="36" t="str">
        <f>Input!B142</f>
        <v>Insurance</v>
      </c>
      <c r="C128" s="635">
        <f>-IF(AND(Input!$F142=EGR,ReimbMethodType=120),,Input!$T142*C101)</f>
        <v>0</v>
      </c>
      <c r="D128" s="635">
        <f>-IF(AND(Input!$F142=EGR,ReimbMethodType=120),,Input!$T142*D101)</f>
        <v>0</v>
      </c>
      <c r="E128" s="635">
        <f>-IF(AND(Input!$F142=EGR,ReimbMethodType=120),,Input!$T142*E101)</f>
        <v>0</v>
      </c>
      <c r="F128" s="635">
        <f>-IF(AND(Input!$F142=EGR,ReimbMethodType=120),,Input!$T142*F101)</f>
        <v>0</v>
      </c>
      <c r="G128" s="635">
        <f>-IF(AND(Input!$F142=EGR,ReimbMethodType=120),,Input!$T142*G101)</f>
        <v>0</v>
      </c>
      <c r="H128" s="635">
        <f>-IF(AND(Input!$F142=EGR,ReimbMethodType=120),,Input!$T142*H101)</f>
        <v>0</v>
      </c>
      <c r="I128" s="635">
        <f>-IF(AND(Input!$F142=EGR,ReimbMethodType=120),,Input!$T142*I101)</f>
        <v>0</v>
      </c>
      <c r="J128" s="635">
        <f>-IF(AND(Input!$F142=EGR,ReimbMethodType=120),,Input!$T142*J101)</f>
        <v>0</v>
      </c>
      <c r="K128" s="635">
        <f>-IF(AND(Input!$F142=EGR,ReimbMethodType=120),,Input!$T142*K101)</f>
        <v>0</v>
      </c>
      <c r="L128" s="635">
        <f>-IF(AND(Input!$F142=EGR,ReimbMethodType=120),,Input!$T142*L101)</f>
        <v>0</v>
      </c>
      <c r="M128" s="635">
        <f>-IF(AND(Input!$F142=EGR,ReimbMethodType=120),,Input!$T142*M101)</f>
        <v>0</v>
      </c>
      <c r="N128" s="192"/>
      <c r="O128" s="635">
        <f>-IF(AND(Input!$F142=EGR,ReimbMethodType=120),,Input!$T142*O101)</f>
        <v>0</v>
      </c>
      <c r="P128" s="192"/>
      <c r="Q128" s="37"/>
      <c r="R128" s="635">
        <f>-IF(AND(Input!$F142=EGR,ReimbMethodType=120),,Input!$T142*R101)</f>
        <v>0</v>
      </c>
      <c r="S128" s="635">
        <f>-IF(AND(Input!$F142=EGR,ReimbMethodType=120),,Input!$T142*S101)</f>
        <v>0</v>
      </c>
      <c r="T128" s="635">
        <f>-IF(AND(Input!$F142=EGR,ReimbMethodType=120),,Input!$T142*T101)</f>
        <v>0</v>
      </c>
      <c r="U128" s="635">
        <f>-IF(AND(Input!$F142=EGR,ReimbMethodType=120),,Input!$T142*U101)</f>
        <v>0</v>
      </c>
      <c r="V128" s="635">
        <f>-IF(AND(Input!$F142=EGR,ReimbMethodType=120),,Input!$T142*V101)</f>
        <v>0</v>
      </c>
      <c r="W128" s="635">
        <f>-IF(AND(Input!$F142=EGR,ReimbMethodType=120),,Input!$T142*W101)</f>
        <v>0</v>
      </c>
      <c r="X128" s="635">
        <f>-IF(AND(Input!$F142=EGR,ReimbMethodType=120),,Input!$T142*X101)</f>
        <v>0</v>
      </c>
      <c r="Y128" s="635">
        <f>-IF(AND(Input!$F142=EGR,ReimbMethodType=120),,Input!$T142*Y101)</f>
        <v>0</v>
      </c>
      <c r="Z128" s="635">
        <f>-IF(AND(Input!$F142=EGR,ReimbMethodType=120),,Input!$T142*Z101)</f>
        <v>0</v>
      </c>
      <c r="AA128" s="635">
        <f>-IF(AND(Input!$F142=EGR,ReimbMethodType=120),,Input!$T142*AA101)</f>
        <v>0</v>
      </c>
      <c r="AB128" s="635">
        <f>-IF(AND(Input!$F142=EGR,ReimbMethodType=120),,Input!$T142*AB101)</f>
        <v>0</v>
      </c>
      <c r="AC128" s="635">
        <f>-IF(AND(Input!$F142=EGR,ReimbMethodType=120),,Input!$T142*AC101)</f>
        <v>0</v>
      </c>
      <c r="AD128" s="635">
        <f>-IF(AND(Input!$F142=EGR,ReimbMethodType=120),,Input!$T142*AD101)</f>
        <v>0</v>
      </c>
      <c r="AE128" s="635">
        <f>-IF(AND(Input!$F142=EGR,ReimbMethodType=120),,Input!$T142*AE101)</f>
        <v>0</v>
      </c>
      <c r="AF128" s="635">
        <f>-IF(AND(Input!$F142=EGR,ReimbMethodType=120),,Input!$T142*AF101)</f>
        <v>0</v>
      </c>
      <c r="AG128" s="635">
        <f>-IF(AND(Input!$F142=EGR,ReimbMethodType=120),,Input!$T142*AG101)</f>
        <v>0</v>
      </c>
      <c r="AH128" s="635">
        <f>-IF(AND(Input!$F142=EGR,ReimbMethodType=120),,Input!$T142*AH101)</f>
        <v>0</v>
      </c>
      <c r="AI128" s="635">
        <f>-IF(AND(Input!$F142=EGR,ReimbMethodType=120),,Input!$T142*AI101)</f>
        <v>0</v>
      </c>
      <c r="AJ128" s="635">
        <f>-IF(AND(Input!$F142=EGR,ReimbMethodType=120),,Input!$T142*AJ101)</f>
        <v>0</v>
      </c>
      <c r="AK128" s="635">
        <f>-IF(AND(Input!$F142=EGR,ReimbMethodType=120),,Input!$T142*AK101)</f>
        <v>0</v>
      </c>
      <c r="AL128" s="635">
        <f>-IF(AND(Input!$F142=EGR,ReimbMethodType=120),,Input!$T142*AL101)</f>
        <v>0</v>
      </c>
      <c r="AM128" s="635">
        <f>-IF(AND(Input!$F142=EGR,ReimbMethodType=120),,Input!$T142*AM101)</f>
        <v>0</v>
      </c>
      <c r="AN128" s="635">
        <f>-IF(AND(Input!$F142=EGR,ReimbMethodType=120),,Input!$T142*AN101)</f>
        <v>0</v>
      </c>
      <c r="AO128" s="635">
        <f>-IF(AND(Input!$F142=EGR,ReimbMethodType=120),,Input!$T142*AO101)</f>
        <v>0</v>
      </c>
      <c r="AP128" s="635">
        <f>-IF(AND(Input!$F142=EGR,ReimbMethodType=120),,Input!$T142*AP101)</f>
        <v>0</v>
      </c>
      <c r="AQ128" s="635">
        <f>-IF(AND(Input!$F142=EGR,ReimbMethodType=120),,Input!$T142*AQ101)</f>
        <v>0</v>
      </c>
      <c r="AR128" s="635">
        <f>-IF(AND(Input!$F142=EGR,ReimbMethodType=120),,Input!$T142*AR101)</f>
        <v>0</v>
      </c>
      <c r="AS128" s="635">
        <f>-IF(AND(Input!$F142=EGR,ReimbMethodType=120),,Input!$T142*AS101)</f>
        <v>0</v>
      </c>
      <c r="AT128" s="635">
        <f>-IF(AND(Input!$F142=EGR,ReimbMethodType=120),,Input!$T142*AT101)</f>
        <v>0</v>
      </c>
      <c r="AU128" s="635">
        <f>-IF(AND(Input!$F142=EGR,ReimbMethodType=120),,Input!$T142*AU101)</f>
        <v>0</v>
      </c>
      <c r="AV128" s="635">
        <f>-IF(AND(Input!$F142=EGR,ReimbMethodType=120),,Input!$T142*AV101)</f>
        <v>0</v>
      </c>
      <c r="AW128" s="635">
        <f>-IF(AND(Input!$F142=EGR,ReimbMethodType=120),,Input!$T142*AW101)</f>
        <v>0</v>
      </c>
      <c r="AX128" s="635">
        <f>-IF(AND(Input!$F142=EGR,ReimbMethodType=120),,Input!$T142*AX101)</f>
        <v>0</v>
      </c>
      <c r="AY128" s="635">
        <f>-IF(AND(Input!$F142=EGR,ReimbMethodType=120),,Input!$T142*AY101)</f>
        <v>0</v>
      </c>
      <c r="AZ128" s="635">
        <f>-IF(AND(Input!$F142=EGR,ReimbMethodType=120),,Input!$T142*AZ101)</f>
        <v>0</v>
      </c>
      <c r="BA128" s="635">
        <f>-IF(AND(Input!$F142=EGR,ReimbMethodType=120),,Input!$T142*BA101)</f>
        <v>0</v>
      </c>
      <c r="BB128" s="192"/>
      <c r="BC128" s="192"/>
      <c r="BD128" s="192"/>
      <c r="BE128" s="192"/>
      <c r="BF128" s="192"/>
      <c r="BG128" s="192"/>
      <c r="BH128" s="192"/>
      <c r="BI128" s="192"/>
      <c r="BJ128" s="192"/>
      <c r="BK128" s="192"/>
      <c r="BL128" s="192"/>
      <c r="BM128" s="192"/>
      <c r="BN128" s="192"/>
      <c r="BO128" s="192"/>
      <c r="BP128" s="192"/>
      <c r="BQ128" s="192"/>
      <c r="BR128" s="192"/>
      <c r="BS128" s="192"/>
      <c r="BT128" s="192"/>
      <c r="BU128" s="192"/>
      <c r="BV128" s="192"/>
      <c r="BW128" s="192"/>
      <c r="BX128" s="192"/>
      <c r="BY128" s="192"/>
      <c r="BZ128" s="192"/>
      <c r="CA128" s="192"/>
      <c r="CB128" s="192"/>
      <c r="CC128" s="192"/>
      <c r="CD128" s="192"/>
      <c r="CE128" s="192"/>
      <c r="CF128" s="192"/>
      <c r="CG128" s="192"/>
      <c r="CH128" s="192"/>
      <c r="CI128" s="192"/>
      <c r="CJ128" s="192"/>
      <c r="CK128" s="192"/>
      <c r="CL128" s="192"/>
      <c r="CM128" s="192"/>
      <c r="CN128" s="192"/>
      <c r="CO128" s="192"/>
      <c r="CP128" s="192"/>
      <c r="CQ128" s="192"/>
      <c r="CR128" s="192"/>
      <c r="CS128" s="192"/>
      <c r="CT128" s="192"/>
      <c r="CU128" s="192"/>
      <c r="CV128" s="192"/>
      <c r="CW128" s="192"/>
      <c r="CX128" s="192"/>
      <c r="CY128" s="192"/>
      <c r="CZ128" s="192"/>
      <c r="DA128" s="192"/>
      <c r="DB128" s="192"/>
      <c r="DC128" s="192"/>
      <c r="DD128" s="192"/>
      <c r="DE128" s="192"/>
      <c r="DF128" s="192"/>
      <c r="DG128" s="192"/>
      <c r="DH128" s="192"/>
      <c r="DI128" s="192"/>
      <c r="DJ128" s="192"/>
      <c r="DK128" s="192"/>
      <c r="DL128" s="192"/>
      <c r="DM128" s="192"/>
      <c r="DN128" s="192"/>
      <c r="DO128" s="192"/>
      <c r="DP128" s="192"/>
      <c r="DQ128" s="192"/>
      <c r="DR128" s="192"/>
      <c r="DS128" s="192"/>
      <c r="DT128" s="192"/>
      <c r="DU128" s="192"/>
      <c r="DV128" s="192"/>
      <c r="DW128" s="192"/>
      <c r="DX128" s="192"/>
      <c r="DY128" s="192"/>
      <c r="DZ128" s="192"/>
      <c r="EA128" s="192"/>
      <c r="EB128" s="192"/>
      <c r="EC128" s="192"/>
      <c r="ED128" s="192"/>
      <c r="EE128" s="192"/>
      <c r="EF128" s="192"/>
      <c r="EG128" s="192"/>
      <c r="EH128" s="192"/>
      <c r="EI128" s="192"/>
      <c r="EJ128" s="192"/>
      <c r="EK128" s="192"/>
      <c r="EL128" s="192"/>
      <c r="EM128" s="192"/>
      <c r="EN128" s="192"/>
      <c r="EO128" s="192"/>
      <c r="EP128" s="192"/>
      <c r="EQ128" s="192"/>
      <c r="ER128" s="192"/>
      <c r="ES128" s="192"/>
      <c r="ET128" s="192"/>
    </row>
    <row r="129" spans="1:150">
      <c r="A129" s="192"/>
      <c r="B129" s="36" t="str">
        <f>Input!B143</f>
        <v>Real Estate Taxes</v>
      </c>
      <c r="C129" s="635">
        <f>-IF(Input!$F143=EGR,IF(ReimbMethodType=120,,RETReimb*C102),IF(AND(AcqValuationMethodType=132,IsReassAtClosing,YrReassBeginsValue=1,MktValueAtClosingType=101),IF(ReimbMethodType=120,,RETReimb*C102),RETReimb*C102))</f>
        <v>0</v>
      </c>
      <c r="D129" s="635">
        <f>-IF(AND(Input!$F143=EGR,ReimbMethodType=120),,Input!$T143*D102)</f>
        <v>0</v>
      </c>
      <c r="E129" s="635">
        <f>-IF(AND(Input!$F143=EGR,ReimbMethodType=120),,Input!$T143*E102)</f>
        <v>0</v>
      </c>
      <c r="F129" s="635">
        <f>-IF(AND(Input!$F143=EGR,ReimbMethodType=120),,Input!$T143*F102)</f>
        <v>0</v>
      </c>
      <c r="G129" s="635">
        <f>-IF(AND(Input!$F143=EGR,ReimbMethodType=120),,Input!$T143*G102)</f>
        <v>0</v>
      </c>
      <c r="H129" s="635">
        <f>-IF(AND(Input!$F143=EGR,ReimbMethodType=120),,Input!$T143*H102)</f>
        <v>0</v>
      </c>
      <c r="I129" s="635">
        <f>-IF(AND(Input!$F143=EGR,ReimbMethodType=120),,Input!$T143*I102)</f>
        <v>0</v>
      </c>
      <c r="J129" s="635">
        <f>-IF(AND(Input!$F143=EGR,ReimbMethodType=120),,Input!$T143*J102)</f>
        <v>0</v>
      </c>
      <c r="K129" s="635">
        <f>-IF(AND(Input!$F143=EGR,ReimbMethodType=120),,Input!$T143*K102)</f>
        <v>0</v>
      </c>
      <c r="L129" s="635">
        <f>-IF(AND(Input!$F143=EGR,ReimbMethodType=120),,Input!$T143*L102)</f>
        <v>0</v>
      </c>
      <c r="M129" s="635">
        <f>-IF(AND(Input!$F143=EGR,ReimbMethodType=120),,Input!$T143*M102)</f>
        <v>0</v>
      </c>
      <c r="N129" s="192"/>
      <c r="O129" s="635">
        <f>-IF(Input!$F143=EGR,IF(ReimbMethodType=120,,RETReimb*O102),IF(AND(IsReassAtExit,DispValuationType=11),IF(ReimbMethodType=120,,RETReimb*O102),RETReimb*O102))</f>
        <v>0</v>
      </c>
      <c r="P129" s="192"/>
      <c r="Q129" s="37"/>
      <c r="R129" s="635">
        <f>-IF(AND(Input!$F143=EGR,ReimbMethodType=120),,Input!$T143*R102)</f>
        <v>0</v>
      </c>
      <c r="S129" s="635">
        <f>-IF(AND(Input!$F143=EGR,ReimbMethodType=120),,Input!$T143*S102)</f>
        <v>0</v>
      </c>
      <c r="T129" s="635">
        <f>-IF(AND(Input!$F143=EGR,ReimbMethodType=120),,Input!$T143*T102)</f>
        <v>0</v>
      </c>
      <c r="U129" s="635">
        <f>-IF(AND(Input!$F143=EGR,ReimbMethodType=120),,Input!$T143*U102)</f>
        <v>0</v>
      </c>
      <c r="V129" s="635">
        <f>-IF(AND(Input!$F143=EGR,ReimbMethodType=120),,Input!$T143*V102)</f>
        <v>0</v>
      </c>
      <c r="W129" s="635">
        <f>-IF(AND(Input!$F143=EGR,ReimbMethodType=120),,Input!$T143*W102)</f>
        <v>0</v>
      </c>
      <c r="X129" s="635">
        <f>-IF(AND(Input!$F143=EGR,ReimbMethodType=120),,Input!$T143*X102)</f>
        <v>0</v>
      </c>
      <c r="Y129" s="635">
        <f>-IF(AND(Input!$F143=EGR,ReimbMethodType=120),,Input!$T143*Y102)</f>
        <v>0</v>
      </c>
      <c r="Z129" s="635">
        <f>-IF(AND(Input!$F143=EGR,ReimbMethodType=120),,Input!$T143*Z102)</f>
        <v>0</v>
      </c>
      <c r="AA129" s="635">
        <f>-IF(AND(Input!$F143=EGR,ReimbMethodType=120),,Input!$T143*AA102)</f>
        <v>0</v>
      </c>
      <c r="AB129" s="635">
        <f>-IF(AND(Input!$F143=EGR,ReimbMethodType=120),,Input!$T143*AB102)</f>
        <v>0</v>
      </c>
      <c r="AC129" s="635">
        <f>-IF(AND(Input!$F143=EGR,ReimbMethodType=120),,Input!$T143*AC102)</f>
        <v>0</v>
      </c>
      <c r="AD129" s="635">
        <f>-IF(AND(Input!$F143=EGR,ReimbMethodType=120),,Input!$T143*AD102)</f>
        <v>0</v>
      </c>
      <c r="AE129" s="635">
        <f>-IF(AND(Input!$F143=EGR,ReimbMethodType=120),,Input!$T143*AE102)</f>
        <v>0</v>
      </c>
      <c r="AF129" s="635">
        <f>-IF(AND(Input!$F143=EGR,ReimbMethodType=120),,Input!$T143*AF102)</f>
        <v>0</v>
      </c>
      <c r="AG129" s="635">
        <f>-IF(AND(Input!$F143=EGR,ReimbMethodType=120),,Input!$T143*AG102)</f>
        <v>0</v>
      </c>
      <c r="AH129" s="635">
        <f>-IF(AND(Input!$F143=EGR,ReimbMethodType=120),,Input!$T143*AH102)</f>
        <v>0</v>
      </c>
      <c r="AI129" s="635">
        <f>-IF(AND(Input!$F143=EGR,ReimbMethodType=120),,Input!$T143*AI102)</f>
        <v>0</v>
      </c>
      <c r="AJ129" s="635">
        <f>-IF(AND(Input!$F143=EGR,ReimbMethodType=120),,Input!$T143*AJ102)</f>
        <v>0</v>
      </c>
      <c r="AK129" s="635">
        <f>-IF(AND(Input!$F143=EGR,ReimbMethodType=120),,Input!$T143*AK102)</f>
        <v>0</v>
      </c>
      <c r="AL129" s="635">
        <f>-IF(AND(Input!$F143=EGR,ReimbMethodType=120),,Input!$T143*AL102)</f>
        <v>0</v>
      </c>
      <c r="AM129" s="635">
        <f>-IF(AND(Input!$F143=EGR,ReimbMethodType=120),,Input!$T143*AM102)</f>
        <v>0</v>
      </c>
      <c r="AN129" s="635">
        <f>-IF(AND(Input!$F143=EGR,ReimbMethodType=120),,Input!$T143*AN102)</f>
        <v>0</v>
      </c>
      <c r="AO129" s="635">
        <f>-IF(AND(Input!$F143=EGR,ReimbMethodType=120),,Input!$T143*AO102)</f>
        <v>0</v>
      </c>
      <c r="AP129" s="635">
        <f>-IF(AND(Input!$F143=EGR,ReimbMethodType=120),,Input!$T143*AP102)</f>
        <v>0</v>
      </c>
      <c r="AQ129" s="635">
        <f>-IF(AND(Input!$F143=EGR,ReimbMethodType=120),,Input!$T143*AQ102)</f>
        <v>0</v>
      </c>
      <c r="AR129" s="635">
        <f>-IF(AND(Input!$F143=EGR,ReimbMethodType=120),,Input!$T143*AR102)</f>
        <v>0</v>
      </c>
      <c r="AS129" s="635">
        <f>-IF(AND(Input!$F143=EGR,ReimbMethodType=120),,Input!$T143*AS102)</f>
        <v>0</v>
      </c>
      <c r="AT129" s="635">
        <f>-IF(AND(Input!$F143=EGR,ReimbMethodType=120),,Input!$T143*AT102)</f>
        <v>0</v>
      </c>
      <c r="AU129" s="635">
        <f>-IF(AND(Input!$F143=EGR,ReimbMethodType=120),,Input!$T143*AU102)</f>
        <v>0</v>
      </c>
      <c r="AV129" s="635">
        <f>-IF(AND(Input!$F143=EGR,ReimbMethodType=120),,Input!$T143*AV102)</f>
        <v>0</v>
      </c>
      <c r="AW129" s="635">
        <f>-IF(AND(Input!$F143=EGR,ReimbMethodType=120),,Input!$T143*AW102)</f>
        <v>0</v>
      </c>
      <c r="AX129" s="635">
        <f>-IF(AND(Input!$F143=EGR,ReimbMethodType=120),,Input!$T143*AX102)</f>
        <v>0</v>
      </c>
      <c r="AY129" s="635">
        <f>-IF(AND(Input!$F143=EGR,ReimbMethodType=120),,Input!$T143*AY102)</f>
        <v>0</v>
      </c>
      <c r="AZ129" s="635">
        <f>-IF(AND(Input!$F143=EGR,ReimbMethodType=120),,Input!$T143*AZ102)</f>
        <v>0</v>
      </c>
      <c r="BA129" s="635">
        <f>-IF(AND(Input!$F143=EGR,ReimbMethodType=120),,Input!$T143*BA102)</f>
        <v>0</v>
      </c>
      <c r="BB129" s="192"/>
      <c r="BC129" s="192"/>
      <c r="BD129" s="192"/>
      <c r="BE129" s="192"/>
      <c r="BF129" s="192"/>
      <c r="BG129" s="192"/>
      <c r="BH129" s="192"/>
      <c r="BI129" s="192"/>
      <c r="BJ129" s="192"/>
      <c r="BK129" s="192"/>
      <c r="BL129" s="192"/>
      <c r="BM129" s="192"/>
      <c r="BN129" s="192"/>
      <c r="BO129" s="192"/>
      <c r="BP129" s="192"/>
      <c r="BQ129" s="192"/>
      <c r="BR129" s="192"/>
      <c r="BS129" s="192"/>
      <c r="BT129" s="192"/>
      <c r="BU129" s="192"/>
      <c r="BV129" s="192"/>
      <c r="BW129" s="192"/>
      <c r="BX129" s="192"/>
      <c r="BY129" s="192"/>
      <c r="BZ129" s="192"/>
      <c r="CA129" s="192"/>
      <c r="CB129" s="192"/>
      <c r="CC129" s="192"/>
      <c r="CD129" s="192"/>
      <c r="CE129" s="192"/>
      <c r="CF129" s="192"/>
      <c r="CG129" s="192"/>
      <c r="CH129" s="192"/>
      <c r="CI129" s="192"/>
      <c r="CJ129" s="192"/>
      <c r="CK129" s="192"/>
      <c r="CL129" s="192"/>
      <c r="CM129" s="192"/>
      <c r="CN129" s="192"/>
      <c r="CO129" s="192"/>
      <c r="CP129" s="192"/>
      <c r="CQ129" s="192"/>
      <c r="CR129" s="192"/>
      <c r="CS129" s="192"/>
      <c r="CT129" s="192"/>
      <c r="CU129" s="192"/>
      <c r="CV129" s="192"/>
      <c r="CW129" s="192"/>
      <c r="CX129" s="192"/>
      <c r="CY129" s="192"/>
      <c r="CZ129" s="192"/>
      <c r="DA129" s="192"/>
      <c r="DB129" s="192"/>
      <c r="DC129" s="192"/>
      <c r="DD129" s="192"/>
      <c r="DE129" s="192"/>
      <c r="DF129" s="192"/>
      <c r="DG129" s="192"/>
      <c r="DH129" s="192"/>
      <c r="DI129" s="192"/>
      <c r="DJ129" s="192"/>
      <c r="DK129" s="192"/>
      <c r="DL129" s="192"/>
      <c r="DM129" s="192"/>
      <c r="DN129" s="192"/>
      <c r="DO129" s="192"/>
      <c r="DP129" s="192"/>
      <c r="DQ129" s="192"/>
      <c r="DR129" s="192"/>
      <c r="DS129" s="192"/>
      <c r="DT129" s="192"/>
      <c r="DU129" s="192"/>
      <c r="DV129" s="192"/>
      <c r="DW129" s="192"/>
      <c r="DX129" s="192"/>
      <c r="DY129" s="192"/>
      <c r="DZ129" s="192"/>
      <c r="EA129" s="192"/>
      <c r="EB129" s="192"/>
      <c r="EC129" s="192"/>
      <c r="ED129" s="192"/>
      <c r="EE129" s="192"/>
      <c r="EF129" s="192"/>
      <c r="EG129" s="192"/>
      <c r="EH129" s="192"/>
      <c r="EI129" s="192"/>
      <c r="EJ129" s="192"/>
      <c r="EK129" s="192"/>
      <c r="EL129" s="192"/>
      <c r="EM129" s="192"/>
      <c r="EN129" s="192"/>
      <c r="EO129" s="192"/>
      <c r="EP129" s="192"/>
      <c r="EQ129" s="192"/>
      <c r="ER129" s="192"/>
      <c r="ES129" s="192"/>
      <c r="ET129" s="192"/>
    </row>
    <row r="130" spans="1:150">
      <c r="A130" s="192"/>
      <c r="B130" s="36" t="str">
        <f>Input!B144</f>
        <v>Other Property Taxes</v>
      </c>
      <c r="C130" s="635">
        <f>-IF(AND(Input!$F144=EGR,ReimbMethodType=120),,Input!$T144*C103)</f>
        <v>0</v>
      </c>
      <c r="D130" s="635">
        <f>-IF(AND(Input!$F144=EGR,ReimbMethodType=120),,Input!$T144*D103)</f>
        <v>0</v>
      </c>
      <c r="E130" s="635">
        <f>-IF(AND(Input!$F144=EGR,ReimbMethodType=120),,Input!$T144*E103)</f>
        <v>0</v>
      </c>
      <c r="F130" s="635">
        <f>-IF(AND(Input!$F144=EGR,ReimbMethodType=120),,Input!$T144*F103)</f>
        <v>0</v>
      </c>
      <c r="G130" s="635">
        <f>-IF(AND(Input!$F144=EGR,ReimbMethodType=120),,Input!$T144*G103)</f>
        <v>0</v>
      </c>
      <c r="H130" s="635">
        <f>-IF(AND(Input!$F144=EGR,ReimbMethodType=120),,Input!$T144*H103)</f>
        <v>0</v>
      </c>
      <c r="I130" s="635">
        <f>-IF(AND(Input!$F144=EGR,ReimbMethodType=120),,Input!$T144*I103)</f>
        <v>0</v>
      </c>
      <c r="J130" s="635">
        <f>-IF(AND(Input!$F144=EGR,ReimbMethodType=120),,Input!$T144*J103)</f>
        <v>0</v>
      </c>
      <c r="K130" s="635">
        <f>-IF(AND(Input!$F144=EGR,ReimbMethodType=120),,Input!$T144*K103)</f>
        <v>0</v>
      </c>
      <c r="L130" s="635">
        <f>-IF(AND(Input!$F144=EGR,ReimbMethodType=120),,Input!$T144*L103)</f>
        <v>0</v>
      </c>
      <c r="M130" s="635">
        <f>-IF(AND(Input!$F144=EGR,ReimbMethodType=120),,Input!$T144*M103)</f>
        <v>0</v>
      </c>
      <c r="N130" s="192"/>
      <c r="O130" s="635">
        <f>-IF(AND(Input!$F144=EGR,ReimbMethodType=120),,Input!$T144*O103)</f>
        <v>0</v>
      </c>
      <c r="P130" s="192"/>
      <c r="Q130" s="37"/>
      <c r="R130" s="635">
        <f>-IF(AND(Input!$F144=EGR,ReimbMethodType=120),,Input!$T144*R103)</f>
        <v>0</v>
      </c>
      <c r="S130" s="635">
        <f>-IF(AND(Input!$F144=EGR,ReimbMethodType=120),,Input!$T144*S103)</f>
        <v>0</v>
      </c>
      <c r="T130" s="635">
        <f>-IF(AND(Input!$F144=EGR,ReimbMethodType=120),,Input!$T144*T103)</f>
        <v>0</v>
      </c>
      <c r="U130" s="635">
        <f>-IF(AND(Input!$F144=EGR,ReimbMethodType=120),,Input!$T144*U103)</f>
        <v>0</v>
      </c>
      <c r="V130" s="635">
        <f>-IF(AND(Input!$F144=EGR,ReimbMethodType=120),,Input!$T144*V103)</f>
        <v>0</v>
      </c>
      <c r="W130" s="635">
        <f>-IF(AND(Input!$F144=EGR,ReimbMethodType=120),,Input!$T144*W103)</f>
        <v>0</v>
      </c>
      <c r="X130" s="635">
        <f>-IF(AND(Input!$F144=EGR,ReimbMethodType=120),,Input!$T144*X103)</f>
        <v>0</v>
      </c>
      <c r="Y130" s="635">
        <f>-IF(AND(Input!$F144=EGR,ReimbMethodType=120),,Input!$T144*Y103)</f>
        <v>0</v>
      </c>
      <c r="Z130" s="635">
        <f>-IF(AND(Input!$F144=EGR,ReimbMethodType=120),,Input!$T144*Z103)</f>
        <v>0</v>
      </c>
      <c r="AA130" s="635">
        <f>-IF(AND(Input!$F144=EGR,ReimbMethodType=120),,Input!$T144*AA103)</f>
        <v>0</v>
      </c>
      <c r="AB130" s="635">
        <f>-IF(AND(Input!$F144=EGR,ReimbMethodType=120),,Input!$T144*AB103)</f>
        <v>0</v>
      </c>
      <c r="AC130" s="635">
        <f>-IF(AND(Input!$F144=EGR,ReimbMethodType=120),,Input!$T144*AC103)</f>
        <v>0</v>
      </c>
      <c r="AD130" s="635">
        <f>-IF(AND(Input!$F144=EGR,ReimbMethodType=120),,Input!$T144*AD103)</f>
        <v>0</v>
      </c>
      <c r="AE130" s="635">
        <f>-IF(AND(Input!$F144=EGR,ReimbMethodType=120),,Input!$T144*AE103)</f>
        <v>0</v>
      </c>
      <c r="AF130" s="635">
        <f>-IF(AND(Input!$F144=EGR,ReimbMethodType=120),,Input!$T144*AF103)</f>
        <v>0</v>
      </c>
      <c r="AG130" s="635">
        <f>-IF(AND(Input!$F144=EGR,ReimbMethodType=120),,Input!$T144*AG103)</f>
        <v>0</v>
      </c>
      <c r="AH130" s="635">
        <f>-IF(AND(Input!$F144=EGR,ReimbMethodType=120),,Input!$T144*AH103)</f>
        <v>0</v>
      </c>
      <c r="AI130" s="635">
        <f>-IF(AND(Input!$F144=EGR,ReimbMethodType=120),,Input!$T144*AI103)</f>
        <v>0</v>
      </c>
      <c r="AJ130" s="635">
        <f>-IF(AND(Input!$F144=EGR,ReimbMethodType=120),,Input!$T144*AJ103)</f>
        <v>0</v>
      </c>
      <c r="AK130" s="635">
        <f>-IF(AND(Input!$F144=EGR,ReimbMethodType=120),,Input!$T144*AK103)</f>
        <v>0</v>
      </c>
      <c r="AL130" s="635">
        <f>-IF(AND(Input!$F144=EGR,ReimbMethodType=120),,Input!$T144*AL103)</f>
        <v>0</v>
      </c>
      <c r="AM130" s="635">
        <f>-IF(AND(Input!$F144=EGR,ReimbMethodType=120),,Input!$T144*AM103)</f>
        <v>0</v>
      </c>
      <c r="AN130" s="635">
        <f>-IF(AND(Input!$F144=EGR,ReimbMethodType=120),,Input!$T144*AN103)</f>
        <v>0</v>
      </c>
      <c r="AO130" s="635">
        <f>-IF(AND(Input!$F144=EGR,ReimbMethodType=120),,Input!$T144*AO103)</f>
        <v>0</v>
      </c>
      <c r="AP130" s="635">
        <f>-IF(AND(Input!$F144=EGR,ReimbMethodType=120),,Input!$T144*AP103)</f>
        <v>0</v>
      </c>
      <c r="AQ130" s="635">
        <f>-IF(AND(Input!$F144=EGR,ReimbMethodType=120),,Input!$T144*AQ103)</f>
        <v>0</v>
      </c>
      <c r="AR130" s="635">
        <f>-IF(AND(Input!$F144=EGR,ReimbMethodType=120),,Input!$T144*AR103)</f>
        <v>0</v>
      </c>
      <c r="AS130" s="635">
        <f>-IF(AND(Input!$F144=EGR,ReimbMethodType=120),,Input!$T144*AS103)</f>
        <v>0</v>
      </c>
      <c r="AT130" s="635">
        <f>-IF(AND(Input!$F144=EGR,ReimbMethodType=120),,Input!$T144*AT103)</f>
        <v>0</v>
      </c>
      <c r="AU130" s="635">
        <f>-IF(AND(Input!$F144=EGR,ReimbMethodType=120),,Input!$T144*AU103)</f>
        <v>0</v>
      </c>
      <c r="AV130" s="635">
        <f>-IF(AND(Input!$F144=EGR,ReimbMethodType=120),,Input!$T144*AV103)</f>
        <v>0</v>
      </c>
      <c r="AW130" s="635">
        <f>-IF(AND(Input!$F144=EGR,ReimbMethodType=120),,Input!$T144*AW103)</f>
        <v>0</v>
      </c>
      <c r="AX130" s="635">
        <f>-IF(AND(Input!$F144=EGR,ReimbMethodType=120),,Input!$T144*AX103)</f>
        <v>0</v>
      </c>
      <c r="AY130" s="635">
        <f>-IF(AND(Input!$F144=EGR,ReimbMethodType=120),,Input!$T144*AY103)</f>
        <v>0</v>
      </c>
      <c r="AZ130" s="635">
        <f>-IF(AND(Input!$F144=EGR,ReimbMethodType=120),,Input!$T144*AZ103)</f>
        <v>0</v>
      </c>
      <c r="BA130" s="635">
        <f>-IF(AND(Input!$F144=EGR,ReimbMethodType=120),,Input!$T144*BA103)</f>
        <v>0</v>
      </c>
      <c r="BB130" s="192"/>
      <c r="BC130" s="192"/>
      <c r="BD130" s="192"/>
      <c r="BE130" s="192"/>
      <c r="BF130" s="192"/>
      <c r="BG130" s="192"/>
      <c r="BH130" s="192"/>
      <c r="BI130" s="192"/>
      <c r="BJ130" s="192"/>
      <c r="BK130" s="192"/>
      <c r="BL130" s="192"/>
      <c r="BM130" s="192"/>
      <c r="BN130" s="192"/>
      <c r="BO130" s="192"/>
      <c r="BP130" s="192"/>
      <c r="BQ130" s="192"/>
      <c r="BR130" s="192"/>
      <c r="BS130" s="192"/>
      <c r="BT130" s="192"/>
      <c r="BU130" s="192"/>
      <c r="BV130" s="192"/>
      <c r="BW130" s="192"/>
      <c r="BX130" s="192"/>
      <c r="BY130" s="192"/>
      <c r="BZ130" s="192"/>
      <c r="CA130" s="192"/>
      <c r="CB130" s="192"/>
      <c r="CC130" s="192"/>
      <c r="CD130" s="192"/>
      <c r="CE130" s="192"/>
      <c r="CF130" s="192"/>
      <c r="CG130" s="192"/>
      <c r="CH130" s="192"/>
      <c r="CI130" s="192"/>
      <c r="CJ130" s="192"/>
      <c r="CK130" s="192"/>
      <c r="CL130" s="192"/>
      <c r="CM130" s="192"/>
      <c r="CN130" s="192"/>
      <c r="CO130" s="192"/>
      <c r="CP130" s="192"/>
      <c r="CQ130" s="192"/>
      <c r="CR130" s="192"/>
      <c r="CS130" s="192"/>
      <c r="CT130" s="192"/>
      <c r="CU130" s="192"/>
      <c r="CV130" s="192"/>
      <c r="CW130" s="192"/>
      <c r="CX130" s="192"/>
      <c r="CY130" s="192"/>
      <c r="CZ130" s="192"/>
      <c r="DA130" s="192"/>
      <c r="DB130" s="192"/>
      <c r="DC130" s="192"/>
      <c r="DD130" s="192"/>
      <c r="DE130" s="192"/>
      <c r="DF130" s="192"/>
      <c r="DG130" s="192"/>
      <c r="DH130" s="192"/>
      <c r="DI130" s="192"/>
      <c r="DJ130" s="192"/>
      <c r="DK130" s="192"/>
      <c r="DL130" s="192"/>
      <c r="DM130" s="192"/>
      <c r="DN130" s="192"/>
      <c r="DO130" s="192"/>
      <c r="DP130" s="192"/>
      <c r="DQ130" s="192"/>
      <c r="DR130" s="192"/>
      <c r="DS130" s="192"/>
      <c r="DT130" s="192"/>
      <c r="DU130" s="192"/>
      <c r="DV130" s="192"/>
      <c r="DW130" s="192"/>
      <c r="DX130" s="192"/>
      <c r="DY130" s="192"/>
      <c r="DZ130" s="192"/>
      <c r="EA130" s="192"/>
      <c r="EB130" s="192"/>
      <c r="EC130" s="192"/>
      <c r="ED130" s="192"/>
      <c r="EE130" s="192"/>
      <c r="EF130" s="192"/>
      <c r="EG130" s="192"/>
      <c r="EH130" s="192"/>
      <c r="EI130" s="192"/>
      <c r="EJ130" s="192"/>
      <c r="EK130" s="192"/>
      <c r="EL130" s="192"/>
      <c r="EM130" s="192"/>
      <c r="EN130" s="192"/>
      <c r="EO130" s="192"/>
      <c r="EP130" s="192"/>
      <c r="EQ130" s="192"/>
      <c r="ER130" s="192"/>
      <c r="ES130" s="192"/>
      <c r="ET130" s="192"/>
    </row>
    <row r="131" spans="1:150">
      <c r="A131" s="192"/>
      <c r="B131" s="36" t="str">
        <f>Input!B145</f>
        <v>Property Management Fee</v>
      </c>
      <c r="C131" s="635">
        <f>-IF(AND(Input!$F145=EGR,ReimbMethodType=120),,Input!$T145*C104)</f>
        <v>0</v>
      </c>
      <c r="D131" s="635">
        <f>-IF(AND(Input!$F145=EGR,ReimbMethodType=120),,Input!$T145*D104)</f>
        <v>0</v>
      </c>
      <c r="E131" s="635">
        <f>-IF(AND(Input!$F145=EGR,ReimbMethodType=120),,Input!$T145*E104)</f>
        <v>0</v>
      </c>
      <c r="F131" s="635">
        <f>-IF(AND(Input!$F145=EGR,ReimbMethodType=120),,Input!$T145*F104)</f>
        <v>0</v>
      </c>
      <c r="G131" s="635">
        <f>-IF(AND(Input!$F145=EGR,ReimbMethodType=120),,Input!$T145*G104)</f>
        <v>0</v>
      </c>
      <c r="H131" s="635">
        <f>-IF(AND(Input!$F145=EGR,ReimbMethodType=120),,Input!$T145*H104)</f>
        <v>0</v>
      </c>
      <c r="I131" s="635">
        <f>-IF(AND(Input!$F145=EGR,ReimbMethodType=120),,Input!$T145*I104)</f>
        <v>0</v>
      </c>
      <c r="J131" s="635">
        <f>-IF(AND(Input!$F145=EGR,ReimbMethodType=120),,Input!$T145*J104)</f>
        <v>0</v>
      </c>
      <c r="K131" s="635">
        <f>-IF(AND(Input!$F145=EGR,ReimbMethodType=120),,Input!$T145*K104)</f>
        <v>0</v>
      </c>
      <c r="L131" s="635">
        <f>-IF(AND(Input!$F145=EGR,ReimbMethodType=120),,Input!$T145*L104)</f>
        <v>0</v>
      </c>
      <c r="M131" s="635">
        <f>-IF(AND(Input!$F145=EGR,ReimbMethodType=120),,Input!$T145*M104)</f>
        <v>0</v>
      </c>
      <c r="N131" s="192"/>
      <c r="O131" s="635">
        <f>-IF(AND(Input!$F145=EGR,ReimbMethodType=120),,Input!$T145*O104)</f>
        <v>0</v>
      </c>
      <c r="P131" s="192"/>
      <c r="Q131" s="37"/>
      <c r="R131" s="635">
        <f>-IF(AND(Input!$F145=EGR,ReimbMethodType=120),,Input!$T145*R104)</f>
        <v>0</v>
      </c>
      <c r="S131" s="635">
        <f>-IF(AND(Input!$F145=EGR,ReimbMethodType=120),,Input!$T145*S104)</f>
        <v>0</v>
      </c>
      <c r="T131" s="635">
        <f>-IF(AND(Input!$F145=EGR,ReimbMethodType=120),,Input!$T145*T104)</f>
        <v>0</v>
      </c>
      <c r="U131" s="635">
        <f>-IF(AND(Input!$F145=EGR,ReimbMethodType=120),,Input!$T145*U104)</f>
        <v>0</v>
      </c>
      <c r="V131" s="635">
        <f>-IF(AND(Input!$F145=EGR,ReimbMethodType=120),,Input!$T145*V104)</f>
        <v>0</v>
      </c>
      <c r="W131" s="635">
        <f>-IF(AND(Input!$F145=EGR,ReimbMethodType=120),,Input!$T145*W104)</f>
        <v>0</v>
      </c>
      <c r="X131" s="635">
        <f>-IF(AND(Input!$F145=EGR,ReimbMethodType=120),,Input!$T145*X104)</f>
        <v>0</v>
      </c>
      <c r="Y131" s="635">
        <f>-IF(AND(Input!$F145=EGR,ReimbMethodType=120),,Input!$T145*Y104)</f>
        <v>0</v>
      </c>
      <c r="Z131" s="635">
        <f>-IF(AND(Input!$F145=EGR,ReimbMethodType=120),,Input!$T145*Z104)</f>
        <v>0</v>
      </c>
      <c r="AA131" s="635">
        <f>-IF(AND(Input!$F145=EGR,ReimbMethodType=120),,Input!$T145*AA104)</f>
        <v>0</v>
      </c>
      <c r="AB131" s="635">
        <f>-IF(AND(Input!$F145=EGR,ReimbMethodType=120),,Input!$T145*AB104)</f>
        <v>0</v>
      </c>
      <c r="AC131" s="635">
        <f>-IF(AND(Input!$F145=EGR,ReimbMethodType=120),,Input!$T145*AC104)</f>
        <v>0</v>
      </c>
      <c r="AD131" s="635">
        <f>-IF(AND(Input!$F145=EGR,ReimbMethodType=120),,Input!$T145*AD104)</f>
        <v>0</v>
      </c>
      <c r="AE131" s="635">
        <f>-IF(AND(Input!$F145=EGR,ReimbMethodType=120),,Input!$T145*AE104)</f>
        <v>0</v>
      </c>
      <c r="AF131" s="635">
        <f>-IF(AND(Input!$F145=EGR,ReimbMethodType=120),,Input!$T145*AF104)</f>
        <v>0</v>
      </c>
      <c r="AG131" s="635">
        <f>-IF(AND(Input!$F145=EGR,ReimbMethodType=120),,Input!$T145*AG104)</f>
        <v>0</v>
      </c>
      <c r="AH131" s="635">
        <f>-IF(AND(Input!$F145=EGR,ReimbMethodType=120),,Input!$T145*AH104)</f>
        <v>0</v>
      </c>
      <c r="AI131" s="635">
        <f>-IF(AND(Input!$F145=EGR,ReimbMethodType=120),,Input!$T145*AI104)</f>
        <v>0</v>
      </c>
      <c r="AJ131" s="635">
        <f>-IF(AND(Input!$F145=EGR,ReimbMethodType=120),,Input!$T145*AJ104)</f>
        <v>0</v>
      </c>
      <c r="AK131" s="635">
        <f>-IF(AND(Input!$F145=EGR,ReimbMethodType=120),,Input!$T145*AK104)</f>
        <v>0</v>
      </c>
      <c r="AL131" s="635">
        <f>-IF(AND(Input!$F145=EGR,ReimbMethodType=120),,Input!$T145*AL104)</f>
        <v>0</v>
      </c>
      <c r="AM131" s="635">
        <f>-IF(AND(Input!$F145=EGR,ReimbMethodType=120),,Input!$T145*AM104)</f>
        <v>0</v>
      </c>
      <c r="AN131" s="635">
        <f>-IF(AND(Input!$F145=EGR,ReimbMethodType=120),,Input!$T145*AN104)</f>
        <v>0</v>
      </c>
      <c r="AO131" s="635">
        <f>-IF(AND(Input!$F145=EGR,ReimbMethodType=120),,Input!$T145*AO104)</f>
        <v>0</v>
      </c>
      <c r="AP131" s="635">
        <f>-IF(AND(Input!$F145=EGR,ReimbMethodType=120),,Input!$T145*AP104)</f>
        <v>0</v>
      </c>
      <c r="AQ131" s="635">
        <f>-IF(AND(Input!$F145=EGR,ReimbMethodType=120),,Input!$T145*AQ104)</f>
        <v>0</v>
      </c>
      <c r="AR131" s="635">
        <f>-IF(AND(Input!$F145=EGR,ReimbMethodType=120),,Input!$T145*AR104)</f>
        <v>0</v>
      </c>
      <c r="AS131" s="635">
        <f>-IF(AND(Input!$F145=EGR,ReimbMethodType=120),,Input!$T145*AS104)</f>
        <v>0</v>
      </c>
      <c r="AT131" s="635">
        <f>-IF(AND(Input!$F145=EGR,ReimbMethodType=120),,Input!$T145*AT104)</f>
        <v>0</v>
      </c>
      <c r="AU131" s="635">
        <f>-IF(AND(Input!$F145=EGR,ReimbMethodType=120),,Input!$T145*AU104)</f>
        <v>0</v>
      </c>
      <c r="AV131" s="635">
        <f>-IF(AND(Input!$F145=EGR,ReimbMethodType=120),,Input!$T145*AV104)</f>
        <v>0</v>
      </c>
      <c r="AW131" s="635">
        <f>-IF(AND(Input!$F145=EGR,ReimbMethodType=120),,Input!$T145*AW104)</f>
        <v>0</v>
      </c>
      <c r="AX131" s="635">
        <f>-IF(AND(Input!$F145=EGR,ReimbMethodType=120),,Input!$T145*AX104)</f>
        <v>0</v>
      </c>
      <c r="AY131" s="635">
        <f>-IF(AND(Input!$F145=EGR,ReimbMethodType=120),,Input!$T145*AY104)</f>
        <v>0</v>
      </c>
      <c r="AZ131" s="635">
        <f>-IF(AND(Input!$F145=EGR,ReimbMethodType=120),,Input!$T145*AZ104)</f>
        <v>0</v>
      </c>
      <c r="BA131" s="635">
        <f>-IF(AND(Input!$F145=EGR,ReimbMethodType=120),,Input!$T145*BA104)</f>
        <v>0</v>
      </c>
      <c r="BB131" s="192"/>
      <c r="BC131" s="192"/>
      <c r="BD131" s="192"/>
      <c r="BE131" s="192"/>
      <c r="BF131" s="192"/>
      <c r="BG131" s="192"/>
      <c r="BH131" s="192"/>
      <c r="BI131" s="192"/>
      <c r="BJ131" s="192"/>
      <c r="BK131" s="192"/>
      <c r="BL131" s="192"/>
      <c r="BM131" s="192"/>
      <c r="BN131" s="192"/>
      <c r="BO131" s="192"/>
      <c r="BP131" s="192"/>
      <c r="BQ131" s="192"/>
      <c r="BR131" s="192"/>
      <c r="BS131" s="192"/>
      <c r="BT131" s="192"/>
      <c r="BU131" s="192"/>
      <c r="BV131" s="192"/>
      <c r="BW131" s="192"/>
      <c r="BX131" s="192"/>
      <c r="BY131" s="192"/>
      <c r="BZ131" s="192"/>
      <c r="CA131" s="192"/>
      <c r="CB131" s="192"/>
      <c r="CC131" s="192"/>
      <c r="CD131" s="192"/>
      <c r="CE131" s="192"/>
      <c r="CF131" s="192"/>
      <c r="CG131" s="192"/>
      <c r="CH131" s="192"/>
      <c r="CI131" s="192"/>
      <c r="CJ131" s="192"/>
      <c r="CK131" s="192"/>
      <c r="CL131" s="192"/>
      <c r="CM131" s="192"/>
      <c r="CN131" s="192"/>
      <c r="CO131" s="192"/>
      <c r="CP131" s="192"/>
      <c r="CQ131" s="192"/>
      <c r="CR131" s="192"/>
      <c r="CS131" s="192"/>
      <c r="CT131" s="192"/>
      <c r="CU131" s="192"/>
      <c r="CV131" s="192"/>
      <c r="CW131" s="192"/>
      <c r="CX131" s="192"/>
      <c r="CY131" s="192"/>
      <c r="CZ131" s="192"/>
      <c r="DA131" s="192"/>
      <c r="DB131" s="192"/>
      <c r="DC131" s="192"/>
      <c r="DD131" s="192"/>
      <c r="DE131" s="192"/>
      <c r="DF131" s="192"/>
      <c r="DG131" s="192"/>
      <c r="DH131" s="192"/>
      <c r="DI131" s="192"/>
      <c r="DJ131" s="192"/>
      <c r="DK131" s="192"/>
      <c r="DL131" s="192"/>
      <c r="DM131" s="192"/>
      <c r="DN131" s="192"/>
      <c r="DO131" s="192"/>
      <c r="DP131" s="192"/>
      <c r="DQ131" s="192"/>
      <c r="DR131" s="192"/>
      <c r="DS131" s="192"/>
      <c r="DT131" s="192"/>
      <c r="DU131" s="192"/>
      <c r="DV131" s="192"/>
      <c r="DW131" s="192"/>
      <c r="DX131" s="192"/>
      <c r="DY131" s="192"/>
      <c r="DZ131" s="192"/>
      <c r="EA131" s="192"/>
      <c r="EB131" s="192"/>
      <c r="EC131" s="192"/>
      <c r="ED131" s="192"/>
      <c r="EE131" s="192"/>
      <c r="EF131" s="192"/>
      <c r="EG131" s="192"/>
      <c r="EH131" s="192"/>
      <c r="EI131" s="192"/>
      <c r="EJ131" s="192"/>
      <c r="EK131" s="192"/>
      <c r="EL131" s="192"/>
      <c r="EM131" s="192"/>
      <c r="EN131" s="192"/>
      <c r="EO131" s="192"/>
      <c r="EP131" s="192"/>
      <c r="EQ131" s="192"/>
      <c r="ER131" s="192"/>
      <c r="ES131" s="192"/>
      <c r="ET131" s="192"/>
    </row>
    <row r="132" spans="1:150">
      <c r="A132" s="192"/>
      <c r="B132" s="36" t="str">
        <f>Input!B146</f>
        <v>Other Operating Expenses</v>
      </c>
      <c r="C132" s="635">
        <f>-IF(AND(Input!$F146=EGR,ReimbMethodType=120),,Input!$T146*C105)</f>
        <v>0</v>
      </c>
      <c r="D132" s="635">
        <f>-IF(AND(Input!$F146=EGR,ReimbMethodType=120),,Input!$T146*D105)</f>
        <v>0</v>
      </c>
      <c r="E132" s="635">
        <f>-IF(AND(Input!$F146=EGR,ReimbMethodType=120),,Input!$T146*E105)</f>
        <v>0</v>
      </c>
      <c r="F132" s="635">
        <f>-IF(AND(Input!$F146=EGR,ReimbMethodType=120),,Input!$T146*F105)</f>
        <v>0</v>
      </c>
      <c r="G132" s="635">
        <f>-IF(AND(Input!$F146=EGR,ReimbMethodType=120),,Input!$T146*G105)</f>
        <v>0</v>
      </c>
      <c r="H132" s="635">
        <f>-IF(AND(Input!$F146=EGR,ReimbMethodType=120),,Input!$T146*H105)</f>
        <v>0</v>
      </c>
      <c r="I132" s="635">
        <f>-IF(AND(Input!$F146=EGR,ReimbMethodType=120),,Input!$T146*I105)</f>
        <v>0</v>
      </c>
      <c r="J132" s="635">
        <f>-IF(AND(Input!$F146=EGR,ReimbMethodType=120),,Input!$T146*J105)</f>
        <v>0</v>
      </c>
      <c r="K132" s="635">
        <f>-IF(AND(Input!$F146=EGR,ReimbMethodType=120),,Input!$T146*K105)</f>
        <v>0</v>
      </c>
      <c r="L132" s="635">
        <f>-IF(AND(Input!$F146=EGR,ReimbMethodType=120),,Input!$T146*L105)</f>
        <v>0</v>
      </c>
      <c r="M132" s="635">
        <f>-IF(AND(Input!$F146=EGR,ReimbMethodType=120),,Input!$T146*M105)</f>
        <v>0</v>
      </c>
      <c r="N132" s="192"/>
      <c r="O132" s="635">
        <f>-IF(AND(Input!$F146=EGR,ReimbMethodType=120),,Input!$T146*O105)</f>
        <v>0</v>
      </c>
      <c r="P132" s="192"/>
      <c r="Q132" s="37"/>
      <c r="R132" s="635">
        <f>-IF(AND(Input!$F146=EGR,ReimbMethodType=120),,Input!$T146*R105)</f>
        <v>0</v>
      </c>
      <c r="S132" s="635">
        <f>-IF(AND(Input!$F146=EGR,ReimbMethodType=120),,Input!$T146*S105)</f>
        <v>0</v>
      </c>
      <c r="T132" s="635">
        <f>-IF(AND(Input!$F146=EGR,ReimbMethodType=120),,Input!$T146*T105)</f>
        <v>0</v>
      </c>
      <c r="U132" s="635">
        <f>-IF(AND(Input!$F146=EGR,ReimbMethodType=120),,Input!$T146*U105)</f>
        <v>0</v>
      </c>
      <c r="V132" s="635">
        <f>-IF(AND(Input!$F146=EGR,ReimbMethodType=120),,Input!$T146*V105)</f>
        <v>0</v>
      </c>
      <c r="W132" s="635">
        <f>-IF(AND(Input!$F146=EGR,ReimbMethodType=120),,Input!$T146*W105)</f>
        <v>0</v>
      </c>
      <c r="X132" s="635">
        <f>-IF(AND(Input!$F146=EGR,ReimbMethodType=120),,Input!$T146*X105)</f>
        <v>0</v>
      </c>
      <c r="Y132" s="635">
        <f>-IF(AND(Input!$F146=EGR,ReimbMethodType=120),,Input!$T146*Y105)</f>
        <v>0</v>
      </c>
      <c r="Z132" s="635">
        <f>-IF(AND(Input!$F146=EGR,ReimbMethodType=120),,Input!$T146*Z105)</f>
        <v>0</v>
      </c>
      <c r="AA132" s="635">
        <f>-IF(AND(Input!$F146=EGR,ReimbMethodType=120),,Input!$T146*AA105)</f>
        <v>0</v>
      </c>
      <c r="AB132" s="635">
        <f>-IF(AND(Input!$F146=EGR,ReimbMethodType=120),,Input!$T146*AB105)</f>
        <v>0</v>
      </c>
      <c r="AC132" s="635">
        <f>-IF(AND(Input!$F146=EGR,ReimbMethodType=120),,Input!$T146*AC105)</f>
        <v>0</v>
      </c>
      <c r="AD132" s="635">
        <f>-IF(AND(Input!$F146=EGR,ReimbMethodType=120),,Input!$T146*AD105)</f>
        <v>0</v>
      </c>
      <c r="AE132" s="635">
        <f>-IF(AND(Input!$F146=EGR,ReimbMethodType=120),,Input!$T146*AE105)</f>
        <v>0</v>
      </c>
      <c r="AF132" s="635">
        <f>-IF(AND(Input!$F146=EGR,ReimbMethodType=120),,Input!$T146*AF105)</f>
        <v>0</v>
      </c>
      <c r="AG132" s="635">
        <f>-IF(AND(Input!$F146=EGR,ReimbMethodType=120),,Input!$T146*AG105)</f>
        <v>0</v>
      </c>
      <c r="AH132" s="635">
        <f>-IF(AND(Input!$F146=EGR,ReimbMethodType=120),,Input!$T146*AH105)</f>
        <v>0</v>
      </c>
      <c r="AI132" s="635">
        <f>-IF(AND(Input!$F146=EGR,ReimbMethodType=120),,Input!$T146*AI105)</f>
        <v>0</v>
      </c>
      <c r="AJ132" s="635">
        <f>-IF(AND(Input!$F146=EGR,ReimbMethodType=120),,Input!$T146*AJ105)</f>
        <v>0</v>
      </c>
      <c r="AK132" s="635">
        <f>-IF(AND(Input!$F146=EGR,ReimbMethodType=120),,Input!$T146*AK105)</f>
        <v>0</v>
      </c>
      <c r="AL132" s="635">
        <f>-IF(AND(Input!$F146=EGR,ReimbMethodType=120),,Input!$T146*AL105)</f>
        <v>0</v>
      </c>
      <c r="AM132" s="635">
        <f>-IF(AND(Input!$F146=EGR,ReimbMethodType=120),,Input!$T146*AM105)</f>
        <v>0</v>
      </c>
      <c r="AN132" s="635">
        <f>-IF(AND(Input!$F146=EGR,ReimbMethodType=120),,Input!$T146*AN105)</f>
        <v>0</v>
      </c>
      <c r="AO132" s="635">
        <f>-IF(AND(Input!$F146=EGR,ReimbMethodType=120),,Input!$T146*AO105)</f>
        <v>0</v>
      </c>
      <c r="AP132" s="635">
        <f>-IF(AND(Input!$F146=EGR,ReimbMethodType=120),,Input!$T146*AP105)</f>
        <v>0</v>
      </c>
      <c r="AQ132" s="635">
        <f>-IF(AND(Input!$F146=EGR,ReimbMethodType=120),,Input!$T146*AQ105)</f>
        <v>0</v>
      </c>
      <c r="AR132" s="635">
        <f>-IF(AND(Input!$F146=EGR,ReimbMethodType=120),,Input!$T146*AR105)</f>
        <v>0</v>
      </c>
      <c r="AS132" s="635">
        <f>-IF(AND(Input!$F146=EGR,ReimbMethodType=120),,Input!$T146*AS105)</f>
        <v>0</v>
      </c>
      <c r="AT132" s="635">
        <f>-IF(AND(Input!$F146=EGR,ReimbMethodType=120),,Input!$T146*AT105)</f>
        <v>0</v>
      </c>
      <c r="AU132" s="635">
        <f>-IF(AND(Input!$F146=EGR,ReimbMethodType=120),,Input!$T146*AU105)</f>
        <v>0</v>
      </c>
      <c r="AV132" s="635">
        <f>-IF(AND(Input!$F146=EGR,ReimbMethodType=120),,Input!$T146*AV105)</f>
        <v>0</v>
      </c>
      <c r="AW132" s="635">
        <f>-IF(AND(Input!$F146=EGR,ReimbMethodType=120),,Input!$T146*AW105)</f>
        <v>0</v>
      </c>
      <c r="AX132" s="635">
        <f>-IF(AND(Input!$F146=EGR,ReimbMethodType=120),,Input!$T146*AX105)</f>
        <v>0</v>
      </c>
      <c r="AY132" s="635">
        <f>-IF(AND(Input!$F146=EGR,ReimbMethodType=120),,Input!$T146*AY105)</f>
        <v>0</v>
      </c>
      <c r="AZ132" s="635">
        <f>-IF(AND(Input!$F146=EGR,ReimbMethodType=120),,Input!$T146*AZ105)</f>
        <v>0</v>
      </c>
      <c r="BA132" s="635">
        <f>-IF(AND(Input!$F146=EGR,ReimbMethodType=120),,Input!$T146*BA105)</f>
        <v>0</v>
      </c>
      <c r="BB132" s="192"/>
      <c r="BC132" s="192"/>
      <c r="BD132" s="192"/>
      <c r="BE132" s="192"/>
      <c r="BF132" s="192"/>
      <c r="BG132" s="192"/>
      <c r="BH132" s="192"/>
      <c r="BI132" s="192"/>
      <c r="BJ132" s="192"/>
      <c r="BK132" s="192"/>
      <c r="BL132" s="192"/>
      <c r="BM132" s="192"/>
      <c r="BN132" s="192"/>
      <c r="BO132" s="192"/>
      <c r="BP132" s="192"/>
      <c r="BQ132" s="192"/>
      <c r="BR132" s="192"/>
      <c r="BS132" s="192"/>
      <c r="BT132" s="192"/>
      <c r="BU132" s="192"/>
      <c r="BV132" s="192"/>
      <c r="BW132" s="192"/>
      <c r="BX132" s="192"/>
      <c r="BY132" s="192"/>
      <c r="BZ132" s="192"/>
      <c r="CA132" s="192"/>
      <c r="CB132" s="192"/>
      <c r="CC132" s="192"/>
      <c r="CD132" s="192"/>
      <c r="CE132" s="192"/>
      <c r="CF132" s="192"/>
      <c r="CG132" s="192"/>
      <c r="CH132" s="192"/>
      <c r="CI132" s="192"/>
      <c r="CJ132" s="192"/>
      <c r="CK132" s="192"/>
      <c r="CL132" s="192"/>
      <c r="CM132" s="192"/>
      <c r="CN132" s="192"/>
      <c r="CO132" s="192"/>
      <c r="CP132" s="192"/>
      <c r="CQ132" s="192"/>
      <c r="CR132" s="192"/>
      <c r="CS132" s="192"/>
      <c r="CT132" s="192"/>
      <c r="CU132" s="192"/>
      <c r="CV132" s="192"/>
      <c r="CW132" s="192"/>
      <c r="CX132" s="192"/>
      <c r="CY132" s="192"/>
      <c r="CZ132" s="192"/>
      <c r="DA132" s="192"/>
      <c r="DB132" s="192"/>
      <c r="DC132" s="192"/>
      <c r="DD132" s="192"/>
      <c r="DE132" s="192"/>
      <c r="DF132" s="192"/>
      <c r="DG132" s="192"/>
      <c r="DH132" s="192"/>
      <c r="DI132" s="192"/>
      <c r="DJ132" s="192"/>
      <c r="DK132" s="192"/>
      <c r="DL132" s="192"/>
      <c r="DM132" s="192"/>
      <c r="DN132" s="192"/>
      <c r="DO132" s="192"/>
      <c r="DP132" s="192"/>
      <c r="DQ132" s="192"/>
      <c r="DR132" s="192"/>
      <c r="DS132" s="192"/>
      <c r="DT132" s="192"/>
      <c r="DU132" s="192"/>
      <c r="DV132" s="192"/>
      <c r="DW132" s="192"/>
      <c r="DX132" s="192"/>
      <c r="DY132" s="192"/>
      <c r="DZ132" s="192"/>
      <c r="EA132" s="192"/>
      <c r="EB132" s="192"/>
      <c r="EC132" s="192"/>
      <c r="ED132" s="192"/>
      <c r="EE132" s="192"/>
      <c r="EF132" s="192"/>
      <c r="EG132" s="192"/>
      <c r="EH132" s="192"/>
      <c r="EI132" s="192"/>
      <c r="EJ132" s="192"/>
      <c r="EK132" s="192"/>
      <c r="EL132" s="192"/>
      <c r="EM132" s="192"/>
      <c r="EN132" s="192"/>
      <c r="EO132" s="192"/>
      <c r="EP132" s="192"/>
      <c r="EQ132" s="192"/>
      <c r="ER132" s="192"/>
      <c r="ES132" s="192"/>
      <c r="ET132" s="192"/>
    </row>
    <row r="133" spans="1:150">
      <c r="A133" s="192"/>
      <c r="B133" s="36" t="str">
        <f>Input!B147</f>
        <v>Customizable 1</v>
      </c>
      <c r="C133" s="635">
        <f>-IF(AND(Input!$F147=EGR,ReimbMethodType=120),,Input!$T147*C106)</f>
        <v>0</v>
      </c>
      <c r="D133" s="635">
        <f>-IF(AND(Input!$F147=EGR,ReimbMethodType=120),,Input!$T147*D106)</f>
        <v>0</v>
      </c>
      <c r="E133" s="635">
        <f>-IF(AND(Input!$F147=EGR,ReimbMethodType=120),,Input!$T147*E106)</f>
        <v>0</v>
      </c>
      <c r="F133" s="635">
        <f>-IF(AND(Input!$F147=EGR,ReimbMethodType=120),,Input!$T147*F106)</f>
        <v>0</v>
      </c>
      <c r="G133" s="635">
        <f>-IF(AND(Input!$F147=EGR,ReimbMethodType=120),,Input!$T147*G106)</f>
        <v>0</v>
      </c>
      <c r="H133" s="635">
        <f>-IF(AND(Input!$F147=EGR,ReimbMethodType=120),,Input!$T147*H106)</f>
        <v>0</v>
      </c>
      <c r="I133" s="635">
        <f>-IF(AND(Input!$F147=EGR,ReimbMethodType=120),,Input!$T147*I106)</f>
        <v>0</v>
      </c>
      <c r="J133" s="635">
        <f>-IF(AND(Input!$F147=EGR,ReimbMethodType=120),,Input!$T147*J106)</f>
        <v>0</v>
      </c>
      <c r="K133" s="635">
        <f>-IF(AND(Input!$F147=EGR,ReimbMethodType=120),,Input!$T147*K106)</f>
        <v>0</v>
      </c>
      <c r="L133" s="635">
        <f>-IF(AND(Input!$F147=EGR,ReimbMethodType=120),,Input!$T147*L106)</f>
        <v>0</v>
      </c>
      <c r="M133" s="635">
        <f>-IF(AND(Input!$F147=EGR,ReimbMethodType=120),,Input!$T147*M106)</f>
        <v>0</v>
      </c>
      <c r="N133" s="192"/>
      <c r="O133" s="635">
        <f>-IF(AND(Input!$F147=EGR,ReimbMethodType=120),,Input!$T147*O106)</f>
        <v>0</v>
      </c>
      <c r="P133" s="192"/>
      <c r="Q133" s="37"/>
      <c r="R133" s="635">
        <f>-IF(AND(Input!$F147=EGR,ReimbMethodType=120),,Input!$T147*R106)</f>
        <v>0</v>
      </c>
      <c r="S133" s="635">
        <f>-IF(AND(Input!$F147=EGR,ReimbMethodType=120),,Input!$T147*S106)</f>
        <v>0</v>
      </c>
      <c r="T133" s="635">
        <f>-IF(AND(Input!$F147=EGR,ReimbMethodType=120),,Input!$T147*T106)</f>
        <v>0</v>
      </c>
      <c r="U133" s="635">
        <f>-IF(AND(Input!$F147=EGR,ReimbMethodType=120),,Input!$T147*U106)</f>
        <v>0</v>
      </c>
      <c r="V133" s="635">
        <f>-IF(AND(Input!$F147=EGR,ReimbMethodType=120),,Input!$T147*V106)</f>
        <v>0</v>
      </c>
      <c r="W133" s="635">
        <f>-IF(AND(Input!$F147=EGR,ReimbMethodType=120),,Input!$T147*W106)</f>
        <v>0</v>
      </c>
      <c r="X133" s="635">
        <f>-IF(AND(Input!$F147=EGR,ReimbMethodType=120),,Input!$T147*X106)</f>
        <v>0</v>
      </c>
      <c r="Y133" s="635">
        <f>-IF(AND(Input!$F147=EGR,ReimbMethodType=120),,Input!$T147*Y106)</f>
        <v>0</v>
      </c>
      <c r="Z133" s="635">
        <f>-IF(AND(Input!$F147=EGR,ReimbMethodType=120),,Input!$T147*Z106)</f>
        <v>0</v>
      </c>
      <c r="AA133" s="635">
        <f>-IF(AND(Input!$F147=EGR,ReimbMethodType=120),,Input!$T147*AA106)</f>
        <v>0</v>
      </c>
      <c r="AB133" s="635">
        <f>-IF(AND(Input!$F147=EGR,ReimbMethodType=120),,Input!$T147*AB106)</f>
        <v>0</v>
      </c>
      <c r="AC133" s="635">
        <f>-IF(AND(Input!$F147=EGR,ReimbMethodType=120),,Input!$T147*AC106)</f>
        <v>0</v>
      </c>
      <c r="AD133" s="635">
        <f>-IF(AND(Input!$F147=EGR,ReimbMethodType=120),,Input!$T147*AD106)</f>
        <v>0</v>
      </c>
      <c r="AE133" s="635">
        <f>-IF(AND(Input!$F147=EGR,ReimbMethodType=120),,Input!$T147*AE106)</f>
        <v>0</v>
      </c>
      <c r="AF133" s="635">
        <f>-IF(AND(Input!$F147=EGR,ReimbMethodType=120),,Input!$T147*AF106)</f>
        <v>0</v>
      </c>
      <c r="AG133" s="635">
        <f>-IF(AND(Input!$F147=EGR,ReimbMethodType=120),,Input!$T147*AG106)</f>
        <v>0</v>
      </c>
      <c r="AH133" s="635">
        <f>-IF(AND(Input!$F147=EGR,ReimbMethodType=120),,Input!$T147*AH106)</f>
        <v>0</v>
      </c>
      <c r="AI133" s="635">
        <f>-IF(AND(Input!$F147=EGR,ReimbMethodType=120),,Input!$T147*AI106)</f>
        <v>0</v>
      </c>
      <c r="AJ133" s="635">
        <f>-IF(AND(Input!$F147=EGR,ReimbMethodType=120),,Input!$T147*AJ106)</f>
        <v>0</v>
      </c>
      <c r="AK133" s="635">
        <f>-IF(AND(Input!$F147=EGR,ReimbMethodType=120),,Input!$T147*AK106)</f>
        <v>0</v>
      </c>
      <c r="AL133" s="635">
        <f>-IF(AND(Input!$F147=EGR,ReimbMethodType=120),,Input!$T147*AL106)</f>
        <v>0</v>
      </c>
      <c r="AM133" s="635">
        <f>-IF(AND(Input!$F147=EGR,ReimbMethodType=120),,Input!$T147*AM106)</f>
        <v>0</v>
      </c>
      <c r="AN133" s="635">
        <f>-IF(AND(Input!$F147=EGR,ReimbMethodType=120),,Input!$T147*AN106)</f>
        <v>0</v>
      </c>
      <c r="AO133" s="635">
        <f>-IF(AND(Input!$F147=EGR,ReimbMethodType=120),,Input!$T147*AO106)</f>
        <v>0</v>
      </c>
      <c r="AP133" s="635">
        <f>-IF(AND(Input!$F147=EGR,ReimbMethodType=120),,Input!$T147*AP106)</f>
        <v>0</v>
      </c>
      <c r="AQ133" s="635">
        <f>-IF(AND(Input!$F147=EGR,ReimbMethodType=120),,Input!$T147*AQ106)</f>
        <v>0</v>
      </c>
      <c r="AR133" s="635">
        <f>-IF(AND(Input!$F147=EGR,ReimbMethodType=120),,Input!$T147*AR106)</f>
        <v>0</v>
      </c>
      <c r="AS133" s="635">
        <f>-IF(AND(Input!$F147=EGR,ReimbMethodType=120),,Input!$T147*AS106)</f>
        <v>0</v>
      </c>
      <c r="AT133" s="635">
        <f>-IF(AND(Input!$F147=EGR,ReimbMethodType=120),,Input!$T147*AT106)</f>
        <v>0</v>
      </c>
      <c r="AU133" s="635">
        <f>-IF(AND(Input!$F147=EGR,ReimbMethodType=120),,Input!$T147*AU106)</f>
        <v>0</v>
      </c>
      <c r="AV133" s="635">
        <f>-IF(AND(Input!$F147=EGR,ReimbMethodType=120),,Input!$T147*AV106)</f>
        <v>0</v>
      </c>
      <c r="AW133" s="635">
        <f>-IF(AND(Input!$F147=EGR,ReimbMethodType=120),,Input!$T147*AW106)</f>
        <v>0</v>
      </c>
      <c r="AX133" s="635">
        <f>-IF(AND(Input!$F147=EGR,ReimbMethodType=120),,Input!$T147*AX106)</f>
        <v>0</v>
      </c>
      <c r="AY133" s="635">
        <f>-IF(AND(Input!$F147=EGR,ReimbMethodType=120),,Input!$T147*AY106)</f>
        <v>0</v>
      </c>
      <c r="AZ133" s="635">
        <f>-IF(AND(Input!$F147=EGR,ReimbMethodType=120),,Input!$T147*AZ106)</f>
        <v>0</v>
      </c>
      <c r="BA133" s="635">
        <f>-IF(AND(Input!$F147=EGR,ReimbMethodType=120),,Input!$T147*BA106)</f>
        <v>0</v>
      </c>
      <c r="BB133" s="192"/>
      <c r="BC133" s="192"/>
      <c r="BD133" s="192"/>
      <c r="BE133" s="192"/>
      <c r="BF133" s="192"/>
      <c r="BG133" s="192"/>
      <c r="BH133" s="192"/>
      <c r="BI133" s="192"/>
      <c r="BJ133" s="192"/>
      <c r="BK133" s="192"/>
      <c r="BL133" s="192"/>
      <c r="BM133" s="192"/>
      <c r="BN133" s="192"/>
      <c r="BO133" s="192"/>
      <c r="BP133" s="192"/>
      <c r="BQ133" s="192"/>
      <c r="BR133" s="192"/>
      <c r="BS133" s="192"/>
      <c r="BT133" s="192"/>
      <c r="BU133" s="192"/>
      <c r="BV133" s="192"/>
      <c r="BW133" s="192"/>
      <c r="BX133" s="192"/>
      <c r="BY133" s="192"/>
      <c r="BZ133" s="192"/>
      <c r="CA133" s="192"/>
      <c r="CB133" s="192"/>
      <c r="CC133" s="192"/>
      <c r="CD133" s="192"/>
      <c r="CE133" s="192"/>
      <c r="CF133" s="192"/>
      <c r="CG133" s="192"/>
      <c r="CH133" s="192"/>
      <c r="CI133" s="192"/>
      <c r="CJ133" s="192"/>
      <c r="CK133" s="192"/>
      <c r="CL133" s="192"/>
      <c r="CM133" s="192"/>
      <c r="CN133" s="192"/>
      <c r="CO133" s="192"/>
      <c r="CP133" s="192"/>
      <c r="CQ133" s="192"/>
      <c r="CR133" s="192"/>
      <c r="CS133" s="192"/>
      <c r="CT133" s="192"/>
      <c r="CU133" s="192"/>
      <c r="CV133" s="192"/>
      <c r="CW133" s="192"/>
      <c r="CX133" s="192"/>
      <c r="CY133" s="192"/>
      <c r="CZ133" s="192"/>
      <c r="DA133" s="192"/>
      <c r="DB133" s="192"/>
      <c r="DC133" s="192"/>
      <c r="DD133" s="192"/>
      <c r="DE133" s="192"/>
      <c r="DF133" s="192"/>
      <c r="DG133" s="192"/>
      <c r="DH133" s="192"/>
      <c r="DI133" s="192"/>
      <c r="DJ133" s="192"/>
      <c r="DK133" s="192"/>
      <c r="DL133" s="192"/>
      <c r="DM133" s="192"/>
      <c r="DN133" s="192"/>
      <c r="DO133" s="192"/>
      <c r="DP133" s="192"/>
      <c r="DQ133" s="192"/>
      <c r="DR133" s="192"/>
      <c r="DS133" s="192"/>
      <c r="DT133" s="192"/>
      <c r="DU133" s="192"/>
      <c r="DV133" s="192"/>
      <c r="DW133" s="192"/>
      <c r="DX133" s="192"/>
      <c r="DY133" s="192"/>
      <c r="DZ133" s="192"/>
      <c r="EA133" s="192"/>
      <c r="EB133" s="192"/>
      <c r="EC133" s="192"/>
      <c r="ED133" s="192"/>
      <c r="EE133" s="192"/>
      <c r="EF133" s="192"/>
      <c r="EG133" s="192"/>
      <c r="EH133" s="192"/>
      <c r="EI133" s="192"/>
      <c r="EJ133" s="192"/>
      <c r="EK133" s="192"/>
      <c r="EL133" s="192"/>
      <c r="EM133" s="192"/>
      <c r="EN133" s="192"/>
      <c r="EO133" s="192"/>
      <c r="EP133" s="192"/>
      <c r="EQ133" s="192"/>
      <c r="ER133" s="192"/>
      <c r="ES133" s="192"/>
      <c r="ET133" s="192"/>
    </row>
    <row r="134" spans="1:150">
      <c r="A134" s="192"/>
      <c r="B134" s="36" t="str">
        <f>Input!B148</f>
        <v>Customizable 2</v>
      </c>
      <c r="C134" s="635">
        <f>-IF(AND(Input!$F148=EGR,ReimbMethodType=120),,Input!$T148*C107)</f>
        <v>0</v>
      </c>
      <c r="D134" s="635">
        <f>-IF(AND(Input!$F148=EGR,ReimbMethodType=120),,Input!$T148*D107)</f>
        <v>0</v>
      </c>
      <c r="E134" s="635">
        <f>-IF(AND(Input!$F148=EGR,ReimbMethodType=120),,Input!$T148*E107)</f>
        <v>0</v>
      </c>
      <c r="F134" s="635">
        <f>-IF(AND(Input!$F148=EGR,ReimbMethodType=120),,Input!$T148*F107)</f>
        <v>0</v>
      </c>
      <c r="G134" s="635">
        <f>-IF(AND(Input!$F148=EGR,ReimbMethodType=120),,Input!$T148*G107)</f>
        <v>0</v>
      </c>
      <c r="H134" s="635">
        <f>-IF(AND(Input!$F148=EGR,ReimbMethodType=120),,Input!$T148*H107)</f>
        <v>0</v>
      </c>
      <c r="I134" s="635">
        <f>-IF(AND(Input!$F148=EGR,ReimbMethodType=120),,Input!$T148*I107)</f>
        <v>0</v>
      </c>
      <c r="J134" s="635">
        <f>-IF(AND(Input!$F148=EGR,ReimbMethodType=120),,Input!$T148*J107)</f>
        <v>0</v>
      </c>
      <c r="K134" s="635">
        <f>-IF(AND(Input!$F148=EGR,ReimbMethodType=120),,Input!$T148*K107)</f>
        <v>0</v>
      </c>
      <c r="L134" s="635">
        <f>-IF(AND(Input!$F148=EGR,ReimbMethodType=120),,Input!$T148*L107)</f>
        <v>0</v>
      </c>
      <c r="M134" s="635">
        <f>-IF(AND(Input!$F148=EGR,ReimbMethodType=120),,Input!$T148*M107)</f>
        <v>0</v>
      </c>
      <c r="N134" s="192"/>
      <c r="O134" s="635">
        <f>-IF(AND(Input!$F148=EGR,ReimbMethodType=120),,Input!$T148*O107)</f>
        <v>0</v>
      </c>
      <c r="P134" s="192"/>
      <c r="Q134" s="37"/>
      <c r="R134" s="635">
        <f>-IF(AND(Input!$F148=EGR,ReimbMethodType=120),,Input!$T148*R107)</f>
        <v>0</v>
      </c>
      <c r="S134" s="635">
        <f>-IF(AND(Input!$F148=EGR,ReimbMethodType=120),,Input!$T148*S107)</f>
        <v>0</v>
      </c>
      <c r="T134" s="635">
        <f>-IF(AND(Input!$F148=EGR,ReimbMethodType=120),,Input!$T148*T107)</f>
        <v>0</v>
      </c>
      <c r="U134" s="635">
        <f>-IF(AND(Input!$F148=EGR,ReimbMethodType=120),,Input!$T148*U107)</f>
        <v>0</v>
      </c>
      <c r="V134" s="635">
        <f>-IF(AND(Input!$F148=EGR,ReimbMethodType=120),,Input!$T148*V107)</f>
        <v>0</v>
      </c>
      <c r="W134" s="635">
        <f>-IF(AND(Input!$F148=EGR,ReimbMethodType=120),,Input!$T148*W107)</f>
        <v>0</v>
      </c>
      <c r="X134" s="635">
        <f>-IF(AND(Input!$F148=EGR,ReimbMethodType=120),,Input!$T148*X107)</f>
        <v>0</v>
      </c>
      <c r="Y134" s="635">
        <f>-IF(AND(Input!$F148=EGR,ReimbMethodType=120),,Input!$T148*Y107)</f>
        <v>0</v>
      </c>
      <c r="Z134" s="635">
        <f>-IF(AND(Input!$F148=EGR,ReimbMethodType=120),,Input!$T148*Z107)</f>
        <v>0</v>
      </c>
      <c r="AA134" s="635">
        <f>-IF(AND(Input!$F148=EGR,ReimbMethodType=120),,Input!$T148*AA107)</f>
        <v>0</v>
      </c>
      <c r="AB134" s="635">
        <f>-IF(AND(Input!$F148=EGR,ReimbMethodType=120),,Input!$T148*AB107)</f>
        <v>0</v>
      </c>
      <c r="AC134" s="635">
        <f>-IF(AND(Input!$F148=EGR,ReimbMethodType=120),,Input!$T148*AC107)</f>
        <v>0</v>
      </c>
      <c r="AD134" s="635">
        <f>-IF(AND(Input!$F148=EGR,ReimbMethodType=120),,Input!$T148*AD107)</f>
        <v>0</v>
      </c>
      <c r="AE134" s="635">
        <f>-IF(AND(Input!$F148=EGR,ReimbMethodType=120),,Input!$T148*AE107)</f>
        <v>0</v>
      </c>
      <c r="AF134" s="635">
        <f>-IF(AND(Input!$F148=EGR,ReimbMethodType=120),,Input!$T148*AF107)</f>
        <v>0</v>
      </c>
      <c r="AG134" s="635">
        <f>-IF(AND(Input!$F148=EGR,ReimbMethodType=120),,Input!$T148*AG107)</f>
        <v>0</v>
      </c>
      <c r="AH134" s="635">
        <f>-IF(AND(Input!$F148=EGR,ReimbMethodType=120),,Input!$T148*AH107)</f>
        <v>0</v>
      </c>
      <c r="AI134" s="635">
        <f>-IF(AND(Input!$F148=EGR,ReimbMethodType=120),,Input!$T148*AI107)</f>
        <v>0</v>
      </c>
      <c r="AJ134" s="635">
        <f>-IF(AND(Input!$F148=EGR,ReimbMethodType=120),,Input!$T148*AJ107)</f>
        <v>0</v>
      </c>
      <c r="AK134" s="635">
        <f>-IF(AND(Input!$F148=EGR,ReimbMethodType=120),,Input!$T148*AK107)</f>
        <v>0</v>
      </c>
      <c r="AL134" s="635">
        <f>-IF(AND(Input!$F148=EGR,ReimbMethodType=120),,Input!$T148*AL107)</f>
        <v>0</v>
      </c>
      <c r="AM134" s="635">
        <f>-IF(AND(Input!$F148=EGR,ReimbMethodType=120),,Input!$T148*AM107)</f>
        <v>0</v>
      </c>
      <c r="AN134" s="635">
        <f>-IF(AND(Input!$F148=EGR,ReimbMethodType=120),,Input!$T148*AN107)</f>
        <v>0</v>
      </c>
      <c r="AO134" s="635">
        <f>-IF(AND(Input!$F148=EGR,ReimbMethodType=120),,Input!$T148*AO107)</f>
        <v>0</v>
      </c>
      <c r="AP134" s="635">
        <f>-IF(AND(Input!$F148=EGR,ReimbMethodType=120),,Input!$T148*AP107)</f>
        <v>0</v>
      </c>
      <c r="AQ134" s="635">
        <f>-IF(AND(Input!$F148=EGR,ReimbMethodType=120),,Input!$T148*AQ107)</f>
        <v>0</v>
      </c>
      <c r="AR134" s="635">
        <f>-IF(AND(Input!$F148=EGR,ReimbMethodType=120),,Input!$T148*AR107)</f>
        <v>0</v>
      </c>
      <c r="AS134" s="635">
        <f>-IF(AND(Input!$F148=EGR,ReimbMethodType=120),,Input!$T148*AS107)</f>
        <v>0</v>
      </c>
      <c r="AT134" s="635">
        <f>-IF(AND(Input!$F148=EGR,ReimbMethodType=120),,Input!$T148*AT107)</f>
        <v>0</v>
      </c>
      <c r="AU134" s="635">
        <f>-IF(AND(Input!$F148=EGR,ReimbMethodType=120),,Input!$T148*AU107)</f>
        <v>0</v>
      </c>
      <c r="AV134" s="635">
        <f>-IF(AND(Input!$F148=EGR,ReimbMethodType=120),,Input!$T148*AV107)</f>
        <v>0</v>
      </c>
      <c r="AW134" s="635">
        <f>-IF(AND(Input!$F148=EGR,ReimbMethodType=120),,Input!$T148*AW107)</f>
        <v>0</v>
      </c>
      <c r="AX134" s="635">
        <f>-IF(AND(Input!$F148=EGR,ReimbMethodType=120),,Input!$T148*AX107)</f>
        <v>0</v>
      </c>
      <c r="AY134" s="635">
        <f>-IF(AND(Input!$F148=EGR,ReimbMethodType=120),,Input!$T148*AY107)</f>
        <v>0</v>
      </c>
      <c r="AZ134" s="635">
        <f>-IF(AND(Input!$F148=EGR,ReimbMethodType=120),,Input!$T148*AZ107)</f>
        <v>0</v>
      </c>
      <c r="BA134" s="635">
        <f>-IF(AND(Input!$F148=EGR,ReimbMethodType=120),,Input!$T148*BA107)</f>
        <v>0</v>
      </c>
      <c r="BB134" s="192"/>
      <c r="BC134" s="192"/>
      <c r="BD134" s="192"/>
      <c r="BE134" s="192"/>
      <c r="BF134" s="192"/>
      <c r="BG134" s="192"/>
      <c r="BH134" s="192"/>
      <c r="BI134" s="192"/>
      <c r="BJ134" s="192"/>
      <c r="BK134" s="192"/>
      <c r="BL134" s="192"/>
      <c r="BM134" s="192"/>
      <c r="BN134" s="192"/>
      <c r="BO134" s="192"/>
      <c r="BP134" s="192"/>
      <c r="BQ134" s="192"/>
      <c r="BR134" s="192"/>
      <c r="BS134" s="192"/>
      <c r="BT134" s="192"/>
      <c r="BU134" s="192"/>
      <c r="BV134" s="192"/>
      <c r="BW134" s="192"/>
      <c r="BX134" s="192"/>
      <c r="BY134" s="192"/>
      <c r="BZ134" s="192"/>
      <c r="CA134" s="192"/>
      <c r="CB134" s="192"/>
      <c r="CC134" s="192"/>
      <c r="CD134" s="192"/>
      <c r="CE134" s="192"/>
      <c r="CF134" s="192"/>
      <c r="CG134" s="192"/>
      <c r="CH134" s="192"/>
      <c r="CI134" s="192"/>
      <c r="CJ134" s="192"/>
      <c r="CK134" s="192"/>
      <c r="CL134" s="192"/>
      <c r="CM134" s="192"/>
      <c r="CN134" s="192"/>
      <c r="CO134" s="192"/>
      <c r="CP134" s="192"/>
      <c r="CQ134" s="192"/>
      <c r="CR134" s="192"/>
      <c r="CS134" s="192"/>
      <c r="CT134" s="192"/>
      <c r="CU134" s="192"/>
      <c r="CV134" s="192"/>
      <c r="CW134" s="192"/>
      <c r="CX134" s="192"/>
      <c r="CY134" s="192"/>
      <c r="CZ134" s="192"/>
      <c r="DA134" s="192"/>
      <c r="DB134" s="192"/>
      <c r="DC134" s="192"/>
      <c r="DD134" s="192"/>
      <c r="DE134" s="192"/>
      <c r="DF134" s="192"/>
      <c r="DG134" s="192"/>
      <c r="DH134" s="192"/>
      <c r="DI134" s="192"/>
      <c r="DJ134" s="192"/>
      <c r="DK134" s="192"/>
      <c r="DL134" s="192"/>
      <c r="DM134" s="192"/>
      <c r="DN134" s="192"/>
      <c r="DO134" s="192"/>
      <c r="DP134" s="192"/>
      <c r="DQ134" s="192"/>
      <c r="DR134" s="192"/>
      <c r="DS134" s="192"/>
      <c r="DT134" s="192"/>
      <c r="DU134" s="192"/>
      <c r="DV134" s="192"/>
      <c r="DW134" s="192"/>
      <c r="DX134" s="192"/>
      <c r="DY134" s="192"/>
      <c r="DZ134" s="192"/>
      <c r="EA134" s="192"/>
      <c r="EB134" s="192"/>
      <c r="EC134" s="192"/>
      <c r="ED134" s="192"/>
      <c r="EE134" s="192"/>
      <c r="EF134" s="192"/>
      <c r="EG134" s="192"/>
      <c r="EH134" s="192"/>
      <c r="EI134" s="192"/>
      <c r="EJ134" s="192"/>
      <c r="EK134" s="192"/>
      <c r="EL134" s="192"/>
      <c r="EM134" s="192"/>
      <c r="EN134" s="192"/>
      <c r="EO134" s="192"/>
      <c r="EP134" s="192"/>
      <c r="EQ134" s="192"/>
      <c r="ER134" s="192"/>
      <c r="ES134" s="192"/>
      <c r="ET134" s="192"/>
    </row>
    <row r="135" spans="1:150" ht="6.75" customHeight="1">
      <c r="A135" s="192"/>
      <c r="B135" s="36"/>
      <c r="C135" s="635"/>
      <c r="D135" s="635"/>
      <c r="E135" s="635"/>
      <c r="F135" s="635"/>
      <c r="G135" s="635"/>
      <c r="H135" s="635"/>
      <c r="I135" s="635"/>
      <c r="J135" s="635"/>
      <c r="K135" s="635"/>
      <c r="L135" s="635"/>
      <c r="M135" s="635"/>
      <c r="N135" s="192"/>
      <c r="O135" s="635"/>
      <c r="P135" s="192"/>
      <c r="Q135" s="37"/>
      <c r="R135" s="635"/>
      <c r="S135" s="635"/>
      <c r="T135" s="635"/>
      <c r="U135" s="635"/>
      <c r="V135" s="635"/>
      <c r="W135" s="635"/>
      <c r="X135" s="635"/>
      <c r="Y135" s="635"/>
      <c r="Z135" s="635"/>
      <c r="AA135" s="635"/>
      <c r="AB135" s="635"/>
      <c r="AC135" s="635"/>
      <c r="AD135" s="635"/>
      <c r="AE135" s="635"/>
      <c r="AF135" s="635"/>
      <c r="AG135" s="635"/>
      <c r="AH135" s="635"/>
      <c r="AI135" s="635"/>
      <c r="AJ135" s="635"/>
      <c r="AK135" s="635"/>
      <c r="AL135" s="635"/>
      <c r="AM135" s="635"/>
      <c r="AN135" s="635"/>
      <c r="AO135" s="635"/>
      <c r="AP135" s="635"/>
      <c r="AQ135" s="635"/>
      <c r="AR135" s="635"/>
      <c r="AS135" s="635"/>
      <c r="AT135" s="635"/>
      <c r="AU135" s="635"/>
      <c r="AV135" s="635"/>
      <c r="AW135" s="635"/>
      <c r="AX135" s="635"/>
      <c r="AY135" s="635"/>
      <c r="AZ135" s="635"/>
      <c r="BA135" s="635"/>
      <c r="BB135" s="192"/>
      <c r="BC135" s="192"/>
      <c r="BD135" s="192"/>
      <c r="BE135" s="192"/>
      <c r="BF135" s="192"/>
      <c r="BG135" s="192"/>
      <c r="BH135" s="192"/>
      <c r="BI135" s="192"/>
      <c r="BJ135" s="192"/>
      <c r="BK135" s="192"/>
      <c r="BL135" s="192"/>
      <c r="BM135" s="192"/>
      <c r="BN135" s="192"/>
      <c r="BO135" s="192"/>
      <c r="BP135" s="192"/>
      <c r="BQ135" s="192"/>
      <c r="BR135" s="192"/>
      <c r="BS135" s="192"/>
      <c r="BT135" s="192"/>
      <c r="BU135" s="192"/>
      <c r="BV135" s="192"/>
      <c r="BW135" s="192"/>
      <c r="BX135" s="192"/>
      <c r="BY135" s="192"/>
      <c r="BZ135" s="192"/>
      <c r="CA135" s="192"/>
      <c r="CB135" s="192"/>
      <c r="CC135" s="192"/>
      <c r="CD135" s="192"/>
      <c r="CE135" s="192"/>
      <c r="CF135" s="192"/>
      <c r="CG135" s="192"/>
      <c r="CH135" s="192"/>
      <c r="CI135" s="192"/>
      <c r="CJ135" s="192"/>
      <c r="CK135" s="192"/>
      <c r="CL135" s="192"/>
      <c r="CM135" s="192"/>
      <c r="CN135" s="192"/>
      <c r="CO135" s="192"/>
      <c r="CP135" s="192"/>
      <c r="CQ135" s="192"/>
      <c r="CR135" s="192"/>
      <c r="CS135" s="192"/>
      <c r="CT135" s="192"/>
      <c r="CU135" s="192"/>
      <c r="CV135" s="192"/>
      <c r="CW135" s="192"/>
      <c r="CX135" s="192"/>
      <c r="CY135" s="192"/>
      <c r="CZ135" s="192"/>
      <c r="DA135" s="192"/>
      <c r="DB135" s="192"/>
      <c r="DC135" s="192"/>
      <c r="DD135" s="192"/>
      <c r="DE135" s="192"/>
      <c r="DF135" s="192"/>
      <c r="DG135" s="192"/>
      <c r="DH135" s="192"/>
      <c r="DI135" s="192"/>
      <c r="DJ135" s="192"/>
      <c r="DK135" s="192"/>
      <c r="DL135" s="192"/>
      <c r="DM135" s="192"/>
      <c r="DN135" s="192"/>
      <c r="DO135" s="192"/>
      <c r="DP135" s="192"/>
      <c r="DQ135" s="192"/>
      <c r="DR135" s="192"/>
      <c r="DS135" s="192"/>
      <c r="DT135" s="192"/>
      <c r="DU135" s="192"/>
      <c r="DV135" s="192"/>
      <c r="DW135" s="192"/>
      <c r="DX135" s="192"/>
      <c r="DY135" s="192"/>
      <c r="DZ135" s="192"/>
      <c r="EA135" s="192"/>
      <c r="EB135" s="192"/>
      <c r="EC135" s="192"/>
      <c r="ED135" s="192"/>
      <c r="EE135" s="192"/>
      <c r="EF135" s="192"/>
      <c r="EG135" s="192"/>
      <c r="EH135" s="192"/>
      <c r="EI135" s="192"/>
      <c r="EJ135" s="192"/>
      <c r="EK135" s="192"/>
      <c r="EL135" s="192"/>
      <c r="EM135" s="192"/>
      <c r="EN135" s="192"/>
      <c r="EO135" s="192"/>
      <c r="EP135" s="192"/>
      <c r="EQ135" s="192"/>
      <c r="ER135" s="192"/>
      <c r="ES135" s="192"/>
      <c r="ET135" s="192"/>
    </row>
    <row r="136" spans="1:150">
      <c r="A136" s="192"/>
      <c r="B136" s="378" t="s">
        <v>574</v>
      </c>
      <c r="C136" s="831">
        <f t="shared" ref="C136:M136" si="139">SUM(C115:C134)</f>
        <v>0</v>
      </c>
      <c r="D136" s="831">
        <f t="shared" si="139"/>
        <v>0</v>
      </c>
      <c r="E136" s="831">
        <f t="shared" si="139"/>
        <v>0</v>
      </c>
      <c r="F136" s="831">
        <f t="shared" si="139"/>
        <v>0</v>
      </c>
      <c r="G136" s="831">
        <f t="shared" si="139"/>
        <v>0</v>
      </c>
      <c r="H136" s="831">
        <f t="shared" si="139"/>
        <v>0</v>
      </c>
      <c r="I136" s="831">
        <f t="shared" si="139"/>
        <v>0</v>
      </c>
      <c r="J136" s="831">
        <f t="shared" si="139"/>
        <v>0</v>
      </c>
      <c r="K136" s="831">
        <f t="shared" si="139"/>
        <v>0</v>
      </c>
      <c r="L136" s="831">
        <f t="shared" si="139"/>
        <v>0</v>
      </c>
      <c r="M136" s="831">
        <f t="shared" si="139"/>
        <v>0</v>
      </c>
      <c r="N136" s="192"/>
      <c r="O136" s="831">
        <f>SUM(O115:O134)</f>
        <v>0</v>
      </c>
      <c r="P136" s="192"/>
      <c r="Q136" s="37"/>
      <c r="R136" s="831">
        <f t="shared" ref="R136:BA136" si="140">SUM(R115:R134)</f>
        <v>0</v>
      </c>
      <c r="S136" s="831">
        <f t="shared" si="140"/>
        <v>0</v>
      </c>
      <c r="T136" s="831">
        <f t="shared" si="140"/>
        <v>0</v>
      </c>
      <c r="U136" s="831">
        <f t="shared" si="140"/>
        <v>0</v>
      </c>
      <c r="V136" s="831">
        <f t="shared" si="140"/>
        <v>0</v>
      </c>
      <c r="W136" s="831">
        <f t="shared" si="140"/>
        <v>0</v>
      </c>
      <c r="X136" s="831">
        <f t="shared" si="140"/>
        <v>0</v>
      </c>
      <c r="Y136" s="831">
        <f t="shared" si="140"/>
        <v>0</v>
      </c>
      <c r="Z136" s="831">
        <f t="shared" si="140"/>
        <v>0</v>
      </c>
      <c r="AA136" s="831">
        <f t="shared" si="140"/>
        <v>0</v>
      </c>
      <c r="AB136" s="831">
        <f t="shared" si="140"/>
        <v>0</v>
      </c>
      <c r="AC136" s="831">
        <f t="shared" si="140"/>
        <v>0</v>
      </c>
      <c r="AD136" s="831">
        <f t="shared" si="140"/>
        <v>0</v>
      </c>
      <c r="AE136" s="831">
        <f t="shared" si="140"/>
        <v>0</v>
      </c>
      <c r="AF136" s="831">
        <f t="shared" si="140"/>
        <v>0</v>
      </c>
      <c r="AG136" s="831">
        <f t="shared" si="140"/>
        <v>0</v>
      </c>
      <c r="AH136" s="831">
        <f t="shared" si="140"/>
        <v>0</v>
      </c>
      <c r="AI136" s="831">
        <f t="shared" si="140"/>
        <v>0</v>
      </c>
      <c r="AJ136" s="831">
        <f t="shared" si="140"/>
        <v>0</v>
      </c>
      <c r="AK136" s="831">
        <f t="shared" si="140"/>
        <v>0</v>
      </c>
      <c r="AL136" s="831">
        <f t="shared" si="140"/>
        <v>0</v>
      </c>
      <c r="AM136" s="831">
        <f t="shared" si="140"/>
        <v>0</v>
      </c>
      <c r="AN136" s="831">
        <f t="shared" si="140"/>
        <v>0</v>
      </c>
      <c r="AO136" s="831">
        <f t="shared" si="140"/>
        <v>0</v>
      </c>
      <c r="AP136" s="831">
        <f t="shared" si="140"/>
        <v>0</v>
      </c>
      <c r="AQ136" s="831">
        <f t="shared" si="140"/>
        <v>0</v>
      </c>
      <c r="AR136" s="831">
        <f t="shared" si="140"/>
        <v>0</v>
      </c>
      <c r="AS136" s="831">
        <f t="shared" si="140"/>
        <v>0</v>
      </c>
      <c r="AT136" s="831">
        <f t="shared" si="140"/>
        <v>0</v>
      </c>
      <c r="AU136" s="831">
        <f t="shared" si="140"/>
        <v>0</v>
      </c>
      <c r="AV136" s="831">
        <f t="shared" si="140"/>
        <v>0</v>
      </c>
      <c r="AW136" s="831">
        <f t="shared" si="140"/>
        <v>0</v>
      </c>
      <c r="AX136" s="831">
        <f t="shared" si="140"/>
        <v>0</v>
      </c>
      <c r="AY136" s="831">
        <f t="shared" si="140"/>
        <v>0</v>
      </c>
      <c r="AZ136" s="831">
        <f t="shared" si="140"/>
        <v>0</v>
      </c>
      <c r="BA136" s="831">
        <f t="shared" si="140"/>
        <v>0</v>
      </c>
      <c r="BB136" s="192"/>
      <c r="BC136" s="192"/>
      <c r="BD136" s="192"/>
      <c r="BE136" s="192"/>
      <c r="BF136" s="192"/>
      <c r="BG136" s="192"/>
      <c r="BH136" s="192"/>
      <c r="BI136" s="192"/>
      <c r="BJ136" s="192"/>
      <c r="BK136" s="192"/>
      <c r="BL136" s="192"/>
      <c r="BM136" s="192"/>
      <c r="BN136" s="192"/>
      <c r="BO136" s="192"/>
      <c r="BP136" s="192"/>
      <c r="BQ136" s="192"/>
      <c r="BR136" s="192"/>
      <c r="BS136" s="192"/>
      <c r="BT136" s="192"/>
      <c r="BU136" s="192"/>
      <c r="BV136" s="192"/>
      <c r="BW136" s="192"/>
      <c r="BX136" s="192"/>
      <c r="BY136" s="192"/>
      <c r="BZ136" s="192"/>
      <c r="CA136" s="192"/>
      <c r="CB136" s="192"/>
      <c r="CC136" s="192"/>
      <c r="CD136" s="192"/>
      <c r="CE136" s="192"/>
      <c r="CF136" s="192"/>
      <c r="CG136" s="192"/>
      <c r="CH136" s="192"/>
      <c r="CI136" s="192"/>
      <c r="CJ136" s="192"/>
      <c r="CK136" s="192"/>
      <c r="CL136" s="192"/>
      <c r="CM136" s="192"/>
      <c r="CN136" s="192"/>
      <c r="CO136" s="192"/>
      <c r="CP136" s="192"/>
      <c r="CQ136" s="192"/>
      <c r="CR136" s="192"/>
      <c r="CS136" s="192"/>
      <c r="CT136" s="192"/>
      <c r="CU136" s="192"/>
      <c r="CV136" s="192"/>
      <c r="CW136" s="192"/>
      <c r="CX136" s="192"/>
      <c r="CY136" s="192"/>
      <c r="CZ136" s="192"/>
      <c r="DA136" s="192"/>
      <c r="DB136" s="192"/>
      <c r="DC136" s="192"/>
      <c r="DD136" s="192"/>
      <c r="DE136" s="192"/>
      <c r="DF136" s="192"/>
      <c r="DG136" s="192"/>
      <c r="DH136" s="192"/>
      <c r="DI136" s="192"/>
      <c r="DJ136" s="192"/>
      <c r="DK136" s="192"/>
      <c r="DL136" s="192"/>
      <c r="DM136" s="192"/>
      <c r="DN136" s="192"/>
      <c r="DO136" s="192"/>
      <c r="DP136" s="192"/>
      <c r="DQ136" s="192"/>
      <c r="DR136" s="192"/>
      <c r="DS136" s="192"/>
      <c r="DT136" s="192"/>
      <c r="DU136" s="192"/>
      <c r="DV136" s="192"/>
      <c r="DW136" s="192"/>
      <c r="DX136" s="192"/>
      <c r="DY136" s="192"/>
      <c r="DZ136" s="192"/>
      <c r="EA136" s="192"/>
      <c r="EB136" s="192"/>
      <c r="EC136" s="192"/>
      <c r="ED136" s="192"/>
      <c r="EE136" s="192"/>
      <c r="EF136" s="192"/>
      <c r="EG136" s="192"/>
      <c r="EH136" s="192"/>
      <c r="EI136" s="192"/>
      <c r="EJ136" s="192"/>
      <c r="EK136" s="192"/>
      <c r="EL136" s="192"/>
      <c r="EM136" s="192"/>
      <c r="EN136" s="192"/>
      <c r="EO136" s="192"/>
      <c r="EP136" s="192"/>
      <c r="EQ136" s="192"/>
      <c r="ER136" s="192"/>
      <c r="ES136" s="192"/>
      <c r="ET136" s="192"/>
    </row>
    <row r="137" spans="1:150">
      <c r="A137" s="192"/>
      <c r="B137" s="378"/>
      <c r="C137" s="797"/>
      <c r="D137" s="797"/>
      <c r="E137" s="797"/>
      <c r="F137" s="797"/>
      <c r="G137" s="797"/>
      <c r="H137" s="797"/>
      <c r="I137" s="797"/>
      <c r="J137" s="797"/>
      <c r="K137" s="797"/>
      <c r="L137" s="797"/>
      <c r="M137" s="797"/>
      <c r="N137" s="192"/>
      <c r="O137" s="797"/>
      <c r="P137" s="192"/>
      <c r="Q137" s="37"/>
      <c r="R137" s="797"/>
      <c r="S137" s="797"/>
      <c r="T137" s="797"/>
      <c r="U137" s="797"/>
      <c r="V137" s="797"/>
      <c r="W137" s="797"/>
      <c r="X137" s="797"/>
      <c r="Y137" s="797"/>
      <c r="Z137" s="797"/>
      <c r="AA137" s="797"/>
      <c r="AB137" s="797"/>
      <c r="AC137" s="797"/>
      <c r="AD137" s="797"/>
      <c r="AE137" s="797"/>
      <c r="AF137" s="797"/>
      <c r="AG137" s="797"/>
      <c r="AH137" s="797"/>
      <c r="AI137" s="797"/>
      <c r="AJ137" s="797"/>
      <c r="AK137" s="797"/>
      <c r="AL137" s="797"/>
      <c r="AM137" s="797"/>
      <c r="AN137" s="797"/>
      <c r="AO137" s="797"/>
      <c r="AP137" s="797"/>
      <c r="AQ137" s="797"/>
      <c r="AR137" s="797"/>
      <c r="AS137" s="797"/>
      <c r="AT137" s="797"/>
      <c r="AU137" s="797"/>
      <c r="AV137" s="797"/>
      <c r="AW137" s="797"/>
      <c r="AX137" s="797"/>
      <c r="AY137" s="797"/>
      <c r="AZ137" s="797"/>
      <c r="BA137" s="797"/>
      <c r="BB137" s="192"/>
      <c r="BC137" s="192"/>
      <c r="BD137" s="192"/>
      <c r="BE137" s="192"/>
      <c r="BF137" s="192"/>
      <c r="BG137" s="192"/>
      <c r="BH137" s="192"/>
      <c r="BI137" s="192"/>
      <c r="BJ137" s="192"/>
      <c r="BK137" s="192"/>
      <c r="BL137" s="192"/>
      <c r="BM137" s="192"/>
      <c r="BN137" s="192"/>
      <c r="BO137" s="192"/>
      <c r="BP137" s="192"/>
      <c r="BQ137" s="192"/>
      <c r="BR137" s="192"/>
      <c r="BS137" s="192"/>
      <c r="BT137" s="192"/>
      <c r="BU137" s="192"/>
      <c r="BV137" s="192"/>
      <c r="BW137" s="192"/>
      <c r="BX137" s="192"/>
      <c r="BY137" s="192"/>
      <c r="BZ137" s="192"/>
      <c r="CA137" s="192"/>
      <c r="CB137" s="192"/>
      <c r="CC137" s="192"/>
      <c r="CD137" s="192"/>
      <c r="CE137" s="192"/>
      <c r="CF137" s="192"/>
      <c r="CG137" s="192"/>
      <c r="CH137" s="192"/>
      <c r="CI137" s="192"/>
      <c r="CJ137" s="192"/>
      <c r="CK137" s="192"/>
      <c r="CL137" s="192"/>
      <c r="CM137" s="192"/>
      <c r="CN137" s="192"/>
      <c r="CO137" s="192"/>
      <c r="CP137" s="192"/>
      <c r="CQ137" s="192"/>
      <c r="CR137" s="192"/>
      <c r="CS137" s="192"/>
      <c r="CT137" s="192"/>
      <c r="CU137" s="192"/>
      <c r="CV137" s="192"/>
      <c r="CW137" s="192"/>
      <c r="CX137" s="192"/>
      <c r="CY137" s="192"/>
      <c r="CZ137" s="192"/>
      <c r="DA137" s="192"/>
      <c r="DB137" s="192"/>
      <c r="DC137" s="192"/>
      <c r="DD137" s="192"/>
      <c r="DE137" s="192"/>
      <c r="DF137" s="192"/>
      <c r="DG137" s="192"/>
      <c r="DH137" s="192"/>
      <c r="DI137" s="192"/>
      <c r="DJ137" s="192"/>
      <c r="DK137" s="192"/>
      <c r="DL137" s="192"/>
      <c r="DM137" s="192"/>
      <c r="DN137" s="192"/>
      <c r="DO137" s="192"/>
      <c r="DP137" s="192"/>
      <c r="DQ137" s="192"/>
      <c r="DR137" s="192"/>
      <c r="DS137" s="192"/>
      <c r="DT137" s="192"/>
      <c r="DU137" s="192"/>
      <c r="DV137" s="192"/>
      <c r="DW137" s="192"/>
      <c r="DX137" s="192"/>
      <c r="DY137" s="192"/>
      <c r="DZ137" s="192"/>
      <c r="EA137" s="192"/>
      <c r="EB137" s="192"/>
      <c r="EC137" s="192"/>
      <c r="ED137" s="192"/>
      <c r="EE137" s="192"/>
      <c r="EF137" s="192"/>
      <c r="EG137" s="192"/>
      <c r="EH137" s="192"/>
      <c r="EI137" s="192"/>
      <c r="EJ137" s="192"/>
      <c r="EK137" s="192"/>
      <c r="EL137" s="192"/>
      <c r="EM137" s="192"/>
      <c r="EN137" s="192"/>
      <c r="EO137" s="192"/>
      <c r="EP137" s="192"/>
      <c r="EQ137" s="192"/>
      <c r="ER137" s="192"/>
      <c r="ES137" s="192"/>
      <c r="ET137" s="192"/>
    </row>
    <row r="138" spans="1:150" ht="10.5" customHeight="1">
      <c r="A138" s="192"/>
      <c r="B138" s="192"/>
      <c r="C138" s="192"/>
      <c r="D138" s="192"/>
      <c r="E138" s="192"/>
      <c r="F138" s="192"/>
      <c r="G138" s="192"/>
      <c r="H138" s="192"/>
      <c r="I138" s="192"/>
      <c r="J138" s="192"/>
      <c r="K138" s="192"/>
      <c r="L138" s="192"/>
      <c r="M138" s="192"/>
      <c r="N138" s="192"/>
      <c r="O138" s="192"/>
      <c r="P138" s="192"/>
      <c r="Q138" s="192"/>
      <c r="R138" s="192"/>
      <c r="S138" s="192"/>
      <c r="T138" s="192"/>
      <c r="U138" s="192"/>
      <c r="V138" s="192"/>
      <c r="W138" s="192"/>
      <c r="X138" s="192"/>
      <c r="Y138" s="192"/>
      <c r="Z138" s="192"/>
      <c r="AA138" s="192"/>
      <c r="AB138" s="192"/>
      <c r="AC138" s="192"/>
      <c r="AD138" s="192"/>
      <c r="AE138" s="192"/>
      <c r="AF138" s="192"/>
      <c r="AG138" s="192"/>
      <c r="AH138" s="192"/>
      <c r="AI138" s="192"/>
      <c r="AJ138" s="192"/>
      <c r="AK138" s="192"/>
      <c r="AL138" s="192"/>
      <c r="AM138" s="192"/>
      <c r="AN138" s="192"/>
      <c r="AO138" s="192"/>
      <c r="AP138" s="192"/>
      <c r="AQ138" s="192"/>
      <c r="AR138" s="192"/>
      <c r="AS138" s="192"/>
      <c r="AT138" s="192"/>
      <c r="AU138" s="192"/>
      <c r="AV138" s="192"/>
      <c r="AW138" s="192"/>
      <c r="AX138" s="192"/>
      <c r="AY138" s="192"/>
      <c r="AZ138" s="192"/>
      <c r="BA138" s="192"/>
      <c r="BB138" s="192"/>
      <c r="BC138" s="192"/>
      <c r="BD138" s="192"/>
      <c r="BE138" s="192"/>
      <c r="BF138" s="192"/>
      <c r="BG138" s="192"/>
      <c r="BH138" s="192"/>
      <c r="BI138" s="192"/>
      <c r="BJ138" s="192"/>
      <c r="BK138" s="192"/>
      <c r="BL138" s="192"/>
      <c r="BM138" s="192"/>
      <c r="BN138" s="192"/>
      <c r="BO138" s="192"/>
      <c r="BP138" s="192"/>
      <c r="BQ138" s="192"/>
      <c r="BR138" s="192"/>
      <c r="BS138" s="192"/>
      <c r="BT138" s="192"/>
      <c r="BU138" s="192"/>
      <c r="BV138" s="192"/>
      <c r="BW138" s="192"/>
      <c r="BX138" s="192"/>
      <c r="BY138" s="192"/>
      <c r="BZ138" s="192"/>
      <c r="CA138" s="192"/>
      <c r="CB138" s="192"/>
      <c r="CC138" s="192"/>
      <c r="CD138" s="192"/>
      <c r="CE138" s="192"/>
      <c r="CF138" s="192"/>
      <c r="CG138" s="192"/>
      <c r="CH138" s="192"/>
      <c r="CI138" s="192"/>
      <c r="CJ138" s="192"/>
      <c r="CK138" s="192"/>
      <c r="CL138" s="192"/>
      <c r="CM138" s="192"/>
      <c r="CN138" s="192"/>
      <c r="CO138" s="192"/>
      <c r="CP138" s="192"/>
      <c r="CQ138" s="192"/>
      <c r="CR138" s="192"/>
      <c r="CS138" s="192"/>
      <c r="CT138" s="192"/>
      <c r="CU138" s="192"/>
      <c r="CV138" s="192"/>
      <c r="CW138" s="192"/>
      <c r="CX138" s="192"/>
      <c r="CY138" s="192"/>
      <c r="CZ138" s="192"/>
      <c r="DA138" s="192"/>
      <c r="DB138" s="192"/>
      <c r="DC138" s="192"/>
      <c r="DD138" s="192"/>
      <c r="DE138" s="192"/>
      <c r="DF138" s="192"/>
      <c r="DG138" s="192"/>
      <c r="DH138" s="192"/>
      <c r="DI138" s="192"/>
      <c r="DJ138" s="192"/>
      <c r="DK138" s="192"/>
      <c r="DL138" s="192"/>
      <c r="DM138" s="192"/>
      <c r="DN138" s="192"/>
      <c r="DO138" s="192"/>
      <c r="DP138" s="192"/>
      <c r="DQ138" s="192"/>
      <c r="DR138" s="192"/>
      <c r="DS138" s="192"/>
      <c r="DT138" s="192"/>
      <c r="DU138" s="192"/>
      <c r="DV138" s="192"/>
      <c r="DW138" s="192"/>
      <c r="DX138" s="192"/>
      <c r="DY138" s="192"/>
      <c r="DZ138" s="192"/>
      <c r="EA138" s="192"/>
      <c r="EB138" s="192"/>
      <c r="EC138" s="192"/>
      <c r="ED138" s="192"/>
      <c r="EE138" s="192"/>
      <c r="EF138" s="192"/>
      <c r="EG138" s="192"/>
      <c r="EH138" s="192"/>
      <c r="EI138" s="192"/>
      <c r="EJ138" s="192"/>
      <c r="EK138" s="192"/>
      <c r="EL138" s="192"/>
      <c r="EM138" s="192"/>
      <c r="EN138" s="192"/>
      <c r="EO138" s="192"/>
      <c r="EP138" s="192"/>
      <c r="EQ138" s="192"/>
      <c r="ER138" s="192"/>
      <c r="ES138" s="192"/>
      <c r="ET138" s="192"/>
    </row>
    <row r="139" spans="1:150" ht="10.5" customHeight="1">
      <c r="A139" s="192"/>
      <c r="B139" s="192"/>
      <c r="C139" s="192"/>
      <c r="D139" s="192"/>
      <c r="E139" s="192"/>
      <c r="F139" s="192"/>
      <c r="G139" s="192"/>
      <c r="H139" s="192"/>
      <c r="I139" s="192"/>
      <c r="J139" s="192"/>
      <c r="K139" s="192"/>
      <c r="L139" s="192"/>
      <c r="M139" s="192"/>
      <c r="N139" s="192"/>
      <c r="O139" s="192"/>
      <c r="P139" s="192"/>
      <c r="Q139" s="192"/>
      <c r="R139" s="192"/>
      <c r="S139" s="192"/>
      <c r="T139" s="192"/>
      <c r="U139" s="192"/>
      <c r="V139" s="192"/>
      <c r="W139" s="192"/>
      <c r="X139" s="192"/>
      <c r="Y139" s="192"/>
      <c r="Z139" s="192"/>
      <c r="AA139" s="192"/>
      <c r="AB139" s="192"/>
      <c r="AC139" s="192"/>
      <c r="AD139" s="192"/>
      <c r="AE139" s="192"/>
      <c r="AF139" s="192"/>
      <c r="AG139" s="192"/>
      <c r="AH139" s="192"/>
      <c r="AI139" s="192"/>
      <c r="AJ139" s="192"/>
      <c r="AK139" s="192"/>
      <c r="AL139" s="192"/>
      <c r="AM139" s="192"/>
      <c r="AN139" s="192"/>
      <c r="AO139" s="192"/>
      <c r="AP139" s="192"/>
      <c r="AQ139" s="192"/>
      <c r="AR139" s="192"/>
      <c r="AS139" s="192"/>
      <c r="AT139" s="192"/>
      <c r="AU139" s="192"/>
      <c r="AV139" s="192"/>
      <c r="AW139" s="192"/>
      <c r="AX139" s="192"/>
      <c r="AY139" s="192"/>
      <c r="AZ139" s="192"/>
      <c r="BA139" s="192"/>
      <c r="BB139" s="192"/>
      <c r="BC139" s="192"/>
      <c r="BD139" s="192"/>
      <c r="BE139" s="192"/>
      <c r="BF139" s="192"/>
      <c r="BG139" s="192"/>
      <c r="BH139" s="192"/>
      <c r="BI139" s="192"/>
      <c r="BJ139" s="192"/>
      <c r="BK139" s="192"/>
      <c r="BL139" s="192"/>
      <c r="BM139" s="192"/>
      <c r="BN139" s="192"/>
      <c r="BO139" s="192"/>
      <c r="BP139" s="192"/>
      <c r="BQ139" s="192"/>
      <c r="BR139" s="192"/>
      <c r="BS139" s="192"/>
      <c r="BT139" s="192"/>
      <c r="BU139" s="192"/>
      <c r="BV139" s="192"/>
      <c r="BW139" s="192"/>
      <c r="BX139" s="192"/>
      <c r="BY139" s="192"/>
      <c r="BZ139" s="192"/>
      <c r="CA139" s="192"/>
      <c r="CB139" s="192"/>
      <c r="CC139" s="192"/>
      <c r="CD139" s="192"/>
      <c r="CE139" s="192"/>
      <c r="CF139" s="192"/>
      <c r="CG139" s="192"/>
      <c r="CH139" s="192"/>
      <c r="CI139" s="192"/>
      <c r="CJ139" s="192"/>
      <c r="CK139" s="192"/>
      <c r="CL139" s="192"/>
      <c r="CM139" s="192"/>
      <c r="CN139" s="192"/>
      <c r="CO139" s="192"/>
      <c r="CP139" s="192"/>
      <c r="CQ139" s="192"/>
      <c r="CR139" s="192"/>
      <c r="CS139" s="192"/>
      <c r="CT139" s="192"/>
      <c r="CU139" s="192"/>
      <c r="CV139" s="192"/>
      <c r="CW139" s="192"/>
      <c r="CX139" s="192"/>
      <c r="CY139" s="192"/>
      <c r="CZ139" s="192"/>
      <c r="DA139" s="192"/>
      <c r="DB139" s="192"/>
      <c r="DC139" s="192"/>
      <c r="DD139" s="192"/>
      <c r="DE139" s="192"/>
      <c r="DF139" s="192"/>
      <c r="DG139" s="192"/>
      <c r="DH139" s="192"/>
      <c r="DI139" s="192"/>
      <c r="DJ139" s="192"/>
      <c r="DK139" s="192"/>
      <c r="DL139" s="192"/>
      <c r="DM139" s="192"/>
      <c r="DN139" s="192"/>
      <c r="DO139" s="192"/>
      <c r="DP139" s="192"/>
      <c r="DQ139" s="192"/>
      <c r="DR139" s="192"/>
      <c r="DS139" s="192"/>
      <c r="DT139" s="192"/>
      <c r="DU139" s="192"/>
      <c r="DV139" s="192"/>
      <c r="DW139" s="192"/>
      <c r="DX139" s="192"/>
      <c r="DY139" s="192"/>
      <c r="DZ139" s="192"/>
      <c r="EA139" s="192"/>
      <c r="EB139" s="192"/>
      <c r="EC139" s="192"/>
      <c r="ED139" s="192"/>
      <c r="EE139" s="192"/>
      <c r="EF139" s="192"/>
      <c r="EG139" s="192"/>
      <c r="EH139" s="192"/>
      <c r="EI139" s="192"/>
      <c r="EJ139" s="192"/>
      <c r="EK139" s="192"/>
      <c r="EL139" s="192"/>
      <c r="EM139" s="192"/>
      <c r="EN139" s="192"/>
      <c r="EO139" s="192"/>
      <c r="EP139" s="192"/>
      <c r="EQ139" s="192"/>
      <c r="ER139" s="192"/>
      <c r="ES139" s="192"/>
      <c r="ET139" s="192"/>
    </row>
    <row r="140" spans="1:150" s="192" customFormat="1" ht="14.25" customHeight="1" collapsed="1">
      <c r="B140" s="1043" t="s">
        <v>37</v>
      </c>
      <c r="C140" s="196"/>
      <c r="D140" s="197"/>
      <c r="E140" s="197"/>
      <c r="F140" s="197"/>
      <c r="G140" s="197"/>
      <c r="H140" s="197"/>
      <c r="I140" s="197"/>
      <c r="J140" s="197"/>
      <c r="K140" s="197"/>
      <c r="L140" s="197"/>
      <c r="M140" s="197"/>
      <c r="O140" s="197"/>
      <c r="Q140" s="197"/>
      <c r="R140" s="197"/>
      <c r="S140" s="197"/>
      <c r="T140" s="197"/>
      <c r="U140" s="197"/>
      <c r="V140" s="197"/>
      <c r="W140" s="197"/>
      <c r="X140" s="197"/>
      <c r="Y140" s="197"/>
      <c r="Z140" s="197"/>
      <c r="AA140" s="197"/>
      <c r="AB140" s="197"/>
      <c r="AC140" s="197"/>
      <c r="AD140" s="197"/>
      <c r="AE140" s="197"/>
      <c r="AF140" s="197"/>
      <c r="AG140" s="197"/>
      <c r="AH140" s="197"/>
      <c r="AI140" s="197"/>
      <c r="AJ140" s="197"/>
      <c r="AK140" s="197"/>
      <c r="AL140" s="197"/>
      <c r="AM140" s="197"/>
      <c r="AN140" s="197"/>
      <c r="AO140" s="197"/>
      <c r="AP140" s="197"/>
      <c r="AQ140" s="197"/>
      <c r="AR140" s="197"/>
      <c r="AS140" s="197"/>
      <c r="AT140" s="197"/>
      <c r="AU140" s="197"/>
      <c r="AV140" s="197"/>
      <c r="AW140" s="197"/>
      <c r="AX140" s="197"/>
      <c r="AY140" s="197"/>
      <c r="AZ140" s="197"/>
      <c r="BA140" s="197"/>
      <c r="BB140" s="197"/>
      <c r="BC140" s="197"/>
      <c r="BD140" s="197"/>
      <c r="BE140" s="197"/>
      <c r="BF140" s="197"/>
      <c r="BG140" s="197"/>
      <c r="BH140" s="197"/>
      <c r="BI140" s="197"/>
      <c r="BJ140" s="197"/>
      <c r="BK140" s="197"/>
      <c r="BL140" s="197"/>
      <c r="BM140" s="197"/>
      <c r="BN140" s="197"/>
      <c r="BO140" s="197"/>
      <c r="BP140" s="197"/>
      <c r="BQ140" s="197"/>
      <c r="BR140" s="197"/>
      <c r="BS140" s="197"/>
      <c r="BT140" s="197"/>
      <c r="BU140" s="197"/>
      <c r="BV140" s="197"/>
      <c r="BW140" s="197"/>
      <c r="BX140" s="197"/>
      <c r="BY140" s="197"/>
      <c r="BZ140" s="197"/>
      <c r="CA140" s="197"/>
      <c r="CB140" s="197"/>
      <c r="CC140" s="197"/>
      <c r="CD140" s="197"/>
      <c r="CE140" s="197"/>
      <c r="CF140" s="197"/>
      <c r="CG140" s="197"/>
      <c r="CH140" s="197"/>
      <c r="CI140" s="197"/>
      <c r="CJ140" s="197"/>
      <c r="CK140" s="197"/>
      <c r="CL140" s="197"/>
      <c r="CM140" s="197"/>
      <c r="CN140" s="197"/>
      <c r="CO140" s="197"/>
      <c r="CP140" s="197"/>
      <c r="CQ140" s="197"/>
      <c r="CR140" s="197"/>
      <c r="CS140" s="197"/>
      <c r="CT140" s="197"/>
      <c r="CU140" s="197"/>
      <c r="CV140" s="197"/>
      <c r="CW140" s="197"/>
      <c r="CX140" s="197"/>
      <c r="CY140" s="197"/>
      <c r="CZ140" s="197"/>
      <c r="DA140" s="197"/>
      <c r="DB140" s="197"/>
      <c r="DC140" s="197"/>
      <c r="DD140" s="197"/>
      <c r="DE140" s="197"/>
      <c r="DF140" s="197"/>
      <c r="DG140" s="197"/>
      <c r="DH140" s="197"/>
      <c r="DI140" s="197"/>
      <c r="DJ140" s="197"/>
      <c r="DK140" s="197"/>
      <c r="DL140" s="197"/>
      <c r="DM140" s="197"/>
      <c r="DN140" s="197"/>
      <c r="DO140" s="197"/>
      <c r="DP140" s="197"/>
      <c r="DQ140" s="197"/>
      <c r="DR140" s="197"/>
      <c r="DS140" s="197"/>
      <c r="DT140" s="197"/>
      <c r="DU140" s="197"/>
      <c r="DV140" s="197"/>
      <c r="DW140" s="197"/>
      <c r="DX140" s="197"/>
      <c r="DY140" s="197"/>
      <c r="DZ140" s="197"/>
      <c r="EA140" s="197"/>
      <c r="EB140" s="197"/>
      <c r="EC140" s="197"/>
      <c r="ED140" s="197"/>
      <c r="EE140" s="197"/>
      <c r="EF140" s="197"/>
      <c r="EG140" s="197"/>
      <c r="EH140" s="197"/>
      <c r="EI140" s="197"/>
      <c r="EJ140" s="197"/>
      <c r="EK140" s="197"/>
      <c r="EL140" s="197"/>
      <c r="EM140" s="197"/>
      <c r="EN140" s="197"/>
      <c r="EO140" s="197"/>
      <c r="EP140" s="197"/>
      <c r="EQ140" s="197"/>
      <c r="ER140" s="197"/>
      <c r="ES140" s="197"/>
    </row>
    <row r="141" spans="1:150">
      <c r="A141" s="192"/>
      <c r="B141" s="36" t="str">
        <f>IF(Input!B106="","",Input!B106)</f>
        <v>Garage / Parking</v>
      </c>
      <c r="C141" s="635">
        <f t="shared" ref="C141:M150" si="141">SUMIF($R$6:$ES$6,C$5,$R141:$ES141)</f>
        <v>0</v>
      </c>
      <c r="D141" s="635">
        <f t="shared" si="141"/>
        <v>0</v>
      </c>
      <c r="E141" s="635">
        <f t="shared" si="141"/>
        <v>0</v>
      </c>
      <c r="F141" s="635">
        <f t="shared" si="141"/>
        <v>0</v>
      </c>
      <c r="G141" s="635">
        <f t="shared" si="141"/>
        <v>0</v>
      </c>
      <c r="H141" s="635">
        <f t="shared" si="141"/>
        <v>0</v>
      </c>
      <c r="I141" s="635">
        <f t="shared" si="141"/>
        <v>0</v>
      </c>
      <c r="J141" s="635">
        <f t="shared" si="141"/>
        <v>0</v>
      </c>
      <c r="K141" s="635">
        <f t="shared" si="141"/>
        <v>0</v>
      </c>
      <c r="L141" s="635">
        <f t="shared" si="141"/>
        <v>0</v>
      </c>
      <c r="M141" s="635">
        <f t="shared" si="141"/>
        <v>0</v>
      </c>
      <c r="N141" s="192"/>
      <c r="O141" s="635">
        <f t="shared" ref="O141:O150" si="142">SUMIF($C$5:$M$5,$O$6,$C141:$M141)</f>
        <v>0</v>
      </c>
      <c r="P141" s="192"/>
      <c r="Q141" s="37"/>
      <c r="R141" s="635">
        <f>SUMIF(Input!$G$105:$Q$105,R$6,Input!$G106:$Q106)*IFERROR(CHOOSE(MATCH(Input!$E106,OIUnitType,),1,R$13,MAX(R$13*(1+SUM(R$72:R$73)/R$71),))*IF(Input!$F106=PerMonth,1,1/12),1/12)</f>
        <v>0</v>
      </c>
      <c r="S141" s="635">
        <f>SUMIF(Input!$G$105:$Q$105,S$6,Input!$G106:$Q106)*IFERROR(CHOOSE(MATCH(Input!$E106,OIUnitType,),1,S$13,MAX(S$13*(1+SUM(S$72:S$73)/S$71),))*IF(Input!$F106=PerMonth,1,1/12),1/12)</f>
        <v>0</v>
      </c>
      <c r="T141" s="635">
        <f>SUMIF(Input!$G$105:$Q$105,T$6,Input!$G106:$Q106)*IFERROR(CHOOSE(MATCH(Input!$E106,OIUnitType,),1,T$13,MAX(T$13*(1+SUM(T$72:T$73)/T$71),))*IF(Input!$F106=PerMonth,1,1/12),1/12)</f>
        <v>0</v>
      </c>
      <c r="U141" s="635">
        <f>SUMIF(Input!$G$105:$Q$105,U$6,Input!$G106:$Q106)*IFERROR(CHOOSE(MATCH(Input!$E106,OIUnitType,),1,U$13,MAX(U$13*(1+SUM(U$72:U$73)/U$71),))*IF(Input!$F106=PerMonth,1,1/12),1/12)</f>
        <v>0</v>
      </c>
      <c r="V141" s="635">
        <f>SUMIF(Input!$G$105:$Q$105,V$6,Input!$G106:$Q106)*IFERROR(CHOOSE(MATCH(Input!$E106,OIUnitType,),1,V$13,MAX(V$13*(1+SUM(V$72:V$73)/V$71),))*IF(Input!$F106=PerMonth,1,1/12),1/12)</f>
        <v>0</v>
      </c>
      <c r="W141" s="635">
        <f>SUMIF(Input!$G$105:$Q$105,W$6,Input!$G106:$Q106)*IFERROR(CHOOSE(MATCH(Input!$E106,OIUnitType,),1,W$13,MAX(W$13*(1+SUM(W$72:W$73)/W$71),))*IF(Input!$F106=PerMonth,1,1/12),1/12)</f>
        <v>0</v>
      </c>
      <c r="X141" s="635">
        <f>SUMIF(Input!$G$105:$Q$105,X$6,Input!$G106:$Q106)*IFERROR(CHOOSE(MATCH(Input!$E106,OIUnitType,),1,X$13,MAX(X$13*(1+SUM(X$72:X$73)/X$71),))*IF(Input!$F106=PerMonth,1,1/12),1/12)</f>
        <v>0</v>
      </c>
      <c r="Y141" s="635">
        <f>SUMIF(Input!$G$105:$Q$105,Y$6,Input!$G106:$Q106)*IFERROR(CHOOSE(MATCH(Input!$E106,OIUnitType,),1,Y$13,MAX(Y$13*(1+SUM(Y$72:Y$73)/Y$71),))*IF(Input!$F106=PerMonth,1,1/12),1/12)</f>
        <v>0</v>
      </c>
      <c r="Z141" s="635">
        <f>SUMIF(Input!$G$105:$Q$105,Z$6,Input!$G106:$Q106)*IFERROR(CHOOSE(MATCH(Input!$E106,OIUnitType,),1,Z$13,MAX(Z$13*(1+SUM(Z$72:Z$73)/Z$71),))*IF(Input!$F106=PerMonth,1,1/12),1/12)</f>
        <v>0</v>
      </c>
      <c r="AA141" s="635">
        <f>SUMIF(Input!$G$105:$Q$105,AA$6,Input!$G106:$Q106)*IFERROR(CHOOSE(MATCH(Input!$E106,OIUnitType,),1,AA$13,MAX(AA$13*(1+SUM(AA$72:AA$73)/AA$71),))*IF(Input!$F106=PerMonth,1,1/12),1/12)</f>
        <v>0</v>
      </c>
      <c r="AB141" s="635">
        <f>SUMIF(Input!$G$105:$Q$105,AB$6,Input!$G106:$Q106)*IFERROR(CHOOSE(MATCH(Input!$E106,OIUnitType,),1,AB$13,MAX(AB$13*(1+SUM(AB$72:AB$73)/AB$71),))*IF(Input!$F106=PerMonth,1,1/12),1/12)</f>
        <v>0</v>
      </c>
      <c r="AC141" s="635">
        <f>SUMIF(Input!$G$105:$Q$105,AC$6,Input!$G106:$Q106)*IFERROR(CHOOSE(MATCH(Input!$E106,OIUnitType,),1,AC$13,MAX(AC$13*(1+SUM(AC$72:AC$73)/AC$71),))*IF(Input!$F106=PerMonth,1,1/12),1/12)</f>
        <v>0</v>
      </c>
      <c r="AD141" s="635">
        <f>SUMIF(Input!$G$105:$Q$105,AD$6,Input!$G106:$Q106)*IFERROR(CHOOSE(MATCH(Input!$E106,OIUnitType,),1,AD$13,MAX(AD$13*(1+SUM(AD$72:AD$73)/AD$71),))*IF(Input!$F106=PerMonth,1,1/12),1/12)</f>
        <v>0</v>
      </c>
      <c r="AE141" s="635">
        <f>SUMIF(Input!$G$105:$Q$105,AE$6,Input!$G106:$Q106)*IFERROR(CHOOSE(MATCH(Input!$E106,OIUnitType,),1,AE$13,MAX(AE$13*(1+SUM(AE$72:AE$73)/AE$71),))*IF(Input!$F106=PerMonth,1,1/12),1/12)</f>
        <v>0</v>
      </c>
      <c r="AF141" s="635">
        <f>SUMIF(Input!$G$105:$Q$105,AF$6,Input!$G106:$Q106)*IFERROR(CHOOSE(MATCH(Input!$E106,OIUnitType,),1,AF$13,MAX(AF$13*(1+SUM(AF$72:AF$73)/AF$71),))*IF(Input!$F106=PerMonth,1,1/12),1/12)</f>
        <v>0</v>
      </c>
      <c r="AG141" s="635">
        <f>SUMIF(Input!$G$105:$Q$105,AG$6,Input!$G106:$Q106)*IFERROR(CHOOSE(MATCH(Input!$E106,OIUnitType,),1,AG$13,MAX(AG$13*(1+SUM(AG$72:AG$73)/AG$71),))*IF(Input!$F106=PerMonth,1,1/12),1/12)</f>
        <v>0</v>
      </c>
      <c r="AH141" s="635">
        <f>SUMIF(Input!$G$105:$Q$105,AH$6,Input!$G106:$Q106)*IFERROR(CHOOSE(MATCH(Input!$E106,OIUnitType,),1,AH$13,MAX(AH$13*(1+SUM(AH$72:AH$73)/AH$71),))*IF(Input!$F106=PerMonth,1,1/12),1/12)</f>
        <v>0</v>
      </c>
      <c r="AI141" s="635">
        <f>SUMIF(Input!$G$105:$Q$105,AI$6,Input!$G106:$Q106)*IFERROR(CHOOSE(MATCH(Input!$E106,OIUnitType,),1,AI$13,MAX(AI$13*(1+SUM(AI$72:AI$73)/AI$71),))*IF(Input!$F106=PerMonth,1,1/12),1/12)</f>
        <v>0</v>
      </c>
      <c r="AJ141" s="635">
        <f>SUMIF(Input!$G$105:$Q$105,AJ$6,Input!$G106:$Q106)*IFERROR(CHOOSE(MATCH(Input!$E106,OIUnitType,),1,AJ$13,MAX(AJ$13*(1+SUM(AJ$72:AJ$73)/AJ$71),))*IF(Input!$F106=PerMonth,1,1/12),1/12)</f>
        <v>0</v>
      </c>
      <c r="AK141" s="635">
        <f>SUMIF(Input!$G$105:$Q$105,AK$6,Input!$G106:$Q106)*IFERROR(CHOOSE(MATCH(Input!$E106,OIUnitType,),1,AK$13,MAX(AK$13*(1+SUM(AK$72:AK$73)/AK$71),))*IF(Input!$F106=PerMonth,1,1/12),1/12)</f>
        <v>0</v>
      </c>
      <c r="AL141" s="635">
        <f>SUMIF(Input!$G$105:$Q$105,AL$6,Input!$G106:$Q106)*IFERROR(CHOOSE(MATCH(Input!$E106,OIUnitType,),1,AL$13,MAX(AL$13*(1+SUM(AL$72:AL$73)/AL$71),))*IF(Input!$F106=PerMonth,1,1/12),1/12)</f>
        <v>0</v>
      </c>
      <c r="AM141" s="635">
        <f>SUMIF(Input!$G$105:$Q$105,AM$6,Input!$G106:$Q106)*IFERROR(CHOOSE(MATCH(Input!$E106,OIUnitType,),1,AM$13,MAX(AM$13*(1+SUM(AM$72:AM$73)/AM$71),))*IF(Input!$F106=PerMonth,1,1/12),1/12)</f>
        <v>0</v>
      </c>
      <c r="AN141" s="635">
        <f>SUMIF(Input!$G$105:$Q$105,AN$6,Input!$G106:$Q106)*IFERROR(CHOOSE(MATCH(Input!$E106,OIUnitType,),1,AN$13,MAX(AN$13*(1+SUM(AN$72:AN$73)/AN$71),))*IF(Input!$F106=PerMonth,1,1/12),1/12)</f>
        <v>0</v>
      </c>
      <c r="AO141" s="635">
        <f>SUMIF(Input!$G$105:$Q$105,AO$6,Input!$G106:$Q106)*IFERROR(CHOOSE(MATCH(Input!$E106,OIUnitType,),1,AO$13,MAX(AO$13*(1+SUM(AO$72:AO$73)/AO$71),))*IF(Input!$F106=PerMonth,1,1/12),1/12)</f>
        <v>0</v>
      </c>
      <c r="AP141" s="635">
        <f>SUMIF(Input!$G$105:$Q$105,AP$6,Input!$G106:$Q106)*IFERROR(CHOOSE(MATCH(Input!$E106,OIUnitType,),1,AP$13,MAX(AP$13*(1+SUM(AP$72:AP$73)/AP$71),))*IF(Input!$F106=PerMonth,1,1/12),1/12)</f>
        <v>0</v>
      </c>
      <c r="AQ141" s="635">
        <f>SUMIF(Input!$G$105:$Q$105,AQ$6,Input!$G106:$Q106)*IFERROR(CHOOSE(MATCH(Input!$E106,OIUnitType,),1,AQ$13,MAX(AQ$13*(1+SUM(AQ$72:AQ$73)/AQ$71),))*IF(Input!$F106=PerMonth,1,1/12),1/12)</f>
        <v>0</v>
      </c>
      <c r="AR141" s="635">
        <f>SUMIF(Input!$G$105:$Q$105,AR$6,Input!$G106:$Q106)*IFERROR(CHOOSE(MATCH(Input!$E106,OIUnitType,),1,AR$13,MAX(AR$13*(1+SUM(AR$72:AR$73)/AR$71),))*IF(Input!$F106=PerMonth,1,1/12),1/12)</f>
        <v>0</v>
      </c>
      <c r="AS141" s="635">
        <f>SUMIF(Input!$G$105:$Q$105,AS$6,Input!$G106:$Q106)*IFERROR(CHOOSE(MATCH(Input!$E106,OIUnitType,),1,AS$13,MAX(AS$13*(1+SUM(AS$72:AS$73)/AS$71),))*IF(Input!$F106=PerMonth,1,1/12),1/12)</f>
        <v>0</v>
      </c>
      <c r="AT141" s="635">
        <f>SUMIF(Input!$G$105:$Q$105,AT$6,Input!$G106:$Q106)*IFERROR(CHOOSE(MATCH(Input!$E106,OIUnitType,),1,AT$13,MAX(AT$13*(1+SUM(AT$72:AT$73)/AT$71),))*IF(Input!$F106=PerMonth,1,1/12),1/12)</f>
        <v>0</v>
      </c>
      <c r="AU141" s="635">
        <f>SUMIF(Input!$G$105:$Q$105,AU$6,Input!$G106:$Q106)*IFERROR(CHOOSE(MATCH(Input!$E106,OIUnitType,),1,AU$13,MAX(AU$13*(1+SUM(AU$72:AU$73)/AU$71),))*IF(Input!$F106=PerMonth,1,1/12),1/12)</f>
        <v>0</v>
      </c>
      <c r="AV141" s="635">
        <f>SUMIF(Input!$G$105:$Q$105,AV$6,Input!$G106:$Q106)*IFERROR(CHOOSE(MATCH(Input!$E106,OIUnitType,),1,AV$13,MAX(AV$13*(1+SUM(AV$72:AV$73)/AV$71),))*IF(Input!$F106=PerMonth,1,1/12),1/12)</f>
        <v>0</v>
      </c>
      <c r="AW141" s="635">
        <f>SUMIF(Input!$G$105:$Q$105,AW$6,Input!$G106:$Q106)*IFERROR(CHOOSE(MATCH(Input!$E106,OIUnitType,),1,AW$13,MAX(AW$13*(1+SUM(AW$72:AW$73)/AW$71),))*IF(Input!$F106=PerMonth,1,1/12),1/12)</f>
        <v>0</v>
      </c>
      <c r="AX141" s="635">
        <f>SUMIF(Input!$G$105:$Q$105,AX$6,Input!$G106:$Q106)*IFERROR(CHOOSE(MATCH(Input!$E106,OIUnitType,),1,AX$13,MAX(AX$13*(1+SUM(AX$72:AX$73)/AX$71),))*IF(Input!$F106=PerMonth,1,1/12),1/12)</f>
        <v>0</v>
      </c>
      <c r="AY141" s="635">
        <f>SUMIF(Input!$G$105:$Q$105,AY$6,Input!$G106:$Q106)*IFERROR(CHOOSE(MATCH(Input!$E106,OIUnitType,),1,AY$13,MAX(AY$13*(1+SUM(AY$72:AY$73)/AY$71),))*IF(Input!$F106=PerMonth,1,1/12),1/12)</f>
        <v>0</v>
      </c>
      <c r="AZ141" s="635">
        <f>SUMIF(Input!$G$105:$Q$105,AZ$6,Input!$G106:$Q106)*IFERROR(CHOOSE(MATCH(Input!$E106,OIUnitType,),1,AZ$13,MAX(AZ$13*(1+SUM(AZ$72:AZ$73)/AZ$71),))*IF(Input!$F106=PerMonth,1,1/12),1/12)</f>
        <v>0</v>
      </c>
      <c r="BA141" s="635">
        <f>SUMIF(Input!$G$105:$Q$105,BA$6,Input!$G106:$Q106)*IFERROR(CHOOSE(MATCH(Input!$E106,OIUnitType,),1,BA$13,MAX(BA$13*(1+SUM(BA$72:BA$73)/BA$71),))*IF(Input!$F106=PerMonth,1,1/12),1/12)</f>
        <v>0</v>
      </c>
      <c r="BB141" s="635">
        <f>SUMIF(Input!$G$105:$Q$105,BB$6,Input!$G106:$Q106)*IFERROR(CHOOSE(MATCH(Input!$E106,OIUnitType,),1,BB$13,MAX(BB$13*(1-SUMIF(Input!$G$89:$Q$89,BB$6,Input!$G$90:$Q$90)-BB$31),))*IF(Input!$F106=PerMonth,1,1/12),1/12)</f>
        <v>0</v>
      </c>
      <c r="BC141" s="635">
        <f>SUMIF(Input!$G$105:$Q$105,BC$6,Input!$G106:$Q106)*IFERROR(CHOOSE(MATCH(Input!$E106,OIUnitType,),1,BC$13,MAX(BC$13*(1-SUMIF(Input!$G$89:$Q$89,BC$6,Input!$G$90:$Q$90)-BC$31),))*IF(Input!$F106=PerMonth,1,1/12),1/12)</f>
        <v>0</v>
      </c>
      <c r="BD141" s="635">
        <f>SUMIF(Input!$G$105:$Q$105,BD$6,Input!$G106:$Q106)*IFERROR(CHOOSE(MATCH(Input!$E106,OIUnitType,),1,BD$13,MAX(BD$13*(1-SUMIF(Input!$G$89:$Q$89,BD$6,Input!$G$90:$Q$90)-BD$31),))*IF(Input!$F106=PerMonth,1,1/12),1/12)</f>
        <v>0</v>
      </c>
      <c r="BE141" s="635">
        <f>SUMIF(Input!$G$105:$Q$105,BE$6,Input!$G106:$Q106)*IFERROR(CHOOSE(MATCH(Input!$E106,OIUnitType,),1,BE$13,MAX(BE$13*(1-SUMIF(Input!$G$89:$Q$89,BE$6,Input!$G$90:$Q$90)-BE$31),))*IF(Input!$F106=PerMonth,1,1/12),1/12)</f>
        <v>0</v>
      </c>
      <c r="BF141" s="635">
        <f>SUMIF(Input!$G$105:$Q$105,BF$6,Input!$G106:$Q106)*IFERROR(CHOOSE(MATCH(Input!$E106,OIUnitType,),1,BF$13,MAX(BF$13*(1-SUMIF(Input!$G$89:$Q$89,BF$6,Input!$G$90:$Q$90)-BF$31),))*IF(Input!$F106=PerMonth,1,1/12),1/12)</f>
        <v>0</v>
      </c>
      <c r="BG141" s="635">
        <f>SUMIF(Input!$G$105:$Q$105,BG$6,Input!$G106:$Q106)*IFERROR(CHOOSE(MATCH(Input!$E106,OIUnitType,),1,BG$13,MAX(BG$13*(1-SUMIF(Input!$G$89:$Q$89,BG$6,Input!$G$90:$Q$90)-BG$31),))*IF(Input!$F106=PerMonth,1,1/12),1/12)</f>
        <v>0</v>
      </c>
      <c r="BH141" s="635">
        <f>SUMIF(Input!$G$105:$Q$105,BH$6,Input!$G106:$Q106)*IFERROR(CHOOSE(MATCH(Input!$E106,OIUnitType,),1,BH$13,MAX(BH$13*(1-SUMIF(Input!$G$89:$Q$89,BH$6,Input!$G$90:$Q$90)-BH$31),))*IF(Input!$F106=PerMonth,1,1/12),1/12)</f>
        <v>0</v>
      </c>
      <c r="BI141" s="635">
        <f>SUMIF(Input!$G$105:$Q$105,BI$6,Input!$G106:$Q106)*IFERROR(CHOOSE(MATCH(Input!$E106,OIUnitType,),1,BI$13,MAX(BI$13*(1-SUMIF(Input!$G$89:$Q$89,BI$6,Input!$G$90:$Q$90)-BI$31),))*IF(Input!$F106=PerMonth,1,1/12),1/12)</f>
        <v>0</v>
      </c>
      <c r="BJ141" s="635">
        <f>SUMIF(Input!$G$105:$Q$105,BJ$6,Input!$G106:$Q106)*IFERROR(CHOOSE(MATCH(Input!$E106,OIUnitType,),1,BJ$13,MAX(BJ$13*(1-SUMIF(Input!$G$89:$Q$89,BJ$6,Input!$G$90:$Q$90)-BJ$31),))*IF(Input!$F106=PerMonth,1,1/12),1/12)</f>
        <v>0</v>
      </c>
      <c r="BK141" s="635">
        <f>SUMIF(Input!$G$105:$Q$105,BK$6,Input!$G106:$Q106)*IFERROR(CHOOSE(MATCH(Input!$E106,OIUnitType,),1,BK$13,MAX(BK$13*(1-SUMIF(Input!$G$89:$Q$89,BK$6,Input!$G$90:$Q$90)-BK$31),))*IF(Input!$F106=PerMonth,1,1/12),1/12)</f>
        <v>0</v>
      </c>
      <c r="BL141" s="635">
        <f>SUMIF(Input!$G$105:$Q$105,BL$6,Input!$G106:$Q106)*IFERROR(CHOOSE(MATCH(Input!$E106,OIUnitType,),1,BL$13,MAX(BL$13*(1-SUMIF(Input!$G$89:$Q$89,BL$6,Input!$G$90:$Q$90)-BL$31),))*IF(Input!$F106=PerMonth,1,1/12),1/12)</f>
        <v>0</v>
      </c>
      <c r="BM141" s="635">
        <f>SUMIF(Input!$G$105:$Q$105,BM$6,Input!$G106:$Q106)*IFERROR(CHOOSE(MATCH(Input!$E106,OIUnitType,),1,BM$13,MAX(BM$13*(1-SUMIF(Input!$G$89:$Q$89,BM$6,Input!$G$90:$Q$90)-BM$31),))*IF(Input!$F106=PerMonth,1,1/12),1/12)</f>
        <v>0</v>
      </c>
      <c r="BN141" s="635">
        <f>SUMIF(Input!$G$105:$Q$105,BN$6,Input!$G106:$Q106)*IFERROR(CHOOSE(MATCH(Input!$E106,OIUnitType,),1,BN$13,MAX(BN$13*(1-SUMIF(Input!$G$89:$Q$89,BN$6,Input!$G$90:$Q$90)-BN$31),))*IF(Input!$F106=PerMonth,1,1/12),1/12)</f>
        <v>0</v>
      </c>
      <c r="BO141" s="635">
        <f>SUMIF(Input!$G$105:$Q$105,BO$6,Input!$G106:$Q106)*IFERROR(CHOOSE(MATCH(Input!$E106,OIUnitType,),1,BO$13,MAX(BO$13*(1-SUMIF(Input!$G$89:$Q$89,BO$6,Input!$G$90:$Q$90)-BO$31),))*IF(Input!$F106=PerMonth,1,1/12),1/12)</f>
        <v>0</v>
      </c>
      <c r="BP141" s="635">
        <f>SUMIF(Input!$G$105:$Q$105,BP$6,Input!$G106:$Q106)*IFERROR(CHOOSE(MATCH(Input!$E106,OIUnitType,),1,BP$13,MAX(BP$13*(1-SUMIF(Input!$G$89:$Q$89,BP$6,Input!$G$90:$Q$90)-BP$31),))*IF(Input!$F106=PerMonth,1,1/12),1/12)</f>
        <v>0</v>
      </c>
      <c r="BQ141" s="635">
        <f>SUMIF(Input!$G$105:$Q$105,BQ$6,Input!$G106:$Q106)*IFERROR(CHOOSE(MATCH(Input!$E106,OIUnitType,),1,BQ$13,MAX(BQ$13*(1-SUMIF(Input!$G$89:$Q$89,BQ$6,Input!$G$90:$Q$90)-BQ$31),))*IF(Input!$F106=PerMonth,1,1/12),1/12)</f>
        <v>0</v>
      </c>
      <c r="BR141" s="635">
        <f>SUMIF(Input!$G$105:$Q$105,BR$6,Input!$G106:$Q106)*IFERROR(CHOOSE(MATCH(Input!$E106,OIUnitType,),1,BR$13,MAX(BR$13*(1-SUMIF(Input!$G$89:$Q$89,BR$6,Input!$G$90:$Q$90)-BR$31),))*IF(Input!$F106=PerMonth,1,1/12),1/12)</f>
        <v>0</v>
      </c>
      <c r="BS141" s="635">
        <f>SUMIF(Input!$G$105:$Q$105,BS$6,Input!$G106:$Q106)*IFERROR(CHOOSE(MATCH(Input!$E106,OIUnitType,),1,BS$13,MAX(BS$13*(1-SUMIF(Input!$G$89:$Q$89,BS$6,Input!$G$90:$Q$90)-BS$31),))*IF(Input!$F106=PerMonth,1,1/12),1/12)</f>
        <v>0</v>
      </c>
      <c r="BT141" s="635">
        <f>SUMIF(Input!$G$105:$Q$105,BT$6,Input!$G106:$Q106)*IFERROR(CHOOSE(MATCH(Input!$E106,OIUnitType,),1,BT$13,MAX(BT$13*(1-SUMIF(Input!$G$89:$Q$89,BT$6,Input!$G$90:$Q$90)-BT$31),))*IF(Input!$F106=PerMonth,1,1/12),1/12)</f>
        <v>0</v>
      </c>
      <c r="BU141" s="635">
        <f>SUMIF(Input!$G$105:$Q$105,BU$6,Input!$G106:$Q106)*IFERROR(CHOOSE(MATCH(Input!$E106,OIUnitType,),1,BU$13,MAX(BU$13*(1-SUMIF(Input!$G$89:$Q$89,BU$6,Input!$G$90:$Q$90)-BU$31),))*IF(Input!$F106=PerMonth,1,1/12),1/12)</f>
        <v>0</v>
      </c>
      <c r="BV141" s="635">
        <f>SUMIF(Input!$G$105:$Q$105,BV$6,Input!$G106:$Q106)*IFERROR(CHOOSE(MATCH(Input!$E106,OIUnitType,),1,BV$13,MAX(BV$13*(1-SUMIF(Input!$G$89:$Q$89,BV$6,Input!$G$90:$Q$90)-BV$31),))*IF(Input!$F106=PerMonth,1,1/12),1/12)</f>
        <v>0</v>
      </c>
      <c r="BW141" s="635">
        <f>SUMIF(Input!$G$105:$Q$105,BW$6,Input!$G106:$Q106)*IFERROR(CHOOSE(MATCH(Input!$E106,OIUnitType,),1,BW$13,MAX(BW$13*(1-SUMIF(Input!$G$89:$Q$89,BW$6,Input!$G$90:$Q$90)-BW$31),))*IF(Input!$F106=PerMonth,1,1/12),1/12)</f>
        <v>0</v>
      </c>
      <c r="BX141" s="635">
        <f>SUMIF(Input!$G$105:$Q$105,BX$6,Input!$G106:$Q106)*IFERROR(CHOOSE(MATCH(Input!$E106,OIUnitType,),1,BX$13,MAX(BX$13*(1-SUMIF(Input!$G$89:$Q$89,BX$6,Input!$G$90:$Q$90)-BX$31),))*IF(Input!$F106=PerMonth,1,1/12),1/12)</f>
        <v>0</v>
      </c>
      <c r="BY141" s="635">
        <f>SUMIF(Input!$G$105:$Q$105,BY$6,Input!$G106:$Q106)*IFERROR(CHOOSE(MATCH(Input!$E106,OIUnitType,),1,BY$13,MAX(BY$13*(1-SUMIF(Input!$G$89:$Q$89,BY$6,Input!$G$90:$Q$90)-BY$31),))*IF(Input!$F106=PerMonth,1,1/12),1/12)</f>
        <v>0</v>
      </c>
      <c r="BZ141" s="635">
        <f>SUMIF(Input!$G$105:$Q$105,BZ$6,Input!$G106:$Q106)*IFERROR(CHOOSE(MATCH(Input!$E106,OIUnitType,),1,BZ$13,MAX(BZ$13*(1-SUMIF(Input!$G$89:$Q$89,BZ$6,Input!$G$90:$Q$90)-BZ$31),))*IF(Input!$F106=PerMonth,1,1/12),1/12)</f>
        <v>0</v>
      </c>
      <c r="CA141" s="635">
        <f>SUMIF(Input!$G$105:$Q$105,CA$6,Input!$G106:$Q106)*IFERROR(CHOOSE(MATCH(Input!$E106,OIUnitType,),1,CA$13,MAX(CA$13*(1-SUMIF(Input!$G$89:$Q$89,CA$6,Input!$G$90:$Q$90)-CA$31),))*IF(Input!$F106=PerMonth,1,1/12),1/12)</f>
        <v>0</v>
      </c>
      <c r="CB141" s="635">
        <f>SUMIF(Input!$G$105:$Q$105,CB$6,Input!$G106:$Q106)*IFERROR(CHOOSE(MATCH(Input!$E106,OIUnitType,),1,CB$13,MAX(CB$13*(1-SUMIF(Input!$G$89:$Q$89,CB$6,Input!$G$90:$Q$90)-CB$31),))*IF(Input!$F106=PerMonth,1,1/12),1/12)</f>
        <v>0</v>
      </c>
      <c r="CC141" s="635">
        <f>SUMIF(Input!$G$105:$Q$105,CC$6,Input!$G106:$Q106)*IFERROR(CHOOSE(MATCH(Input!$E106,OIUnitType,),1,CC$13,MAX(CC$13*(1-SUMIF(Input!$G$89:$Q$89,CC$6,Input!$G$90:$Q$90)-CC$31),))*IF(Input!$F106=PerMonth,1,1/12),1/12)</f>
        <v>0</v>
      </c>
      <c r="CD141" s="635">
        <f>SUMIF(Input!$G$105:$Q$105,CD$6,Input!$G106:$Q106)*IFERROR(CHOOSE(MATCH(Input!$E106,OIUnitType,),1,CD$13,MAX(CD$13*(1-SUMIF(Input!$G$89:$Q$89,CD$6,Input!$G$90:$Q$90)-CD$31),))*IF(Input!$F106=PerMonth,1,1/12),1/12)</f>
        <v>0</v>
      </c>
      <c r="CE141" s="635">
        <f>SUMIF(Input!$G$105:$Q$105,CE$6,Input!$G106:$Q106)*IFERROR(CHOOSE(MATCH(Input!$E106,OIUnitType,),1,CE$13,MAX(CE$13*(1-SUMIF(Input!$G$89:$Q$89,CE$6,Input!$G$90:$Q$90)-CE$31),))*IF(Input!$F106=PerMonth,1,1/12),1/12)</f>
        <v>0</v>
      </c>
      <c r="CF141" s="635">
        <f>SUMIF(Input!$G$105:$Q$105,CF$6,Input!$G106:$Q106)*IFERROR(CHOOSE(MATCH(Input!$E106,OIUnitType,),1,CF$13,MAX(CF$13*(1-SUMIF(Input!$G$89:$Q$89,CF$6,Input!$G$90:$Q$90)-CF$31),))*IF(Input!$F106=PerMonth,1,1/12),1/12)</f>
        <v>0</v>
      </c>
      <c r="CG141" s="635">
        <f>SUMIF(Input!$G$105:$Q$105,CG$6,Input!$G106:$Q106)*IFERROR(CHOOSE(MATCH(Input!$E106,OIUnitType,),1,CG$13,MAX(CG$13*(1-SUMIF(Input!$G$89:$Q$89,CG$6,Input!$G$90:$Q$90)-CG$31),))*IF(Input!$F106=PerMonth,1,1/12),1/12)</f>
        <v>0</v>
      </c>
      <c r="CH141" s="635">
        <f>SUMIF(Input!$G$105:$Q$105,CH$6,Input!$G106:$Q106)*IFERROR(CHOOSE(MATCH(Input!$E106,OIUnitType,),1,CH$13,MAX(CH$13*(1-SUMIF(Input!$G$89:$Q$89,CH$6,Input!$G$90:$Q$90)-CH$31),))*IF(Input!$F106=PerMonth,1,1/12),1/12)</f>
        <v>0</v>
      </c>
      <c r="CI141" s="635">
        <f>SUMIF(Input!$G$105:$Q$105,CI$6,Input!$G106:$Q106)*IFERROR(CHOOSE(MATCH(Input!$E106,OIUnitType,),1,CI$13,MAX(CI$13*(1-SUMIF(Input!$G$89:$Q$89,CI$6,Input!$G$90:$Q$90)-CI$31),))*IF(Input!$F106=PerMonth,1,1/12),1/12)</f>
        <v>0</v>
      </c>
      <c r="CJ141" s="635">
        <f>SUMIF(Input!$G$105:$Q$105,CJ$6,Input!$G106:$Q106)*IFERROR(CHOOSE(MATCH(Input!$E106,OIUnitType,),1,CJ$13,MAX(CJ$13*(1-SUMIF(Input!$G$89:$Q$89,CJ$6,Input!$G$90:$Q$90)-CJ$31),))*IF(Input!$F106=PerMonth,1,1/12),1/12)</f>
        <v>0</v>
      </c>
      <c r="CK141" s="635">
        <f>SUMIF(Input!$G$105:$Q$105,CK$6,Input!$G106:$Q106)*IFERROR(CHOOSE(MATCH(Input!$E106,OIUnitType,),1,CK$13,MAX(CK$13*(1-SUMIF(Input!$G$89:$Q$89,CK$6,Input!$G$90:$Q$90)-CK$31),))*IF(Input!$F106=PerMonth,1,1/12),1/12)</f>
        <v>0</v>
      </c>
      <c r="CL141" s="635">
        <f>SUMIF(Input!$G$105:$Q$105,CL$6,Input!$G106:$Q106)*IFERROR(CHOOSE(MATCH(Input!$E106,OIUnitType,),1,CL$13,MAX(CL$13*(1-SUMIF(Input!$G$89:$Q$89,CL$6,Input!$G$90:$Q$90)-CL$31),))*IF(Input!$F106=PerMonth,1,1/12),1/12)</f>
        <v>0</v>
      </c>
      <c r="CM141" s="635">
        <f>SUMIF(Input!$G$105:$Q$105,CM$6,Input!$G106:$Q106)*IFERROR(CHOOSE(MATCH(Input!$E106,OIUnitType,),1,CM$13,MAX(CM$13*(1-SUMIF(Input!$G$89:$Q$89,CM$6,Input!$G$90:$Q$90)-CM$31),))*IF(Input!$F106=PerMonth,1,1/12),1/12)</f>
        <v>0</v>
      </c>
      <c r="CN141" s="635">
        <f>SUMIF(Input!$G$105:$Q$105,CN$6,Input!$G106:$Q106)*IFERROR(CHOOSE(MATCH(Input!$E106,OIUnitType,),1,CN$13,MAX(CN$13*(1-SUMIF(Input!$G$89:$Q$89,CN$6,Input!$G$90:$Q$90)-CN$31),))*IF(Input!$F106=PerMonth,1,1/12),1/12)</f>
        <v>0</v>
      </c>
      <c r="CO141" s="635">
        <f>SUMIF(Input!$G$105:$Q$105,CO$6,Input!$G106:$Q106)*IFERROR(CHOOSE(MATCH(Input!$E106,OIUnitType,),1,CO$13,MAX(CO$13*(1-SUMIF(Input!$G$89:$Q$89,CO$6,Input!$G$90:$Q$90)-CO$31),))*IF(Input!$F106=PerMonth,1,1/12),1/12)</f>
        <v>0</v>
      </c>
      <c r="CP141" s="635">
        <f>SUMIF(Input!$G$105:$Q$105,CP$6,Input!$G106:$Q106)*IFERROR(CHOOSE(MATCH(Input!$E106,OIUnitType,),1,CP$13,MAX(CP$13*(1-SUMIF(Input!$G$89:$Q$89,CP$6,Input!$G$90:$Q$90)-CP$31),))*IF(Input!$F106=PerMonth,1,1/12),1/12)</f>
        <v>0</v>
      </c>
      <c r="CQ141" s="635">
        <f>SUMIF(Input!$G$105:$Q$105,CQ$6,Input!$G106:$Q106)*IFERROR(CHOOSE(MATCH(Input!$E106,OIUnitType,),1,CQ$13,MAX(CQ$13*(1-SUMIF(Input!$G$89:$Q$89,CQ$6,Input!$G$90:$Q$90)-CQ$31),))*IF(Input!$F106=PerMonth,1,1/12),1/12)</f>
        <v>0</v>
      </c>
      <c r="CR141" s="635">
        <f>SUMIF(Input!$G$105:$Q$105,CR$6,Input!$G106:$Q106)*IFERROR(CHOOSE(MATCH(Input!$E106,OIUnitType,),1,CR$13,MAX(CR$13*(1-SUMIF(Input!$G$89:$Q$89,CR$6,Input!$G$90:$Q$90)-CR$31),))*IF(Input!$F106=PerMonth,1,1/12),1/12)</f>
        <v>0</v>
      </c>
      <c r="CS141" s="635">
        <f>SUMIF(Input!$G$105:$Q$105,CS$6,Input!$G106:$Q106)*IFERROR(CHOOSE(MATCH(Input!$E106,OIUnitType,),1,CS$13,MAX(CS$13*(1-SUMIF(Input!$G$89:$Q$89,CS$6,Input!$G$90:$Q$90)-CS$31),))*IF(Input!$F106=PerMonth,1,1/12),1/12)</f>
        <v>0</v>
      </c>
      <c r="CT141" s="635">
        <f>SUMIF(Input!$G$105:$Q$105,CT$6,Input!$G106:$Q106)*IFERROR(CHOOSE(MATCH(Input!$E106,OIUnitType,),1,CT$13,MAX(CT$13*(1-SUMIF(Input!$G$89:$Q$89,CT$6,Input!$G$90:$Q$90)-CT$31),))*IF(Input!$F106=PerMonth,1,1/12),1/12)</f>
        <v>0</v>
      </c>
      <c r="CU141" s="635">
        <f>SUMIF(Input!$G$105:$Q$105,CU$6,Input!$G106:$Q106)*IFERROR(CHOOSE(MATCH(Input!$E106,OIUnitType,),1,CU$13,MAX(CU$13*(1-SUMIF(Input!$G$89:$Q$89,CU$6,Input!$G$90:$Q$90)-CU$31),))*IF(Input!$F106=PerMonth,1,1/12),1/12)</f>
        <v>0</v>
      </c>
      <c r="CV141" s="635">
        <f>SUMIF(Input!$G$105:$Q$105,CV$6,Input!$G106:$Q106)*IFERROR(CHOOSE(MATCH(Input!$E106,OIUnitType,),1,CV$13,MAX(CV$13*(1-SUMIF(Input!$G$89:$Q$89,CV$6,Input!$G$90:$Q$90)-CV$31),))*IF(Input!$F106=PerMonth,1,1/12),1/12)</f>
        <v>0</v>
      </c>
      <c r="CW141" s="635">
        <f>SUMIF(Input!$G$105:$Q$105,CW$6,Input!$G106:$Q106)*IFERROR(CHOOSE(MATCH(Input!$E106,OIUnitType,),1,CW$13,MAX(CW$13*(1-SUMIF(Input!$G$89:$Q$89,CW$6,Input!$G$90:$Q$90)-CW$31),))*IF(Input!$F106=PerMonth,1,1/12),1/12)</f>
        <v>0</v>
      </c>
      <c r="CX141" s="635">
        <f>SUMIF(Input!$G$105:$Q$105,CX$6,Input!$G106:$Q106)*IFERROR(CHOOSE(MATCH(Input!$E106,OIUnitType,),1,CX$13,MAX(CX$13*(1-SUMIF(Input!$G$89:$Q$89,CX$6,Input!$G$90:$Q$90)-CX$31),))*IF(Input!$F106=PerMonth,1,1/12),1/12)</f>
        <v>0</v>
      </c>
      <c r="CY141" s="635">
        <f>SUMIF(Input!$G$105:$Q$105,CY$6,Input!$G106:$Q106)*IFERROR(CHOOSE(MATCH(Input!$E106,OIUnitType,),1,CY$13,MAX(CY$13*(1-SUMIF(Input!$G$89:$Q$89,CY$6,Input!$G$90:$Q$90)-CY$31),))*IF(Input!$F106=PerMonth,1,1/12),1/12)</f>
        <v>0</v>
      </c>
      <c r="CZ141" s="635">
        <f>SUMIF(Input!$G$105:$Q$105,CZ$6,Input!$G106:$Q106)*IFERROR(CHOOSE(MATCH(Input!$E106,OIUnitType,),1,CZ$13,MAX(CZ$13*(1-SUMIF(Input!$G$89:$Q$89,CZ$6,Input!$G$90:$Q$90)-CZ$31),))*IF(Input!$F106=PerMonth,1,1/12),1/12)</f>
        <v>0</v>
      </c>
      <c r="DA141" s="635">
        <f>SUMIF(Input!$G$105:$Q$105,DA$6,Input!$G106:$Q106)*IFERROR(CHOOSE(MATCH(Input!$E106,OIUnitType,),1,DA$13,MAX(DA$13*(1-SUMIF(Input!$G$89:$Q$89,DA$6,Input!$G$90:$Q$90)-DA$31),))*IF(Input!$F106=PerMonth,1,1/12),1/12)</f>
        <v>0</v>
      </c>
      <c r="DB141" s="635">
        <f>SUMIF(Input!$G$105:$Q$105,DB$6,Input!$G106:$Q106)*IFERROR(CHOOSE(MATCH(Input!$E106,OIUnitType,),1,DB$13,MAX(DB$13*(1-SUMIF(Input!$G$89:$Q$89,DB$6,Input!$G$90:$Q$90)-DB$31),))*IF(Input!$F106=PerMonth,1,1/12),1/12)</f>
        <v>0</v>
      </c>
      <c r="DC141" s="635">
        <f>SUMIF(Input!$G$105:$Q$105,DC$6,Input!$G106:$Q106)*IFERROR(CHOOSE(MATCH(Input!$E106,OIUnitType,),1,DC$13,MAX(DC$13*(1-SUMIF(Input!$G$89:$Q$89,DC$6,Input!$G$90:$Q$90)-DC$31),))*IF(Input!$F106=PerMonth,1,1/12),1/12)</f>
        <v>0</v>
      </c>
      <c r="DD141" s="635">
        <f>SUMIF(Input!$G$105:$Q$105,DD$6,Input!$G106:$Q106)*IFERROR(CHOOSE(MATCH(Input!$E106,OIUnitType,),1,DD$13,MAX(DD$13*(1-SUMIF(Input!$G$89:$Q$89,DD$6,Input!$G$90:$Q$90)-DD$31),))*IF(Input!$F106=PerMonth,1,1/12),1/12)</f>
        <v>0</v>
      </c>
      <c r="DE141" s="635">
        <f>SUMIF(Input!$G$105:$Q$105,DE$6,Input!$G106:$Q106)*IFERROR(CHOOSE(MATCH(Input!$E106,OIUnitType,),1,DE$13,MAX(DE$13*(1-SUMIF(Input!$G$89:$Q$89,DE$6,Input!$G$90:$Q$90)-DE$31),))*IF(Input!$F106=PerMonth,1,1/12),1/12)</f>
        <v>0</v>
      </c>
      <c r="DF141" s="635">
        <f>SUMIF(Input!$G$105:$Q$105,DF$6,Input!$G106:$Q106)*IFERROR(CHOOSE(MATCH(Input!$E106,OIUnitType,),1,DF$13,MAX(DF$13*(1-SUMIF(Input!$G$89:$Q$89,DF$6,Input!$G$90:$Q$90)-DF$31),))*IF(Input!$F106=PerMonth,1,1/12),1/12)</f>
        <v>0</v>
      </c>
      <c r="DG141" s="635">
        <f>SUMIF(Input!$G$105:$Q$105,DG$6,Input!$G106:$Q106)*IFERROR(CHOOSE(MATCH(Input!$E106,OIUnitType,),1,DG$13,MAX(DG$13*(1-SUMIF(Input!$G$89:$Q$89,DG$6,Input!$G$90:$Q$90)-DG$31),))*IF(Input!$F106=PerMonth,1,1/12),1/12)</f>
        <v>0</v>
      </c>
      <c r="DH141" s="635">
        <f>SUMIF(Input!$G$105:$Q$105,DH$6,Input!$G106:$Q106)*IFERROR(CHOOSE(MATCH(Input!$E106,OIUnitType,),1,DH$13,MAX(DH$13*(1-SUMIF(Input!$G$89:$Q$89,DH$6,Input!$G$90:$Q$90)-DH$31),))*IF(Input!$F106=PerMonth,1,1/12),1/12)</f>
        <v>0</v>
      </c>
      <c r="DI141" s="635">
        <f>SUMIF(Input!$G$105:$Q$105,DI$6,Input!$G106:$Q106)*IFERROR(CHOOSE(MATCH(Input!$E106,OIUnitType,),1,DI$13,MAX(DI$13*(1-SUMIF(Input!$G$89:$Q$89,DI$6,Input!$G$90:$Q$90)-DI$31),))*IF(Input!$F106=PerMonth,1,1/12),1/12)</f>
        <v>0</v>
      </c>
      <c r="DJ141" s="635">
        <f>SUMIF(Input!$G$105:$Q$105,DJ$6,Input!$G106:$Q106)*IFERROR(CHOOSE(MATCH(Input!$E106,OIUnitType,),1,DJ$13,MAX(DJ$13*(1-SUMIF(Input!$G$89:$Q$89,DJ$6,Input!$G$90:$Q$90)-DJ$31),))*IF(Input!$F106=PerMonth,1,1/12),1/12)</f>
        <v>0</v>
      </c>
      <c r="DK141" s="635">
        <f>SUMIF(Input!$G$105:$Q$105,DK$6,Input!$G106:$Q106)*IFERROR(CHOOSE(MATCH(Input!$E106,OIUnitType,),1,DK$13,MAX(DK$13*(1-SUMIF(Input!$G$89:$Q$89,DK$6,Input!$G$90:$Q$90)-DK$31),))*IF(Input!$F106=PerMonth,1,1/12),1/12)</f>
        <v>0</v>
      </c>
      <c r="DL141" s="635">
        <f>SUMIF(Input!$G$105:$Q$105,DL$6,Input!$G106:$Q106)*IFERROR(CHOOSE(MATCH(Input!$E106,OIUnitType,),1,DL$13,MAX(DL$13*(1-SUMIF(Input!$G$89:$Q$89,DL$6,Input!$G$90:$Q$90)-DL$31),))*IF(Input!$F106=PerMonth,1,1/12),1/12)</f>
        <v>0</v>
      </c>
      <c r="DM141" s="635">
        <f>SUMIF(Input!$G$105:$Q$105,DM$6,Input!$G106:$Q106)*IFERROR(CHOOSE(MATCH(Input!$E106,OIUnitType,),1,DM$13,MAX(DM$13*(1-SUMIF(Input!$G$89:$Q$89,DM$6,Input!$G$90:$Q$90)-DM$31),))*IF(Input!$F106=PerMonth,1,1/12),1/12)</f>
        <v>0</v>
      </c>
      <c r="DN141" s="635">
        <f>SUMIF(Input!$G$105:$Q$105,DN$6,Input!$G106:$Q106)*IFERROR(CHOOSE(MATCH(Input!$E106,OIUnitType,),1,DN$13,MAX(DN$13*(1-SUMIF(Input!$G$89:$Q$89,DN$6,Input!$G$90:$Q$90)-DN$31),))*IF(Input!$F106=PerMonth,1,1/12),1/12)</f>
        <v>0</v>
      </c>
      <c r="DO141" s="635">
        <f>SUMIF(Input!$G$105:$Q$105,DO$6,Input!$G106:$Q106)*IFERROR(CHOOSE(MATCH(Input!$E106,OIUnitType,),1,DO$13,MAX(DO$13*(1-SUMIF(Input!$G$89:$Q$89,DO$6,Input!$G$90:$Q$90)-DO$31),))*IF(Input!$F106=PerMonth,1,1/12),1/12)</f>
        <v>0</v>
      </c>
      <c r="DP141" s="635">
        <f>SUMIF(Input!$G$105:$Q$105,DP$6,Input!$G106:$Q106)*IFERROR(CHOOSE(MATCH(Input!$E106,OIUnitType,),1,DP$13,MAX(DP$13*(1-SUMIF(Input!$G$89:$Q$89,DP$6,Input!$G$90:$Q$90)-DP$31),))*IF(Input!$F106=PerMonth,1,1/12),1/12)</f>
        <v>0</v>
      </c>
      <c r="DQ141" s="635">
        <f>SUMIF(Input!$G$105:$Q$105,DQ$6,Input!$G106:$Q106)*IFERROR(CHOOSE(MATCH(Input!$E106,OIUnitType,),1,DQ$13,MAX(DQ$13*(1-SUMIF(Input!$G$89:$Q$89,DQ$6,Input!$G$90:$Q$90)-DQ$31),))*IF(Input!$F106=PerMonth,1,1/12),1/12)</f>
        <v>0</v>
      </c>
      <c r="DR141" s="635">
        <f>SUMIF(Input!$G$105:$Q$105,DR$6,Input!$G106:$Q106)*IFERROR(CHOOSE(MATCH(Input!$E106,OIUnitType,),1,DR$13,MAX(DR$13*(1-SUMIF(Input!$G$89:$Q$89,DR$6,Input!$G$90:$Q$90)-DR$31),))*IF(Input!$F106=PerMonth,1,1/12),1/12)</f>
        <v>0</v>
      </c>
      <c r="DS141" s="635">
        <f>SUMIF(Input!$G$105:$Q$105,DS$6,Input!$G106:$Q106)*IFERROR(CHOOSE(MATCH(Input!$E106,OIUnitType,),1,DS$13,MAX(DS$13*(1-SUMIF(Input!$G$89:$Q$89,DS$6,Input!$G$90:$Q$90)-DS$31),))*IF(Input!$F106=PerMonth,1,1/12),1/12)</f>
        <v>0</v>
      </c>
      <c r="DT141" s="635">
        <f>SUMIF(Input!$G$105:$Q$105,DT$6,Input!$G106:$Q106)*IFERROR(CHOOSE(MATCH(Input!$E106,OIUnitType,),1,DT$13,MAX(DT$13*(1-SUMIF(Input!$G$89:$Q$89,DT$6,Input!$G$90:$Q$90)-DT$31),))*IF(Input!$F106=PerMonth,1,1/12),1/12)</f>
        <v>0</v>
      </c>
      <c r="DU141" s="635">
        <f>SUMIF(Input!$G$105:$Q$105,DU$6,Input!$G106:$Q106)*IFERROR(CHOOSE(MATCH(Input!$E106,OIUnitType,),1,DU$13,MAX(DU$13*(1-SUMIF(Input!$G$89:$Q$89,DU$6,Input!$G$90:$Q$90)-DU$31),))*IF(Input!$F106=PerMonth,1,1/12),1/12)</f>
        <v>0</v>
      </c>
      <c r="DV141" s="635">
        <f>SUMIF(Input!$G$105:$Q$105,DV$6,Input!$G106:$Q106)*IFERROR(CHOOSE(MATCH(Input!$E106,OIUnitType,),1,DV$13,MAX(DV$13*(1-SUMIF(Input!$G$89:$Q$89,DV$6,Input!$G$90:$Q$90)-DV$31),))*IF(Input!$F106=PerMonth,1,1/12),1/12)</f>
        <v>0</v>
      </c>
      <c r="DW141" s="635">
        <f>SUMIF(Input!$G$105:$Q$105,DW$6,Input!$G106:$Q106)*IFERROR(CHOOSE(MATCH(Input!$E106,OIUnitType,),1,DW$13,MAX(DW$13*(1-SUMIF(Input!$G$89:$Q$89,DW$6,Input!$G$90:$Q$90)-DW$31),))*IF(Input!$F106=PerMonth,1,1/12),1/12)</f>
        <v>0</v>
      </c>
      <c r="DX141" s="635">
        <f>SUMIF(Input!$G$105:$Q$105,DX$6,Input!$G106:$Q106)*IFERROR(CHOOSE(MATCH(Input!$E106,OIUnitType,),1,DX$13,MAX(DX$13*(1-SUMIF(Input!$G$89:$Q$89,DX$6,Input!$G$90:$Q$90)-DX$31),))*IF(Input!$F106=PerMonth,1,1/12),1/12)</f>
        <v>0</v>
      </c>
      <c r="DY141" s="635">
        <f>SUMIF(Input!$G$105:$Q$105,DY$6,Input!$G106:$Q106)*IFERROR(CHOOSE(MATCH(Input!$E106,OIUnitType,),1,DY$13,MAX(DY$13*(1-SUMIF(Input!$G$89:$Q$89,DY$6,Input!$G$90:$Q$90)-DY$31),))*IF(Input!$F106=PerMonth,1,1/12),1/12)</f>
        <v>0</v>
      </c>
      <c r="DZ141" s="635">
        <f>SUMIF(Input!$G$105:$Q$105,DZ$6,Input!$G106:$Q106)*IFERROR(CHOOSE(MATCH(Input!$E106,OIUnitType,),1,DZ$13,MAX(DZ$13*(1-SUMIF(Input!$G$89:$Q$89,DZ$6,Input!$G$90:$Q$90)-DZ$31),))*IF(Input!$F106=PerMonth,1,1/12),1/12)</f>
        <v>0</v>
      </c>
      <c r="EA141" s="635">
        <f>SUMIF(Input!$G$105:$Q$105,EA$6,Input!$G106:$Q106)*IFERROR(CHOOSE(MATCH(Input!$E106,OIUnitType,),1,EA$13,MAX(EA$13*(1-SUMIF(Input!$G$89:$Q$89,EA$6,Input!$G$90:$Q$90)-EA$31),))*IF(Input!$F106=PerMonth,1,1/12),1/12)</f>
        <v>0</v>
      </c>
      <c r="EB141" s="635">
        <f>SUMIF(Input!$G$105:$Q$105,EB$6,Input!$G106:$Q106)*IFERROR(CHOOSE(MATCH(Input!$E106,OIUnitType,),1,EB$13,MAX(EB$13*(1-SUMIF(Input!$G$89:$Q$89,EB$6,Input!$G$90:$Q$90)-EB$31),))*IF(Input!$F106=PerMonth,1,1/12),1/12)</f>
        <v>0</v>
      </c>
      <c r="EC141" s="635">
        <f>SUMIF(Input!$G$105:$Q$105,EC$6,Input!$G106:$Q106)*IFERROR(CHOOSE(MATCH(Input!$E106,OIUnitType,),1,EC$13,MAX(EC$13*(1-SUMIF(Input!$G$89:$Q$89,EC$6,Input!$G$90:$Q$90)-EC$31),))*IF(Input!$F106=PerMonth,1,1/12),1/12)</f>
        <v>0</v>
      </c>
      <c r="ED141" s="635">
        <f>SUMIF(Input!$G$105:$Q$105,ED$6,Input!$G106:$Q106)*IFERROR(CHOOSE(MATCH(Input!$E106,OIUnitType,),1,ED$13,MAX(ED$13*(1-SUMIF(Input!$G$89:$Q$89,ED$6,Input!$G$90:$Q$90)-ED$31),))*IF(Input!$F106=PerMonth,1,1/12),1/12)</f>
        <v>0</v>
      </c>
      <c r="EE141" s="635">
        <f>SUMIF(Input!$G$105:$Q$105,EE$6,Input!$G106:$Q106)*IFERROR(CHOOSE(MATCH(Input!$E106,OIUnitType,),1,EE$13,MAX(EE$13*(1-SUMIF(Input!$G$89:$Q$89,EE$6,Input!$G$90:$Q$90)-EE$31),))*IF(Input!$F106=PerMonth,1,1/12),1/12)</f>
        <v>0</v>
      </c>
      <c r="EF141" s="635">
        <f>SUMIF(Input!$G$105:$Q$105,EF$6,Input!$G106:$Q106)*IFERROR(CHOOSE(MATCH(Input!$E106,OIUnitType,),1,EF$13,MAX(EF$13*(1-SUMIF(Input!$G$89:$Q$89,EF$6,Input!$G$90:$Q$90)-EF$31),))*IF(Input!$F106=PerMonth,1,1/12),1/12)</f>
        <v>0</v>
      </c>
      <c r="EG141" s="635">
        <f>SUMIF(Input!$G$105:$Q$105,EG$6,Input!$G106:$Q106)*IFERROR(CHOOSE(MATCH(Input!$E106,OIUnitType,),1,EG$13,MAX(EG$13*(1-SUMIF(Input!$G$89:$Q$89,EG$6,Input!$G$90:$Q$90)-EG$31),))*IF(Input!$F106=PerMonth,1,1/12),1/12)</f>
        <v>0</v>
      </c>
      <c r="EH141" s="635">
        <f>SUMIF(Input!$G$105:$Q$105,EH$6,Input!$G106:$Q106)*IFERROR(CHOOSE(MATCH(Input!$E106,OIUnitType,),1,EH$13,MAX(EH$13*(1-SUMIF(Input!$G$89:$Q$89,EH$6,Input!$G$90:$Q$90)-EH$31),))*IF(Input!$F106=PerMonth,1,1/12),1/12)</f>
        <v>0</v>
      </c>
      <c r="EI141" s="635">
        <f>SUMIF(Input!$G$105:$Q$105,EI$6,Input!$G106:$Q106)*IFERROR(CHOOSE(MATCH(Input!$E106,OIUnitType,),1,EI$13,MAX(EI$13*(1-SUMIF(Input!$G$89:$Q$89,EI$6,Input!$G$90:$Q$90)-EI$31),))*IF(Input!$F106=PerMonth,1,1/12),1/12)</f>
        <v>0</v>
      </c>
      <c r="EJ141" s="635">
        <f>SUMIF(Input!$G$105:$Q$105,EJ$6,Input!$G106:$Q106)*IFERROR(CHOOSE(MATCH(Input!$E106,OIUnitType,),1,EJ$13,MAX(EJ$13*(1-SUMIF(Input!$G$89:$Q$89,EJ$6,Input!$G$90:$Q$90)-EJ$31),))*IF(Input!$F106=PerMonth,1,1/12),1/12)</f>
        <v>0</v>
      </c>
      <c r="EK141" s="635">
        <f>SUMIF(Input!$G$105:$Q$105,EK$6,Input!$G106:$Q106)*IFERROR(CHOOSE(MATCH(Input!$E106,OIUnitType,),1,EK$13,MAX(EK$13*(1-SUMIF(Input!$G$89:$Q$89,EK$6,Input!$G$90:$Q$90)-EK$31),))*IF(Input!$F106=PerMonth,1,1/12),1/12)</f>
        <v>0</v>
      </c>
      <c r="EL141" s="635">
        <f>SUMIF(Input!$G$105:$Q$105,EL$6,Input!$G106:$Q106)*IFERROR(CHOOSE(MATCH(Input!$E106,OIUnitType,),1,EL$13,MAX(EL$13*(1-SUMIF(Input!$G$89:$Q$89,EL$6,Input!$G$90:$Q$90)-EL$31),))*IF(Input!$F106=PerMonth,1,1/12),1/12)</f>
        <v>0</v>
      </c>
      <c r="EM141" s="635">
        <f>SUMIF(Input!$G$105:$Q$105,EM$6,Input!$G106:$Q106)*IFERROR(CHOOSE(MATCH(Input!$E106,OIUnitType,),1,EM$13,MAX(EM$13*(1-SUMIF(Input!$G$89:$Q$89,EM$6,Input!$G$90:$Q$90)-EM$31),))*IF(Input!$F106=PerMonth,1,1/12),1/12)</f>
        <v>0</v>
      </c>
      <c r="EN141" s="635">
        <f>SUMIF(Input!$G$105:$Q$105,EN$6,Input!$G106:$Q106)*IFERROR(CHOOSE(MATCH(Input!$E106,OIUnitType,),1,EN$13,MAX(EN$13*(1-SUMIF(Input!$G$89:$Q$89,EN$6,Input!$G$90:$Q$90)-EN$31),))*IF(Input!$F106=PerMonth,1,1/12),1/12)</f>
        <v>0</v>
      </c>
      <c r="EO141" s="635">
        <f>SUMIF(Input!$G$105:$Q$105,EO$6,Input!$G106:$Q106)*IFERROR(CHOOSE(MATCH(Input!$E106,OIUnitType,),1,EO$13,MAX(EO$13*(1-SUMIF(Input!$G$89:$Q$89,EO$6,Input!$G$90:$Q$90)-EO$31),))*IF(Input!$F106=PerMonth,1,1/12),1/12)</f>
        <v>0</v>
      </c>
      <c r="EP141" s="635">
        <f>SUMIF(Input!$G$105:$Q$105,EP$6,Input!$G106:$Q106)*IFERROR(CHOOSE(MATCH(Input!$E106,OIUnitType,),1,EP$13,MAX(EP$13*(1-SUMIF(Input!$G$89:$Q$89,EP$6,Input!$G$90:$Q$90)-EP$31),))*IF(Input!$F106=PerMonth,1,1/12),1/12)</f>
        <v>0</v>
      </c>
      <c r="EQ141" s="635">
        <f>SUMIF(Input!$G$105:$Q$105,EQ$6,Input!$G106:$Q106)*IFERROR(CHOOSE(MATCH(Input!$E106,OIUnitType,),1,EQ$13,MAX(EQ$13*(1-SUMIF(Input!$G$89:$Q$89,EQ$6,Input!$G$90:$Q$90)-EQ$31),))*IF(Input!$F106=PerMonth,1,1/12),1/12)</f>
        <v>0</v>
      </c>
      <c r="ER141" s="635">
        <f>SUMIF(Input!$G$105:$Q$105,ER$6,Input!$G106:$Q106)*IFERROR(CHOOSE(MATCH(Input!$E106,OIUnitType,),1,ER$13,MAX(ER$13*(1-SUMIF(Input!$G$89:$Q$89,ER$6,Input!$G$90:$Q$90)-ER$31),))*IF(Input!$F106=PerMonth,1,1/12),1/12)</f>
        <v>0</v>
      </c>
      <c r="ES141" s="635">
        <f>SUMIF(Input!$G$105:$Q$105,ES$6,Input!$G106:$Q106)*IFERROR(CHOOSE(MATCH(Input!$E106,OIUnitType,),1,ES$13,MAX(ES$13*(1-SUMIF(Input!$G$89:$Q$89,ES$6,Input!$G$90:$Q$90)-ES$31),))*IF(Input!$F106=PerMonth,1,1/12),1/12)</f>
        <v>0</v>
      </c>
      <c r="ET141" s="192"/>
    </row>
    <row r="142" spans="1:150">
      <c r="A142" s="192"/>
      <c r="B142" s="36" t="str">
        <f>IF(Input!B107="","",Input!B107)</f>
        <v>Storage</v>
      </c>
      <c r="C142" s="635">
        <f t="shared" si="141"/>
        <v>0</v>
      </c>
      <c r="D142" s="635">
        <f t="shared" si="141"/>
        <v>0</v>
      </c>
      <c r="E142" s="635">
        <f t="shared" si="141"/>
        <v>0</v>
      </c>
      <c r="F142" s="635">
        <f t="shared" si="141"/>
        <v>0</v>
      </c>
      <c r="G142" s="635">
        <f t="shared" si="141"/>
        <v>0</v>
      </c>
      <c r="H142" s="635">
        <f t="shared" si="141"/>
        <v>0</v>
      </c>
      <c r="I142" s="635">
        <f t="shared" si="141"/>
        <v>0</v>
      </c>
      <c r="J142" s="635">
        <f t="shared" si="141"/>
        <v>0</v>
      </c>
      <c r="K142" s="635">
        <f t="shared" si="141"/>
        <v>0</v>
      </c>
      <c r="L142" s="635">
        <f t="shared" si="141"/>
        <v>0</v>
      </c>
      <c r="M142" s="635">
        <f t="shared" si="141"/>
        <v>0</v>
      </c>
      <c r="N142" s="192"/>
      <c r="O142" s="635">
        <f t="shared" si="142"/>
        <v>0</v>
      </c>
      <c r="P142" s="192"/>
      <c r="Q142" s="37"/>
      <c r="R142" s="635">
        <f>SUMIF(Input!$G$105:$Q$105,R$6,Input!$G107:$Q107)*IFERROR(CHOOSE(MATCH(Input!$E107,OIUnitType,),1,R$13,MAX(R$13*(1+SUM(R$72:R$73)/R$71),))*IF(Input!$F107=PerMonth,1,1/12),1/12)</f>
        <v>0</v>
      </c>
      <c r="S142" s="635">
        <f>SUMIF(Input!$G$105:$Q$105,S$6,Input!$G107:$Q107)*IFERROR(CHOOSE(MATCH(Input!$E107,OIUnitType,),1,S$13,MAX(S$13*(1+SUM(S$72:S$73)/S$71),))*IF(Input!$F107=PerMonth,1,1/12),1/12)</f>
        <v>0</v>
      </c>
      <c r="T142" s="635">
        <f>SUMIF(Input!$G$105:$Q$105,T$6,Input!$G107:$Q107)*IFERROR(CHOOSE(MATCH(Input!$E107,OIUnitType,),1,T$13,MAX(T$13*(1+SUM(T$72:T$73)/T$71),))*IF(Input!$F107=PerMonth,1,1/12),1/12)</f>
        <v>0</v>
      </c>
      <c r="U142" s="635">
        <f>SUMIF(Input!$G$105:$Q$105,U$6,Input!$G107:$Q107)*IFERROR(CHOOSE(MATCH(Input!$E107,OIUnitType,),1,U$13,MAX(U$13*(1+SUM(U$72:U$73)/U$71),))*IF(Input!$F107=PerMonth,1,1/12),1/12)</f>
        <v>0</v>
      </c>
      <c r="V142" s="635">
        <f>SUMIF(Input!$G$105:$Q$105,V$6,Input!$G107:$Q107)*IFERROR(CHOOSE(MATCH(Input!$E107,OIUnitType,),1,V$13,MAX(V$13*(1+SUM(V$72:V$73)/V$71),))*IF(Input!$F107=PerMonth,1,1/12),1/12)</f>
        <v>0</v>
      </c>
      <c r="W142" s="635">
        <f>SUMIF(Input!$G$105:$Q$105,W$6,Input!$G107:$Q107)*IFERROR(CHOOSE(MATCH(Input!$E107,OIUnitType,),1,W$13,MAX(W$13*(1+SUM(W$72:W$73)/W$71),))*IF(Input!$F107=PerMonth,1,1/12),1/12)</f>
        <v>0</v>
      </c>
      <c r="X142" s="635">
        <f>SUMIF(Input!$G$105:$Q$105,X$6,Input!$G107:$Q107)*IFERROR(CHOOSE(MATCH(Input!$E107,OIUnitType,),1,X$13,MAX(X$13*(1+SUM(X$72:X$73)/X$71),))*IF(Input!$F107=PerMonth,1,1/12),1/12)</f>
        <v>0</v>
      </c>
      <c r="Y142" s="635">
        <f>SUMIF(Input!$G$105:$Q$105,Y$6,Input!$G107:$Q107)*IFERROR(CHOOSE(MATCH(Input!$E107,OIUnitType,),1,Y$13,MAX(Y$13*(1+SUM(Y$72:Y$73)/Y$71),))*IF(Input!$F107=PerMonth,1,1/12),1/12)</f>
        <v>0</v>
      </c>
      <c r="Z142" s="635">
        <f>SUMIF(Input!$G$105:$Q$105,Z$6,Input!$G107:$Q107)*IFERROR(CHOOSE(MATCH(Input!$E107,OIUnitType,),1,Z$13,MAX(Z$13*(1+SUM(Z$72:Z$73)/Z$71),))*IF(Input!$F107=PerMonth,1,1/12),1/12)</f>
        <v>0</v>
      </c>
      <c r="AA142" s="635">
        <f>SUMIF(Input!$G$105:$Q$105,AA$6,Input!$G107:$Q107)*IFERROR(CHOOSE(MATCH(Input!$E107,OIUnitType,),1,AA$13,MAX(AA$13*(1+SUM(AA$72:AA$73)/AA$71),))*IF(Input!$F107=PerMonth,1,1/12),1/12)</f>
        <v>0</v>
      </c>
      <c r="AB142" s="635">
        <f>SUMIF(Input!$G$105:$Q$105,AB$6,Input!$G107:$Q107)*IFERROR(CHOOSE(MATCH(Input!$E107,OIUnitType,),1,AB$13,MAX(AB$13*(1+SUM(AB$72:AB$73)/AB$71),))*IF(Input!$F107=PerMonth,1,1/12),1/12)</f>
        <v>0</v>
      </c>
      <c r="AC142" s="635">
        <f>SUMIF(Input!$G$105:$Q$105,AC$6,Input!$G107:$Q107)*IFERROR(CHOOSE(MATCH(Input!$E107,OIUnitType,),1,AC$13,MAX(AC$13*(1+SUM(AC$72:AC$73)/AC$71),))*IF(Input!$F107=PerMonth,1,1/12),1/12)</f>
        <v>0</v>
      </c>
      <c r="AD142" s="635">
        <f>SUMIF(Input!$G$105:$Q$105,AD$6,Input!$G107:$Q107)*IFERROR(CHOOSE(MATCH(Input!$E107,OIUnitType,),1,AD$13,MAX(AD$13*(1+SUM(AD$72:AD$73)/AD$71),))*IF(Input!$F107=PerMonth,1,1/12),1/12)</f>
        <v>0</v>
      </c>
      <c r="AE142" s="635">
        <f>SUMIF(Input!$G$105:$Q$105,AE$6,Input!$G107:$Q107)*IFERROR(CHOOSE(MATCH(Input!$E107,OIUnitType,),1,AE$13,MAX(AE$13*(1+SUM(AE$72:AE$73)/AE$71),))*IF(Input!$F107=PerMonth,1,1/12),1/12)</f>
        <v>0</v>
      </c>
      <c r="AF142" s="635">
        <f>SUMIF(Input!$G$105:$Q$105,AF$6,Input!$G107:$Q107)*IFERROR(CHOOSE(MATCH(Input!$E107,OIUnitType,),1,AF$13,MAX(AF$13*(1+SUM(AF$72:AF$73)/AF$71),))*IF(Input!$F107=PerMonth,1,1/12),1/12)</f>
        <v>0</v>
      </c>
      <c r="AG142" s="635">
        <f>SUMIF(Input!$G$105:$Q$105,AG$6,Input!$G107:$Q107)*IFERROR(CHOOSE(MATCH(Input!$E107,OIUnitType,),1,AG$13,MAX(AG$13*(1+SUM(AG$72:AG$73)/AG$71),))*IF(Input!$F107=PerMonth,1,1/12),1/12)</f>
        <v>0</v>
      </c>
      <c r="AH142" s="635">
        <f>SUMIF(Input!$G$105:$Q$105,AH$6,Input!$G107:$Q107)*IFERROR(CHOOSE(MATCH(Input!$E107,OIUnitType,),1,AH$13,MAX(AH$13*(1+SUM(AH$72:AH$73)/AH$71),))*IF(Input!$F107=PerMonth,1,1/12),1/12)</f>
        <v>0</v>
      </c>
      <c r="AI142" s="635">
        <f>SUMIF(Input!$G$105:$Q$105,AI$6,Input!$G107:$Q107)*IFERROR(CHOOSE(MATCH(Input!$E107,OIUnitType,),1,AI$13,MAX(AI$13*(1+SUM(AI$72:AI$73)/AI$71),))*IF(Input!$F107=PerMonth,1,1/12),1/12)</f>
        <v>0</v>
      </c>
      <c r="AJ142" s="635">
        <f>SUMIF(Input!$G$105:$Q$105,AJ$6,Input!$G107:$Q107)*IFERROR(CHOOSE(MATCH(Input!$E107,OIUnitType,),1,AJ$13,MAX(AJ$13*(1+SUM(AJ$72:AJ$73)/AJ$71),))*IF(Input!$F107=PerMonth,1,1/12),1/12)</f>
        <v>0</v>
      </c>
      <c r="AK142" s="635">
        <f>SUMIF(Input!$G$105:$Q$105,AK$6,Input!$G107:$Q107)*IFERROR(CHOOSE(MATCH(Input!$E107,OIUnitType,),1,AK$13,MAX(AK$13*(1+SUM(AK$72:AK$73)/AK$71),))*IF(Input!$F107=PerMonth,1,1/12),1/12)</f>
        <v>0</v>
      </c>
      <c r="AL142" s="635">
        <f>SUMIF(Input!$G$105:$Q$105,AL$6,Input!$G107:$Q107)*IFERROR(CHOOSE(MATCH(Input!$E107,OIUnitType,),1,AL$13,MAX(AL$13*(1+SUM(AL$72:AL$73)/AL$71),))*IF(Input!$F107=PerMonth,1,1/12),1/12)</f>
        <v>0</v>
      </c>
      <c r="AM142" s="635">
        <f>SUMIF(Input!$G$105:$Q$105,AM$6,Input!$G107:$Q107)*IFERROR(CHOOSE(MATCH(Input!$E107,OIUnitType,),1,AM$13,MAX(AM$13*(1+SUM(AM$72:AM$73)/AM$71),))*IF(Input!$F107=PerMonth,1,1/12),1/12)</f>
        <v>0</v>
      </c>
      <c r="AN142" s="635">
        <f>SUMIF(Input!$G$105:$Q$105,AN$6,Input!$G107:$Q107)*IFERROR(CHOOSE(MATCH(Input!$E107,OIUnitType,),1,AN$13,MAX(AN$13*(1+SUM(AN$72:AN$73)/AN$71),))*IF(Input!$F107=PerMonth,1,1/12),1/12)</f>
        <v>0</v>
      </c>
      <c r="AO142" s="635">
        <f>SUMIF(Input!$G$105:$Q$105,AO$6,Input!$G107:$Q107)*IFERROR(CHOOSE(MATCH(Input!$E107,OIUnitType,),1,AO$13,MAX(AO$13*(1+SUM(AO$72:AO$73)/AO$71),))*IF(Input!$F107=PerMonth,1,1/12),1/12)</f>
        <v>0</v>
      </c>
      <c r="AP142" s="635">
        <f>SUMIF(Input!$G$105:$Q$105,AP$6,Input!$G107:$Q107)*IFERROR(CHOOSE(MATCH(Input!$E107,OIUnitType,),1,AP$13,MAX(AP$13*(1+SUM(AP$72:AP$73)/AP$71),))*IF(Input!$F107=PerMonth,1,1/12),1/12)</f>
        <v>0</v>
      </c>
      <c r="AQ142" s="635">
        <f>SUMIF(Input!$G$105:$Q$105,AQ$6,Input!$G107:$Q107)*IFERROR(CHOOSE(MATCH(Input!$E107,OIUnitType,),1,AQ$13,MAX(AQ$13*(1+SUM(AQ$72:AQ$73)/AQ$71),))*IF(Input!$F107=PerMonth,1,1/12),1/12)</f>
        <v>0</v>
      </c>
      <c r="AR142" s="635">
        <f>SUMIF(Input!$G$105:$Q$105,AR$6,Input!$G107:$Q107)*IFERROR(CHOOSE(MATCH(Input!$E107,OIUnitType,),1,AR$13,MAX(AR$13*(1+SUM(AR$72:AR$73)/AR$71),))*IF(Input!$F107=PerMonth,1,1/12),1/12)</f>
        <v>0</v>
      </c>
      <c r="AS142" s="635">
        <f>SUMIF(Input!$G$105:$Q$105,AS$6,Input!$G107:$Q107)*IFERROR(CHOOSE(MATCH(Input!$E107,OIUnitType,),1,AS$13,MAX(AS$13*(1+SUM(AS$72:AS$73)/AS$71),))*IF(Input!$F107=PerMonth,1,1/12),1/12)</f>
        <v>0</v>
      </c>
      <c r="AT142" s="635">
        <f>SUMIF(Input!$G$105:$Q$105,AT$6,Input!$G107:$Q107)*IFERROR(CHOOSE(MATCH(Input!$E107,OIUnitType,),1,AT$13,MAX(AT$13*(1+SUM(AT$72:AT$73)/AT$71),))*IF(Input!$F107=PerMonth,1,1/12),1/12)</f>
        <v>0</v>
      </c>
      <c r="AU142" s="635">
        <f>SUMIF(Input!$G$105:$Q$105,AU$6,Input!$G107:$Q107)*IFERROR(CHOOSE(MATCH(Input!$E107,OIUnitType,),1,AU$13,MAX(AU$13*(1+SUM(AU$72:AU$73)/AU$71),))*IF(Input!$F107=PerMonth,1,1/12),1/12)</f>
        <v>0</v>
      </c>
      <c r="AV142" s="635">
        <f>SUMIF(Input!$G$105:$Q$105,AV$6,Input!$G107:$Q107)*IFERROR(CHOOSE(MATCH(Input!$E107,OIUnitType,),1,AV$13,MAX(AV$13*(1+SUM(AV$72:AV$73)/AV$71),))*IF(Input!$F107=PerMonth,1,1/12),1/12)</f>
        <v>0</v>
      </c>
      <c r="AW142" s="635">
        <f>SUMIF(Input!$G$105:$Q$105,AW$6,Input!$G107:$Q107)*IFERROR(CHOOSE(MATCH(Input!$E107,OIUnitType,),1,AW$13,MAX(AW$13*(1+SUM(AW$72:AW$73)/AW$71),))*IF(Input!$F107=PerMonth,1,1/12),1/12)</f>
        <v>0</v>
      </c>
      <c r="AX142" s="635">
        <f>SUMIF(Input!$G$105:$Q$105,AX$6,Input!$G107:$Q107)*IFERROR(CHOOSE(MATCH(Input!$E107,OIUnitType,),1,AX$13,MAX(AX$13*(1+SUM(AX$72:AX$73)/AX$71),))*IF(Input!$F107=PerMonth,1,1/12),1/12)</f>
        <v>0</v>
      </c>
      <c r="AY142" s="635">
        <f>SUMIF(Input!$G$105:$Q$105,AY$6,Input!$G107:$Q107)*IFERROR(CHOOSE(MATCH(Input!$E107,OIUnitType,),1,AY$13,MAX(AY$13*(1+SUM(AY$72:AY$73)/AY$71),))*IF(Input!$F107=PerMonth,1,1/12),1/12)</f>
        <v>0</v>
      </c>
      <c r="AZ142" s="635">
        <f>SUMIF(Input!$G$105:$Q$105,AZ$6,Input!$G107:$Q107)*IFERROR(CHOOSE(MATCH(Input!$E107,OIUnitType,),1,AZ$13,MAX(AZ$13*(1+SUM(AZ$72:AZ$73)/AZ$71),))*IF(Input!$F107=PerMonth,1,1/12),1/12)</f>
        <v>0</v>
      </c>
      <c r="BA142" s="635">
        <f>SUMIF(Input!$G$105:$Q$105,BA$6,Input!$G107:$Q107)*IFERROR(CHOOSE(MATCH(Input!$E107,OIUnitType,),1,BA$13,MAX(BA$13*(1+SUM(BA$72:BA$73)/BA$71),))*IF(Input!$F107=PerMonth,1,1/12),1/12)</f>
        <v>0</v>
      </c>
      <c r="BB142" s="635">
        <f>SUMIF(Input!$G$105:$Q$105,BB$6,Input!$G107:$Q107)*IFERROR(CHOOSE(MATCH(Input!$E107,OIUnitType,),1,BB$13,MAX(BB$13*(1-SUMIF(Input!$G$89:$Q$89,BB$6,Input!$G$90:$Q$90)-BB$31),))*IF(Input!$F107=PerMonth,1,1/12),1/12)</f>
        <v>0</v>
      </c>
      <c r="BC142" s="635">
        <f>SUMIF(Input!$G$105:$Q$105,BC$6,Input!$G107:$Q107)*IFERROR(CHOOSE(MATCH(Input!$E107,OIUnitType,),1,BC$13,MAX(BC$13*(1-SUMIF(Input!$G$89:$Q$89,BC$6,Input!$G$90:$Q$90)-BC$31),))*IF(Input!$F107=PerMonth,1,1/12),1/12)</f>
        <v>0</v>
      </c>
      <c r="BD142" s="635">
        <f>SUMIF(Input!$G$105:$Q$105,BD$6,Input!$G107:$Q107)*IFERROR(CHOOSE(MATCH(Input!$E107,OIUnitType,),1,BD$13,MAX(BD$13*(1-SUMIF(Input!$G$89:$Q$89,BD$6,Input!$G$90:$Q$90)-BD$31),))*IF(Input!$F107=PerMonth,1,1/12),1/12)</f>
        <v>0</v>
      </c>
      <c r="BE142" s="635">
        <f>SUMIF(Input!$G$105:$Q$105,BE$6,Input!$G107:$Q107)*IFERROR(CHOOSE(MATCH(Input!$E107,OIUnitType,),1,BE$13,MAX(BE$13*(1-SUMIF(Input!$G$89:$Q$89,BE$6,Input!$G$90:$Q$90)-BE$31),))*IF(Input!$F107=PerMonth,1,1/12),1/12)</f>
        <v>0</v>
      </c>
      <c r="BF142" s="635">
        <f>SUMIF(Input!$G$105:$Q$105,BF$6,Input!$G107:$Q107)*IFERROR(CHOOSE(MATCH(Input!$E107,OIUnitType,),1,BF$13,MAX(BF$13*(1-SUMIF(Input!$G$89:$Q$89,BF$6,Input!$G$90:$Q$90)-BF$31),))*IF(Input!$F107=PerMonth,1,1/12),1/12)</f>
        <v>0</v>
      </c>
      <c r="BG142" s="635">
        <f>SUMIF(Input!$G$105:$Q$105,BG$6,Input!$G107:$Q107)*IFERROR(CHOOSE(MATCH(Input!$E107,OIUnitType,),1,BG$13,MAX(BG$13*(1-SUMIF(Input!$G$89:$Q$89,BG$6,Input!$G$90:$Q$90)-BG$31),))*IF(Input!$F107=PerMonth,1,1/12),1/12)</f>
        <v>0</v>
      </c>
      <c r="BH142" s="635">
        <f>SUMIF(Input!$G$105:$Q$105,BH$6,Input!$G107:$Q107)*IFERROR(CHOOSE(MATCH(Input!$E107,OIUnitType,),1,BH$13,MAX(BH$13*(1-SUMIF(Input!$G$89:$Q$89,BH$6,Input!$G$90:$Q$90)-BH$31),))*IF(Input!$F107=PerMonth,1,1/12),1/12)</f>
        <v>0</v>
      </c>
      <c r="BI142" s="635">
        <f>SUMIF(Input!$G$105:$Q$105,BI$6,Input!$G107:$Q107)*IFERROR(CHOOSE(MATCH(Input!$E107,OIUnitType,),1,BI$13,MAX(BI$13*(1-SUMIF(Input!$G$89:$Q$89,BI$6,Input!$G$90:$Q$90)-BI$31),))*IF(Input!$F107=PerMonth,1,1/12),1/12)</f>
        <v>0</v>
      </c>
      <c r="BJ142" s="635">
        <f>SUMIF(Input!$G$105:$Q$105,BJ$6,Input!$G107:$Q107)*IFERROR(CHOOSE(MATCH(Input!$E107,OIUnitType,),1,BJ$13,MAX(BJ$13*(1-SUMIF(Input!$G$89:$Q$89,BJ$6,Input!$G$90:$Q$90)-BJ$31),))*IF(Input!$F107=PerMonth,1,1/12),1/12)</f>
        <v>0</v>
      </c>
      <c r="BK142" s="635">
        <f>SUMIF(Input!$G$105:$Q$105,BK$6,Input!$G107:$Q107)*IFERROR(CHOOSE(MATCH(Input!$E107,OIUnitType,),1,BK$13,MAX(BK$13*(1-SUMIF(Input!$G$89:$Q$89,BK$6,Input!$G$90:$Q$90)-BK$31),))*IF(Input!$F107=PerMonth,1,1/12),1/12)</f>
        <v>0</v>
      </c>
      <c r="BL142" s="635">
        <f>SUMIF(Input!$G$105:$Q$105,BL$6,Input!$G107:$Q107)*IFERROR(CHOOSE(MATCH(Input!$E107,OIUnitType,),1,BL$13,MAX(BL$13*(1-SUMIF(Input!$G$89:$Q$89,BL$6,Input!$G$90:$Q$90)-BL$31),))*IF(Input!$F107=PerMonth,1,1/12),1/12)</f>
        <v>0</v>
      </c>
      <c r="BM142" s="635">
        <f>SUMIF(Input!$G$105:$Q$105,BM$6,Input!$G107:$Q107)*IFERROR(CHOOSE(MATCH(Input!$E107,OIUnitType,),1,BM$13,MAX(BM$13*(1-SUMIF(Input!$G$89:$Q$89,BM$6,Input!$G$90:$Q$90)-BM$31),))*IF(Input!$F107=PerMonth,1,1/12),1/12)</f>
        <v>0</v>
      </c>
      <c r="BN142" s="635">
        <f>SUMIF(Input!$G$105:$Q$105,BN$6,Input!$G107:$Q107)*IFERROR(CHOOSE(MATCH(Input!$E107,OIUnitType,),1,BN$13,MAX(BN$13*(1-SUMIF(Input!$G$89:$Q$89,BN$6,Input!$G$90:$Q$90)-BN$31),))*IF(Input!$F107=PerMonth,1,1/12),1/12)</f>
        <v>0</v>
      </c>
      <c r="BO142" s="635">
        <f>SUMIF(Input!$G$105:$Q$105,BO$6,Input!$G107:$Q107)*IFERROR(CHOOSE(MATCH(Input!$E107,OIUnitType,),1,BO$13,MAX(BO$13*(1-SUMIF(Input!$G$89:$Q$89,BO$6,Input!$G$90:$Q$90)-BO$31),))*IF(Input!$F107=PerMonth,1,1/12),1/12)</f>
        <v>0</v>
      </c>
      <c r="BP142" s="635">
        <f>SUMIF(Input!$G$105:$Q$105,BP$6,Input!$G107:$Q107)*IFERROR(CHOOSE(MATCH(Input!$E107,OIUnitType,),1,BP$13,MAX(BP$13*(1-SUMIF(Input!$G$89:$Q$89,BP$6,Input!$G$90:$Q$90)-BP$31),))*IF(Input!$F107=PerMonth,1,1/12),1/12)</f>
        <v>0</v>
      </c>
      <c r="BQ142" s="635">
        <f>SUMIF(Input!$G$105:$Q$105,BQ$6,Input!$G107:$Q107)*IFERROR(CHOOSE(MATCH(Input!$E107,OIUnitType,),1,BQ$13,MAX(BQ$13*(1-SUMIF(Input!$G$89:$Q$89,BQ$6,Input!$G$90:$Q$90)-BQ$31),))*IF(Input!$F107=PerMonth,1,1/12),1/12)</f>
        <v>0</v>
      </c>
      <c r="BR142" s="635">
        <f>SUMIF(Input!$G$105:$Q$105,BR$6,Input!$G107:$Q107)*IFERROR(CHOOSE(MATCH(Input!$E107,OIUnitType,),1,BR$13,MAX(BR$13*(1-SUMIF(Input!$G$89:$Q$89,BR$6,Input!$G$90:$Q$90)-BR$31),))*IF(Input!$F107=PerMonth,1,1/12),1/12)</f>
        <v>0</v>
      </c>
      <c r="BS142" s="635">
        <f>SUMIF(Input!$G$105:$Q$105,BS$6,Input!$G107:$Q107)*IFERROR(CHOOSE(MATCH(Input!$E107,OIUnitType,),1,BS$13,MAX(BS$13*(1-SUMIF(Input!$G$89:$Q$89,BS$6,Input!$G$90:$Q$90)-BS$31),))*IF(Input!$F107=PerMonth,1,1/12),1/12)</f>
        <v>0</v>
      </c>
      <c r="BT142" s="635">
        <f>SUMIF(Input!$G$105:$Q$105,BT$6,Input!$G107:$Q107)*IFERROR(CHOOSE(MATCH(Input!$E107,OIUnitType,),1,BT$13,MAX(BT$13*(1-SUMIF(Input!$G$89:$Q$89,BT$6,Input!$G$90:$Q$90)-BT$31),))*IF(Input!$F107=PerMonth,1,1/12),1/12)</f>
        <v>0</v>
      </c>
      <c r="BU142" s="635">
        <f>SUMIF(Input!$G$105:$Q$105,BU$6,Input!$G107:$Q107)*IFERROR(CHOOSE(MATCH(Input!$E107,OIUnitType,),1,BU$13,MAX(BU$13*(1-SUMIF(Input!$G$89:$Q$89,BU$6,Input!$G$90:$Q$90)-BU$31),))*IF(Input!$F107=PerMonth,1,1/12),1/12)</f>
        <v>0</v>
      </c>
      <c r="BV142" s="635">
        <f>SUMIF(Input!$G$105:$Q$105,BV$6,Input!$G107:$Q107)*IFERROR(CHOOSE(MATCH(Input!$E107,OIUnitType,),1,BV$13,MAX(BV$13*(1-SUMIF(Input!$G$89:$Q$89,BV$6,Input!$G$90:$Q$90)-BV$31),))*IF(Input!$F107=PerMonth,1,1/12),1/12)</f>
        <v>0</v>
      </c>
      <c r="BW142" s="635">
        <f>SUMIF(Input!$G$105:$Q$105,BW$6,Input!$G107:$Q107)*IFERROR(CHOOSE(MATCH(Input!$E107,OIUnitType,),1,BW$13,MAX(BW$13*(1-SUMIF(Input!$G$89:$Q$89,BW$6,Input!$G$90:$Q$90)-BW$31),))*IF(Input!$F107=PerMonth,1,1/12),1/12)</f>
        <v>0</v>
      </c>
      <c r="BX142" s="635">
        <f>SUMIF(Input!$G$105:$Q$105,BX$6,Input!$G107:$Q107)*IFERROR(CHOOSE(MATCH(Input!$E107,OIUnitType,),1,BX$13,MAX(BX$13*(1-SUMIF(Input!$G$89:$Q$89,BX$6,Input!$G$90:$Q$90)-BX$31),))*IF(Input!$F107=PerMonth,1,1/12),1/12)</f>
        <v>0</v>
      </c>
      <c r="BY142" s="635">
        <f>SUMIF(Input!$G$105:$Q$105,BY$6,Input!$G107:$Q107)*IFERROR(CHOOSE(MATCH(Input!$E107,OIUnitType,),1,BY$13,MAX(BY$13*(1-SUMIF(Input!$G$89:$Q$89,BY$6,Input!$G$90:$Q$90)-BY$31),))*IF(Input!$F107=PerMonth,1,1/12),1/12)</f>
        <v>0</v>
      </c>
      <c r="BZ142" s="635">
        <f>SUMIF(Input!$G$105:$Q$105,BZ$6,Input!$G107:$Q107)*IFERROR(CHOOSE(MATCH(Input!$E107,OIUnitType,),1,BZ$13,MAX(BZ$13*(1-SUMIF(Input!$G$89:$Q$89,BZ$6,Input!$G$90:$Q$90)-BZ$31),))*IF(Input!$F107=PerMonth,1,1/12),1/12)</f>
        <v>0</v>
      </c>
      <c r="CA142" s="635">
        <f>SUMIF(Input!$G$105:$Q$105,CA$6,Input!$G107:$Q107)*IFERROR(CHOOSE(MATCH(Input!$E107,OIUnitType,),1,CA$13,MAX(CA$13*(1-SUMIF(Input!$G$89:$Q$89,CA$6,Input!$G$90:$Q$90)-CA$31),))*IF(Input!$F107=PerMonth,1,1/12),1/12)</f>
        <v>0</v>
      </c>
      <c r="CB142" s="635">
        <f>SUMIF(Input!$G$105:$Q$105,CB$6,Input!$G107:$Q107)*IFERROR(CHOOSE(MATCH(Input!$E107,OIUnitType,),1,CB$13,MAX(CB$13*(1-SUMIF(Input!$G$89:$Q$89,CB$6,Input!$G$90:$Q$90)-CB$31),))*IF(Input!$F107=PerMonth,1,1/12),1/12)</f>
        <v>0</v>
      </c>
      <c r="CC142" s="635">
        <f>SUMIF(Input!$G$105:$Q$105,CC$6,Input!$G107:$Q107)*IFERROR(CHOOSE(MATCH(Input!$E107,OIUnitType,),1,CC$13,MAX(CC$13*(1-SUMIF(Input!$G$89:$Q$89,CC$6,Input!$G$90:$Q$90)-CC$31),))*IF(Input!$F107=PerMonth,1,1/12),1/12)</f>
        <v>0</v>
      </c>
      <c r="CD142" s="635">
        <f>SUMIF(Input!$G$105:$Q$105,CD$6,Input!$G107:$Q107)*IFERROR(CHOOSE(MATCH(Input!$E107,OIUnitType,),1,CD$13,MAX(CD$13*(1-SUMIF(Input!$G$89:$Q$89,CD$6,Input!$G$90:$Q$90)-CD$31),))*IF(Input!$F107=PerMonth,1,1/12),1/12)</f>
        <v>0</v>
      </c>
      <c r="CE142" s="635">
        <f>SUMIF(Input!$G$105:$Q$105,CE$6,Input!$G107:$Q107)*IFERROR(CHOOSE(MATCH(Input!$E107,OIUnitType,),1,CE$13,MAX(CE$13*(1-SUMIF(Input!$G$89:$Q$89,CE$6,Input!$G$90:$Q$90)-CE$31),))*IF(Input!$F107=PerMonth,1,1/12),1/12)</f>
        <v>0</v>
      </c>
      <c r="CF142" s="635">
        <f>SUMIF(Input!$G$105:$Q$105,CF$6,Input!$G107:$Q107)*IFERROR(CHOOSE(MATCH(Input!$E107,OIUnitType,),1,CF$13,MAX(CF$13*(1-SUMIF(Input!$G$89:$Q$89,CF$6,Input!$G$90:$Q$90)-CF$31),))*IF(Input!$F107=PerMonth,1,1/12),1/12)</f>
        <v>0</v>
      </c>
      <c r="CG142" s="635">
        <f>SUMIF(Input!$G$105:$Q$105,CG$6,Input!$G107:$Q107)*IFERROR(CHOOSE(MATCH(Input!$E107,OIUnitType,),1,CG$13,MAX(CG$13*(1-SUMIF(Input!$G$89:$Q$89,CG$6,Input!$G$90:$Q$90)-CG$31),))*IF(Input!$F107=PerMonth,1,1/12),1/12)</f>
        <v>0</v>
      </c>
      <c r="CH142" s="635">
        <f>SUMIF(Input!$G$105:$Q$105,CH$6,Input!$G107:$Q107)*IFERROR(CHOOSE(MATCH(Input!$E107,OIUnitType,),1,CH$13,MAX(CH$13*(1-SUMIF(Input!$G$89:$Q$89,CH$6,Input!$G$90:$Q$90)-CH$31),))*IF(Input!$F107=PerMonth,1,1/12),1/12)</f>
        <v>0</v>
      </c>
      <c r="CI142" s="635">
        <f>SUMIF(Input!$G$105:$Q$105,CI$6,Input!$G107:$Q107)*IFERROR(CHOOSE(MATCH(Input!$E107,OIUnitType,),1,CI$13,MAX(CI$13*(1-SUMIF(Input!$G$89:$Q$89,CI$6,Input!$G$90:$Q$90)-CI$31),))*IF(Input!$F107=PerMonth,1,1/12),1/12)</f>
        <v>0</v>
      </c>
      <c r="CJ142" s="635">
        <f>SUMIF(Input!$G$105:$Q$105,CJ$6,Input!$G107:$Q107)*IFERROR(CHOOSE(MATCH(Input!$E107,OIUnitType,),1,CJ$13,MAX(CJ$13*(1-SUMIF(Input!$G$89:$Q$89,CJ$6,Input!$G$90:$Q$90)-CJ$31),))*IF(Input!$F107=PerMonth,1,1/12),1/12)</f>
        <v>0</v>
      </c>
      <c r="CK142" s="635">
        <f>SUMIF(Input!$G$105:$Q$105,CK$6,Input!$G107:$Q107)*IFERROR(CHOOSE(MATCH(Input!$E107,OIUnitType,),1,CK$13,MAX(CK$13*(1-SUMIF(Input!$G$89:$Q$89,CK$6,Input!$G$90:$Q$90)-CK$31),))*IF(Input!$F107=PerMonth,1,1/12),1/12)</f>
        <v>0</v>
      </c>
      <c r="CL142" s="635">
        <f>SUMIF(Input!$G$105:$Q$105,CL$6,Input!$G107:$Q107)*IFERROR(CHOOSE(MATCH(Input!$E107,OIUnitType,),1,CL$13,MAX(CL$13*(1-SUMIF(Input!$G$89:$Q$89,CL$6,Input!$G$90:$Q$90)-CL$31),))*IF(Input!$F107=PerMonth,1,1/12),1/12)</f>
        <v>0</v>
      </c>
      <c r="CM142" s="635">
        <f>SUMIF(Input!$G$105:$Q$105,CM$6,Input!$G107:$Q107)*IFERROR(CHOOSE(MATCH(Input!$E107,OIUnitType,),1,CM$13,MAX(CM$13*(1-SUMIF(Input!$G$89:$Q$89,CM$6,Input!$G$90:$Q$90)-CM$31),))*IF(Input!$F107=PerMonth,1,1/12),1/12)</f>
        <v>0</v>
      </c>
      <c r="CN142" s="635">
        <f>SUMIF(Input!$G$105:$Q$105,CN$6,Input!$G107:$Q107)*IFERROR(CHOOSE(MATCH(Input!$E107,OIUnitType,),1,CN$13,MAX(CN$13*(1-SUMIF(Input!$G$89:$Q$89,CN$6,Input!$G$90:$Q$90)-CN$31),))*IF(Input!$F107=PerMonth,1,1/12),1/12)</f>
        <v>0</v>
      </c>
      <c r="CO142" s="635">
        <f>SUMIF(Input!$G$105:$Q$105,CO$6,Input!$G107:$Q107)*IFERROR(CHOOSE(MATCH(Input!$E107,OIUnitType,),1,CO$13,MAX(CO$13*(1-SUMIF(Input!$G$89:$Q$89,CO$6,Input!$G$90:$Q$90)-CO$31),))*IF(Input!$F107=PerMonth,1,1/12),1/12)</f>
        <v>0</v>
      </c>
      <c r="CP142" s="635">
        <f>SUMIF(Input!$G$105:$Q$105,CP$6,Input!$G107:$Q107)*IFERROR(CHOOSE(MATCH(Input!$E107,OIUnitType,),1,CP$13,MAX(CP$13*(1-SUMIF(Input!$G$89:$Q$89,CP$6,Input!$G$90:$Q$90)-CP$31),))*IF(Input!$F107=PerMonth,1,1/12),1/12)</f>
        <v>0</v>
      </c>
      <c r="CQ142" s="635">
        <f>SUMIF(Input!$G$105:$Q$105,CQ$6,Input!$G107:$Q107)*IFERROR(CHOOSE(MATCH(Input!$E107,OIUnitType,),1,CQ$13,MAX(CQ$13*(1-SUMIF(Input!$G$89:$Q$89,CQ$6,Input!$G$90:$Q$90)-CQ$31),))*IF(Input!$F107=PerMonth,1,1/12),1/12)</f>
        <v>0</v>
      </c>
      <c r="CR142" s="635">
        <f>SUMIF(Input!$G$105:$Q$105,CR$6,Input!$G107:$Q107)*IFERROR(CHOOSE(MATCH(Input!$E107,OIUnitType,),1,CR$13,MAX(CR$13*(1-SUMIF(Input!$G$89:$Q$89,CR$6,Input!$G$90:$Q$90)-CR$31),))*IF(Input!$F107=PerMonth,1,1/12),1/12)</f>
        <v>0</v>
      </c>
      <c r="CS142" s="635">
        <f>SUMIF(Input!$G$105:$Q$105,CS$6,Input!$G107:$Q107)*IFERROR(CHOOSE(MATCH(Input!$E107,OIUnitType,),1,CS$13,MAX(CS$13*(1-SUMIF(Input!$G$89:$Q$89,CS$6,Input!$G$90:$Q$90)-CS$31),))*IF(Input!$F107=PerMonth,1,1/12),1/12)</f>
        <v>0</v>
      </c>
      <c r="CT142" s="635">
        <f>SUMIF(Input!$G$105:$Q$105,CT$6,Input!$G107:$Q107)*IFERROR(CHOOSE(MATCH(Input!$E107,OIUnitType,),1,CT$13,MAX(CT$13*(1-SUMIF(Input!$G$89:$Q$89,CT$6,Input!$G$90:$Q$90)-CT$31),))*IF(Input!$F107=PerMonth,1,1/12),1/12)</f>
        <v>0</v>
      </c>
      <c r="CU142" s="635">
        <f>SUMIF(Input!$G$105:$Q$105,CU$6,Input!$G107:$Q107)*IFERROR(CHOOSE(MATCH(Input!$E107,OIUnitType,),1,CU$13,MAX(CU$13*(1-SUMIF(Input!$G$89:$Q$89,CU$6,Input!$G$90:$Q$90)-CU$31),))*IF(Input!$F107=PerMonth,1,1/12),1/12)</f>
        <v>0</v>
      </c>
      <c r="CV142" s="635">
        <f>SUMIF(Input!$G$105:$Q$105,CV$6,Input!$G107:$Q107)*IFERROR(CHOOSE(MATCH(Input!$E107,OIUnitType,),1,CV$13,MAX(CV$13*(1-SUMIF(Input!$G$89:$Q$89,CV$6,Input!$G$90:$Q$90)-CV$31),))*IF(Input!$F107=PerMonth,1,1/12),1/12)</f>
        <v>0</v>
      </c>
      <c r="CW142" s="635">
        <f>SUMIF(Input!$G$105:$Q$105,CW$6,Input!$G107:$Q107)*IFERROR(CHOOSE(MATCH(Input!$E107,OIUnitType,),1,CW$13,MAX(CW$13*(1-SUMIF(Input!$G$89:$Q$89,CW$6,Input!$G$90:$Q$90)-CW$31),))*IF(Input!$F107=PerMonth,1,1/12),1/12)</f>
        <v>0</v>
      </c>
      <c r="CX142" s="635">
        <f>SUMIF(Input!$G$105:$Q$105,CX$6,Input!$G107:$Q107)*IFERROR(CHOOSE(MATCH(Input!$E107,OIUnitType,),1,CX$13,MAX(CX$13*(1-SUMIF(Input!$G$89:$Q$89,CX$6,Input!$G$90:$Q$90)-CX$31),))*IF(Input!$F107=PerMonth,1,1/12),1/12)</f>
        <v>0</v>
      </c>
      <c r="CY142" s="635">
        <f>SUMIF(Input!$G$105:$Q$105,CY$6,Input!$G107:$Q107)*IFERROR(CHOOSE(MATCH(Input!$E107,OIUnitType,),1,CY$13,MAX(CY$13*(1-SUMIF(Input!$G$89:$Q$89,CY$6,Input!$G$90:$Q$90)-CY$31),))*IF(Input!$F107=PerMonth,1,1/12),1/12)</f>
        <v>0</v>
      </c>
      <c r="CZ142" s="635">
        <f>SUMIF(Input!$G$105:$Q$105,CZ$6,Input!$G107:$Q107)*IFERROR(CHOOSE(MATCH(Input!$E107,OIUnitType,),1,CZ$13,MAX(CZ$13*(1-SUMIF(Input!$G$89:$Q$89,CZ$6,Input!$G$90:$Q$90)-CZ$31),))*IF(Input!$F107=PerMonth,1,1/12),1/12)</f>
        <v>0</v>
      </c>
      <c r="DA142" s="635">
        <f>SUMIF(Input!$G$105:$Q$105,DA$6,Input!$G107:$Q107)*IFERROR(CHOOSE(MATCH(Input!$E107,OIUnitType,),1,DA$13,MAX(DA$13*(1-SUMIF(Input!$G$89:$Q$89,DA$6,Input!$G$90:$Q$90)-DA$31),))*IF(Input!$F107=PerMonth,1,1/12),1/12)</f>
        <v>0</v>
      </c>
      <c r="DB142" s="635">
        <f>SUMIF(Input!$G$105:$Q$105,DB$6,Input!$G107:$Q107)*IFERROR(CHOOSE(MATCH(Input!$E107,OIUnitType,),1,DB$13,MAX(DB$13*(1-SUMIF(Input!$G$89:$Q$89,DB$6,Input!$G$90:$Q$90)-DB$31),))*IF(Input!$F107=PerMonth,1,1/12),1/12)</f>
        <v>0</v>
      </c>
      <c r="DC142" s="635">
        <f>SUMIF(Input!$G$105:$Q$105,DC$6,Input!$G107:$Q107)*IFERROR(CHOOSE(MATCH(Input!$E107,OIUnitType,),1,DC$13,MAX(DC$13*(1-SUMIF(Input!$G$89:$Q$89,DC$6,Input!$G$90:$Q$90)-DC$31),))*IF(Input!$F107=PerMonth,1,1/12),1/12)</f>
        <v>0</v>
      </c>
      <c r="DD142" s="635">
        <f>SUMIF(Input!$G$105:$Q$105,DD$6,Input!$G107:$Q107)*IFERROR(CHOOSE(MATCH(Input!$E107,OIUnitType,),1,DD$13,MAX(DD$13*(1-SUMIF(Input!$G$89:$Q$89,DD$6,Input!$G$90:$Q$90)-DD$31),))*IF(Input!$F107=PerMonth,1,1/12),1/12)</f>
        <v>0</v>
      </c>
      <c r="DE142" s="635">
        <f>SUMIF(Input!$G$105:$Q$105,DE$6,Input!$G107:$Q107)*IFERROR(CHOOSE(MATCH(Input!$E107,OIUnitType,),1,DE$13,MAX(DE$13*(1-SUMIF(Input!$G$89:$Q$89,DE$6,Input!$G$90:$Q$90)-DE$31),))*IF(Input!$F107=PerMonth,1,1/12),1/12)</f>
        <v>0</v>
      </c>
      <c r="DF142" s="635">
        <f>SUMIF(Input!$G$105:$Q$105,DF$6,Input!$G107:$Q107)*IFERROR(CHOOSE(MATCH(Input!$E107,OIUnitType,),1,DF$13,MAX(DF$13*(1-SUMIF(Input!$G$89:$Q$89,DF$6,Input!$G$90:$Q$90)-DF$31),))*IF(Input!$F107=PerMonth,1,1/12),1/12)</f>
        <v>0</v>
      </c>
      <c r="DG142" s="635">
        <f>SUMIF(Input!$G$105:$Q$105,DG$6,Input!$G107:$Q107)*IFERROR(CHOOSE(MATCH(Input!$E107,OIUnitType,),1,DG$13,MAX(DG$13*(1-SUMIF(Input!$G$89:$Q$89,DG$6,Input!$G$90:$Q$90)-DG$31),))*IF(Input!$F107=PerMonth,1,1/12),1/12)</f>
        <v>0</v>
      </c>
      <c r="DH142" s="635">
        <f>SUMIF(Input!$G$105:$Q$105,DH$6,Input!$G107:$Q107)*IFERROR(CHOOSE(MATCH(Input!$E107,OIUnitType,),1,DH$13,MAX(DH$13*(1-SUMIF(Input!$G$89:$Q$89,DH$6,Input!$G$90:$Q$90)-DH$31),))*IF(Input!$F107=PerMonth,1,1/12),1/12)</f>
        <v>0</v>
      </c>
      <c r="DI142" s="635">
        <f>SUMIF(Input!$G$105:$Q$105,DI$6,Input!$G107:$Q107)*IFERROR(CHOOSE(MATCH(Input!$E107,OIUnitType,),1,DI$13,MAX(DI$13*(1-SUMIF(Input!$G$89:$Q$89,DI$6,Input!$G$90:$Q$90)-DI$31),))*IF(Input!$F107=PerMonth,1,1/12),1/12)</f>
        <v>0</v>
      </c>
      <c r="DJ142" s="635">
        <f>SUMIF(Input!$G$105:$Q$105,DJ$6,Input!$G107:$Q107)*IFERROR(CHOOSE(MATCH(Input!$E107,OIUnitType,),1,DJ$13,MAX(DJ$13*(1-SUMIF(Input!$G$89:$Q$89,DJ$6,Input!$G$90:$Q$90)-DJ$31),))*IF(Input!$F107=PerMonth,1,1/12),1/12)</f>
        <v>0</v>
      </c>
      <c r="DK142" s="635">
        <f>SUMIF(Input!$G$105:$Q$105,DK$6,Input!$G107:$Q107)*IFERROR(CHOOSE(MATCH(Input!$E107,OIUnitType,),1,DK$13,MAX(DK$13*(1-SUMIF(Input!$G$89:$Q$89,DK$6,Input!$G$90:$Q$90)-DK$31),))*IF(Input!$F107=PerMonth,1,1/12),1/12)</f>
        <v>0</v>
      </c>
      <c r="DL142" s="635">
        <f>SUMIF(Input!$G$105:$Q$105,DL$6,Input!$G107:$Q107)*IFERROR(CHOOSE(MATCH(Input!$E107,OIUnitType,),1,DL$13,MAX(DL$13*(1-SUMIF(Input!$G$89:$Q$89,DL$6,Input!$G$90:$Q$90)-DL$31),))*IF(Input!$F107=PerMonth,1,1/12),1/12)</f>
        <v>0</v>
      </c>
      <c r="DM142" s="635">
        <f>SUMIF(Input!$G$105:$Q$105,DM$6,Input!$G107:$Q107)*IFERROR(CHOOSE(MATCH(Input!$E107,OIUnitType,),1,DM$13,MAX(DM$13*(1-SUMIF(Input!$G$89:$Q$89,DM$6,Input!$G$90:$Q$90)-DM$31),))*IF(Input!$F107=PerMonth,1,1/12),1/12)</f>
        <v>0</v>
      </c>
      <c r="DN142" s="635">
        <f>SUMIF(Input!$G$105:$Q$105,DN$6,Input!$G107:$Q107)*IFERROR(CHOOSE(MATCH(Input!$E107,OIUnitType,),1,DN$13,MAX(DN$13*(1-SUMIF(Input!$G$89:$Q$89,DN$6,Input!$G$90:$Q$90)-DN$31),))*IF(Input!$F107=PerMonth,1,1/12),1/12)</f>
        <v>0</v>
      </c>
      <c r="DO142" s="635">
        <f>SUMIF(Input!$G$105:$Q$105,DO$6,Input!$G107:$Q107)*IFERROR(CHOOSE(MATCH(Input!$E107,OIUnitType,),1,DO$13,MAX(DO$13*(1-SUMIF(Input!$G$89:$Q$89,DO$6,Input!$G$90:$Q$90)-DO$31),))*IF(Input!$F107=PerMonth,1,1/12),1/12)</f>
        <v>0</v>
      </c>
      <c r="DP142" s="635">
        <f>SUMIF(Input!$G$105:$Q$105,DP$6,Input!$G107:$Q107)*IFERROR(CHOOSE(MATCH(Input!$E107,OIUnitType,),1,DP$13,MAX(DP$13*(1-SUMIF(Input!$G$89:$Q$89,DP$6,Input!$G$90:$Q$90)-DP$31),))*IF(Input!$F107=PerMonth,1,1/12),1/12)</f>
        <v>0</v>
      </c>
      <c r="DQ142" s="635">
        <f>SUMIF(Input!$G$105:$Q$105,DQ$6,Input!$G107:$Q107)*IFERROR(CHOOSE(MATCH(Input!$E107,OIUnitType,),1,DQ$13,MAX(DQ$13*(1-SUMIF(Input!$G$89:$Q$89,DQ$6,Input!$G$90:$Q$90)-DQ$31),))*IF(Input!$F107=PerMonth,1,1/12),1/12)</f>
        <v>0</v>
      </c>
      <c r="DR142" s="635">
        <f>SUMIF(Input!$G$105:$Q$105,DR$6,Input!$G107:$Q107)*IFERROR(CHOOSE(MATCH(Input!$E107,OIUnitType,),1,DR$13,MAX(DR$13*(1-SUMIF(Input!$G$89:$Q$89,DR$6,Input!$G$90:$Q$90)-DR$31),))*IF(Input!$F107=PerMonth,1,1/12),1/12)</f>
        <v>0</v>
      </c>
      <c r="DS142" s="635">
        <f>SUMIF(Input!$G$105:$Q$105,DS$6,Input!$G107:$Q107)*IFERROR(CHOOSE(MATCH(Input!$E107,OIUnitType,),1,DS$13,MAX(DS$13*(1-SUMIF(Input!$G$89:$Q$89,DS$6,Input!$G$90:$Q$90)-DS$31),))*IF(Input!$F107=PerMonth,1,1/12),1/12)</f>
        <v>0</v>
      </c>
      <c r="DT142" s="635">
        <f>SUMIF(Input!$G$105:$Q$105,DT$6,Input!$G107:$Q107)*IFERROR(CHOOSE(MATCH(Input!$E107,OIUnitType,),1,DT$13,MAX(DT$13*(1-SUMIF(Input!$G$89:$Q$89,DT$6,Input!$G$90:$Q$90)-DT$31),))*IF(Input!$F107=PerMonth,1,1/12),1/12)</f>
        <v>0</v>
      </c>
      <c r="DU142" s="635">
        <f>SUMIF(Input!$G$105:$Q$105,DU$6,Input!$G107:$Q107)*IFERROR(CHOOSE(MATCH(Input!$E107,OIUnitType,),1,DU$13,MAX(DU$13*(1-SUMIF(Input!$G$89:$Q$89,DU$6,Input!$G$90:$Q$90)-DU$31),))*IF(Input!$F107=PerMonth,1,1/12),1/12)</f>
        <v>0</v>
      </c>
      <c r="DV142" s="635">
        <f>SUMIF(Input!$G$105:$Q$105,DV$6,Input!$G107:$Q107)*IFERROR(CHOOSE(MATCH(Input!$E107,OIUnitType,),1,DV$13,MAX(DV$13*(1-SUMIF(Input!$G$89:$Q$89,DV$6,Input!$G$90:$Q$90)-DV$31),))*IF(Input!$F107=PerMonth,1,1/12),1/12)</f>
        <v>0</v>
      </c>
      <c r="DW142" s="635">
        <f>SUMIF(Input!$G$105:$Q$105,DW$6,Input!$G107:$Q107)*IFERROR(CHOOSE(MATCH(Input!$E107,OIUnitType,),1,DW$13,MAX(DW$13*(1-SUMIF(Input!$G$89:$Q$89,DW$6,Input!$G$90:$Q$90)-DW$31),))*IF(Input!$F107=PerMonth,1,1/12),1/12)</f>
        <v>0</v>
      </c>
      <c r="DX142" s="635">
        <f>SUMIF(Input!$G$105:$Q$105,DX$6,Input!$G107:$Q107)*IFERROR(CHOOSE(MATCH(Input!$E107,OIUnitType,),1,DX$13,MAX(DX$13*(1-SUMIF(Input!$G$89:$Q$89,DX$6,Input!$G$90:$Q$90)-DX$31),))*IF(Input!$F107=PerMonth,1,1/12),1/12)</f>
        <v>0</v>
      </c>
      <c r="DY142" s="635">
        <f>SUMIF(Input!$G$105:$Q$105,DY$6,Input!$G107:$Q107)*IFERROR(CHOOSE(MATCH(Input!$E107,OIUnitType,),1,DY$13,MAX(DY$13*(1-SUMIF(Input!$G$89:$Q$89,DY$6,Input!$G$90:$Q$90)-DY$31),))*IF(Input!$F107=PerMonth,1,1/12),1/12)</f>
        <v>0</v>
      </c>
      <c r="DZ142" s="635">
        <f>SUMIF(Input!$G$105:$Q$105,DZ$6,Input!$G107:$Q107)*IFERROR(CHOOSE(MATCH(Input!$E107,OIUnitType,),1,DZ$13,MAX(DZ$13*(1-SUMIF(Input!$G$89:$Q$89,DZ$6,Input!$G$90:$Q$90)-DZ$31),))*IF(Input!$F107=PerMonth,1,1/12),1/12)</f>
        <v>0</v>
      </c>
      <c r="EA142" s="635">
        <f>SUMIF(Input!$G$105:$Q$105,EA$6,Input!$G107:$Q107)*IFERROR(CHOOSE(MATCH(Input!$E107,OIUnitType,),1,EA$13,MAX(EA$13*(1-SUMIF(Input!$G$89:$Q$89,EA$6,Input!$G$90:$Q$90)-EA$31),))*IF(Input!$F107=PerMonth,1,1/12),1/12)</f>
        <v>0</v>
      </c>
      <c r="EB142" s="635">
        <f>SUMIF(Input!$G$105:$Q$105,EB$6,Input!$G107:$Q107)*IFERROR(CHOOSE(MATCH(Input!$E107,OIUnitType,),1,EB$13,MAX(EB$13*(1-SUMIF(Input!$G$89:$Q$89,EB$6,Input!$G$90:$Q$90)-EB$31),))*IF(Input!$F107=PerMonth,1,1/12),1/12)</f>
        <v>0</v>
      </c>
      <c r="EC142" s="635">
        <f>SUMIF(Input!$G$105:$Q$105,EC$6,Input!$G107:$Q107)*IFERROR(CHOOSE(MATCH(Input!$E107,OIUnitType,),1,EC$13,MAX(EC$13*(1-SUMIF(Input!$G$89:$Q$89,EC$6,Input!$G$90:$Q$90)-EC$31),))*IF(Input!$F107=PerMonth,1,1/12),1/12)</f>
        <v>0</v>
      </c>
      <c r="ED142" s="635">
        <f>SUMIF(Input!$G$105:$Q$105,ED$6,Input!$G107:$Q107)*IFERROR(CHOOSE(MATCH(Input!$E107,OIUnitType,),1,ED$13,MAX(ED$13*(1-SUMIF(Input!$G$89:$Q$89,ED$6,Input!$G$90:$Q$90)-ED$31),))*IF(Input!$F107=PerMonth,1,1/12),1/12)</f>
        <v>0</v>
      </c>
      <c r="EE142" s="635">
        <f>SUMIF(Input!$G$105:$Q$105,EE$6,Input!$G107:$Q107)*IFERROR(CHOOSE(MATCH(Input!$E107,OIUnitType,),1,EE$13,MAX(EE$13*(1-SUMIF(Input!$G$89:$Q$89,EE$6,Input!$G$90:$Q$90)-EE$31),))*IF(Input!$F107=PerMonth,1,1/12),1/12)</f>
        <v>0</v>
      </c>
      <c r="EF142" s="635">
        <f>SUMIF(Input!$G$105:$Q$105,EF$6,Input!$G107:$Q107)*IFERROR(CHOOSE(MATCH(Input!$E107,OIUnitType,),1,EF$13,MAX(EF$13*(1-SUMIF(Input!$G$89:$Q$89,EF$6,Input!$G$90:$Q$90)-EF$31),))*IF(Input!$F107=PerMonth,1,1/12),1/12)</f>
        <v>0</v>
      </c>
      <c r="EG142" s="635">
        <f>SUMIF(Input!$G$105:$Q$105,EG$6,Input!$G107:$Q107)*IFERROR(CHOOSE(MATCH(Input!$E107,OIUnitType,),1,EG$13,MAX(EG$13*(1-SUMIF(Input!$G$89:$Q$89,EG$6,Input!$G$90:$Q$90)-EG$31),))*IF(Input!$F107=PerMonth,1,1/12),1/12)</f>
        <v>0</v>
      </c>
      <c r="EH142" s="635">
        <f>SUMIF(Input!$G$105:$Q$105,EH$6,Input!$G107:$Q107)*IFERROR(CHOOSE(MATCH(Input!$E107,OIUnitType,),1,EH$13,MAX(EH$13*(1-SUMIF(Input!$G$89:$Q$89,EH$6,Input!$G$90:$Q$90)-EH$31),))*IF(Input!$F107=PerMonth,1,1/12),1/12)</f>
        <v>0</v>
      </c>
      <c r="EI142" s="635">
        <f>SUMIF(Input!$G$105:$Q$105,EI$6,Input!$G107:$Q107)*IFERROR(CHOOSE(MATCH(Input!$E107,OIUnitType,),1,EI$13,MAX(EI$13*(1-SUMIF(Input!$G$89:$Q$89,EI$6,Input!$G$90:$Q$90)-EI$31),))*IF(Input!$F107=PerMonth,1,1/12),1/12)</f>
        <v>0</v>
      </c>
      <c r="EJ142" s="635">
        <f>SUMIF(Input!$G$105:$Q$105,EJ$6,Input!$G107:$Q107)*IFERROR(CHOOSE(MATCH(Input!$E107,OIUnitType,),1,EJ$13,MAX(EJ$13*(1-SUMIF(Input!$G$89:$Q$89,EJ$6,Input!$G$90:$Q$90)-EJ$31),))*IF(Input!$F107=PerMonth,1,1/12),1/12)</f>
        <v>0</v>
      </c>
      <c r="EK142" s="635">
        <f>SUMIF(Input!$G$105:$Q$105,EK$6,Input!$G107:$Q107)*IFERROR(CHOOSE(MATCH(Input!$E107,OIUnitType,),1,EK$13,MAX(EK$13*(1-SUMIF(Input!$G$89:$Q$89,EK$6,Input!$G$90:$Q$90)-EK$31),))*IF(Input!$F107=PerMonth,1,1/12),1/12)</f>
        <v>0</v>
      </c>
      <c r="EL142" s="635">
        <f>SUMIF(Input!$G$105:$Q$105,EL$6,Input!$G107:$Q107)*IFERROR(CHOOSE(MATCH(Input!$E107,OIUnitType,),1,EL$13,MAX(EL$13*(1-SUMIF(Input!$G$89:$Q$89,EL$6,Input!$G$90:$Q$90)-EL$31),))*IF(Input!$F107=PerMonth,1,1/12),1/12)</f>
        <v>0</v>
      </c>
      <c r="EM142" s="635">
        <f>SUMIF(Input!$G$105:$Q$105,EM$6,Input!$G107:$Q107)*IFERROR(CHOOSE(MATCH(Input!$E107,OIUnitType,),1,EM$13,MAX(EM$13*(1-SUMIF(Input!$G$89:$Q$89,EM$6,Input!$G$90:$Q$90)-EM$31),))*IF(Input!$F107=PerMonth,1,1/12),1/12)</f>
        <v>0</v>
      </c>
      <c r="EN142" s="635">
        <f>SUMIF(Input!$G$105:$Q$105,EN$6,Input!$G107:$Q107)*IFERROR(CHOOSE(MATCH(Input!$E107,OIUnitType,),1,EN$13,MAX(EN$13*(1-SUMIF(Input!$G$89:$Q$89,EN$6,Input!$G$90:$Q$90)-EN$31),))*IF(Input!$F107=PerMonth,1,1/12),1/12)</f>
        <v>0</v>
      </c>
      <c r="EO142" s="635">
        <f>SUMIF(Input!$G$105:$Q$105,EO$6,Input!$G107:$Q107)*IFERROR(CHOOSE(MATCH(Input!$E107,OIUnitType,),1,EO$13,MAX(EO$13*(1-SUMIF(Input!$G$89:$Q$89,EO$6,Input!$G$90:$Q$90)-EO$31),))*IF(Input!$F107=PerMonth,1,1/12),1/12)</f>
        <v>0</v>
      </c>
      <c r="EP142" s="635">
        <f>SUMIF(Input!$G$105:$Q$105,EP$6,Input!$G107:$Q107)*IFERROR(CHOOSE(MATCH(Input!$E107,OIUnitType,),1,EP$13,MAX(EP$13*(1-SUMIF(Input!$G$89:$Q$89,EP$6,Input!$G$90:$Q$90)-EP$31),))*IF(Input!$F107=PerMonth,1,1/12),1/12)</f>
        <v>0</v>
      </c>
      <c r="EQ142" s="635">
        <f>SUMIF(Input!$G$105:$Q$105,EQ$6,Input!$G107:$Q107)*IFERROR(CHOOSE(MATCH(Input!$E107,OIUnitType,),1,EQ$13,MAX(EQ$13*(1-SUMIF(Input!$G$89:$Q$89,EQ$6,Input!$G$90:$Q$90)-EQ$31),))*IF(Input!$F107=PerMonth,1,1/12),1/12)</f>
        <v>0</v>
      </c>
      <c r="ER142" s="635">
        <f>SUMIF(Input!$G$105:$Q$105,ER$6,Input!$G107:$Q107)*IFERROR(CHOOSE(MATCH(Input!$E107,OIUnitType,),1,ER$13,MAX(ER$13*(1-SUMIF(Input!$G$89:$Q$89,ER$6,Input!$G$90:$Q$90)-ER$31),))*IF(Input!$F107=PerMonth,1,1/12),1/12)</f>
        <v>0</v>
      </c>
      <c r="ES142" s="635">
        <f>SUMIF(Input!$G$105:$Q$105,ES$6,Input!$G107:$Q107)*IFERROR(CHOOSE(MATCH(Input!$E107,OIUnitType,),1,ES$13,MAX(ES$13*(1-SUMIF(Input!$G$89:$Q$89,ES$6,Input!$G$90:$Q$90)-ES$31),))*IF(Input!$F107=PerMonth,1,1/12),1/12)</f>
        <v>0</v>
      </c>
      <c r="ET142" s="192"/>
    </row>
    <row r="143" spans="1:150">
      <c r="A143" s="192"/>
      <c r="B143" s="36" t="str">
        <f>IF(Input!B108="","",Input!B108)</f>
        <v>Cable / Internet Income</v>
      </c>
      <c r="C143" s="635">
        <f t="shared" si="141"/>
        <v>63840</v>
      </c>
      <c r="D143" s="635">
        <f t="shared" si="141"/>
        <v>63840</v>
      </c>
      <c r="E143" s="635">
        <f t="shared" si="141"/>
        <v>63840</v>
      </c>
      <c r="F143" s="635">
        <f t="shared" si="141"/>
        <v>63840</v>
      </c>
      <c r="G143" s="635">
        <f t="shared" si="141"/>
        <v>63840</v>
      </c>
      <c r="H143" s="635">
        <f t="shared" si="141"/>
        <v>63840</v>
      </c>
      <c r="I143" s="635">
        <f t="shared" si="141"/>
        <v>63840</v>
      </c>
      <c r="J143" s="635">
        <f t="shared" si="141"/>
        <v>63840</v>
      </c>
      <c r="K143" s="635">
        <f t="shared" si="141"/>
        <v>63840</v>
      </c>
      <c r="L143" s="635">
        <f t="shared" si="141"/>
        <v>63840</v>
      </c>
      <c r="M143" s="635">
        <f t="shared" si="141"/>
        <v>63840</v>
      </c>
      <c r="N143" s="192"/>
      <c r="O143" s="635">
        <f t="shared" si="142"/>
        <v>63840</v>
      </c>
      <c r="P143" s="192"/>
      <c r="Q143" s="37"/>
      <c r="R143" s="635">
        <f>SUMIF(Input!$G$105:$Q$105,R$6,Input!$G108:$Q108)*IFERROR(CHOOSE(MATCH(Input!$E108,OIUnitType,),1,R$13,MAX(R$13*(1+SUM(R$72:R$73)/R$71),))*IF(Input!$F108=PerMonth,1,1/12),1/12)</f>
        <v>5320</v>
      </c>
      <c r="S143" s="635">
        <f>SUMIF(Input!$G$105:$Q$105,S$6,Input!$G108:$Q108)*IFERROR(CHOOSE(MATCH(Input!$E108,OIUnitType,),1,S$13,MAX(S$13*(1+SUM(S$72:S$73)/S$71),))*IF(Input!$F108=PerMonth,1,1/12),1/12)</f>
        <v>5320</v>
      </c>
      <c r="T143" s="635">
        <f>SUMIF(Input!$G$105:$Q$105,T$6,Input!$G108:$Q108)*IFERROR(CHOOSE(MATCH(Input!$E108,OIUnitType,),1,T$13,MAX(T$13*(1+SUM(T$72:T$73)/T$71),))*IF(Input!$F108=PerMonth,1,1/12),1/12)</f>
        <v>5320</v>
      </c>
      <c r="U143" s="635">
        <f>SUMIF(Input!$G$105:$Q$105,U$6,Input!$G108:$Q108)*IFERROR(CHOOSE(MATCH(Input!$E108,OIUnitType,),1,U$13,MAX(U$13*(1+SUM(U$72:U$73)/U$71),))*IF(Input!$F108=PerMonth,1,1/12),1/12)</f>
        <v>5320</v>
      </c>
      <c r="V143" s="635">
        <f>SUMIF(Input!$G$105:$Q$105,V$6,Input!$G108:$Q108)*IFERROR(CHOOSE(MATCH(Input!$E108,OIUnitType,),1,V$13,MAX(V$13*(1+SUM(V$72:V$73)/V$71),))*IF(Input!$F108=PerMonth,1,1/12),1/12)</f>
        <v>5320</v>
      </c>
      <c r="W143" s="635">
        <f>SUMIF(Input!$G$105:$Q$105,W$6,Input!$G108:$Q108)*IFERROR(CHOOSE(MATCH(Input!$E108,OIUnitType,),1,W$13,MAX(W$13*(1+SUM(W$72:W$73)/W$71),))*IF(Input!$F108=PerMonth,1,1/12),1/12)</f>
        <v>5320</v>
      </c>
      <c r="X143" s="635">
        <f>SUMIF(Input!$G$105:$Q$105,X$6,Input!$G108:$Q108)*IFERROR(CHOOSE(MATCH(Input!$E108,OIUnitType,),1,X$13,MAX(X$13*(1+SUM(X$72:X$73)/X$71),))*IF(Input!$F108=PerMonth,1,1/12),1/12)</f>
        <v>5320</v>
      </c>
      <c r="Y143" s="635">
        <f>SUMIF(Input!$G$105:$Q$105,Y$6,Input!$G108:$Q108)*IFERROR(CHOOSE(MATCH(Input!$E108,OIUnitType,),1,Y$13,MAX(Y$13*(1+SUM(Y$72:Y$73)/Y$71),))*IF(Input!$F108=PerMonth,1,1/12),1/12)</f>
        <v>5320</v>
      </c>
      <c r="Z143" s="635">
        <f>SUMIF(Input!$G$105:$Q$105,Z$6,Input!$G108:$Q108)*IFERROR(CHOOSE(MATCH(Input!$E108,OIUnitType,),1,Z$13,MAX(Z$13*(1+SUM(Z$72:Z$73)/Z$71),))*IF(Input!$F108=PerMonth,1,1/12),1/12)</f>
        <v>5320</v>
      </c>
      <c r="AA143" s="635">
        <f>SUMIF(Input!$G$105:$Q$105,AA$6,Input!$G108:$Q108)*IFERROR(CHOOSE(MATCH(Input!$E108,OIUnitType,),1,AA$13,MAX(AA$13*(1+SUM(AA$72:AA$73)/AA$71),))*IF(Input!$F108=PerMonth,1,1/12),1/12)</f>
        <v>5320</v>
      </c>
      <c r="AB143" s="635">
        <f>SUMIF(Input!$G$105:$Q$105,AB$6,Input!$G108:$Q108)*IFERROR(CHOOSE(MATCH(Input!$E108,OIUnitType,),1,AB$13,MAX(AB$13*(1+SUM(AB$72:AB$73)/AB$71),))*IF(Input!$F108=PerMonth,1,1/12),1/12)</f>
        <v>5320</v>
      </c>
      <c r="AC143" s="635">
        <f>SUMIF(Input!$G$105:$Q$105,AC$6,Input!$G108:$Q108)*IFERROR(CHOOSE(MATCH(Input!$E108,OIUnitType,),1,AC$13,MAX(AC$13*(1+SUM(AC$72:AC$73)/AC$71),))*IF(Input!$F108=PerMonth,1,1/12),1/12)</f>
        <v>5320</v>
      </c>
      <c r="AD143" s="635">
        <f>SUMIF(Input!$G$105:$Q$105,AD$6,Input!$G108:$Q108)*IFERROR(CHOOSE(MATCH(Input!$E108,OIUnitType,),1,AD$13,MAX(AD$13*(1+SUM(AD$72:AD$73)/AD$71),))*IF(Input!$F108=PerMonth,1,1/12),1/12)</f>
        <v>5320</v>
      </c>
      <c r="AE143" s="635">
        <f>SUMIF(Input!$G$105:$Q$105,AE$6,Input!$G108:$Q108)*IFERROR(CHOOSE(MATCH(Input!$E108,OIUnitType,),1,AE$13,MAX(AE$13*(1+SUM(AE$72:AE$73)/AE$71),))*IF(Input!$F108=PerMonth,1,1/12),1/12)</f>
        <v>5320</v>
      </c>
      <c r="AF143" s="635">
        <f>SUMIF(Input!$G$105:$Q$105,AF$6,Input!$G108:$Q108)*IFERROR(CHOOSE(MATCH(Input!$E108,OIUnitType,),1,AF$13,MAX(AF$13*(1+SUM(AF$72:AF$73)/AF$71),))*IF(Input!$F108=PerMonth,1,1/12),1/12)</f>
        <v>5320</v>
      </c>
      <c r="AG143" s="635">
        <f>SUMIF(Input!$G$105:$Q$105,AG$6,Input!$G108:$Q108)*IFERROR(CHOOSE(MATCH(Input!$E108,OIUnitType,),1,AG$13,MAX(AG$13*(1+SUM(AG$72:AG$73)/AG$71),))*IF(Input!$F108=PerMonth,1,1/12),1/12)</f>
        <v>5320</v>
      </c>
      <c r="AH143" s="635">
        <f>SUMIF(Input!$G$105:$Q$105,AH$6,Input!$G108:$Q108)*IFERROR(CHOOSE(MATCH(Input!$E108,OIUnitType,),1,AH$13,MAX(AH$13*(1+SUM(AH$72:AH$73)/AH$71),))*IF(Input!$F108=PerMonth,1,1/12),1/12)</f>
        <v>5320</v>
      </c>
      <c r="AI143" s="635">
        <f>SUMIF(Input!$G$105:$Q$105,AI$6,Input!$G108:$Q108)*IFERROR(CHOOSE(MATCH(Input!$E108,OIUnitType,),1,AI$13,MAX(AI$13*(1+SUM(AI$72:AI$73)/AI$71),))*IF(Input!$F108=PerMonth,1,1/12),1/12)</f>
        <v>5320</v>
      </c>
      <c r="AJ143" s="635">
        <f>SUMIF(Input!$G$105:$Q$105,AJ$6,Input!$G108:$Q108)*IFERROR(CHOOSE(MATCH(Input!$E108,OIUnitType,),1,AJ$13,MAX(AJ$13*(1+SUM(AJ$72:AJ$73)/AJ$71),))*IF(Input!$F108=PerMonth,1,1/12),1/12)</f>
        <v>5320</v>
      </c>
      <c r="AK143" s="635">
        <f>SUMIF(Input!$G$105:$Q$105,AK$6,Input!$G108:$Q108)*IFERROR(CHOOSE(MATCH(Input!$E108,OIUnitType,),1,AK$13,MAX(AK$13*(1+SUM(AK$72:AK$73)/AK$71),))*IF(Input!$F108=PerMonth,1,1/12),1/12)</f>
        <v>5320</v>
      </c>
      <c r="AL143" s="635">
        <f>SUMIF(Input!$G$105:$Q$105,AL$6,Input!$G108:$Q108)*IFERROR(CHOOSE(MATCH(Input!$E108,OIUnitType,),1,AL$13,MAX(AL$13*(1+SUM(AL$72:AL$73)/AL$71),))*IF(Input!$F108=PerMonth,1,1/12),1/12)</f>
        <v>5320</v>
      </c>
      <c r="AM143" s="635">
        <f>SUMIF(Input!$G$105:$Q$105,AM$6,Input!$G108:$Q108)*IFERROR(CHOOSE(MATCH(Input!$E108,OIUnitType,),1,AM$13,MAX(AM$13*(1+SUM(AM$72:AM$73)/AM$71),))*IF(Input!$F108=PerMonth,1,1/12),1/12)</f>
        <v>5320</v>
      </c>
      <c r="AN143" s="635">
        <f>SUMIF(Input!$G$105:$Q$105,AN$6,Input!$G108:$Q108)*IFERROR(CHOOSE(MATCH(Input!$E108,OIUnitType,),1,AN$13,MAX(AN$13*(1+SUM(AN$72:AN$73)/AN$71),))*IF(Input!$F108=PerMonth,1,1/12),1/12)</f>
        <v>5320</v>
      </c>
      <c r="AO143" s="635">
        <f>SUMIF(Input!$G$105:$Q$105,AO$6,Input!$G108:$Q108)*IFERROR(CHOOSE(MATCH(Input!$E108,OIUnitType,),1,AO$13,MAX(AO$13*(1+SUM(AO$72:AO$73)/AO$71),))*IF(Input!$F108=PerMonth,1,1/12),1/12)</f>
        <v>5320</v>
      </c>
      <c r="AP143" s="635">
        <f>SUMIF(Input!$G$105:$Q$105,AP$6,Input!$G108:$Q108)*IFERROR(CHOOSE(MATCH(Input!$E108,OIUnitType,),1,AP$13,MAX(AP$13*(1+SUM(AP$72:AP$73)/AP$71),))*IF(Input!$F108=PerMonth,1,1/12),1/12)</f>
        <v>5320</v>
      </c>
      <c r="AQ143" s="635">
        <f>SUMIF(Input!$G$105:$Q$105,AQ$6,Input!$G108:$Q108)*IFERROR(CHOOSE(MATCH(Input!$E108,OIUnitType,),1,AQ$13,MAX(AQ$13*(1+SUM(AQ$72:AQ$73)/AQ$71),))*IF(Input!$F108=PerMonth,1,1/12),1/12)</f>
        <v>5320</v>
      </c>
      <c r="AR143" s="635">
        <f>SUMIF(Input!$G$105:$Q$105,AR$6,Input!$G108:$Q108)*IFERROR(CHOOSE(MATCH(Input!$E108,OIUnitType,),1,AR$13,MAX(AR$13*(1+SUM(AR$72:AR$73)/AR$71),))*IF(Input!$F108=PerMonth,1,1/12),1/12)</f>
        <v>5320</v>
      </c>
      <c r="AS143" s="635">
        <f>SUMIF(Input!$G$105:$Q$105,AS$6,Input!$G108:$Q108)*IFERROR(CHOOSE(MATCH(Input!$E108,OIUnitType,),1,AS$13,MAX(AS$13*(1+SUM(AS$72:AS$73)/AS$71),))*IF(Input!$F108=PerMonth,1,1/12),1/12)</f>
        <v>5320</v>
      </c>
      <c r="AT143" s="635">
        <f>SUMIF(Input!$G$105:$Q$105,AT$6,Input!$G108:$Q108)*IFERROR(CHOOSE(MATCH(Input!$E108,OIUnitType,),1,AT$13,MAX(AT$13*(1+SUM(AT$72:AT$73)/AT$71),))*IF(Input!$F108=PerMonth,1,1/12),1/12)</f>
        <v>5320</v>
      </c>
      <c r="AU143" s="635">
        <f>SUMIF(Input!$G$105:$Q$105,AU$6,Input!$G108:$Q108)*IFERROR(CHOOSE(MATCH(Input!$E108,OIUnitType,),1,AU$13,MAX(AU$13*(1+SUM(AU$72:AU$73)/AU$71),))*IF(Input!$F108=PerMonth,1,1/12),1/12)</f>
        <v>5320</v>
      </c>
      <c r="AV143" s="635">
        <f>SUMIF(Input!$G$105:$Q$105,AV$6,Input!$G108:$Q108)*IFERROR(CHOOSE(MATCH(Input!$E108,OIUnitType,),1,AV$13,MAX(AV$13*(1+SUM(AV$72:AV$73)/AV$71),))*IF(Input!$F108=PerMonth,1,1/12),1/12)</f>
        <v>5320</v>
      </c>
      <c r="AW143" s="635">
        <f>SUMIF(Input!$G$105:$Q$105,AW$6,Input!$G108:$Q108)*IFERROR(CHOOSE(MATCH(Input!$E108,OIUnitType,),1,AW$13,MAX(AW$13*(1+SUM(AW$72:AW$73)/AW$71),))*IF(Input!$F108=PerMonth,1,1/12),1/12)</f>
        <v>5320</v>
      </c>
      <c r="AX143" s="635">
        <f>SUMIF(Input!$G$105:$Q$105,AX$6,Input!$G108:$Q108)*IFERROR(CHOOSE(MATCH(Input!$E108,OIUnitType,),1,AX$13,MAX(AX$13*(1+SUM(AX$72:AX$73)/AX$71),))*IF(Input!$F108=PerMonth,1,1/12),1/12)</f>
        <v>5320</v>
      </c>
      <c r="AY143" s="635">
        <f>SUMIF(Input!$G$105:$Q$105,AY$6,Input!$G108:$Q108)*IFERROR(CHOOSE(MATCH(Input!$E108,OIUnitType,),1,AY$13,MAX(AY$13*(1+SUM(AY$72:AY$73)/AY$71),))*IF(Input!$F108=PerMonth,1,1/12),1/12)</f>
        <v>5320</v>
      </c>
      <c r="AZ143" s="635">
        <f>SUMIF(Input!$G$105:$Q$105,AZ$6,Input!$G108:$Q108)*IFERROR(CHOOSE(MATCH(Input!$E108,OIUnitType,),1,AZ$13,MAX(AZ$13*(1+SUM(AZ$72:AZ$73)/AZ$71),))*IF(Input!$F108=PerMonth,1,1/12),1/12)</f>
        <v>5320</v>
      </c>
      <c r="BA143" s="635">
        <f>SUMIF(Input!$G$105:$Q$105,BA$6,Input!$G108:$Q108)*IFERROR(CHOOSE(MATCH(Input!$E108,OIUnitType,),1,BA$13,MAX(BA$13*(1+SUM(BA$72:BA$73)/BA$71),))*IF(Input!$F108=PerMonth,1,1/12),1/12)</f>
        <v>5320</v>
      </c>
      <c r="BB143" s="635">
        <f>SUMIF(Input!$G$105:$Q$105,BB$6,Input!$G108:$Q108)*IFERROR(CHOOSE(MATCH(Input!$E108,OIUnitType,),1,BB$13,MAX(BB$13*(1-SUMIF(Input!$G$89:$Q$89,BB$6,Input!$G$90:$Q$90)-BB$31),))*IF(Input!$F108=PerMonth,1,1/12),1/12)</f>
        <v>5320</v>
      </c>
      <c r="BC143" s="635">
        <f>SUMIF(Input!$G$105:$Q$105,BC$6,Input!$G108:$Q108)*IFERROR(CHOOSE(MATCH(Input!$E108,OIUnitType,),1,BC$13,MAX(BC$13*(1-SUMIF(Input!$G$89:$Q$89,BC$6,Input!$G$90:$Q$90)-BC$31),))*IF(Input!$F108=PerMonth,1,1/12),1/12)</f>
        <v>5320</v>
      </c>
      <c r="BD143" s="635">
        <f>SUMIF(Input!$G$105:$Q$105,BD$6,Input!$G108:$Q108)*IFERROR(CHOOSE(MATCH(Input!$E108,OIUnitType,),1,BD$13,MAX(BD$13*(1-SUMIF(Input!$G$89:$Q$89,BD$6,Input!$G$90:$Q$90)-BD$31),))*IF(Input!$F108=PerMonth,1,1/12),1/12)</f>
        <v>5320</v>
      </c>
      <c r="BE143" s="635">
        <f>SUMIF(Input!$G$105:$Q$105,BE$6,Input!$G108:$Q108)*IFERROR(CHOOSE(MATCH(Input!$E108,OIUnitType,),1,BE$13,MAX(BE$13*(1-SUMIF(Input!$G$89:$Q$89,BE$6,Input!$G$90:$Q$90)-BE$31),))*IF(Input!$F108=PerMonth,1,1/12),1/12)</f>
        <v>5320</v>
      </c>
      <c r="BF143" s="635">
        <f>SUMIF(Input!$G$105:$Q$105,BF$6,Input!$G108:$Q108)*IFERROR(CHOOSE(MATCH(Input!$E108,OIUnitType,),1,BF$13,MAX(BF$13*(1-SUMIF(Input!$G$89:$Q$89,BF$6,Input!$G$90:$Q$90)-BF$31),))*IF(Input!$F108=PerMonth,1,1/12),1/12)</f>
        <v>5320</v>
      </c>
      <c r="BG143" s="635">
        <f>SUMIF(Input!$G$105:$Q$105,BG$6,Input!$G108:$Q108)*IFERROR(CHOOSE(MATCH(Input!$E108,OIUnitType,),1,BG$13,MAX(BG$13*(1-SUMIF(Input!$G$89:$Q$89,BG$6,Input!$G$90:$Q$90)-BG$31),))*IF(Input!$F108=PerMonth,1,1/12),1/12)</f>
        <v>5320</v>
      </c>
      <c r="BH143" s="635">
        <f>SUMIF(Input!$G$105:$Q$105,BH$6,Input!$G108:$Q108)*IFERROR(CHOOSE(MATCH(Input!$E108,OIUnitType,),1,BH$13,MAX(BH$13*(1-SUMIF(Input!$G$89:$Q$89,BH$6,Input!$G$90:$Q$90)-BH$31),))*IF(Input!$F108=PerMonth,1,1/12),1/12)</f>
        <v>5320</v>
      </c>
      <c r="BI143" s="635">
        <f>SUMIF(Input!$G$105:$Q$105,BI$6,Input!$G108:$Q108)*IFERROR(CHOOSE(MATCH(Input!$E108,OIUnitType,),1,BI$13,MAX(BI$13*(1-SUMIF(Input!$G$89:$Q$89,BI$6,Input!$G$90:$Q$90)-BI$31),))*IF(Input!$F108=PerMonth,1,1/12),1/12)</f>
        <v>5320</v>
      </c>
      <c r="BJ143" s="635">
        <f>SUMIF(Input!$G$105:$Q$105,BJ$6,Input!$G108:$Q108)*IFERROR(CHOOSE(MATCH(Input!$E108,OIUnitType,),1,BJ$13,MAX(BJ$13*(1-SUMIF(Input!$G$89:$Q$89,BJ$6,Input!$G$90:$Q$90)-BJ$31),))*IF(Input!$F108=PerMonth,1,1/12),1/12)</f>
        <v>5320</v>
      </c>
      <c r="BK143" s="635">
        <f>SUMIF(Input!$G$105:$Q$105,BK$6,Input!$G108:$Q108)*IFERROR(CHOOSE(MATCH(Input!$E108,OIUnitType,),1,BK$13,MAX(BK$13*(1-SUMIF(Input!$G$89:$Q$89,BK$6,Input!$G$90:$Q$90)-BK$31),))*IF(Input!$F108=PerMonth,1,1/12),1/12)</f>
        <v>5320</v>
      </c>
      <c r="BL143" s="635">
        <f>SUMIF(Input!$G$105:$Q$105,BL$6,Input!$G108:$Q108)*IFERROR(CHOOSE(MATCH(Input!$E108,OIUnitType,),1,BL$13,MAX(BL$13*(1-SUMIF(Input!$G$89:$Q$89,BL$6,Input!$G$90:$Q$90)-BL$31),))*IF(Input!$F108=PerMonth,1,1/12),1/12)</f>
        <v>5320</v>
      </c>
      <c r="BM143" s="635">
        <f>SUMIF(Input!$G$105:$Q$105,BM$6,Input!$G108:$Q108)*IFERROR(CHOOSE(MATCH(Input!$E108,OIUnitType,),1,BM$13,MAX(BM$13*(1-SUMIF(Input!$G$89:$Q$89,BM$6,Input!$G$90:$Q$90)-BM$31),))*IF(Input!$F108=PerMonth,1,1/12),1/12)</f>
        <v>5320</v>
      </c>
      <c r="BN143" s="635">
        <f>SUMIF(Input!$G$105:$Q$105,BN$6,Input!$G108:$Q108)*IFERROR(CHOOSE(MATCH(Input!$E108,OIUnitType,),1,BN$13,MAX(BN$13*(1-SUMIF(Input!$G$89:$Q$89,BN$6,Input!$G$90:$Q$90)-BN$31),))*IF(Input!$F108=PerMonth,1,1/12),1/12)</f>
        <v>5320</v>
      </c>
      <c r="BO143" s="635">
        <f>SUMIF(Input!$G$105:$Q$105,BO$6,Input!$G108:$Q108)*IFERROR(CHOOSE(MATCH(Input!$E108,OIUnitType,),1,BO$13,MAX(BO$13*(1-SUMIF(Input!$G$89:$Q$89,BO$6,Input!$G$90:$Q$90)-BO$31),))*IF(Input!$F108=PerMonth,1,1/12),1/12)</f>
        <v>5320</v>
      </c>
      <c r="BP143" s="635">
        <f>SUMIF(Input!$G$105:$Q$105,BP$6,Input!$G108:$Q108)*IFERROR(CHOOSE(MATCH(Input!$E108,OIUnitType,),1,BP$13,MAX(BP$13*(1-SUMIF(Input!$G$89:$Q$89,BP$6,Input!$G$90:$Q$90)-BP$31),))*IF(Input!$F108=PerMonth,1,1/12),1/12)</f>
        <v>5320</v>
      </c>
      <c r="BQ143" s="635">
        <f>SUMIF(Input!$G$105:$Q$105,BQ$6,Input!$G108:$Q108)*IFERROR(CHOOSE(MATCH(Input!$E108,OIUnitType,),1,BQ$13,MAX(BQ$13*(1-SUMIF(Input!$G$89:$Q$89,BQ$6,Input!$G$90:$Q$90)-BQ$31),))*IF(Input!$F108=PerMonth,1,1/12),1/12)</f>
        <v>5320</v>
      </c>
      <c r="BR143" s="635">
        <f>SUMIF(Input!$G$105:$Q$105,BR$6,Input!$G108:$Q108)*IFERROR(CHOOSE(MATCH(Input!$E108,OIUnitType,),1,BR$13,MAX(BR$13*(1-SUMIF(Input!$G$89:$Q$89,BR$6,Input!$G$90:$Q$90)-BR$31),))*IF(Input!$F108=PerMonth,1,1/12),1/12)</f>
        <v>5320</v>
      </c>
      <c r="BS143" s="635">
        <f>SUMIF(Input!$G$105:$Q$105,BS$6,Input!$G108:$Q108)*IFERROR(CHOOSE(MATCH(Input!$E108,OIUnitType,),1,BS$13,MAX(BS$13*(1-SUMIF(Input!$G$89:$Q$89,BS$6,Input!$G$90:$Q$90)-BS$31),))*IF(Input!$F108=PerMonth,1,1/12),1/12)</f>
        <v>5320</v>
      </c>
      <c r="BT143" s="635">
        <f>SUMIF(Input!$G$105:$Q$105,BT$6,Input!$G108:$Q108)*IFERROR(CHOOSE(MATCH(Input!$E108,OIUnitType,),1,BT$13,MAX(BT$13*(1-SUMIF(Input!$G$89:$Q$89,BT$6,Input!$G$90:$Q$90)-BT$31),))*IF(Input!$F108=PerMonth,1,1/12),1/12)</f>
        <v>5320</v>
      </c>
      <c r="BU143" s="635">
        <f>SUMIF(Input!$G$105:$Q$105,BU$6,Input!$G108:$Q108)*IFERROR(CHOOSE(MATCH(Input!$E108,OIUnitType,),1,BU$13,MAX(BU$13*(1-SUMIF(Input!$G$89:$Q$89,BU$6,Input!$G$90:$Q$90)-BU$31),))*IF(Input!$F108=PerMonth,1,1/12),1/12)</f>
        <v>5320</v>
      </c>
      <c r="BV143" s="635">
        <f>SUMIF(Input!$G$105:$Q$105,BV$6,Input!$G108:$Q108)*IFERROR(CHOOSE(MATCH(Input!$E108,OIUnitType,),1,BV$13,MAX(BV$13*(1-SUMIF(Input!$G$89:$Q$89,BV$6,Input!$G$90:$Q$90)-BV$31),))*IF(Input!$F108=PerMonth,1,1/12),1/12)</f>
        <v>5320</v>
      </c>
      <c r="BW143" s="635">
        <f>SUMIF(Input!$G$105:$Q$105,BW$6,Input!$G108:$Q108)*IFERROR(CHOOSE(MATCH(Input!$E108,OIUnitType,),1,BW$13,MAX(BW$13*(1-SUMIF(Input!$G$89:$Q$89,BW$6,Input!$G$90:$Q$90)-BW$31),))*IF(Input!$F108=PerMonth,1,1/12),1/12)</f>
        <v>5320</v>
      </c>
      <c r="BX143" s="635">
        <f>SUMIF(Input!$G$105:$Q$105,BX$6,Input!$G108:$Q108)*IFERROR(CHOOSE(MATCH(Input!$E108,OIUnitType,),1,BX$13,MAX(BX$13*(1-SUMIF(Input!$G$89:$Q$89,BX$6,Input!$G$90:$Q$90)-BX$31),))*IF(Input!$F108=PerMonth,1,1/12),1/12)</f>
        <v>5320</v>
      </c>
      <c r="BY143" s="635">
        <f>SUMIF(Input!$G$105:$Q$105,BY$6,Input!$G108:$Q108)*IFERROR(CHOOSE(MATCH(Input!$E108,OIUnitType,),1,BY$13,MAX(BY$13*(1-SUMIF(Input!$G$89:$Q$89,BY$6,Input!$G$90:$Q$90)-BY$31),))*IF(Input!$F108=PerMonth,1,1/12),1/12)</f>
        <v>5320</v>
      </c>
      <c r="BZ143" s="635">
        <f>SUMIF(Input!$G$105:$Q$105,BZ$6,Input!$G108:$Q108)*IFERROR(CHOOSE(MATCH(Input!$E108,OIUnitType,),1,BZ$13,MAX(BZ$13*(1-SUMIF(Input!$G$89:$Q$89,BZ$6,Input!$G$90:$Q$90)-BZ$31),))*IF(Input!$F108=PerMonth,1,1/12),1/12)</f>
        <v>5320</v>
      </c>
      <c r="CA143" s="635">
        <f>SUMIF(Input!$G$105:$Q$105,CA$6,Input!$G108:$Q108)*IFERROR(CHOOSE(MATCH(Input!$E108,OIUnitType,),1,CA$13,MAX(CA$13*(1-SUMIF(Input!$G$89:$Q$89,CA$6,Input!$G$90:$Q$90)-CA$31),))*IF(Input!$F108=PerMonth,1,1/12),1/12)</f>
        <v>5320</v>
      </c>
      <c r="CB143" s="635">
        <f>SUMIF(Input!$G$105:$Q$105,CB$6,Input!$G108:$Q108)*IFERROR(CHOOSE(MATCH(Input!$E108,OIUnitType,),1,CB$13,MAX(CB$13*(1-SUMIF(Input!$G$89:$Q$89,CB$6,Input!$G$90:$Q$90)-CB$31),))*IF(Input!$F108=PerMonth,1,1/12),1/12)</f>
        <v>5320</v>
      </c>
      <c r="CC143" s="635">
        <f>SUMIF(Input!$G$105:$Q$105,CC$6,Input!$G108:$Q108)*IFERROR(CHOOSE(MATCH(Input!$E108,OIUnitType,),1,CC$13,MAX(CC$13*(1-SUMIF(Input!$G$89:$Q$89,CC$6,Input!$G$90:$Q$90)-CC$31),))*IF(Input!$F108=PerMonth,1,1/12),1/12)</f>
        <v>5320</v>
      </c>
      <c r="CD143" s="635">
        <f>SUMIF(Input!$G$105:$Q$105,CD$6,Input!$G108:$Q108)*IFERROR(CHOOSE(MATCH(Input!$E108,OIUnitType,),1,CD$13,MAX(CD$13*(1-SUMIF(Input!$G$89:$Q$89,CD$6,Input!$G$90:$Q$90)-CD$31),))*IF(Input!$F108=PerMonth,1,1/12),1/12)</f>
        <v>5320</v>
      </c>
      <c r="CE143" s="635">
        <f>SUMIF(Input!$G$105:$Q$105,CE$6,Input!$G108:$Q108)*IFERROR(CHOOSE(MATCH(Input!$E108,OIUnitType,),1,CE$13,MAX(CE$13*(1-SUMIF(Input!$G$89:$Q$89,CE$6,Input!$G$90:$Q$90)-CE$31),))*IF(Input!$F108=PerMonth,1,1/12),1/12)</f>
        <v>5320</v>
      </c>
      <c r="CF143" s="635">
        <f>SUMIF(Input!$G$105:$Q$105,CF$6,Input!$G108:$Q108)*IFERROR(CHOOSE(MATCH(Input!$E108,OIUnitType,),1,CF$13,MAX(CF$13*(1-SUMIF(Input!$G$89:$Q$89,CF$6,Input!$G$90:$Q$90)-CF$31),))*IF(Input!$F108=PerMonth,1,1/12),1/12)</f>
        <v>5320</v>
      </c>
      <c r="CG143" s="635">
        <f>SUMIF(Input!$G$105:$Q$105,CG$6,Input!$G108:$Q108)*IFERROR(CHOOSE(MATCH(Input!$E108,OIUnitType,),1,CG$13,MAX(CG$13*(1-SUMIF(Input!$G$89:$Q$89,CG$6,Input!$G$90:$Q$90)-CG$31),))*IF(Input!$F108=PerMonth,1,1/12),1/12)</f>
        <v>5320</v>
      </c>
      <c r="CH143" s="635">
        <f>SUMIF(Input!$G$105:$Q$105,CH$6,Input!$G108:$Q108)*IFERROR(CHOOSE(MATCH(Input!$E108,OIUnitType,),1,CH$13,MAX(CH$13*(1-SUMIF(Input!$G$89:$Q$89,CH$6,Input!$G$90:$Q$90)-CH$31),))*IF(Input!$F108=PerMonth,1,1/12),1/12)</f>
        <v>5320</v>
      </c>
      <c r="CI143" s="635">
        <f>SUMIF(Input!$G$105:$Q$105,CI$6,Input!$G108:$Q108)*IFERROR(CHOOSE(MATCH(Input!$E108,OIUnitType,),1,CI$13,MAX(CI$13*(1-SUMIF(Input!$G$89:$Q$89,CI$6,Input!$G$90:$Q$90)-CI$31),))*IF(Input!$F108=PerMonth,1,1/12),1/12)</f>
        <v>5320</v>
      </c>
      <c r="CJ143" s="635">
        <f>SUMIF(Input!$G$105:$Q$105,CJ$6,Input!$G108:$Q108)*IFERROR(CHOOSE(MATCH(Input!$E108,OIUnitType,),1,CJ$13,MAX(CJ$13*(1-SUMIF(Input!$G$89:$Q$89,CJ$6,Input!$G$90:$Q$90)-CJ$31),))*IF(Input!$F108=PerMonth,1,1/12),1/12)</f>
        <v>5320</v>
      </c>
      <c r="CK143" s="635">
        <f>SUMIF(Input!$G$105:$Q$105,CK$6,Input!$G108:$Q108)*IFERROR(CHOOSE(MATCH(Input!$E108,OIUnitType,),1,CK$13,MAX(CK$13*(1-SUMIF(Input!$G$89:$Q$89,CK$6,Input!$G$90:$Q$90)-CK$31),))*IF(Input!$F108=PerMonth,1,1/12),1/12)</f>
        <v>5320</v>
      </c>
      <c r="CL143" s="635">
        <f>SUMIF(Input!$G$105:$Q$105,CL$6,Input!$G108:$Q108)*IFERROR(CHOOSE(MATCH(Input!$E108,OIUnitType,),1,CL$13,MAX(CL$13*(1-SUMIF(Input!$G$89:$Q$89,CL$6,Input!$G$90:$Q$90)-CL$31),))*IF(Input!$F108=PerMonth,1,1/12),1/12)</f>
        <v>5320</v>
      </c>
      <c r="CM143" s="635">
        <f>SUMIF(Input!$G$105:$Q$105,CM$6,Input!$G108:$Q108)*IFERROR(CHOOSE(MATCH(Input!$E108,OIUnitType,),1,CM$13,MAX(CM$13*(1-SUMIF(Input!$G$89:$Q$89,CM$6,Input!$G$90:$Q$90)-CM$31),))*IF(Input!$F108=PerMonth,1,1/12),1/12)</f>
        <v>5320</v>
      </c>
      <c r="CN143" s="635">
        <f>SUMIF(Input!$G$105:$Q$105,CN$6,Input!$G108:$Q108)*IFERROR(CHOOSE(MATCH(Input!$E108,OIUnitType,),1,CN$13,MAX(CN$13*(1-SUMIF(Input!$G$89:$Q$89,CN$6,Input!$G$90:$Q$90)-CN$31),))*IF(Input!$F108=PerMonth,1,1/12),1/12)</f>
        <v>5320</v>
      </c>
      <c r="CO143" s="635">
        <f>SUMIF(Input!$G$105:$Q$105,CO$6,Input!$G108:$Q108)*IFERROR(CHOOSE(MATCH(Input!$E108,OIUnitType,),1,CO$13,MAX(CO$13*(1-SUMIF(Input!$G$89:$Q$89,CO$6,Input!$G$90:$Q$90)-CO$31),))*IF(Input!$F108=PerMonth,1,1/12),1/12)</f>
        <v>5320</v>
      </c>
      <c r="CP143" s="635">
        <f>SUMIF(Input!$G$105:$Q$105,CP$6,Input!$G108:$Q108)*IFERROR(CHOOSE(MATCH(Input!$E108,OIUnitType,),1,CP$13,MAX(CP$13*(1-SUMIF(Input!$G$89:$Q$89,CP$6,Input!$G$90:$Q$90)-CP$31),))*IF(Input!$F108=PerMonth,1,1/12),1/12)</f>
        <v>5320</v>
      </c>
      <c r="CQ143" s="635">
        <f>SUMIF(Input!$G$105:$Q$105,CQ$6,Input!$G108:$Q108)*IFERROR(CHOOSE(MATCH(Input!$E108,OIUnitType,),1,CQ$13,MAX(CQ$13*(1-SUMIF(Input!$G$89:$Q$89,CQ$6,Input!$G$90:$Q$90)-CQ$31),))*IF(Input!$F108=PerMonth,1,1/12),1/12)</f>
        <v>5320</v>
      </c>
      <c r="CR143" s="635">
        <f>SUMIF(Input!$G$105:$Q$105,CR$6,Input!$G108:$Q108)*IFERROR(CHOOSE(MATCH(Input!$E108,OIUnitType,),1,CR$13,MAX(CR$13*(1-SUMIF(Input!$G$89:$Q$89,CR$6,Input!$G$90:$Q$90)-CR$31),))*IF(Input!$F108=PerMonth,1,1/12),1/12)</f>
        <v>5320</v>
      </c>
      <c r="CS143" s="635">
        <f>SUMIF(Input!$G$105:$Q$105,CS$6,Input!$G108:$Q108)*IFERROR(CHOOSE(MATCH(Input!$E108,OIUnitType,),1,CS$13,MAX(CS$13*(1-SUMIF(Input!$G$89:$Q$89,CS$6,Input!$G$90:$Q$90)-CS$31),))*IF(Input!$F108=PerMonth,1,1/12),1/12)</f>
        <v>5320</v>
      </c>
      <c r="CT143" s="635">
        <f>SUMIF(Input!$G$105:$Q$105,CT$6,Input!$G108:$Q108)*IFERROR(CHOOSE(MATCH(Input!$E108,OIUnitType,),1,CT$13,MAX(CT$13*(1-SUMIF(Input!$G$89:$Q$89,CT$6,Input!$G$90:$Q$90)-CT$31),))*IF(Input!$F108=PerMonth,1,1/12),1/12)</f>
        <v>5320</v>
      </c>
      <c r="CU143" s="635">
        <f>SUMIF(Input!$G$105:$Q$105,CU$6,Input!$G108:$Q108)*IFERROR(CHOOSE(MATCH(Input!$E108,OIUnitType,),1,CU$13,MAX(CU$13*(1-SUMIF(Input!$G$89:$Q$89,CU$6,Input!$G$90:$Q$90)-CU$31),))*IF(Input!$F108=PerMonth,1,1/12),1/12)</f>
        <v>5320</v>
      </c>
      <c r="CV143" s="635">
        <f>SUMIF(Input!$G$105:$Q$105,CV$6,Input!$G108:$Q108)*IFERROR(CHOOSE(MATCH(Input!$E108,OIUnitType,),1,CV$13,MAX(CV$13*(1-SUMIF(Input!$G$89:$Q$89,CV$6,Input!$G$90:$Q$90)-CV$31),))*IF(Input!$F108=PerMonth,1,1/12),1/12)</f>
        <v>5320</v>
      </c>
      <c r="CW143" s="635">
        <f>SUMIF(Input!$G$105:$Q$105,CW$6,Input!$G108:$Q108)*IFERROR(CHOOSE(MATCH(Input!$E108,OIUnitType,),1,CW$13,MAX(CW$13*(1-SUMIF(Input!$G$89:$Q$89,CW$6,Input!$G$90:$Q$90)-CW$31),))*IF(Input!$F108=PerMonth,1,1/12),1/12)</f>
        <v>5320</v>
      </c>
      <c r="CX143" s="635">
        <f>SUMIF(Input!$G$105:$Q$105,CX$6,Input!$G108:$Q108)*IFERROR(CHOOSE(MATCH(Input!$E108,OIUnitType,),1,CX$13,MAX(CX$13*(1-SUMIF(Input!$G$89:$Q$89,CX$6,Input!$G$90:$Q$90)-CX$31),))*IF(Input!$F108=PerMonth,1,1/12),1/12)</f>
        <v>5320</v>
      </c>
      <c r="CY143" s="635">
        <f>SUMIF(Input!$G$105:$Q$105,CY$6,Input!$G108:$Q108)*IFERROR(CHOOSE(MATCH(Input!$E108,OIUnitType,),1,CY$13,MAX(CY$13*(1-SUMIF(Input!$G$89:$Q$89,CY$6,Input!$G$90:$Q$90)-CY$31),))*IF(Input!$F108=PerMonth,1,1/12),1/12)</f>
        <v>5320</v>
      </c>
      <c r="CZ143" s="635">
        <f>SUMIF(Input!$G$105:$Q$105,CZ$6,Input!$G108:$Q108)*IFERROR(CHOOSE(MATCH(Input!$E108,OIUnitType,),1,CZ$13,MAX(CZ$13*(1-SUMIF(Input!$G$89:$Q$89,CZ$6,Input!$G$90:$Q$90)-CZ$31),))*IF(Input!$F108=PerMonth,1,1/12),1/12)</f>
        <v>5320</v>
      </c>
      <c r="DA143" s="635">
        <f>SUMIF(Input!$G$105:$Q$105,DA$6,Input!$G108:$Q108)*IFERROR(CHOOSE(MATCH(Input!$E108,OIUnitType,),1,DA$13,MAX(DA$13*(1-SUMIF(Input!$G$89:$Q$89,DA$6,Input!$G$90:$Q$90)-DA$31),))*IF(Input!$F108=PerMonth,1,1/12),1/12)</f>
        <v>5320</v>
      </c>
      <c r="DB143" s="635">
        <f>SUMIF(Input!$G$105:$Q$105,DB$6,Input!$G108:$Q108)*IFERROR(CHOOSE(MATCH(Input!$E108,OIUnitType,),1,DB$13,MAX(DB$13*(1-SUMIF(Input!$G$89:$Q$89,DB$6,Input!$G$90:$Q$90)-DB$31),))*IF(Input!$F108=PerMonth,1,1/12),1/12)</f>
        <v>5320</v>
      </c>
      <c r="DC143" s="635">
        <f>SUMIF(Input!$G$105:$Q$105,DC$6,Input!$G108:$Q108)*IFERROR(CHOOSE(MATCH(Input!$E108,OIUnitType,),1,DC$13,MAX(DC$13*(1-SUMIF(Input!$G$89:$Q$89,DC$6,Input!$G$90:$Q$90)-DC$31),))*IF(Input!$F108=PerMonth,1,1/12),1/12)</f>
        <v>5320</v>
      </c>
      <c r="DD143" s="635">
        <f>SUMIF(Input!$G$105:$Q$105,DD$6,Input!$G108:$Q108)*IFERROR(CHOOSE(MATCH(Input!$E108,OIUnitType,),1,DD$13,MAX(DD$13*(1-SUMIF(Input!$G$89:$Q$89,DD$6,Input!$G$90:$Q$90)-DD$31),))*IF(Input!$F108=PerMonth,1,1/12),1/12)</f>
        <v>5320</v>
      </c>
      <c r="DE143" s="635">
        <f>SUMIF(Input!$G$105:$Q$105,DE$6,Input!$G108:$Q108)*IFERROR(CHOOSE(MATCH(Input!$E108,OIUnitType,),1,DE$13,MAX(DE$13*(1-SUMIF(Input!$G$89:$Q$89,DE$6,Input!$G$90:$Q$90)-DE$31),))*IF(Input!$F108=PerMonth,1,1/12),1/12)</f>
        <v>5320</v>
      </c>
      <c r="DF143" s="635">
        <f>SUMIF(Input!$G$105:$Q$105,DF$6,Input!$G108:$Q108)*IFERROR(CHOOSE(MATCH(Input!$E108,OIUnitType,),1,DF$13,MAX(DF$13*(1-SUMIF(Input!$G$89:$Q$89,DF$6,Input!$G$90:$Q$90)-DF$31),))*IF(Input!$F108=PerMonth,1,1/12),1/12)</f>
        <v>5320</v>
      </c>
      <c r="DG143" s="635">
        <f>SUMIF(Input!$G$105:$Q$105,DG$6,Input!$G108:$Q108)*IFERROR(CHOOSE(MATCH(Input!$E108,OIUnitType,),1,DG$13,MAX(DG$13*(1-SUMIF(Input!$G$89:$Q$89,DG$6,Input!$G$90:$Q$90)-DG$31),))*IF(Input!$F108=PerMonth,1,1/12),1/12)</f>
        <v>5320</v>
      </c>
      <c r="DH143" s="635">
        <f>SUMIF(Input!$G$105:$Q$105,DH$6,Input!$G108:$Q108)*IFERROR(CHOOSE(MATCH(Input!$E108,OIUnitType,),1,DH$13,MAX(DH$13*(1-SUMIF(Input!$G$89:$Q$89,DH$6,Input!$G$90:$Q$90)-DH$31),))*IF(Input!$F108=PerMonth,1,1/12),1/12)</f>
        <v>5320</v>
      </c>
      <c r="DI143" s="635">
        <f>SUMIF(Input!$G$105:$Q$105,DI$6,Input!$G108:$Q108)*IFERROR(CHOOSE(MATCH(Input!$E108,OIUnitType,),1,DI$13,MAX(DI$13*(1-SUMIF(Input!$G$89:$Q$89,DI$6,Input!$G$90:$Q$90)-DI$31),))*IF(Input!$F108=PerMonth,1,1/12),1/12)</f>
        <v>5320</v>
      </c>
      <c r="DJ143" s="635">
        <f>SUMIF(Input!$G$105:$Q$105,DJ$6,Input!$G108:$Q108)*IFERROR(CHOOSE(MATCH(Input!$E108,OIUnitType,),1,DJ$13,MAX(DJ$13*(1-SUMIF(Input!$G$89:$Q$89,DJ$6,Input!$G$90:$Q$90)-DJ$31),))*IF(Input!$F108=PerMonth,1,1/12),1/12)</f>
        <v>5320</v>
      </c>
      <c r="DK143" s="635">
        <f>SUMIF(Input!$G$105:$Q$105,DK$6,Input!$G108:$Q108)*IFERROR(CHOOSE(MATCH(Input!$E108,OIUnitType,),1,DK$13,MAX(DK$13*(1-SUMIF(Input!$G$89:$Q$89,DK$6,Input!$G$90:$Q$90)-DK$31),))*IF(Input!$F108=PerMonth,1,1/12),1/12)</f>
        <v>5320</v>
      </c>
      <c r="DL143" s="635">
        <f>SUMIF(Input!$G$105:$Q$105,DL$6,Input!$G108:$Q108)*IFERROR(CHOOSE(MATCH(Input!$E108,OIUnitType,),1,DL$13,MAX(DL$13*(1-SUMIF(Input!$G$89:$Q$89,DL$6,Input!$G$90:$Q$90)-DL$31),))*IF(Input!$F108=PerMonth,1,1/12),1/12)</f>
        <v>5320</v>
      </c>
      <c r="DM143" s="635">
        <f>SUMIF(Input!$G$105:$Q$105,DM$6,Input!$G108:$Q108)*IFERROR(CHOOSE(MATCH(Input!$E108,OIUnitType,),1,DM$13,MAX(DM$13*(1-SUMIF(Input!$G$89:$Q$89,DM$6,Input!$G$90:$Q$90)-DM$31),))*IF(Input!$F108=PerMonth,1,1/12),1/12)</f>
        <v>5320</v>
      </c>
      <c r="DN143" s="635">
        <f>SUMIF(Input!$G$105:$Q$105,DN$6,Input!$G108:$Q108)*IFERROR(CHOOSE(MATCH(Input!$E108,OIUnitType,),1,DN$13,MAX(DN$13*(1-SUMIF(Input!$G$89:$Q$89,DN$6,Input!$G$90:$Q$90)-DN$31),))*IF(Input!$F108=PerMonth,1,1/12),1/12)</f>
        <v>5320</v>
      </c>
      <c r="DO143" s="635">
        <f>SUMIF(Input!$G$105:$Q$105,DO$6,Input!$G108:$Q108)*IFERROR(CHOOSE(MATCH(Input!$E108,OIUnitType,),1,DO$13,MAX(DO$13*(1-SUMIF(Input!$G$89:$Q$89,DO$6,Input!$G$90:$Q$90)-DO$31),))*IF(Input!$F108=PerMonth,1,1/12),1/12)</f>
        <v>5320</v>
      </c>
      <c r="DP143" s="635">
        <f>SUMIF(Input!$G$105:$Q$105,DP$6,Input!$G108:$Q108)*IFERROR(CHOOSE(MATCH(Input!$E108,OIUnitType,),1,DP$13,MAX(DP$13*(1-SUMIF(Input!$G$89:$Q$89,DP$6,Input!$G$90:$Q$90)-DP$31),))*IF(Input!$F108=PerMonth,1,1/12),1/12)</f>
        <v>5320</v>
      </c>
      <c r="DQ143" s="635">
        <f>SUMIF(Input!$G$105:$Q$105,DQ$6,Input!$G108:$Q108)*IFERROR(CHOOSE(MATCH(Input!$E108,OIUnitType,),1,DQ$13,MAX(DQ$13*(1-SUMIF(Input!$G$89:$Q$89,DQ$6,Input!$G$90:$Q$90)-DQ$31),))*IF(Input!$F108=PerMonth,1,1/12),1/12)</f>
        <v>5320</v>
      </c>
      <c r="DR143" s="635">
        <f>SUMIF(Input!$G$105:$Q$105,DR$6,Input!$G108:$Q108)*IFERROR(CHOOSE(MATCH(Input!$E108,OIUnitType,),1,DR$13,MAX(DR$13*(1-SUMIF(Input!$G$89:$Q$89,DR$6,Input!$G$90:$Q$90)-DR$31),))*IF(Input!$F108=PerMonth,1,1/12),1/12)</f>
        <v>5320</v>
      </c>
      <c r="DS143" s="635">
        <f>SUMIF(Input!$G$105:$Q$105,DS$6,Input!$G108:$Q108)*IFERROR(CHOOSE(MATCH(Input!$E108,OIUnitType,),1,DS$13,MAX(DS$13*(1-SUMIF(Input!$G$89:$Q$89,DS$6,Input!$G$90:$Q$90)-DS$31),))*IF(Input!$F108=PerMonth,1,1/12),1/12)</f>
        <v>5320</v>
      </c>
      <c r="DT143" s="635">
        <f>SUMIF(Input!$G$105:$Q$105,DT$6,Input!$G108:$Q108)*IFERROR(CHOOSE(MATCH(Input!$E108,OIUnitType,),1,DT$13,MAX(DT$13*(1-SUMIF(Input!$G$89:$Q$89,DT$6,Input!$G$90:$Q$90)-DT$31),))*IF(Input!$F108=PerMonth,1,1/12),1/12)</f>
        <v>5320</v>
      </c>
      <c r="DU143" s="635">
        <f>SUMIF(Input!$G$105:$Q$105,DU$6,Input!$G108:$Q108)*IFERROR(CHOOSE(MATCH(Input!$E108,OIUnitType,),1,DU$13,MAX(DU$13*(1-SUMIF(Input!$G$89:$Q$89,DU$6,Input!$G$90:$Q$90)-DU$31),))*IF(Input!$F108=PerMonth,1,1/12),1/12)</f>
        <v>5320</v>
      </c>
      <c r="DV143" s="635">
        <f>SUMIF(Input!$G$105:$Q$105,DV$6,Input!$G108:$Q108)*IFERROR(CHOOSE(MATCH(Input!$E108,OIUnitType,),1,DV$13,MAX(DV$13*(1-SUMIF(Input!$G$89:$Q$89,DV$6,Input!$G$90:$Q$90)-DV$31),))*IF(Input!$F108=PerMonth,1,1/12),1/12)</f>
        <v>5320</v>
      </c>
      <c r="DW143" s="635">
        <f>SUMIF(Input!$G$105:$Q$105,DW$6,Input!$G108:$Q108)*IFERROR(CHOOSE(MATCH(Input!$E108,OIUnitType,),1,DW$13,MAX(DW$13*(1-SUMIF(Input!$G$89:$Q$89,DW$6,Input!$G$90:$Q$90)-DW$31),))*IF(Input!$F108=PerMonth,1,1/12),1/12)</f>
        <v>5320</v>
      </c>
      <c r="DX143" s="635">
        <f>SUMIF(Input!$G$105:$Q$105,DX$6,Input!$G108:$Q108)*IFERROR(CHOOSE(MATCH(Input!$E108,OIUnitType,),1,DX$13,MAX(DX$13*(1-SUMIF(Input!$G$89:$Q$89,DX$6,Input!$G$90:$Q$90)-DX$31),))*IF(Input!$F108=PerMonth,1,1/12),1/12)</f>
        <v>5320</v>
      </c>
      <c r="DY143" s="635">
        <f>SUMIF(Input!$G$105:$Q$105,DY$6,Input!$G108:$Q108)*IFERROR(CHOOSE(MATCH(Input!$E108,OIUnitType,),1,DY$13,MAX(DY$13*(1-SUMIF(Input!$G$89:$Q$89,DY$6,Input!$G$90:$Q$90)-DY$31),))*IF(Input!$F108=PerMonth,1,1/12),1/12)</f>
        <v>5320</v>
      </c>
      <c r="DZ143" s="635">
        <f>SUMIF(Input!$G$105:$Q$105,DZ$6,Input!$G108:$Q108)*IFERROR(CHOOSE(MATCH(Input!$E108,OIUnitType,),1,DZ$13,MAX(DZ$13*(1-SUMIF(Input!$G$89:$Q$89,DZ$6,Input!$G$90:$Q$90)-DZ$31),))*IF(Input!$F108=PerMonth,1,1/12),1/12)</f>
        <v>5320</v>
      </c>
      <c r="EA143" s="635">
        <f>SUMIF(Input!$G$105:$Q$105,EA$6,Input!$G108:$Q108)*IFERROR(CHOOSE(MATCH(Input!$E108,OIUnitType,),1,EA$13,MAX(EA$13*(1-SUMIF(Input!$G$89:$Q$89,EA$6,Input!$G$90:$Q$90)-EA$31),))*IF(Input!$F108=PerMonth,1,1/12),1/12)</f>
        <v>5320</v>
      </c>
      <c r="EB143" s="635">
        <f>SUMIF(Input!$G$105:$Q$105,EB$6,Input!$G108:$Q108)*IFERROR(CHOOSE(MATCH(Input!$E108,OIUnitType,),1,EB$13,MAX(EB$13*(1-SUMIF(Input!$G$89:$Q$89,EB$6,Input!$G$90:$Q$90)-EB$31),))*IF(Input!$F108=PerMonth,1,1/12),1/12)</f>
        <v>5320</v>
      </c>
      <c r="EC143" s="635">
        <f>SUMIF(Input!$G$105:$Q$105,EC$6,Input!$G108:$Q108)*IFERROR(CHOOSE(MATCH(Input!$E108,OIUnitType,),1,EC$13,MAX(EC$13*(1-SUMIF(Input!$G$89:$Q$89,EC$6,Input!$G$90:$Q$90)-EC$31),))*IF(Input!$F108=PerMonth,1,1/12),1/12)</f>
        <v>5320</v>
      </c>
      <c r="ED143" s="635">
        <f>SUMIF(Input!$G$105:$Q$105,ED$6,Input!$G108:$Q108)*IFERROR(CHOOSE(MATCH(Input!$E108,OIUnitType,),1,ED$13,MAX(ED$13*(1-SUMIF(Input!$G$89:$Q$89,ED$6,Input!$G$90:$Q$90)-ED$31),))*IF(Input!$F108=PerMonth,1,1/12),1/12)</f>
        <v>5320</v>
      </c>
      <c r="EE143" s="635">
        <f>SUMIF(Input!$G$105:$Q$105,EE$6,Input!$G108:$Q108)*IFERROR(CHOOSE(MATCH(Input!$E108,OIUnitType,),1,EE$13,MAX(EE$13*(1-SUMIF(Input!$G$89:$Q$89,EE$6,Input!$G$90:$Q$90)-EE$31),))*IF(Input!$F108=PerMonth,1,1/12),1/12)</f>
        <v>5320</v>
      </c>
      <c r="EF143" s="635">
        <f>SUMIF(Input!$G$105:$Q$105,EF$6,Input!$G108:$Q108)*IFERROR(CHOOSE(MATCH(Input!$E108,OIUnitType,),1,EF$13,MAX(EF$13*(1-SUMIF(Input!$G$89:$Q$89,EF$6,Input!$G$90:$Q$90)-EF$31),))*IF(Input!$F108=PerMonth,1,1/12),1/12)</f>
        <v>5320</v>
      </c>
      <c r="EG143" s="635">
        <f>SUMIF(Input!$G$105:$Q$105,EG$6,Input!$G108:$Q108)*IFERROR(CHOOSE(MATCH(Input!$E108,OIUnitType,),1,EG$13,MAX(EG$13*(1-SUMIF(Input!$G$89:$Q$89,EG$6,Input!$G$90:$Q$90)-EG$31),))*IF(Input!$F108=PerMonth,1,1/12),1/12)</f>
        <v>5320</v>
      </c>
      <c r="EH143" s="635">
        <f>SUMIF(Input!$G$105:$Q$105,EH$6,Input!$G108:$Q108)*IFERROR(CHOOSE(MATCH(Input!$E108,OIUnitType,),1,EH$13,MAX(EH$13*(1-SUMIF(Input!$G$89:$Q$89,EH$6,Input!$G$90:$Q$90)-EH$31),))*IF(Input!$F108=PerMonth,1,1/12),1/12)</f>
        <v>5320</v>
      </c>
      <c r="EI143" s="635">
        <f>SUMIF(Input!$G$105:$Q$105,EI$6,Input!$G108:$Q108)*IFERROR(CHOOSE(MATCH(Input!$E108,OIUnitType,),1,EI$13,MAX(EI$13*(1-SUMIF(Input!$G$89:$Q$89,EI$6,Input!$G$90:$Q$90)-EI$31),))*IF(Input!$F108=PerMonth,1,1/12),1/12)</f>
        <v>5320</v>
      </c>
      <c r="EJ143" s="635">
        <f>SUMIF(Input!$G$105:$Q$105,EJ$6,Input!$G108:$Q108)*IFERROR(CHOOSE(MATCH(Input!$E108,OIUnitType,),1,EJ$13,MAX(EJ$13*(1-SUMIF(Input!$G$89:$Q$89,EJ$6,Input!$G$90:$Q$90)-EJ$31),))*IF(Input!$F108=PerMonth,1,1/12),1/12)</f>
        <v>5320</v>
      </c>
      <c r="EK143" s="635">
        <f>SUMIF(Input!$G$105:$Q$105,EK$6,Input!$G108:$Q108)*IFERROR(CHOOSE(MATCH(Input!$E108,OIUnitType,),1,EK$13,MAX(EK$13*(1-SUMIF(Input!$G$89:$Q$89,EK$6,Input!$G$90:$Q$90)-EK$31),))*IF(Input!$F108=PerMonth,1,1/12),1/12)</f>
        <v>5320</v>
      </c>
      <c r="EL143" s="635">
        <f>SUMIF(Input!$G$105:$Q$105,EL$6,Input!$G108:$Q108)*IFERROR(CHOOSE(MATCH(Input!$E108,OIUnitType,),1,EL$13,MAX(EL$13*(1-SUMIF(Input!$G$89:$Q$89,EL$6,Input!$G$90:$Q$90)-EL$31),))*IF(Input!$F108=PerMonth,1,1/12),1/12)</f>
        <v>5320</v>
      </c>
      <c r="EM143" s="635">
        <f>SUMIF(Input!$G$105:$Q$105,EM$6,Input!$G108:$Q108)*IFERROR(CHOOSE(MATCH(Input!$E108,OIUnitType,),1,EM$13,MAX(EM$13*(1-SUMIF(Input!$G$89:$Q$89,EM$6,Input!$G$90:$Q$90)-EM$31),))*IF(Input!$F108=PerMonth,1,1/12),1/12)</f>
        <v>5320</v>
      </c>
      <c r="EN143" s="635">
        <f>SUMIF(Input!$G$105:$Q$105,EN$6,Input!$G108:$Q108)*IFERROR(CHOOSE(MATCH(Input!$E108,OIUnitType,),1,EN$13,MAX(EN$13*(1-SUMIF(Input!$G$89:$Q$89,EN$6,Input!$G$90:$Q$90)-EN$31),))*IF(Input!$F108=PerMonth,1,1/12),1/12)</f>
        <v>5320</v>
      </c>
      <c r="EO143" s="635">
        <f>SUMIF(Input!$G$105:$Q$105,EO$6,Input!$G108:$Q108)*IFERROR(CHOOSE(MATCH(Input!$E108,OIUnitType,),1,EO$13,MAX(EO$13*(1-SUMIF(Input!$G$89:$Q$89,EO$6,Input!$G$90:$Q$90)-EO$31),))*IF(Input!$F108=PerMonth,1,1/12),1/12)</f>
        <v>5320</v>
      </c>
      <c r="EP143" s="635">
        <f>SUMIF(Input!$G$105:$Q$105,EP$6,Input!$G108:$Q108)*IFERROR(CHOOSE(MATCH(Input!$E108,OIUnitType,),1,EP$13,MAX(EP$13*(1-SUMIF(Input!$G$89:$Q$89,EP$6,Input!$G$90:$Q$90)-EP$31),))*IF(Input!$F108=PerMonth,1,1/12),1/12)</f>
        <v>5320</v>
      </c>
      <c r="EQ143" s="635">
        <f>SUMIF(Input!$G$105:$Q$105,EQ$6,Input!$G108:$Q108)*IFERROR(CHOOSE(MATCH(Input!$E108,OIUnitType,),1,EQ$13,MAX(EQ$13*(1-SUMIF(Input!$G$89:$Q$89,EQ$6,Input!$G$90:$Q$90)-EQ$31),))*IF(Input!$F108=PerMonth,1,1/12),1/12)</f>
        <v>5320</v>
      </c>
      <c r="ER143" s="635">
        <f>SUMIF(Input!$G$105:$Q$105,ER$6,Input!$G108:$Q108)*IFERROR(CHOOSE(MATCH(Input!$E108,OIUnitType,),1,ER$13,MAX(ER$13*(1-SUMIF(Input!$G$89:$Q$89,ER$6,Input!$G$90:$Q$90)-ER$31),))*IF(Input!$F108=PerMonth,1,1/12),1/12)</f>
        <v>5320</v>
      </c>
      <c r="ES143" s="635">
        <f>SUMIF(Input!$G$105:$Q$105,ES$6,Input!$G108:$Q108)*IFERROR(CHOOSE(MATCH(Input!$E108,OIUnitType,),1,ES$13,MAX(ES$13*(1-SUMIF(Input!$G$89:$Q$89,ES$6,Input!$G$90:$Q$90)-ES$31),))*IF(Input!$F108=PerMonth,1,1/12),1/12)</f>
        <v>5320</v>
      </c>
      <c r="ET143" s="192"/>
    </row>
    <row r="144" spans="1:150">
      <c r="A144" s="192"/>
      <c r="B144" s="36" t="str">
        <f>IF(Input!B109="","",Input!B109)</f>
        <v>Pest Income</v>
      </c>
      <c r="C144" s="635">
        <f t="shared" si="141"/>
        <v>6384</v>
      </c>
      <c r="D144" s="635">
        <f t="shared" si="141"/>
        <v>6384</v>
      </c>
      <c r="E144" s="635">
        <f t="shared" si="141"/>
        <v>6384</v>
      </c>
      <c r="F144" s="635">
        <f t="shared" si="141"/>
        <v>6384</v>
      </c>
      <c r="G144" s="635">
        <f t="shared" si="141"/>
        <v>6384</v>
      </c>
      <c r="H144" s="635">
        <f t="shared" si="141"/>
        <v>6384</v>
      </c>
      <c r="I144" s="635">
        <f t="shared" si="141"/>
        <v>6384</v>
      </c>
      <c r="J144" s="635">
        <f t="shared" si="141"/>
        <v>6384</v>
      </c>
      <c r="K144" s="635">
        <f t="shared" si="141"/>
        <v>6384</v>
      </c>
      <c r="L144" s="635">
        <f t="shared" si="141"/>
        <v>6384</v>
      </c>
      <c r="M144" s="635">
        <f t="shared" si="141"/>
        <v>6384</v>
      </c>
      <c r="N144" s="192"/>
      <c r="O144" s="635">
        <f t="shared" si="142"/>
        <v>6384</v>
      </c>
      <c r="P144" s="192"/>
      <c r="Q144" s="37"/>
      <c r="R144" s="635">
        <f>SUMIF(Input!$G$105:$Q$105,R$6,Input!$G109:$Q109)*IFERROR(CHOOSE(MATCH(Input!$E109,OIUnitType,),1,R$13,MAX(R$13*(1+SUM(R$72:R$73)/R$71),))*IF(Input!$F109=PerMonth,1,1/12),1/12)</f>
        <v>532</v>
      </c>
      <c r="S144" s="635">
        <f>SUMIF(Input!$G$105:$Q$105,S$6,Input!$G109:$Q109)*IFERROR(CHOOSE(MATCH(Input!$E109,OIUnitType,),1,S$13,MAX(S$13*(1+SUM(S$72:S$73)/S$71),))*IF(Input!$F109=PerMonth,1,1/12),1/12)</f>
        <v>532</v>
      </c>
      <c r="T144" s="635">
        <f>SUMIF(Input!$G$105:$Q$105,T$6,Input!$G109:$Q109)*IFERROR(CHOOSE(MATCH(Input!$E109,OIUnitType,),1,T$13,MAX(T$13*(1+SUM(T$72:T$73)/T$71),))*IF(Input!$F109=PerMonth,1,1/12),1/12)</f>
        <v>532</v>
      </c>
      <c r="U144" s="635">
        <f>SUMIF(Input!$G$105:$Q$105,U$6,Input!$G109:$Q109)*IFERROR(CHOOSE(MATCH(Input!$E109,OIUnitType,),1,U$13,MAX(U$13*(1+SUM(U$72:U$73)/U$71),))*IF(Input!$F109=PerMonth,1,1/12),1/12)</f>
        <v>532</v>
      </c>
      <c r="V144" s="635">
        <f>SUMIF(Input!$G$105:$Q$105,V$6,Input!$G109:$Q109)*IFERROR(CHOOSE(MATCH(Input!$E109,OIUnitType,),1,V$13,MAX(V$13*(1+SUM(V$72:V$73)/V$71),))*IF(Input!$F109=PerMonth,1,1/12),1/12)</f>
        <v>532</v>
      </c>
      <c r="W144" s="635">
        <f>SUMIF(Input!$G$105:$Q$105,W$6,Input!$G109:$Q109)*IFERROR(CHOOSE(MATCH(Input!$E109,OIUnitType,),1,W$13,MAX(W$13*(1+SUM(W$72:W$73)/W$71),))*IF(Input!$F109=PerMonth,1,1/12),1/12)</f>
        <v>532</v>
      </c>
      <c r="X144" s="635">
        <f>SUMIF(Input!$G$105:$Q$105,X$6,Input!$G109:$Q109)*IFERROR(CHOOSE(MATCH(Input!$E109,OIUnitType,),1,X$13,MAX(X$13*(1+SUM(X$72:X$73)/X$71),))*IF(Input!$F109=PerMonth,1,1/12),1/12)</f>
        <v>532</v>
      </c>
      <c r="Y144" s="635">
        <f>SUMIF(Input!$G$105:$Q$105,Y$6,Input!$G109:$Q109)*IFERROR(CHOOSE(MATCH(Input!$E109,OIUnitType,),1,Y$13,MAX(Y$13*(1+SUM(Y$72:Y$73)/Y$71),))*IF(Input!$F109=PerMonth,1,1/12),1/12)</f>
        <v>532</v>
      </c>
      <c r="Z144" s="635">
        <f>SUMIF(Input!$G$105:$Q$105,Z$6,Input!$G109:$Q109)*IFERROR(CHOOSE(MATCH(Input!$E109,OIUnitType,),1,Z$13,MAX(Z$13*(1+SUM(Z$72:Z$73)/Z$71),))*IF(Input!$F109=PerMonth,1,1/12),1/12)</f>
        <v>532</v>
      </c>
      <c r="AA144" s="635">
        <f>SUMIF(Input!$G$105:$Q$105,AA$6,Input!$G109:$Q109)*IFERROR(CHOOSE(MATCH(Input!$E109,OIUnitType,),1,AA$13,MAX(AA$13*(1+SUM(AA$72:AA$73)/AA$71),))*IF(Input!$F109=PerMonth,1,1/12),1/12)</f>
        <v>532</v>
      </c>
      <c r="AB144" s="635">
        <f>SUMIF(Input!$G$105:$Q$105,AB$6,Input!$G109:$Q109)*IFERROR(CHOOSE(MATCH(Input!$E109,OIUnitType,),1,AB$13,MAX(AB$13*(1+SUM(AB$72:AB$73)/AB$71),))*IF(Input!$F109=PerMonth,1,1/12),1/12)</f>
        <v>532</v>
      </c>
      <c r="AC144" s="635">
        <f>SUMIF(Input!$G$105:$Q$105,AC$6,Input!$G109:$Q109)*IFERROR(CHOOSE(MATCH(Input!$E109,OIUnitType,),1,AC$13,MAX(AC$13*(1+SUM(AC$72:AC$73)/AC$71),))*IF(Input!$F109=PerMonth,1,1/12),1/12)</f>
        <v>532</v>
      </c>
      <c r="AD144" s="635">
        <f>SUMIF(Input!$G$105:$Q$105,AD$6,Input!$G109:$Q109)*IFERROR(CHOOSE(MATCH(Input!$E109,OIUnitType,),1,AD$13,MAX(AD$13*(1+SUM(AD$72:AD$73)/AD$71),))*IF(Input!$F109=PerMonth,1,1/12),1/12)</f>
        <v>532</v>
      </c>
      <c r="AE144" s="635">
        <f>SUMIF(Input!$G$105:$Q$105,AE$6,Input!$G109:$Q109)*IFERROR(CHOOSE(MATCH(Input!$E109,OIUnitType,),1,AE$13,MAX(AE$13*(1+SUM(AE$72:AE$73)/AE$71),))*IF(Input!$F109=PerMonth,1,1/12),1/12)</f>
        <v>532</v>
      </c>
      <c r="AF144" s="635">
        <f>SUMIF(Input!$G$105:$Q$105,AF$6,Input!$G109:$Q109)*IFERROR(CHOOSE(MATCH(Input!$E109,OIUnitType,),1,AF$13,MAX(AF$13*(1+SUM(AF$72:AF$73)/AF$71),))*IF(Input!$F109=PerMonth,1,1/12),1/12)</f>
        <v>532</v>
      </c>
      <c r="AG144" s="635">
        <f>SUMIF(Input!$G$105:$Q$105,AG$6,Input!$G109:$Q109)*IFERROR(CHOOSE(MATCH(Input!$E109,OIUnitType,),1,AG$13,MAX(AG$13*(1+SUM(AG$72:AG$73)/AG$71),))*IF(Input!$F109=PerMonth,1,1/12),1/12)</f>
        <v>532</v>
      </c>
      <c r="AH144" s="635">
        <f>SUMIF(Input!$G$105:$Q$105,AH$6,Input!$G109:$Q109)*IFERROR(CHOOSE(MATCH(Input!$E109,OIUnitType,),1,AH$13,MAX(AH$13*(1+SUM(AH$72:AH$73)/AH$71),))*IF(Input!$F109=PerMonth,1,1/12),1/12)</f>
        <v>532</v>
      </c>
      <c r="AI144" s="635">
        <f>SUMIF(Input!$G$105:$Q$105,AI$6,Input!$G109:$Q109)*IFERROR(CHOOSE(MATCH(Input!$E109,OIUnitType,),1,AI$13,MAX(AI$13*(1+SUM(AI$72:AI$73)/AI$71),))*IF(Input!$F109=PerMonth,1,1/12),1/12)</f>
        <v>532</v>
      </c>
      <c r="AJ144" s="635">
        <f>SUMIF(Input!$G$105:$Q$105,AJ$6,Input!$G109:$Q109)*IFERROR(CHOOSE(MATCH(Input!$E109,OIUnitType,),1,AJ$13,MAX(AJ$13*(1+SUM(AJ$72:AJ$73)/AJ$71),))*IF(Input!$F109=PerMonth,1,1/12),1/12)</f>
        <v>532</v>
      </c>
      <c r="AK144" s="635">
        <f>SUMIF(Input!$G$105:$Q$105,AK$6,Input!$G109:$Q109)*IFERROR(CHOOSE(MATCH(Input!$E109,OIUnitType,),1,AK$13,MAX(AK$13*(1+SUM(AK$72:AK$73)/AK$71),))*IF(Input!$F109=PerMonth,1,1/12),1/12)</f>
        <v>532</v>
      </c>
      <c r="AL144" s="635">
        <f>SUMIF(Input!$G$105:$Q$105,AL$6,Input!$G109:$Q109)*IFERROR(CHOOSE(MATCH(Input!$E109,OIUnitType,),1,AL$13,MAX(AL$13*(1+SUM(AL$72:AL$73)/AL$71),))*IF(Input!$F109=PerMonth,1,1/12),1/12)</f>
        <v>532</v>
      </c>
      <c r="AM144" s="635">
        <f>SUMIF(Input!$G$105:$Q$105,AM$6,Input!$G109:$Q109)*IFERROR(CHOOSE(MATCH(Input!$E109,OIUnitType,),1,AM$13,MAX(AM$13*(1+SUM(AM$72:AM$73)/AM$71),))*IF(Input!$F109=PerMonth,1,1/12),1/12)</f>
        <v>532</v>
      </c>
      <c r="AN144" s="635">
        <f>SUMIF(Input!$G$105:$Q$105,AN$6,Input!$G109:$Q109)*IFERROR(CHOOSE(MATCH(Input!$E109,OIUnitType,),1,AN$13,MAX(AN$13*(1+SUM(AN$72:AN$73)/AN$71),))*IF(Input!$F109=PerMonth,1,1/12),1/12)</f>
        <v>532</v>
      </c>
      <c r="AO144" s="635">
        <f>SUMIF(Input!$G$105:$Q$105,AO$6,Input!$G109:$Q109)*IFERROR(CHOOSE(MATCH(Input!$E109,OIUnitType,),1,AO$13,MAX(AO$13*(1+SUM(AO$72:AO$73)/AO$71),))*IF(Input!$F109=PerMonth,1,1/12),1/12)</f>
        <v>532</v>
      </c>
      <c r="AP144" s="635">
        <f>SUMIF(Input!$G$105:$Q$105,AP$6,Input!$G109:$Q109)*IFERROR(CHOOSE(MATCH(Input!$E109,OIUnitType,),1,AP$13,MAX(AP$13*(1+SUM(AP$72:AP$73)/AP$71),))*IF(Input!$F109=PerMonth,1,1/12),1/12)</f>
        <v>532</v>
      </c>
      <c r="AQ144" s="635">
        <f>SUMIF(Input!$G$105:$Q$105,AQ$6,Input!$G109:$Q109)*IFERROR(CHOOSE(MATCH(Input!$E109,OIUnitType,),1,AQ$13,MAX(AQ$13*(1+SUM(AQ$72:AQ$73)/AQ$71),))*IF(Input!$F109=PerMonth,1,1/12),1/12)</f>
        <v>532</v>
      </c>
      <c r="AR144" s="635">
        <f>SUMIF(Input!$G$105:$Q$105,AR$6,Input!$G109:$Q109)*IFERROR(CHOOSE(MATCH(Input!$E109,OIUnitType,),1,AR$13,MAX(AR$13*(1+SUM(AR$72:AR$73)/AR$71),))*IF(Input!$F109=PerMonth,1,1/12),1/12)</f>
        <v>532</v>
      </c>
      <c r="AS144" s="635">
        <f>SUMIF(Input!$G$105:$Q$105,AS$6,Input!$G109:$Q109)*IFERROR(CHOOSE(MATCH(Input!$E109,OIUnitType,),1,AS$13,MAX(AS$13*(1+SUM(AS$72:AS$73)/AS$71),))*IF(Input!$F109=PerMonth,1,1/12),1/12)</f>
        <v>532</v>
      </c>
      <c r="AT144" s="635">
        <f>SUMIF(Input!$G$105:$Q$105,AT$6,Input!$G109:$Q109)*IFERROR(CHOOSE(MATCH(Input!$E109,OIUnitType,),1,AT$13,MAX(AT$13*(1+SUM(AT$72:AT$73)/AT$71),))*IF(Input!$F109=PerMonth,1,1/12),1/12)</f>
        <v>532</v>
      </c>
      <c r="AU144" s="635">
        <f>SUMIF(Input!$G$105:$Q$105,AU$6,Input!$G109:$Q109)*IFERROR(CHOOSE(MATCH(Input!$E109,OIUnitType,),1,AU$13,MAX(AU$13*(1+SUM(AU$72:AU$73)/AU$71),))*IF(Input!$F109=PerMonth,1,1/12),1/12)</f>
        <v>532</v>
      </c>
      <c r="AV144" s="635">
        <f>SUMIF(Input!$G$105:$Q$105,AV$6,Input!$G109:$Q109)*IFERROR(CHOOSE(MATCH(Input!$E109,OIUnitType,),1,AV$13,MAX(AV$13*(1+SUM(AV$72:AV$73)/AV$71),))*IF(Input!$F109=PerMonth,1,1/12),1/12)</f>
        <v>532</v>
      </c>
      <c r="AW144" s="635">
        <f>SUMIF(Input!$G$105:$Q$105,AW$6,Input!$G109:$Q109)*IFERROR(CHOOSE(MATCH(Input!$E109,OIUnitType,),1,AW$13,MAX(AW$13*(1+SUM(AW$72:AW$73)/AW$71),))*IF(Input!$F109=PerMonth,1,1/12),1/12)</f>
        <v>532</v>
      </c>
      <c r="AX144" s="635">
        <f>SUMIF(Input!$G$105:$Q$105,AX$6,Input!$G109:$Q109)*IFERROR(CHOOSE(MATCH(Input!$E109,OIUnitType,),1,AX$13,MAX(AX$13*(1+SUM(AX$72:AX$73)/AX$71),))*IF(Input!$F109=PerMonth,1,1/12),1/12)</f>
        <v>532</v>
      </c>
      <c r="AY144" s="635">
        <f>SUMIF(Input!$G$105:$Q$105,AY$6,Input!$G109:$Q109)*IFERROR(CHOOSE(MATCH(Input!$E109,OIUnitType,),1,AY$13,MAX(AY$13*(1+SUM(AY$72:AY$73)/AY$71),))*IF(Input!$F109=PerMonth,1,1/12),1/12)</f>
        <v>532</v>
      </c>
      <c r="AZ144" s="635">
        <f>SUMIF(Input!$G$105:$Q$105,AZ$6,Input!$G109:$Q109)*IFERROR(CHOOSE(MATCH(Input!$E109,OIUnitType,),1,AZ$13,MAX(AZ$13*(1+SUM(AZ$72:AZ$73)/AZ$71),))*IF(Input!$F109=PerMonth,1,1/12),1/12)</f>
        <v>532</v>
      </c>
      <c r="BA144" s="635">
        <f>SUMIF(Input!$G$105:$Q$105,BA$6,Input!$G109:$Q109)*IFERROR(CHOOSE(MATCH(Input!$E109,OIUnitType,),1,BA$13,MAX(BA$13*(1+SUM(BA$72:BA$73)/BA$71),))*IF(Input!$F109=PerMonth,1,1/12),1/12)</f>
        <v>532</v>
      </c>
      <c r="BB144" s="635">
        <f>SUMIF(Input!$G$105:$Q$105,BB$6,Input!$G109:$Q109)*IFERROR(CHOOSE(MATCH(Input!$E109,OIUnitType,),1,BB$13,MAX(BB$13*(1-SUMIF(Input!$G$89:$Q$89,BB$6,Input!$G$90:$Q$90)-BB$31),))*IF(Input!$F109=PerMonth,1,1/12),1/12)</f>
        <v>532</v>
      </c>
      <c r="BC144" s="635">
        <f>SUMIF(Input!$G$105:$Q$105,BC$6,Input!$G109:$Q109)*IFERROR(CHOOSE(MATCH(Input!$E109,OIUnitType,),1,BC$13,MAX(BC$13*(1-SUMIF(Input!$G$89:$Q$89,BC$6,Input!$G$90:$Q$90)-BC$31),))*IF(Input!$F109=PerMonth,1,1/12),1/12)</f>
        <v>532</v>
      </c>
      <c r="BD144" s="635">
        <f>SUMIF(Input!$G$105:$Q$105,BD$6,Input!$G109:$Q109)*IFERROR(CHOOSE(MATCH(Input!$E109,OIUnitType,),1,BD$13,MAX(BD$13*(1-SUMIF(Input!$G$89:$Q$89,BD$6,Input!$G$90:$Q$90)-BD$31),))*IF(Input!$F109=PerMonth,1,1/12),1/12)</f>
        <v>532</v>
      </c>
      <c r="BE144" s="635">
        <f>SUMIF(Input!$G$105:$Q$105,BE$6,Input!$G109:$Q109)*IFERROR(CHOOSE(MATCH(Input!$E109,OIUnitType,),1,BE$13,MAX(BE$13*(1-SUMIF(Input!$G$89:$Q$89,BE$6,Input!$G$90:$Q$90)-BE$31),))*IF(Input!$F109=PerMonth,1,1/12),1/12)</f>
        <v>532</v>
      </c>
      <c r="BF144" s="635">
        <f>SUMIF(Input!$G$105:$Q$105,BF$6,Input!$G109:$Q109)*IFERROR(CHOOSE(MATCH(Input!$E109,OIUnitType,),1,BF$13,MAX(BF$13*(1-SUMIF(Input!$G$89:$Q$89,BF$6,Input!$G$90:$Q$90)-BF$31),))*IF(Input!$F109=PerMonth,1,1/12),1/12)</f>
        <v>532</v>
      </c>
      <c r="BG144" s="635">
        <f>SUMIF(Input!$G$105:$Q$105,BG$6,Input!$G109:$Q109)*IFERROR(CHOOSE(MATCH(Input!$E109,OIUnitType,),1,BG$13,MAX(BG$13*(1-SUMIF(Input!$G$89:$Q$89,BG$6,Input!$G$90:$Q$90)-BG$31),))*IF(Input!$F109=PerMonth,1,1/12),1/12)</f>
        <v>532</v>
      </c>
      <c r="BH144" s="635">
        <f>SUMIF(Input!$G$105:$Q$105,BH$6,Input!$G109:$Q109)*IFERROR(CHOOSE(MATCH(Input!$E109,OIUnitType,),1,BH$13,MAX(BH$13*(1-SUMIF(Input!$G$89:$Q$89,BH$6,Input!$G$90:$Q$90)-BH$31),))*IF(Input!$F109=PerMonth,1,1/12),1/12)</f>
        <v>532</v>
      </c>
      <c r="BI144" s="635">
        <f>SUMIF(Input!$G$105:$Q$105,BI$6,Input!$G109:$Q109)*IFERROR(CHOOSE(MATCH(Input!$E109,OIUnitType,),1,BI$13,MAX(BI$13*(1-SUMIF(Input!$G$89:$Q$89,BI$6,Input!$G$90:$Q$90)-BI$31),))*IF(Input!$F109=PerMonth,1,1/12),1/12)</f>
        <v>532</v>
      </c>
      <c r="BJ144" s="635">
        <f>SUMIF(Input!$G$105:$Q$105,BJ$6,Input!$G109:$Q109)*IFERROR(CHOOSE(MATCH(Input!$E109,OIUnitType,),1,BJ$13,MAX(BJ$13*(1-SUMIF(Input!$G$89:$Q$89,BJ$6,Input!$G$90:$Q$90)-BJ$31),))*IF(Input!$F109=PerMonth,1,1/12),1/12)</f>
        <v>532</v>
      </c>
      <c r="BK144" s="635">
        <f>SUMIF(Input!$G$105:$Q$105,BK$6,Input!$G109:$Q109)*IFERROR(CHOOSE(MATCH(Input!$E109,OIUnitType,),1,BK$13,MAX(BK$13*(1-SUMIF(Input!$G$89:$Q$89,BK$6,Input!$G$90:$Q$90)-BK$31),))*IF(Input!$F109=PerMonth,1,1/12),1/12)</f>
        <v>532</v>
      </c>
      <c r="BL144" s="635">
        <f>SUMIF(Input!$G$105:$Q$105,BL$6,Input!$G109:$Q109)*IFERROR(CHOOSE(MATCH(Input!$E109,OIUnitType,),1,BL$13,MAX(BL$13*(1-SUMIF(Input!$G$89:$Q$89,BL$6,Input!$G$90:$Q$90)-BL$31),))*IF(Input!$F109=PerMonth,1,1/12),1/12)</f>
        <v>532</v>
      </c>
      <c r="BM144" s="635">
        <f>SUMIF(Input!$G$105:$Q$105,BM$6,Input!$G109:$Q109)*IFERROR(CHOOSE(MATCH(Input!$E109,OIUnitType,),1,BM$13,MAX(BM$13*(1-SUMIF(Input!$G$89:$Q$89,BM$6,Input!$G$90:$Q$90)-BM$31),))*IF(Input!$F109=PerMonth,1,1/12),1/12)</f>
        <v>532</v>
      </c>
      <c r="BN144" s="635">
        <f>SUMIF(Input!$G$105:$Q$105,BN$6,Input!$G109:$Q109)*IFERROR(CHOOSE(MATCH(Input!$E109,OIUnitType,),1,BN$13,MAX(BN$13*(1-SUMIF(Input!$G$89:$Q$89,BN$6,Input!$G$90:$Q$90)-BN$31),))*IF(Input!$F109=PerMonth,1,1/12),1/12)</f>
        <v>532</v>
      </c>
      <c r="BO144" s="635">
        <f>SUMIF(Input!$G$105:$Q$105,BO$6,Input!$G109:$Q109)*IFERROR(CHOOSE(MATCH(Input!$E109,OIUnitType,),1,BO$13,MAX(BO$13*(1-SUMIF(Input!$G$89:$Q$89,BO$6,Input!$G$90:$Q$90)-BO$31),))*IF(Input!$F109=PerMonth,1,1/12),1/12)</f>
        <v>532</v>
      </c>
      <c r="BP144" s="635">
        <f>SUMIF(Input!$G$105:$Q$105,BP$6,Input!$G109:$Q109)*IFERROR(CHOOSE(MATCH(Input!$E109,OIUnitType,),1,BP$13,MAX(BP$13*(1-SUMIF(Input!$G$89:$Q$89,BP$6,Input!$G$90:$Q$90)-BP$31),))*IF(Input!$F109=PerMonth,1,1/12),1/12)</f>
        <v>532</v>
      </c>
      <c r="BQ144" s="635">
        <f>SUMIF(Input!$G$105:$Q$105,BQ$6,Input!$G109:$Q109)*IFERROR(CHOOSE(MATCH(Input!$E109,OIUnitType,),1,BQ$13,MAX(BQ$13*(1-SUMIF(Input!$G$89:$Q$89,BQ$6,Input!$G$90:$Q$90)-BQ$31),))*IF(Input!$F109=PerMonth,1,1/12),1/12)</f>
        <v>532</v>
      </c>
      <c r="BR144" s="635">
        <f>SUMIF(Input!$G$105:$Q$105,BR$6,Input!$G109:$Q109)*IFERROR(CHOOSE(MATCH(Input!$E109,OIUnitType,),1,BR$13,MAX(BR$13*(1-SUMIF(Input!$G$89:$Q$89,BR$6,Input!$G$90:$Q$90)-BR$31),))*IF(Input!$F109=PerMonth,1,1/12),1/12)</f>
        <v>532</v>
      </c>
      <c r="BS144" s="635">
        <f>SUMIF(Input!$G$105:$Q$105,BS$6,Input!$G109:$Q109)*IFERROR(CHOOSE(MATCH(Input!$E109,OIUnitType,),1,BS$13,MAX(BS$13*(1-SUMIF(Input!$G$89:$Q$89,BS$6,Input!$G$90:$Q$90)-BS$31),))*IF(Input!$F109=PerMonth,1,1/12),1/12)</f>
        <v>532</v>
      </c>
      <c r="BT144" s="635">
        <f>SUMIF(Input!$G$105:$Q$105,BT$6,Input!$G109:$Q109)*IFERROR(CHOOSE(MATCH(Input!$E109,OIUnitType,),1,BT$13,MAX(BT$13*(1-SUMIF(Input!$G$89:$Q$89,BT$6,Input!$G$90:$Q$90)-BT$31),))*IF(Input!$F109=PerMonth,1,1/12),1/12)</f>
        <v>532</v>
      </c>
      <c r="BU144" s="635">
        <f>SUMIF(Input!$G$105:$Q$105,BU$6,Input!$G109:$Q109)*IFERROR(CHOOSE(MATCH(Input!$E109,OIUnitType,),1,BU$13,MAX(BU$13*(1-SUMIF(Input!$G$89:$Q$89,BU$6,Input!$G$90:$Q$90)-BU$31),))*IF(Input!$F109=PerMonth,1,1/12),1/12)</f>
        <v>532</v>
      </c>
      <c r="BV144" s="635">
        <f>SUMIF(Input!$G$105:$Q$105,BV$6,Input!$G109:$Q109)*IFERROR(CHOOSE(MATCH(Input!$E109,OIUnitType,),1,BV$13,MAX(BV$13*(1-SUMIF(Input!$G$89:$Q$89,BV$6,Input!$G$90:$Q$90)-BV$31),))*IF(Input!$F109=PerMonth,1,1/12),1/12)</f>
        <v>532</v>
      </c>
      <c r="BW144" s="635">
        <f>SUMIF(Input!$G$105:$Q$105,BW$6,Input!$G109:$Q109)*IFERROR(CHOOSE(MATCH(Input!$E109,OIUnitType,),1,BW$13,MAX(BW$13*(1-SUMIF(Input!$G$89:$Q$89,BW$6,Input!$G$90:$Q$90)-BW$31),))*IF(Input!$F109=PerMonth,1,1/12),1/12)</f>
        <v>532</v>
      </c>
      <c r="BX144" s="635">
        <f>SUMIF(Input!$G$105:$Q$105,BX$6,Input!$G109:$Q109)*IFERROR(CHOOSE(MATCH(Input!$E109,OIUnitType,),1,BX$13,MAX(BX$13*(1-SUMIF(Input!$G$89:$Q$89,BX$6,Input!$G$90:$Q$90)-BX$31),))*IF(Input!$F109=PerMonth,1,1/12),1/12)</f>
        <v>532</v>
      </c>
      <c r="BY144" s="635">
        <f>SUMIF(Input!$G$105:$Q$105,BY$6,Input!$G109:$Q109)*IFERROR(CHOOSE(MATCH(Input!$E109,OIUnitType,),1,BY$13,MAX(BY$13*(1-SUMIF(Input!$G$89:$Q$89,BY$6,Input!$G$90:$Q$90)-BY$31),))*IF(Input!$F109=PerMonth,1,1/12),1/12)</f>
        <v>532</v>
      </c>
      <c r="BZ144" s="635">
        <f>SUMIF(Input!$G$105:$Q$105,BZ$6,Input!$G109:$Q109)*IFERROR(CHOOSE(MATCH(Input!$E109,OIUnitType,),1,BZ$13,MAX(BZ$13*(1-SUMIF(Input!$G$89:$Q$89,BZ$6,Input!$G$90:$Q$90)-BZ$31),))*IF(Input!$F109=PerMonth,1,1/12),1/12)</f>
        <v>532</v>
      </c>
      <c r="CA144" s="635">
        <f>SUMIF(Input!$G$105:$Q$105,CA$6,Input!$G109:$Q109)*IFERROR(CHOOSE(MATCH(Input!$E109,OIUnitType,),1,CA$13,MAX(CA$13*(1-SUMIF(Input!$G$89:$Q$89,CA$6,Input!$G$90:$Q$90)-CA$31),))*IF(Input!$F109=PerMonth,1,1/12),1/12)</f>
        <v>532</v>
      </c>
      <c r="CB144" s="635">
        <f>SUMIF(Input!$G$105:$Q$105,CB$6,Input!$G109:$Q109)*IFERROR(CHOOSE(MATCH(Input!$E109,OIUnitType,),1,CB$13,MAX(CB$13*(1-SUMIF(Input!$G$89:$Q$89,CB$6,Input!$G$90:$Q$90)-CB$31),))*IF(Input!$F109=PerMonth,1,1/12),1/12)</f>
        <v>532</v>
      </c>
      <c r="CC144" s="635">
        <f>SUMIF(Input!$G$105:$Q$105,CC$6,Input!$G109:$Q109)*IFERROR(CHOOSE(MATCH(Input!$E109,OIUnitType,),1,CC$13,MAX(CC$13*(1-SUMIF(Input!$G$89:$Q$89,CC$6,Input!$G$90:$Q$90)-CC$31),))*IF(Input!$F109=PerMonth,1,1/12),1/12)</f>
        <v>532</v>
      </c>
      <c r="CD144" s="635">
        <f>SUMIF(Input!$G$105:$Q$105,CD$6,Input!$G109:$Q109)*IFERROR(CHOOSE(MATCH(Input!$E109,OIUnitType,),1,CD$13,MAX(CD$13*(1-SUMIF(Input!$G$89:$Q$89,CD$6,Input!$G$90:$Q$90)-CD$31),))*IF(Input!$F109=PerMonth,1,1/12),1/12)</f>
        <v>532</v>
      </c>
      <c r="CE144" s="635">
        <f>SUMIF(Input!$G$105:$Q$105,CE$6,Input!$G109:$Q109)*IFERROR(CHOOSE(MATCH(Input!$E109,OIUnitType,),1,CE$13,MAX(CE$13*(1-SUMIF(Input!$G$89:$Q$89,CE$6,Input!$G$90:$Q$90)-CE$31),))*IF(Input!$F109=PerMonth,1,1/12),1/12)</f>
        <v>532</v>
      </c>
      <c r="CF144" s="635">
        <f>SUMIF(Input!$G$105:$Q$105,CF$6,Input!$G109:$Q109)*IFERROR(CHOOSE(MATCH(Input!$E109,OIUnitType,),1,CF$13,MAX(CF$13*(1-SUMIF(Input!$G$89:$Q$89,CF$6,Input!$G$90:$Q$90)-CF$31),))*IF(Input!$F109=PerMonth,1,1/12),1/12)</f>
        <v>532</v>
      </c>
      <c r="CG144" s="635">
        <f>SUMIF(Input!$G$105:$Q$105,CG$6,Input!$G109:$Q109)*IFERROR(CHOOSE(MATCH(Input!$E109,OIUnitType,),1,CG$13,MAX(CG$13*(1-SUMIF(Input!$G$89:$Q$89,CG$6,Input!$G$90:$Q$90)-CG$31),))*IF(Input!$F109=PerMonth,1,1/12),1/12)</f>
        <v>532</v>
      </c>
      <c r="CH144" s="635">
        <f>SUMIF(Input!$G$105:$Q$105,CH$6,Input!$G109:$Q109)*IFERROR(CHOOSE(MATCH(Input!$E109,OIUnitType,),1,CH$13,MAX(CH$13*(1-SUMIF(Input!$G$89:$Q$89,CH$6,Input!$G$90:$Q$90)-CH$31),))*IF(Input!$F109=PerMonth,1,1/12),1/12)</f>
        <v>532</v>
      </c>
      <c r="CI144" s="635">
        <f>SUMIF(Input!$G$105:$Q$105,CI$6,Input!$G109:$Q109)*IFERROR(CHOOSE(MATCH(Input!$E109,OIUnitType,),1,CI$13,MAX(CI$13*(1-SUMIF(Input!$G$89:$Q$89,CI$6,Input!$G$90:$Q$90)-CI$31),))*IF(Input!$F109=PerMonth,1,1/12),1/12)</f>
        <v>532</v>
      </c>
      <c r="CJ144" s="635">
        <f>SUMIF(Input!$G$105:$Q$105,CJ$6,Input!$G109:$Q109)*IFERROR(CHOOSE(MATCH(Input!$E109,OIUnitType,),1,CJ$13,MAX(CJ$13*(1-SUMIF(Input!$G$89:$Q$89,CJ$6,Input!$G$90:$Q$90)-CJ$31),))*IF(Input!$F109=PerMonth,1,1/12),1/12)</f>
        <v>532</v>
      </c>
      <c r="CK144" s="635">
        <f>SUMIF(Input!$G$105:$Q$105,CK$6,Input!$G109:$Q109)*IFERROR(CHOOSE(MATCH(Input!$E109,OIUnitType,),1,CK$13,MAX(CK$13*(1-SUMIF(Input!$G$89:$Q$89,CK$6,Input!$G$90:$Q$90)-CK$31),))*IF(Input!$F109=PerMonth,1,1/12),1/12)</f>
        <v>532</v>
      </c>
      <c r="CL144" s="635">
        <f>SUMIF(Input!$G$105:$Q$105,CL$6,Input!$G109:$Q109)*IFERROR(CHOOSE(MATCH(Input!$E109,OIUnitType,),1,CL$13,MAX(CL$13*(1-SUMIF(Input!$G$89:$Q$89,CL$6,Input!$G$90:$Q$90)-CL$31),))*IF(Input!$F109=PerMonth,1,1/12),1/12)</f>
        <v>532</v>
      </c>
      <c r="CM144" s="635">
        <f>SUMIF(Input!$G$105:$Q$105,CM$6,Input!$G109:$Q109)*IFERROR(CHOOSE(MATCH(Input!$E109,OIUnitType,),1,CM$13,MAX(CM$13*(1-SUMIF(Input!$G$89:$Q$89,CM$6,Input!$G$90:$Q$90)-CM$31),))*IF(Input!$F109=PerMonth,1,1/12),1/12)</f>
        <v>532</v>
      </c>
      <c r="CN144" s="635">
        <f>SUMIF(Input!$G$105:$Q$105,CN$6,Input!$G109:$Q109)*IFERROR(CHOOSE(MATCH(Input!$E109,OIUnitType,),1,CN$13,MAX(CN$13*(1-SUMIF(Input!$G$89:$Q$89,CN$6,Input!$G$90:$Q$90)-CN$31),))*IF(Input!$F109=PerMonth,1,1/12),1/12)</f>
        <v>532</v>
      </c>
      <c r="CO144" s="635">
        <f>SUMIF(Input!$G$105:$Q$105,CO$6,Input!$G109:$Q109)*IFERROR(CHOOSE(MATCH(Input!$E109,OIUnitType,),1,CO$13,MAX(CO$13*(1-SUMIF(Input!$G$89:$Q$89,CO$6,Input!$G$90:$Q$90)-CO$31),))*IF(Input!$F109=PerMonth,1,1/12),1/12)</f>
        <v>532</v>
      </c>
      <c r="CP144" s="635">
        <f>SUMIF(Input!$G$105:$Q$105,CP$6,Input!$G109:$Q109)*IFERROR(CHOOSE(MATCH(Input!$E109,OIUnitType,),1,CP$13,MAX(CP$13*(1-SUMIF(Input!$G$89:$Q$89,CP$6,Input!$G$90:$Q$90)-CP$31),))*IF(Input!$F109=PerMonth,1,1/12),1/12)</f>
        <v>532</v>
      </c>
      <c r="CQ144" s="635">
        <f>SUMIF(Input!$G$105:$Q$105,CQ$6,Input!$G109:$Q109)*IFERROR(CHOOSE(MATCH(Input!$E109,OIUnitType,),1,CQ$13,MAX(CQ$13*(1-SUMIF(Input!$G$89:$Q$89,CQ$6,Input!$G$90:$Q$90)-CQ$31),))*IF(Input!$F109=PerMonth,1,1/12),1/12)</f>
        <v>532</v>
      </c>
      <c r="CR144" s="635">
        <f>SUMIF(Input!$G$105:$Q$105,CR$6,Input!$G109:$Q109)*IFERROR(CHOOSE(MATCH(Input!$E109,OIUnitType,),1,CR$13,MAX(CR$13*(1-SUMIF(Input!$G$89:$Q$89,CR$6,Input!$G$90:$Q$90)-CR$31),))*IF(Input!$F109=PerMonth,1,1/12),1/12)</f>
        <v>532</v>
      </c>
      <c r="CS144" s="635">
        <f>SUMIF(Input!$G$105:$Q$105,CS$6,Input!$G109:$Q109)*IFERROR(CHOOSE(MATCH(Input!$E109,OIUnitType,),1,CS$13,MAX(CS$13*(1-SUMIF(Input!$G$89:$Q$89,CS$6,Input!$G$90:$Q$90)-CS$31),))*IF(Input!$F109=PerMonth,1,1/12),1/12)</f>
        <v>532</v>
      </c>
      <c r="CT144" s="635">
        <f>SUMIF(Input!$G$105:$Q$105,CT$6,Input!$G109:$Q109)*IFERROR(CHOOSE(MATCH(Input!$E109,OIUnitType,),1,CT$13,MAX(CT$13*(1-SUMIF(Input!$G$89:$Q$89,CT$6,Input!$G$90:$Q$90)-CT$31),))*IF(Input!$F109=PerMonth,1,1/12),1/12)</f>
        <v>532</v>
      </c>
      <c r="CU144" s="635">
        <f>SUMIF(Input!$G$105:$Q$105,CU$6,Input!$G109:$Q109)*IFERROR(CHOOSE(MATCH(Input!$E109,OIUnitType,),1,CU$13,MAX(CU$13*(1-SUMIF(Input!$G$89:$Q$89,CU$6,Input!$G$90:$Q$90)-CU$31),))*IF(Input!$F109=PerMonth,1,1/12),1/12)</f>
        <v>532</v>
      </c>
      <c r="CV144" s="635">
        <f>SUMIF(Input!$G$105:$Q$105,CV$6,Input!$G109:$Q109)*IFERROR(CHOOSE(MATCH(Input!$E109,OIUnitType,),1,CV$13,MAX(CV$13*(1-SUMIF(Input!$G$89:$Q$89,CV$6,Input!$G$90:$Q$90)-CV$31),))*IF(Input!$F109=PerMonth,1,1/12),1/12)</f>
        <v>532</v>
      </c>
      <c r="CW144" s="635">
        <f>SUMIF(Input!$G$105:$Q$105,CW$6,Input!$G109:$Q109)*IFERROR(CHOOSE(MATCH(Input!$E109,OIUnitType,),1,CW$13,MAX(CW$13*(1-SUMIF(Input!$G$89:$Q$89,CW$6,Input!$G$90:$Q$90)-CW$31),))*IF(Input!$F109=PerMonth,1,1/12),1/12)</f>
        <v>532</v>
      </c>
      <c r="CX144" s="635">
        <f>SUMIF(Input!$G$105:$Q$105,CX$6,Input!$G109:$Q109)*IFERROR(CHOOSE(MATCH(Input!$E109,OIUnitType,),1,CX$13,MAX(CX$13*(1-SUMIF(Input!$G$89:$Q$89,CX$6,Input!$G$90:$Q$90)-CX$31),))*IF(Input!$F109=PerMonth,1,1/12),1/12)</f>
        <v>532</v>
      </c>
      <c r="CY144" s="635">
        <f>SUMIF(Input!$G$105:$Q$105,CY$6,Input!$G109:$Q109)*IFERROR(CHOOSE(MATCH(Input!$E109,OIUnitType,),1,CY$13,MAX(CY$13*(1-SUMIF(Input!$G$89:$Q$89,CY$6,Input!$G$90:$Q$90)-CY$31),))*IF(Input!$F109=PerMonth,1,1/12),1/12)</f>
        <v>532</v>
      </c>
      <c r="CZ144" s="635">
        <f>SUMIF(Input!$G$105:$Q$105,CZ$6,Input!$G109:$Q109)*IFERROR(CHOOSE(MATCH(Input!$E109,OIUnitType,),1,CZ$13,MAX(CZ$13*(1-SUMIF(Input!$G$89:$Q$89,CZ$6,Input!$G$90:$Q$90)-CZ$31),))*IF(Input!$F109=PerMonth,1,1/12),1/12)</f>
        <v>532</v>
      </c>
      <c r="DA144" s="635">
        <f>SUMIF(Input!$G$105:$Q$105,DA$6,Input!$G109:$Q109)*IFERROR(CHOOSE(MATCH(Input!$E109,OIUnitType,),1,DA$13,MAX(DA$13*(1-SUMIF(Input!$G$89:$Q$89,DA$6,Input!$G$90:$Q$90)-DA$31),))*IF(Input!$F109=PerMonth,1,1/12),1/12)</f>
        <v>532</v>
      </c>
      <c r="DB144" s="635">
        <f>SUMIF(Input!$G$105:$Q$105,DB$6,Input!$G109:$Q109)*IFERROR(CHOOSE(MATCH(Input!$E109,OIUnitType,),1,DB$13,MAX(DB$13*(1-SUMIF(Input!$G$89:$Q$89,DB$6,Input!$G$90:$Q$90)-DB$31),))*IF(Input!$F109=PerMonth,1,1/12),1/12)</f>
        <v>532</v>
      </c>
      <c r="DC144" s="635">
        <f>SUMIF(Input!$G$105:$Q$105,DC$6,Input!$G109:$Q109)*IFERROR(CHOOSE(MATCH(Input!$E109,OIUnitType,),1,DC$13,MAX(DC$13*(1-SUMIF(Input!$G$89:$Q$89,DC$6,Input!$G$90:$Q$90)-DC$31),))*IF(Input!$F109=PerMonth,1,1/12),1/12)</f>
        <v>532</v>
      </c>
      <c r="DD144" s="635">
        <f>SUMIF(Input!$G$105:$Q$105,DD$6,Input!$G109:$Q109)*IFERROR(CHOOSE(MATCH(Input!$E109,OIUnitType,),1,DD$13,MAX(DD$13*(1-SUMIF(Input!$G$89:$Q$89,DD$6,Input!$G$90:$Q$90)-DD$31),))*IF(Input!$F109=PerMonth,1,1/12),1/12)</f>
        <v>532</v>
      </c>
      <c r="DE144" s="635">
        <f>SUMIF(Input!$G$105:$Q$105,DE$6,Input!$G109:$Q109)*IFERROR(CHOOSE(MATCH(Input!$E109,OIUnitType,),1,DE$13,MAX(DE$13*(1-SUMIF(Input!$G$89:$Q$89,DE$6,Input!$G$90:$Q$90)-DE$31),))*IF(Input!$F109=PerMonth,1,1/12),1/12)</f>
        <v>532</v>
      </c>
      <c r="DF144" s="635">
        <f>SUMIF(Input!$G$105:$Q$105,DF$6,Input!$G109:$Q109)*IFERROR(CHOOSE(MATCH(Input!$E109,OIUnitType,),1,DF$13,MAX(DF$13*(1-SUMIF(Input!$G$89:$Q$89,DF$6,Input!$G$90:$Q$90)-DF$31),))*IF(Input!$F109=PerMonth,1,1/12),1/12)</f>
        <v>532</v>
      </c>
      <c r="DG144" s="635">
        <f>SUMIF(Input!$G$105:$Q$105,DG$6,Input!$G109:$Q109)*IFERROR(CHOOSE(MATCH(Input!$E109,OIUnitType,),1,DG$13,MAX(DG$13*(1-SUMIF(Input!$G$89:$Q$89,DG$6,Input!$G$90:$Q$90)-DG$31),))*IF(Input!$F109=PerMonth,1,1/12),1/12)</f>
        <v>532</v>
      </c>
      <c r="DH144" s="635">
        <f>SUMIF(Input!$G$105:$Q$105,DH$6,Input!$G109:$Q109)*IFERROR(CHOOSE(MATCH(Input!$E109,OIUnitType,),1,DH$13,MAX(DH$13*(1-SUMIF(Input!$G$89:$Q$89,DH$6,Input!$G$90:$Q$90)-DH$31),))*IF(Input!$F109=PerMonth,1,1/12),1/12)</f>
        <v>532</v>
      </c>
      <c r="DI144" s="635">
        <f>SUMIF(Input!$G$105:$Q$105,DI$6,Input!$G109:$Q109)*IFERROR(CHOOSE(MATCH(Input!$E109,OIUnitType,),1,DI$13,MAX(DI$13*(1-SUMIF(Input!$G$89:$Q$89,DI$6,Input!$G$90:$Q$90)-DI$31),))*IF(Input!$F109=PerMonth,1,1/12),1/12)</f>
        <v>532</v>
      </c>
      <c r="DJ144" s="635">
        <f>SUMIF(Input!$G$105:$Q$105,DJ$6,Input!$G109:$Q109)*IFERROR(CHOOSE(MATCH(Input!$E109,OIUnitType,),1,DJ$13,MAX(DJ$13*(1-SUMIF(Input!$G$89:$Q$89,DJ$6,Input!$G$90:$Q$90)-DJ$31),))*IF(Input!$F109=PerMonth,1,1/12),1/12)</f>
        <v>532</v>
      </c>
      <c r="DK144" s="635">
        <f>SUMIF(Input!$G$105:$Q$105,DK$6,Input!$G109:$Q109)*IFERROR(CHOOSE(MATCH(Input!$E109,OIUnitType,),1,DK$13,MAX(DK$13*(1-SUMIF(Input!$G$89:$Q$89,DK$6,Input!$G$90:$Q$90)-DK$31),))*IF(Input!$F109=PerMonth,1,1/12),1/12)</f>
        <v>532</v>
      </c>
      <c r="DL144" s="635">
        <f>SUMIF(Input!$G$105:$Q$105,DL$6,Input!$G109:$Q109)*IFERROR(CHOOSE(MATCH(Input!$E109,OIUnitType,),1,DL$13,MAX(DL$13*(1-SUMIF(Input!$G$89:$Q$89,DL$6,Input!$G$90:$Q$90)-DL$31),))*IF(Input!$F109=PerMonth,1,1/12),1/12)</f>
        <v>532</v>
      </c>
      <c r="DM144" s="635">
        <f>SUMIF(Input!$G$105:$Q$105,DM$6,Input!$G109:$Q109)*IFERROR(CHOOSE(MATCH(Input!$E109,OIUnitType,),1,DM$13,MAX(DM$13*(1-SUMIF(Input!$G$89:$Q$89,DM$6,Input!$G$90:$Q$90)-DM$31),))*IF(Input!$F109=PerMonth,1,1/12),1/12)</f>
        <v>532</v>
      </c>
      <c r="DN144" s="635">
        <f>SUMIF(Input!$G$105:$Q$105,DN$6,Input!$G109:$Q109)*IFERROR(CHOOSE(MATCH(Input!$E109,OIUnitType,),1,DN$13,MAX(DN$13*(1-SUMIF(Input!$G$89:$Q$89,DN$6,Input!$G$90:$Q$90)-DN$31),))*IF(Input!$F109=PerMonth,1,1/12),1/12)</f>
        <v>532</v>
      </c>
      <c r="DO144" s="635">
        <f>SUMIF(Input!$G$105:$Q$105,DO$6,Input!$G109:$Q109)*IFERROR(CHOOSE(MATCH(Input!$E109,OIUnitType,),1,DO$13,MAX(DO$13*(1-SUMIF(Input!$G$89:$Q$89,DO$6,Input!$G$90:$Q$90)-DO$31),))*IF(Input!$F109=PerMonth,1,1/12),1/12)</f>
        <v>532</v>
      </c>
      <c r="DP144" s="635">
        <f>SUMIF(Input!$G$105:$Q$105,DP$6,Input!$G109:$Q109)*IFERROR(CHOOSE(MATCH(Input!$E109,OIUnitType,),1,DP$13,MAX(DP$13*(1-SUMIF(Input!$G$89:$Q$89,DP$6,Input!$G$90:$Q$90)-DP$31),))*IF(Input!$F109=PerMonth,1,1/12),1/12)</f>
        <v>532</v>
      </c>
      <c r="DQ144" s="635">
        <f>SUMIF(Input!$G$105:$Q$105,DQ$6,Input!$G109:$Q109)*IFERROR(CHOOSE(MATCH(Input!$E109,OIUnitType,),1,DQ$13,MAX(DQ$13*(1-SUMIF(Input!$G$89:$Q$89,DQ$6,Input!$G$90:$Q$90)-DQ$31),))*IF(Input!$F109=PerMonth,1,1/12),1/12)</f>
        <v>532</v>
      </c>
      <c r="DR144" s="635">
        <f>SUMIF(Input!$G$105:$Q$105,DR$6,Input!$G109:$Q109)*IFERROR(CHOOSE(MATCH(Input!$E109,OIUnitType,),1,DR$13,MAX(DR$13*(1-SUMIF(Input!$G$89:$Q$89,DR$6,Input!$G$90:$Q$90)-DR$31),))*IF(Input!$F109=PerMonth,1,1/12),1/12)</f>
        <v>532</v>
      </c>
      <c r="DS144" s="635">
        <f>SUMIF(Input!$G$105:$Q$105,DS$6,Input!$G109:$Q109)*IFERROR(CHOOSE(MATCH(Input!$E109,OIUnitType,),1,DS$13,MAX(DS$13*(1-SUMIF(Input!$G$89:$Q$89,DS$6,Input!$G$90:$Q$90)-DS$31),))*IF(Input!$F109=PerMonth,1,1/12),1/12)</f>
        <v>532</v>
      </c>
      <c r="DT144" s="635">
        <f>SUMIF(Input!$G$105:$Q$105,DT$6,Input!$G109:$Q109)*IFERROR(CHOOSE(MATCH(Input!$E109,OIUnitType,),1,DT$13,MAX(DT$13*(1-SUMIF(Input!$G$89:$Q$89,DT$6,Input!$G$90:$Q$90)-DT$31),))*IF(Input!$F109=PerMonth,1,1/12),1/12)</f>
        <v>532</v>
      </c>
      <c r="DU144" s="635">
        <f>SUMIF(Input!$G$105:$Q$105,DU$6,Input!$G109:$Q109)*IFERROR(CHOOSE(MATCH(Input!$E109,OIUnitType,),1,DU$13,MAX(DU$13*(1-SUMIF(Input!$G$89:$Q$89,DU$6,Input!$G$90:$Q$90)-DU$31),))*IF(Input!$F109=PerMonth,1,1/12),1/12)</f>
        <v>532</v>
      </c>
      <c r="DV144" s="635">
        <f>SUMIF(Input!$G$105:$Q$105,DV$6,Input!$G109:$Q109)*IFERROR(CHOOSE(MATCH(Input!$E109,OIUnitType,),1,DV$13,MAX(DV$13*(1-SUMIF(Input!$G$89:$Q$89,DV$6,Input!$G$90:$Q$90)-DV$31),))*IF(Input!$F109=PerMonth,1,1/12),1/12)</f>
        <v>532</v>
      </c>
      <c r="DW144" s="635">
        <f>SUMIF(Input!$G$105:$Q$105,DW$6,Input!$G109:$Q109)*IFERROR(CHOOSE(MATCH(Input!$E109,OIUnitType,),1,DW$13,MAX(DW$13*(1-SUMIF(Input!$G$89:$Q$89,DW$6,Input!$G$90:$Q$90)-DW$31),))*IF(Input!$F109=PerMonth,1,1/12),1/12)</f>
        <v>532</v>
      </c>
      <c r="DX144" s="635">
        <f>SUMIF(Input!$G$105:$Q$105,DX$6,Input!$G109:$Q109)*IFERROR(CHOOSE(MATCH(Input!$E109,OIUnitType,),1,DX$13,MAX(DX$13*(1-SUMIF(Input!$G$89:$Q$89,DX$6,Input!$G$90:$Q$90)-DX$31),))*IF(Input!$F109=PerMonth,1,1/12),1/12)</f>
        <v>532</v>
      </c>
      <c r="DY144" s="635">
        <f>SUMIF(Input!$G$105:$Q$105,DY$6,Input!$G109:$Q109)*IFERROR(CHOOSE(MATCH(Input!$E109,OIUnitType,),1,DY$13,MAX(DY$13*(1-SUMIF(Input!$G$89:$Q$89,DY$6,Input!$G$90:$Q$90)-DY$31),))*IF(Input!$F109=PerMonth,1,1/12),1/12)</f>
        <v>532</v>
      </c>
      <c r="DZ144" s="635">
        <f>SUMIF(Input!$G$105:$Q$105,DZ$6,Input!$G109:$Q109)*IFERROR(CHOOSE(MATCH(Input!$E109,OIUnitType,),1,DZ$13,MAX(DZ$13*(1-SUMIF(Input!$G$89:$Q$89,DZ$6,Input!$G$90:$Q$90)-DZ$31),))*IF(Input!$F109=PerMonth,1,1/12),1/12)</f>
        <v>532</v>
      </c>
      <c r="EA144" s="635">
        <f>SUMIF(Input!$G$105:$Q$105,EA$6,Input!$G109:$Q109)*IFERROR(CHOOSE(MATCH(Input!$E109,OIUnitType,),1,EA$13,MAX(EA$13*(1-SUMIF(Input!$G$89:$Q$89,EA$6,Input!$G$90:$Q$90)-EA$31),))*IF(Input!$F109=PerMonth,1,1/12),1/12)</f>
        <v>532</v>
      </c>
      <c r="EB144" s="635">
        <f>SUMIF(Input!$G$105:$Q$105,EB$6,Input!$G109:$Q109)*IFERROR(CHOOSE(MATCH(Input!$E109,OIUnitType,),1,EB$13,MAX(EB$13*(1-SUMIF(Input!$G$89:$Q$89,EB$6,Input!$G$90:$Q$90)-EB$31),))*IF(Input!$F109=PerMonth,1,1/12),1/12)</f>
        <v>532</v>
      </c>
      <c r="EC144" s="635">
        <f>SUMIF(Input!$G$105:$Q$105,EC$6,Input!$G109:$Q109)*IFERROR(CHOOSE(MATCH(Input!$E109,OIUnitType,),1,EC$13,MAX(EC$13*(1-SUMIF(Input!$G$89:$Q$89,EC$6,Input!$G$90:$Q$90)-EC$31),))*IF(Input!$F109=PerMonth,1,1/12),1/12)</f>
        <v>532</v>
      </c>
      <c r="ED144" s="635">
        <f>SUMIF(Input!$G$105:$Q$105,ED$6,Input!$G109:$Q109)*IFERROR(CHOOSE(MATCH(Input!$E109,OIUnitType,),1,ED$13,MAX(ED$13*(1-SUMIF(Input!$G$89:$Q$89,ED$6,Input!$G$90:$Q$90)-ED$31),))*IF(Input!$F109=PerMonth,1,1/12),1/12)</f>
        <v>532</v>
      </c>
      <c r="EE144" s="635">
        <f>SUMIF(Input!$G$105:$Q$105,EE$6,Input!$G109:$Q109)*IFERROR(CHOOSE(MATCH(Input!$E109,OIUnitType,),1,EE$13,MAX(EE$13*(1-SUMIF(Input!$G$89:$Q$89,EE$6,Input!$G$90:$Q$90)-EE$31),))*IF(Input!$F109=PerMonth,1,1/12),1/12)</f>
        <v>532</v>
      </c>
      <c r="EF144" s="635">
        <f>SUMIF(Input!$G$105:$Q$105,EF$6,Input!$G109:$Q109)*IFERROR(CHOOSE(MATCH(Input!$E109,OIUnitType,),1,EF$13,MAX(EF$13*(1-SUMIF(Input!$G$89:$Q$89,EF$6,Input!$G$90:$Q$90)-EF$31),))*IF(Input!$F109=PerMonth,1,1/12),1/12)</f>
        <v>532</v>
      </c>
      <c r="EG144" s="635">
        <f>SUMIF(Input!$G$105:$Q$105,EG$6,Input!$G109:$Q109)*IFERROR(CHOOSE(MATCH(Input!$E109,OIUnitType,),1,EG$13,MAX(EG$13*(1-SUMIF(Input!$G$89:$Q$89,EG$6,Input!$G$90:$Q$90)-EG$31),))*IF(Input!$F109=PerMonth,1,1/12),1/12)</f>
        <v>532</v>
      </c>
      <c r="EH144" s="635">
        <f>SUMIF(Input!$G$105:$Q$105,EH$6,Input!$G109:$Q109)*IFERROR(CHOOSE(MATCH(Input!$E109,OIUnitType,),1,EH$13,MAX(EH$13*(1-SUMIF(Input!$G$89:$Q$89,EH$6,Input!$G$90:$Q$90)-EH$31),))*IF(Input!$F109=PerMonth,1,1/12),1/12)</f>
        <v>532</v>
      </c>
      <c r="EI144" s="635">
        <f>SUMIF(Input!$G$105:$Q$105,EI$6,Input!$G109:$Q109)*IFERROR(CHOOSE(MATCH(Input!$E109,OIUnitType,),1,EI$13,MAX(EI$13*(1-SUMIF(Input!$G$89:$Q$89,EI$6,Input!$G$90:$Q$90)-EI$31),))*IF(Input!$F109=PerMonth,1,1/12),1/12)</f>
        <v>532</v>
      </c>
      <c r="EJ144" s="635">
        <f>SUMIF(Input!$G$105:$Q$105,EJ$6,Input!$G109:$Q109)*IFERROR(CHOOSE(MATCH(Input!$E109,OIUnitType,),1,EJ$13,MAX(EJ$13*(1-SUMIF(Input!$G$89:$Q$89,EJ$6,Input!$G$90:$Q$90)-EJ$31),))*IF(Input!$F109=PerMonth,1,1/12),1/12)</f>
        <v>532</v>
      </c>
      <c r="EK144" s="635">
        <f>SUMIF(Input!$G$105:$Q$105,EK$6,Input!$G109:$Q109)*IFERROR(CHOOSE(MATCH(Input!$E109,OIUnitType,),1,EK$13,MAX(EK$13*(1-SUMIF(Input!$G$89:$Q$89,EK$6,Input!$G$90:$Q$90)-EK$31),))*IF(Input!$F109=PerMonth,1,1/12),1/12)</f>
        <v>532</v>
      </c>
      <c r="EL144" s="635">
        <f>SUMIF(Input!$G$105:$Q$105,EL$6,Input!$G109:$Q109)*IFERROR(CHOOSE(MATCH(Input!$E109,OIUnitType,),1,EL$13,MAX(EL$13*(1-SUMIF(Input!$G$89:$Q$89,EL$6,Input!$G$90:$Q$90)-EL$31),))*IF(Input!$F109=PerMonth,1,1/12),1/12)</f>
        <v>532</v>
      </c>
      <c r="EM144" s="635">
        <f>SUMIF(Input!$G$105:$Q$105,EM$6,Input!$G109:$Q109)*IFERROR(CHOOSE(MATCH(Input!$E109,OIUnitType,),1,EM$13,MAX(EM$13*(1-SUMIF(Input!$G$89:$Q$89,EM$6,Input!$G$90:$Q$90)-EM$31),))*IF(Input!$F109=PerMonth,1,1/12),1/12)</f>
        <v>532</v>
      </c>
      <c r="EN144" s="635">
        <f>SUMIF(Input!$G$105:$Q$105,EN$6,Input!$G109:$Q109)*IFERROR(CHOOSE(MATCH(Input!$E109,OIUnitType,),1,EN$13,MAX(EN$13*(1-SUMIF(Input!$G$89:$Q$89,EN$6,Input!$G$90:$Q$90)-EN$31),))*IF(Input!$F109=PerMonth,1,1/12),1/12)</f>
        <v>532</v>
      </c>
      <c r="EO144" s="635">
        <f>SUMIF(Input!$G$105:$Q$105,EO$6,Input!$G109:$Q109)*IFERROR(CHOOSE(MATCH(Input!$E109,OIUnitType,),1,EO$13,MAX(EO$13*(1-SUMIF(Input!$G$89:$Q$89,EO$6,Input!$G$90:$Q$90)-EO$31),))*IF(Input!$F109=PerMonth,1,1/12),1/12)</f>
        <v>532</v>
      </c>
      <c r="EP144" s="635">
        <f>SUMIF(Input!$G$105:$Q$105,EP$6,Input!$G109:$Q109)*IFERROR(CHOOSE(MATCH(Input!$E109,OIUnitType,),1,EP$13,MAX(EP$13*(1-SUMIF(Input!$G$89:$Q$89,EP$6,Input!$G$90:$Q$90)-EP$31),))*IF(Input!$F109=PerMonth,1,1/12),1/12)</f>
        <v>532</v>
      </c>
      <c r="EQ144" s="635">
        <f>SUMIF(Input!$G$105:$Q$105,EQ$6,Input!$G109:$Q109)*IFERROR(CHOOSE(MATCH(Input!$E109,OIUnitType,),1,EQ$13,MAX(EQ$13*(1-SUMIF(Input!$G$89:$Q$89,EQ$6,Input!$G$90:$Q$90)-EQ$31),))*IF(Input!$F109=PerMonth,1,1/12),1/12)</f>
        <v>532</v>
      </c>
      <c r="ER144" s="635">
        <f>SUMIF(Input!$G$105:$Q$105,ER$6,Input!$G109:$Q109)*IFERROR(CHOOSE(MATCH(Input!$E109,OIUnitType,),1,ER$13,MAX(ER$13*(1-SUMIF(Input!$G$89:$Q$89,ER$6,Input!$G$90:$Q$90)-ER$31),))*IF(Input!$F109=PerMonth,1,1/12),1/12)</f>
        <v>532</v>
      </c>
      <c r="ES144" s="635">
        <f>SUMIF(Input!$G$105:$Q$105,ES$6,Input!$G109:$Q109)*IFERROR(CHOOSE(MATCH(Input!$E109,OIUnitType,),1,ES$13,MAX(ES$13*(1-SUMIF(Input!$G$89:$Q$89,ES$6,Input!$G$90:$Q$90)-ES$31),))*IF(Input!$F109=PerMonth,1,1/12),1/12)</f>
        <v>532</v>
      </c>
      <c r="ET144" s="192"/>
    </row>
    <row r="145" spans="1:150">
      <c r="A145" s="192"/>
      <c r="B145" s="36" t="str">
        <f>IF(Input!B110="","",Input!B110)</f>
        <v>Trash Income</v>
      </c>
      <c r="C145" s="635">
        <f t="shared" si="141"/>
        <v>31920</v>
      </c>
      <c r="D145" s="635">
        <f t="shared" si="141"/>
        <v>31920</v>
      </c>
      <c r="E145" s="635">
        <f t="shared" si="141"/>
        <v>31920</v>
      </c>
      <c r="F145" s="635">
        <f t="shared" si="141"/>
        <v>31920</v>
      </c>
      <c r="G145" s="635">
        <f t="shared" si="141"/>
        <v>31920</v>
      </c>
      <c r="H145" s="635">
        <f t="shared" si="141"/>
        <v>31920</v>
      </c>
      <c r="I145" s="635">
        <f t="shared" si="141"/>
        <v>31920</v>
      </c>
      <c r="J145" s="635">
        <f t="shared" si="141"/>
        <v>31920</v>
      </c>
      <c r="K145" s="635">
        <f t="shared" si="141"/>
        <v>31920</v>
      </c>
      <c r="L145" s="635">
        <f t="shared" si="141"/>
        <v>31920</v>
      </c>
      <c r="M145" s="635">
        <f t="shared" si="141"/>
        <v>31920</v>
      </c>
      <c r="N145" s="192"/>
      <c r="O145" s="635">
        <f t="shared" si="142"/>
        <v>31920</v>
      </c>
      <c r="P145" s="192"/>
      <c r="Q145" s="37"/>
      <c r="R145" s="635">
        <f>SUMIF(Input!$G$105:$Q$105,R$6,Input!$G110:$Q110)*IFERROR(CHOOSE(MATCH(Input!$E110,OIUnitType,),1,R$13,MAX(R$13*(1+SUM(R$72:R$73)/R$71),))*IF(Input!$F110=PerMonth,1,1/12),1/12)</f>
        <v>2660</v>
      </c>
      <c r="S145" s="635">
        <f>SUMIF(Input!$G$105:$Q$105,S$6,Input!$G110:$Q110)*IFERROR(CHOOSE(MATCH(Input!$E110,OIUnitType,),1,S$13,MAX(S$13*(1+SUM(S$72:S$73)/S$71),))*IF(Input!$F110=PerMonth,1,1/12),1/12)</f>
        <v>2660</v>
      </c>
      <c r="T145" s="635">
        <f>SUMIF(Input!$G$105:$Q$105,T$6,Input!$G110:$Q110)*IFERROR(CHOOSE(MATCH(Input!$E110,OIUnitType,),1,T$13,MAX(T$13*(1+SUM(T$72:T$73)/T$71),))*IF(Input!$F110=PerMonth,1,1/12),1/12)</f>
        <v>2660</v>
      </c>
      <c r="U145" s="635">
        <f>SUMIF(Input!$G$105:$Q$105,U$6,Input!$G110:$Q110)*IFERROR(CHOOSE(MATCH(Input!$E110,OIUnitType,),1,U$13,MAX(U$13*(1+SUM(U$72:U$73)/U$71),))*IF(Input!$F110=PerMonth,1,1/12),1/12)</f>
        <v>2660</v>
      </c>
      <c r="V145" s="635">
        <f>SUMIF(Input!$G$105:$Q$105,V$6,Input!$G110:$Q110)*IFERROR(CHOOSE(MATCH(Input!$E110,OIUnitType,),1,V$13,MAX(V$13*(1+SUM(V$72:V$73)/V$71),))*IF(Input!$F110=PerMonth,1,1/12),1/12)</f>
        <v>2660</v>
      </c>
      <c r="W145" s="635">
        <f>SUMIF(Input!$G$105:$Q$105,W$6,Input!$G110:$Q110)*IFERROR(CHOOSE(MATCH(Input!$E110,OIUnitType,),1,W$13,MAX(W$13*(1+SUM(W$72:W$73)/W$71),))*IF(Input!$F110=PerMonth,1,1/12),1/12)</f>
        <v>2660</v>
      </c>
      <c r="X145" s="635">
        <f>SUMIF(Input!$G$105:$Q$105,X$6,Input!$G110:$Q110)*IFERROR(CHOOSE(MATCH(Input!$E110,OIUnitType,),1,X$13,MAX(X$13*(1+SUM(X$72:X$73)/X$71),))*IF(Input!$F110=PerMonth,1,1/12),1/12)</f>
        <v>2660</v>
      </c>
      <c r="Y145" s="635">
        <f>SUMIF(Input!$G$105:$Q$105,Y$6,Input!$G110:$Q110)*IFERROR(CHOOSE(MATCH(Input!$E110,OIUnitType,),1,Y$13,MAX(Y$13*(1+SUM(Y$72:Y$73)/Y$71),))*IF(Input!$F110=PerMonth,1,1/12),1/12)</f>
        <v>2660</v>
      </c>
      <c r="Z145" s="635">
        <f>SUMIF(Input!$G$105:$Q$105,Z$6,Input!$G110:$Q110)*IFERROR(CHOOSE(MATCH(Input!$E110,OIUnitType,),1,Z$13,MAX(Z$13*(1+SUM(Z$72:Z$73)/Z$71),))*IF(Input!$F110=PerMonth,1,1/12),1/12)</f>
        <v>2660</v>
      </c>
      <c r="AA145" s="635">
        <f>SUMIF(Input!$G$105:$Q$105,AA$6,Input!$G110:$Q110)*IFERROR(CHOOSE(MATCH(Input!$E110,OIUnitType,),1,AA$13,MAX(AA$13*(1+SUM(AA$72:AA$73)/AA$71),))*IF(Input!$F110=PerMonth,1,1/12),1/12)</f>
        <v>2660</v>
      </c>
      <c r="AB145" s="635">
        <f>SUMIF(Input!$G$105:$Q$105,AB$6,Input!$G110:$Q110)*IFERROR(CHOOSE(MATCH(Input!$E110,OIUnitType,),1,AB$13,MAX(AB$13*(1+SUM(AB$72:AB$73)/AB$71),))*IF(Input!$F110=PerMonth,1,1/12),1/12)</f>
        <v>2660</v>
      </c>
      <c r="AC145" s="635">
        <f>SUMIF(Input!$G$105:$Q$105,AC$6,Input!$G110:$Q110)*IFERROR(CHOOSE(MATCH(Input!$E110,OIUnitType,),1,AC$13,MAX(AC$13*(1+SUM(AC$72:AC$73)/AC$71),))*IF(Input!$F110=PerMonth,1,1/12),1/12)</f>
        <v>2660</v>
      </c>
      <c r="AD145" s="635">
        <f>SUMIF(Input!$G$105:$Q$105,AD$6,Input!$G110:$Q110)*IFERROR(CHOOSE(MATCH(Input!$E110,OIUnitType,),1,AD$13,MAX(AD$13*(1+SUM(AD$72:AD$73)/AD$71),))*IF(Input!$F110=PerMonth,1,1/12),1/12)</f>
        <v>2660</v>
      </c>
      <c r="AE145" s="635">
        <f>SUMIF(Input!$G$105:$Q$105,AE$6,Input!$G110:$Q110)*IFERROR(CHOOSE(MATCH(Input!$E110,OIUnitType,),1,AE$13,MAX(AE$13*(1+SUM(AE$72:AE$73)/AE$71),))*IF(Input!$F110=PerMonth,1,1/12),1/12)</f>
        <v>2660</v>
      </c>
      <c r="AF145" s="635">
        <f>SUMIF(Input!$G$105:$Q$105,AF$6,Input!$G110:$Q110)*IFERROR(CHOOSE(MATCH(Input!$E110,OIUnitType,),1,AF$13,MAX(AF$13*(1+SUM(AF$72:AF$73)/AF$71),))*IF(Input!$F110=PerMonth,1,1/12),1/12)</f>
        <v>2660</v>
      </c>
      <c r="AG145" s="635">
        <f>SUMIF(Input!$G$105:$Q$105,AG$6,Input!$G110:$Q110)*IFERROR(CHOOSE(MATCH(Input!$E110,OIUnitType,),1,AG$13,MAX(AG$13*(1+SUM(AG$72:AG$73)/AG$71),))*IF(Input!$F110=PerMonth,1,1/12),1/12)</f>
        <v>2660</v>
      </c>
      <c r="AH145" s="635">
        <f>SUMIF(Input!$G$105:$Q$105,AH$6,Input!$G110:$Q110)*IFERROR(CHOOSE(MATCH(Input!$E110,OIUnitType,),1,AH$13,MAX(AH$13*(1+SUM(AH$72:AH$73)/AH$71),))*IF(Input!$F110=PerMonth,1,1/12),1/12)</f>
        <v>2660</v>
      </c>
      <c r="AI145" s="635">
        <f>SUMIF(Input!$G$105:$Q$105,AI$6,Input!$G110:$Q110)*IFERROR(CHOOSE(MATCH(Input!$E110,OIUnitType,),1,AI$13,MAX(AI$13*(1+SUM(AI$72:AI$73)/AI$71),))*IF(Input!$F110=PerMonth,1,1/12),1/12)</f>
        <v>2660</v>
      </c>
      <c r="AJ145" s="635">
        <f>SUMIF(Input!$G$105:$Q$105,AJ$6,Input!$G110:$Q110)*IFERROR(CHOOSE(MATCH(Input!$E110,OIUnitType,),1,AJ$13,MAX(AJ$13*(1+SUM(AJ$72:AJ$73)/AJ$71),))*IF(Input!$F110=PerMonth,1,1/12),1/12)</f>
        <v>2660</v>
      </c>
      <c r="AK145" s="635">
        <f>SUMIF(Input!$G$105:$Q$105,AK$6,Input!$G110:$Q110)*IFERROR(CHOOSE(MATCH(Input!$E110,OIUnitType,),1,AK$13,MAX(AK$13*(1+SUM(AK$72:AK$73)/AK$71),))*IF(Input!$F110=PerMonth,1,1/12),1/12)</f>
        <v>2660</v>
      </c>
      <c r="AL145" s="635">
        <f>SUMIF(Input!$G$105:$Q$105,AL$6,Input!$G110:$Q110)*IFERROR(CHOOSE(MATCH(Input!$E110,OIUnitType,),1,AL$13,MAX(AL$13*(1+SUM(AL$72:AL$73)/AL$71),))*IF(Input!$F110=PerMonth,1,1/12),1/12)</f>
        <v>2660</v>
      </c>
      <c r="AM145" s="635">
        <f>SUMIF(Input!$G$105:$Q$105,AM$6,Input!$G110:$Q110)*IFERROR(CHOOSE(MATCH(Input!$E110,OIUnitType,),1,AM$13,MAX(AM$13*(1+SUM(AM$72:AM$73)/AM$71),))*IF(Input!$F110=PerMonth,1,1/12),1/12)</f>
        <v>2660</v>
      </c>
      <c r="AN145" s="635">
        <f>SUMIF(Input!$G$105:$Q$105,AN$6,Input!$G110:$Q110)*IFERROR(CHOOSE(MATCH(Input!$E110,OIUnitType,),1,AN$13,MAX(AN$13*(1+SUM(AN$72:AN$73)/AN$71),))*IF(Input!$F110=PerMonth,1,1/12),1/12)</f>
        <v>2660</v>
      </c>
      <c r="AO145" s="635">
        <f>SUMIF(Input!$G$105:$Q$105,AO$6,Input!$G110:$Q110)*IFERROR(CHOOSE(MATCH(Input!$E110,OIUnitType,),1,AO$13,MAX(AO$13*(1+SUM(AO$72:AO$73)/AO$71),))*IF(Input!$F110=PerMonth,1,1/12),1/12)</f>
        <v>2660</v>
      </c>
      <c r="AP145" s="635">
        <f>SUMIF(Input!$G$105:$Q$105,AP$6,Input!$G110:$Q110)*IFERROR(CHOOSE(MATCH(Input!$E110,OIUnitType,),1,AP$13,MAX(AP$13*(1+SUM(AP$72:AP$73)/AP$71),))*IF(Input!$F110=PerMonth,1,1/12),1/12)</f>
        <v>2660</v>
      </c>
      <c r="AQ145" s="635">
        <f>SUMIF(Input!$G$105:$Q$105,AQ$6,Input!$G110:$Q110)*IFERROR(CHOOSE(MATCH(Input!$E110,OIUnitType,),1,AQ$13,MAX(AQ$13*(1+SUM(AQ$72:AQ$73)/AQ$71),))*IF(Input!$F110=PerMonth,1,1/12),1/12)</f>
        <v>2660</v>
      </c>
      <c r="AR145" s="635">
        <f>SUMIF(Input!$G$105:$Q$105,AR$6,Input!$G110:$Q110)*IFERROR(CHOOSE(MATCH(Input!$E110,OIUnitType,),1,AR$13,MAX(AR$13*(1+SUM(AR$72:AR$73)/AR$71),))*IF(Input!$F110=PerMonth,1,1/12),1/12)</f>
        <v>2660</v>
      </c>
      <c r="AS145" s="635">
        <f>SUMIF(Input!$G$105:$Q$105,AS$6,Input!$G110:$Q110)*IFERROR(CHOOSE(MATCH(Input!$E110,OIUnitType,),1,AS$13,MAX(AS$13*(1+SUM(AS$72:AS$73)/AS$71),))*IF(Input!$F110=PerMonth,1,1/12),1/12)</f>
        <v>2660</v>
      </c>
      <c r="AT145" s="635">
        <f>SUMIF(Input!$G$105:$Q$105,AT$6,Input!$G110:$Q110)*IFERROR(CHOOSE(MATCH(Input!$E110,OIUnitType,),1,AT$13,MAX(AT$13*(1+SUM(AT$72:AT$73)/AT$71),))*IF(Input!$F110=PerMonth,1,1/12),1/12)</f>
        <v>2660</v>
      </c>
      <c r="AU145" s="635">
        <f>SUMIF(Input!$G$105:$Q$105,AU$6,Input!$G110:$Q110)*IFERROR(CHOOSE(MATCH(Input!$E110,OIUnitType,),1,AU$13,MAX(AU$13*(1+SUM(AU$72:AU$73)/AU$71),))*IF(Input!$F110=PerMonth,1,1/12),1/12)</f>
        <v>2660</v>
      </c>
      <c r="AV145" s="635">
        <f>SUMIF(Input!$G$105:$Q$105,AV$6,Input!$G110:$Q110)*IFERROR(CHOOSE(MATCH(Input!$E110,OIUnitType,),1,AV$13,MAX(AV$13*(1+SUM(AV$72:AV$73)/AV$71),))*IF(Input!$F110=PerMonth,1,1/12),1/12)</f>
        <v>2660</v>
      </c>
      <c r="AW145" s="635">
        <f>SUMIF(Input!$G$105:$Q$105,AW$6,Input!$G110:$Q110)*IFERROR(CHOOSE(MATCH(Input!$E110,OIUnitType,),1,AW$13,MAX(AW$13*(1+SUM(AW$72:AW$73)/AW$71),))*IF(Input!$F110=PerMonth,1,1/12),1/12)</f>
        <v>2660</v>
      </c>
      <c r="AX145" s="635">
        <f>SUMIF(Input!$G$105:$Q$105,AX$6,Input!$G110:$Q110)*IFERROR(CHOOSE(MATCH(Input!$E110,OIUnitType,),1,AX$13,MAX(AX$13*(1+SUM(AX$72:AX$73)/AX$71),))*IF(Input!$F110=PerMonth,1,1/12),1/12)</f>
        <v>2660</v>
      </c>
      <c r="AY145" s="635">
        <f>SUMIF(Input!$G$105:$Q$105,AY$6,Input!$G110:$Q110)*IFERROR(CHOOSE(MATCH(Input!$E110,OIUnitType,),1,AY$13,MAX(AY$13*(1+SUM(AY$72:AY$73)/AY$71),))*IF(Input!$F110=PerMonth,1,1/12),1/12)</f>
        <v>2660</v>
      </c>
      <c r="AZ145" s="635">
        <f>SUMIF(Input!$G$105:$Q$105,AZ$6,Input!$G110:$Q110)*IFERROR(CHOOSE(MATCH(Input!$E110,OIUnitType,),1,AZ$13,MAX(AZ$13*(1+SUM(AZ$72:AZ$73)/AZ$71),))*IF(Input!$F110=PerMonth,1,1/12),1/12)</f>
        <v>2660</v>
      </c>
      <c r="BA145" s="635">
        <f>SUMIF(Input!$G$105:$Q$105,BA$6,Input!$G110:$Q110)*IFERROR(CHOOSE(MATCH(Input!$E110,OIUnitType,),1,BA$13,MAX(BA$13*(1+SUM(BA$72:BA$73)/BA$71),))*IF(Input!$F110=PerMonth,1,1/12),1/12)</f>
        <v>2660</v>
      </c>
      <c r="BB145" s="635">
        <f>SUMIF(Input!$G$105:$Q$105,BB$6,Input!$G110:$Q110)*IFERROR(CHOOSE(MATCH(Input!$E110,OIUnitType,),1,BB$13,MAX(BB$13*(1-SUMIF(Input!$G$89:$Q$89,BB$6,Input!$G$90:$Q$90)-BB$31),))*IF(Input!$F110=PerMonth,1,1/12),1/12)</f>
        <v>2660</v>
      </c>
      <c r="BC145" s="635">
        <f>SUMIF(Input!$G$105:$Q$105,BC$6,Input!$G110:$Q110)*IFERROR(CHOOSE(MATCH(Input!$E110,OIUnitType,),1,BC$13,MAX(BC$13*(1-SUMIF(Input!$G$89:$Q$89,BC$6,Input!$G$90:$Q$90)-BC$31),))*IF(Input!$F110=PerMonth,1,1/12),1/12)</f>
        <v>2660</v>
      </c>
      <c r="BD145" s="635">
        <f>SUMIF(Input!$G$105:$Q$105,BD$6,Input!$G110:$Q110)*IFERROR(CHOOSE(MATCH(Input!$E110,OIUnitType,),1,BD$13,MAX(BD$13*(1-SUMIF(Input!$G$89:$Q$89,BD$6,Input!$G$90:$Q$90)-BD$31),))*IF(Input!$F110=PerMonth,1,1/12),1/12)</f>
        <v>2660</v>
      </c>
      <c r="BE145" s="635">
        <f>SUMIF(Input!$G$105:$Q$105,BE$6,Input!$G110:$Q110)*IFERROR(CHOOSE(MATCH(Input!$E110,OIUnitType,),1,BE$13,MAX(BE$13*(1-SUMIF(Input!$G$89:$Q$89,BE$6,Input!$G$90:$Q$90)-BE$31),))*IF(Input!$F110=PerMonth,1,1/12),1/12)</f>
        <v>2660</v>
      </c>
      <c r="BF145" s="635">
        <f>SUMIF(Input!$G$105:$Q$105,BF$6,Input!$G110:$Q110)*IFERROR(CHOOSE(MATCH(Input!$E110,OIUnitType,),1,BF$13,MAX(BF$13*(1-SUMIF(Input!$G$89:$Q$89,BF$6,Input!$G$90:$Q$90)-BF$31),))*IF(Input!$F110=PerMonth,1,1/12),1/12)</f>
        <v>2660</v>
      </c>
      <c r="BG145" s="635">
        <f>SUMIF(Input!$G$105:$Q$105,BG$6,Input!$G110:$Q110)*IFERROR(CHOOSE(MATCH(Input!$E110,OIUnitType,),1,BG$13,MAX(BG$13*(1-SUMIF(Input!$G$89:$Q$89,BG$6,Input!$G$90:$Q$90)-BG$31),))*IF(Input!$F110=PerMonth,1,1/12),1/12)</f>
        <v>2660</v>
      </c>
      <c r="BH145" s="635">
        <f>SUMIF(Input!$G$105:$Q$105,BH$6,Input!$G110:$Q110)*IFERROR(CHOOSE(MATCH(Input!$E110,OIUnitType,),1,BH$13,MAX(BH$13*(1-SUMIF(Input!$G$89:$Q$89,BH$6,Input!$G$90:$Q$90)-BH$31),))*IF(Input!$F110=PerMonth,1,1/12),1/12)</f>
        <v>2660</v>
      </c>
      <c r="BI145" s="635">
        <f>SUMIF(Input!$G$105:$Q$105,BI$6,Input!$G110:$Q110)*IFERROR(CHOOSE(MATCH(Input!$E110,OIUnitType,),1,BI$13,MAX(BI$13*(1-SUMIF(Input!$G$89:$Q$89,BI$6,Input!$G$90:$Q$90)-BI$31),))*IF(Input!$F110=PerMonth,1,1/12),1/12)</f>
        <v>2660</v>
      </c>
      <c r="BJ145" s="635">
        <f>SUMIF(Input!$G$105:$Q$105,BJ$6,Input!$G110:$Q110)*IFERROR(CHOOSE(MATCH(Input!$E110,OIUnitType,),1,BJ$13,MAX(BJ$13*(1-SUMIF(Input!$G$89:$Q$89,BJ$6,Input!$G$90:$Q$90)-BJ$31),))*IF(Input!$F110=PerMonth,1,1/12),1/12)</f>
        <v>2660</v>
      </c>
      <c r="BK145" s="635">
        <f>SUMIF(Input!$G$105:$Q$105,BK$6,Input!$G110:$Q110)*IFERROR(CHOOSE(MATCH(Input!$E110,OIUnitType,),1,BK$13,MAX(BK$13*(1-SUMIF(Input!$G$89:$Q$89,BK$6,Input!$G$90:$Q$90)-BK$31),))*IF(Input!$F110=PerMonth,1,1/12),1/12)</f>
        <v>2660</v>
      </c>
      <c r="BL145" s="635">
        <f>SUMIF(Input!$G$105:$Q$105,BL$6,Input!$G110:$Q110)*IFERROR(CHOOSE(MATCH(Input!$E110,OIUnitType,),1,BL$13,MAX(BL$13*(1-SUMIF(Input!$G$89:$Q$89,BL$6,Input!$G$90:$Q$90)-BL$31),))*IF(Input!$F110=PerMonth,1,1/12),1/12)</f>
        <v>2660</v>
      </c>
      <c r="BM145" s="635">
        <f>SUMIF(Input!$G$105:$Q$105,BM$6,Input!$G110:$Q110)*IFERROR(CHOOSE(MATCH(Input!$E110,OIUnitType,),1,BM$13,MAX(BM$13*(1-SUMIF(Input!$G$89:$Q$89,BM$6,Input!$G$90:$Q$90)-BM$31),))*IF(Input!$F110=PerMonth,1,1/12),1/12)</f>
        <v>2660</v>
      </c>
      <c r="BN145" s="635">
        <f>SUMIF(Input!$G$105:$Q$105,BN$6,Input!$G110:$Q110)*IFERROR(CHOOSE(MATCH(Input!$E110,OIUnitType,),1,BN$13,MAX(BN$13*(1-SUMIF(Input!$G$89:$Q$89,BN$6,Input!$G$90:$Q$90)-BN$31),))*IF(Input!$F110=PerMonth,1,1/12),1/12)</f>
        <v>2660</v>
      </c>
      <c r="BO145" s="635">
        <f>SUMIF(Input!$G$105:$Q$105,BO$6,Input!$G110:$Q110)*IFERROR(CHOOSE(MATCH(Input!$E110,OIUnitType,),1,BO$13,MAX(BO$13*(1-SUMIF(Input!$G$89:$Q$89,BO$6,Input!$G$90:$Q$90)-BO$31),))*IF(Input!$F110=PerMonth,1,1/12),1/12)</f>
        <v>2660</v>
      </c>
      <c r="BP145" s="635">
        <f>SUMIF(Input!$G$105:$Q$105,BP$6,Input!$G110:$Q110)*IFERROR(CHOOSE(MATCH(Input!$E110,OIUnitType,),1,BP$13,MAX(BP$13*(1-SUMIF(Input!$G$89:$Q$89,BP$6,Input!$G$90:$Q$90)-BP$31),))*IF(Input!$F110=PerMonth,1,1/12),1/12)</f>
        <v>2660</v>
      </c>
      <c r="BQ145" s="635">
        <f>SUMIF(Input!$G$105:$Q$105,BQ$6,Input!$G110:$Q110)*IFERROR(CHOOSE(MATCH(Input!$E110,OIUnitType,),1,BQ$13,MAX(BQ$13*(1-SUMIF(Input!$G$89:$Q$89,BQ$6,Input!$G$90:$Q$90)-BQ$31),))*IF(Input!$F110=PerMonth,1,1/12),1/12)</f>
        <v>2660</v>
      </c>
      <c r="BR145" s="635">
        <f>SUMIF(Input!$G$105:$Q$105,BR$6,Input!$G110:$Q110)*IFERROR(CHOOSE(MATCH(Input!$E110,OIUnitType,),1,BR$13,MAX(BR$13*(1-SUMIF(Input!$G$89:$Q$89,BR$6,Input!$G$90:$Q$90)-BR$31),))*IF(Input!$F110=PerMonth,1,1/12),1/12)</f>
        <v>2660</v>
      </c>
      <c r="BS145" s="635">
        <f>SUMIF(Input!$G$105:$Q$105,BS$6,Input!$G110:$Q110)*IFERROR(CHOOSE(MATCH(Input!$E110,OIUnitType,),1,BS$13,MAX(BS$13*(1-SUMIF(Input!$G$89:$Q$89,BS$6,Input!$G$90:$Q$90)-BS$31),))*IF(Input!$F110=PerMonth,1,1/12),1/12)</f>
        <v>2660</v>
      </c>
      <c r="BT145" s="635">
        <f>SUMIF(Input!$G$105:$Q$105,BT$6,Input!$G110:$Q110)*IFERROR(CHOOSE(MATCH(Input!$E110,OIUnitType,),1,BT$13,MAX(BT$13*(1-SUMIF(Input!$G$89:$Q$89,BT$6,Input!$G$90:$Q$90)-BT$31),))*IF(Input!$F110=PerMonth,1,1/12),1/12)</f>
        <v>2660</v>
      </c>
      <c r="BU145" s="635">
        <f>SUMIF(Input!$G$105:$Q$105,BU$6,Input!$G110:$Q110)*IFERROR(CHOOSE(MATCH(Input!$E110,OIUnitType,),1,BU$13,MAX(BU$13*(1-SUMIF(Input!$G$89:$Q$89,BU$6,Input!$G$90:$Q$90)-BU$31),))*IF(Input!$F110=PerMonth,1,1/12),1/12)</f>
        <v>2660</v>
      </c>
      <c r="BV145" s="635">
        <f>SUMIF(Input!$G$105:$Q$105,BV$6,Input!$G110:$Q110)*IFERROR(CHOOSE(MATCH(Input!$E110,OIUnitType,),1,BV$13,MAX(BV$13*(1-SUMIF(Input!$G$89:$Q$89,BV$6,Input!$G$90:$Q$90)-BV$31),))*IF(Input!$F110=PerMonth,1,1/12),1/12)</f>
        <v>2660</v>
      </c>
      <c r="BW145" s="635">
        <f>SUMIF(Input!$G$105:$Q$105,BW$6,Input!$G110:$Q110)*IFERROR(CHOOSE(MATCH(Input!$E110,OIUnitType,),1,BW$13,MAX(BW$13*(1-SUMIF(Input!$G$89:$Q$89,BW$6,Input!$G$90:$Q$90)-BW$31),))*IF(Input!$F110=PerMonth,1,1/12),1/12)</f>
        <v>2660</v>
      </c>
      <c r="BX145" s="635">
        <f>SUMIF(Input!$G$105:$Q$105,BX$6,Input!$G110:$Q110)*IFERROR(CHOOSE(MATCH(Input!$E110,OIUnitType,),1,BX$13,MAX(BX$13*(1-SUMIF(Input!$G$89:$Q$89,BX$6,Input!$G$90:$Q$90)-BX$31),))*IF(Input!$F110=PerMonth,1,1/12),1/12)</f>
        <v>2660</v>
      </c>
      <c r="BY145" s="635">
        <f>SUMIF(Input!$G$105:$Q$105,BY$6,Input!$G110:$Q110)*IFERROR(CHOOSE(MATCH(Input!$E110,OIUnitType,),1,BY$13,MAX(BY$13*(1-SUMIF(Input!$G$89:$Q$89,BY$6,Input!$G$90:$Q$90)-BY$31),))*IF(Input!$F110=PerMonth,1,1/12),1/12)</f>
        <v>2660</v>
      </c>
      <c r="BZ145" s="635">
        <f>SUMIF(Input!$G$105:$Q$105,BZ$6,Input!$G110:$Q110)*IFERROR(CHOOSE(MATCH(Input!$E110,OIUnitType,),1,BZ$13,MAX(BZ$13*(1-SUMIF(Input!$G$89:$Q$89,BZ$6,Input!$G$90:$Q$90)-BZ$31),))*IF(Input!$F110=PerMonth,1,1/12),1/12)</f>
        <v>2660</v>
      </c>
      <c r="CA145" s="635">
        <f>SUMIF(Input!$G$105:$Q$105,CA$6,Input!$G110:$Q110)*IFERROR(CHOOSE(MATCH(Input!$E110,OIUnitType,),1,CA$13,MAX(CA$13*(1-SUMIF(Input!$G$89:$Q$89,CA$6,Input!$G$90:$Q$90)-CA$31),))*IF(Input!$F110=PerMonth,1,1/12),1/12)</f>
        <v>2660</v>
      </c>
      <c r="CB145" s="635">
        <f>SUMIF(Input!$G$105:$Q$105,CB$6,Input!$G110:$Q110)*IFERROR(CHOOSE(MATCH(Input!$E110,OIUnitType,),1,CB$13,MAX(CB$13*(1-SUMIF(Input!$G$89:$Q$89,CB$6,Input!$G$90:$Q$90)-CB$31),))*IF(Input!$F110=PerMonth,1,1/12),1/12)</f>
        <v>2660</v>
      </c>
      <c r="CC145" s="635">
        <f>SUMIF(Input!$G$105:$Q$105,CC$6,Input!$G110:$Q110)*IFERROR(CHOOSE(MATCH(Input!$E110,OIUnitType,),1,CC$13,MAX(CC$13*(1-SUMIF(Input!$G$89:$Q$89,CC$6,Input!$G$90:$Q$90)-CC$31),))*IF(Input!$F110=PerMonth,1,1/12),1/12)</f>
        <v>2660</v>
      </c>
      <c r="CD145" s="635">
        <f>SUMIF(Input!$G$105:$Q$105,CD$6,Input!$G110:$Q110)*IFERROR(CHOOSE(MATCH(Input!$E110,OIUnitType,),1,CD$13,MAX(CD$13*(1-SUMIF(Input!$G$89:$Q$89,CD$6,Input!$G$90:$Q$90)-CD$31),))*IF(Input!$F110=PerMonth,1,1/12),1/12)</f>
        <v>2660</v>
      </c>
      <c r="CE145" s="635">
        <f>SUMIF(Input!$G$105:$Q$105,CE$6,Input!$G110:$Q110)*IFERROR(CHOOSE(MATCH(Input!$E110,OIUnitType,),1,CE$13,MAX(CE$13*(1-SUMIF(Input!$G$89:$Q$89,CE$6,Input!$G$90:$Q$90)-CE$31),))*IF(Input!$F110=PerMonth,1,1/12),1/12)</f>
        <v>2660</v>
      </c>
      <c r="CF145" s="635">
        <f>SUMIF(Input!$G$105:$Q$105,CF$6,Input!$G110:$Q110)*IFERROR(CHOOSE(MATCH(Input!$E110,OIUnitType,),1,CF$13,MAX(CF$13*(1-SUMIF(Input!$G$89:$Q$89,CF$6,Input!$G$90:$Q$90)-CF$31),))*IF(Input!$F110=PerMonth,1,1/12),1/12)</f>
        <v>2660</v>
      </c>
      <c r="CG145" s="635">
        <f>SUMIF(Input!$G$105:$Q$105,CG$6,Input!$G110:$Q110)*IFERROR(CHOOSE(MATCH(Input!$E110,OIUnitType,),1,CG$13,MAX(CG$13*(1-SUMIF(Input!$G$89:$Q$89,CG$6,Input!$G$90:$Q$90)-CG$31),))*IF(Input!$F110=PerMonth,1,1/12),1/12)</f>
        <v>2660</v>
      </c>
      <c r="CH145" s="635">
        <f>SUMIF(Input!$G$105:$Q$105,CH$6,Input!$G110:$Q110)*IFERROR(CHOOSE(MATCH(Input!$E110,OIUnitType,),1,CH$13,MAX(CH$13*(1-SUMIF(Input!$G$89:$Q$89,CH$6,Input!$G$90:$Q$90)-CH$31),))*IF(Input!$F110=PerMonth,1,1/12),1/12)</f>
        <v>2660</v>
      </c>
      <c r="CI145" s="635">
        <f>SUMIF(Input!$G$105:$Q$105,CI$6,Input!$G110:$Q110)*IFERROR(CHOOSE(MATCH(Input!$E110,OIUnitType,),1,CI$13,MAX(CI$13*(1-SUMIF(Input!$G$89:$Q$89,CI$6,Input!$G$90:$Q$90)-CI$31),))*IF(Input!$F110=PerMonth,1,1/12),1/12)</f>
        <v>2660</v>
      </c>
      <c r="CJ145" s="635">
        <f>SUMIF(Input!$G$105:$Q$105,CJ$6,Input!$G110:$Q110)*IFERROR(CHOOSE(MATCH(Input!$E110,OIUnitType,),1,CJ$13,MAX(CJ$13*(1-SUMIF(Input!$G$89:$Q$89,CJ$6,Input!$G$90:$Q$90)-CJ$31),))*IF(Input!$F110=PerMonth,1,1/12),1/12)</f>
        <v>2660</v>
      </c>
      <c r="CK145" s="635">
        <f>SUMIF(Input!$G$105:$Q$105,CK$6,Input!$G110:$Q110)*IFERROR(CHOOSE(MATCH(Input!$E110,OIUnitType,),1,CK$13,MAX(CK$13*(1-SUMIF(Input!$G$89:$Q$89,CK$6,Input!$G$90:$Q$90)-CK$31),))*IF(Input!$F110=PerMonth,1,1/12),1/12)</f>
        <v>2660</v>
      </c>
      <c r="CL145" s="635">
        <f>SUMIF(Input!$G$105:$Q$105,CL$6,Input!$G110:$Q110)*IFERROR(CHOOSE(MATCH(Input!$E110,OIUnitType,),1,CL$13,MAX(CL$13*(1-SUMIF(Input!$G$89:$Q$89,CL$6,Input!$G$90:$Q$90)-CL$31),))*IF(Input!$F110=PerMonth,1,1/12),1/12)</f>
        <v>2660</v>
      </c>
      <c r="CM145" s="635">
        <f>SUMIF(Input!$G$105:$Q$105,CM$6,Input!$G110:$Q110)*IFERROR(CHOOSE(MATCH(Input!$E110,OIUnitType,),1,CM$13,MAX(CM$13*(1-SUMIF(Input!$G$89:$Q$89,CM$6,Input!$G$90:$Q$90)-CM$31),))*IF(Input!$F110=PerMonth,1,1/12),1/12)</f>
        <v>2660</v>
      </c>
      <c r="CN145" s="635">
        <f>SUMIF(Input!$G$105:$Q$105,CN$6,Input!$G110:$Q110)*IFERROR(CHOOSE(MATCH(Input!$E110,OIUnitType,),1,CN$13,MAX(CN$13*(1-SUMIF(Input!$G$89:$Q$89,CN$6,Input!$G$90:$Q$90)-CN$31),))*IF(Input!$F110=PerMonth,1,1/12),1/12)</f>
        <v>2660</v>
      </c>
      <c r="CO145" s="635">
        <f>SUMIF(Input!$G$105:$Q$105,CO$6,Input!$G110:$Q110)*IFERROR(CHOOSE(MATCH(Input!$E110,OIUnitType,),1,CO$13,MAX(CO$13*(1-SUMIF(Input!$G$89:$Q$89,CO$6,Input!$G$90:$Q$90)-CO$31),))*IF(Input!$F110=PerMonth,1,1/12),1/12)</f>
        <v>2660</v>
      </c>
      <c r="CP145" s="635">
        <f>SUMIF(Input!$G$105:$Q$105,CP$6,Input!$G110:$Q110)*IFERROR(CHOOSE(MATCH(Input!$E110,OIUnitType,),1,CP$13,MAX(CP$13*(1-SUMIF(Input!$G$89:$Q$89,CP$6,Input!$G$90:$Q$90)-CP$31),))*IF(Input!$F110=PerMonth,1,1/12),1/12)</f>
        <v>2660</v>
      </c>
      <c r="CQ145" s="635">
        <f>SUMIF(Input!$G$105:$Q$105,CQ$6,Input!$G110:$Q110)*IFERROR(CHOOSE(MATCH(Input!$E110,OIUnitType,),1,CQ$13,MAX(CQ$13*(1-SUMIF(Input!$G$89:$Q$89,CQ$6,Input!$G$90:$Q$90)-CQ$31),))*IF(Input!$F110=PerMonth,1,1/12),1/12)</f>
        <v>2660</v>
      </c>
      <c r="CR145" s="635">
        <f>SUMIF(Input!$G$105:$Q$105,CR$6,Input!$G110:$Q110)*IFERROR(CHOOSE(MATCH(Input!$E110,OIUnitType,),1,CR$13,MAX(CR$13*(1-SUMIF(Input!$G$89:$Q$89,CR$6,Input!$G$90:$Q$90)-CR$31),))*IF(Input!$F110=PerMonth,1,1/12),1/12)</f>
        <v>2660</v>
      </c>
      <c r="CS145" s="635">
        <f>SUMIF(Input!$G$105:$Q$105,CS$6,Input!$G110:$Q110)*IFERROR(CHOOSE(MATCH(Input!$E110,OIUnitType,),1,CS$13,MAX(CS$13*(1-SUMIF(Input!$G$89:$Q$89,CS$6,Input!$G$90:$Q$90)-CS$31),))*IF(Input!$F110=PerMonth,1,1/12),1/12)</f>
        <v>2660</v>
      </c>
      <c r="CT145" s="635">
        <f>SUMIF(Input!$G$105:$Q$105,CT$6,Input!$G110:$Q110)*IFERROR(CHOOSE(MATCH(Input!$E110,OIUnitType,),1,CT$13,MAX(CT$13*(1-SUMIF(Input!$G$89:$Q$89,CT$6,Input!$G$90:$Q$90)-CT$31),))*IF(Input!$F110=PerMonth,1,1/12),1/12)</f>
        <v>2660</v>
      </c>
      <c r="CU145" s="635">
        <f>SUMIF(Input!$G$105:$Q$105,CU$6,Input!$G110:$Q110)*IFERROR(CHOOSE(MATCH(Input!$E110,OIUnitType,),1,CU$13,MAX(CU$13*(1-SUMIF(Input!$G$89:$Q$89,CU$6,Input!$G$90:$Q$90)-CU$31),))*IF(Input!$F110=PerMonth,1,1/12),1/12)</f>
        <v>2660</v>
      </c>
      <c r="CV145" s="635">
        <f>SUMIF(Input!$G$105:$Q$105,CV$6,Input!$G110:$Q110)*IFERROR(CHOOSE(MATCH(Input!$E110,OIUnitType,),1,CV$13,MAX(CV$13*(1-SUMIF(Input!$G$89:$Q$89,CV$6,Input!$G$90:$Q$90)-CV$31),))*IF(Input!$F110=PerMonth,1,1/12),1/12)</f>
        <v>2660</v>
      </c>
      <c r="CW145" s="635">
        <f>SUMIF(Input!$G$105:$Q$105,CW$6,Input!$G110:$Q110)*IFERROR(CHOOSE(MATCH(Input!$E110,OIUnitType,),1,CW$13,MAX(CW$13*(1-SUMIF(Input!$G$89:$Q$89,CW$6,Input!$G$90:$Q$90)-CW$31),))*IF(Input!$F110=PerMonth,1,1/12),1/12)</f>
        <v>2660</v>
      </c>
      <c r="CX145" s="635">
        <f>SUMIF(Input!$G$105:$Q$105,CX$6,Input!$G110:$Q110)*IFERROR(CHOOSE(MATCH(Input!$E110,OIUnitType,),1,CX$13,MAX(CX$13*(1-SUMIF(Input!$G$89:$Q$89,CX$6,Input!$G$90:$Q$90)-CX$31),))*IF(Input!$F110=PerMonth,1,1/12),1/12)</f>
        <v>2660</v>
      </c>
      <c r="CY145" s="635">
        <f>SUMIF(Input!$G$105:$Q$105,CY$6,Input!$G110:$Q110)*IFERROR(CHOOSE(MATCH(Input!$E110,OIUnitType,),1,CY$13,MAX(CY$13*(1-SUMIF(Input!$G$89:$Q$89,CY$6,Input!$G$90:$Q$90)-CY$31),))*IF(Input!$F110=PerMonth,1,1/12),1/12)</f>
        <v>2660</v>
      </c>
      <c r="CZ145" s="635">
        <f>SUMIF(Input!$G$105:$Q$105,CZ$6,Input!$G110:$Q110)*IFERROR(CHOOSE(MATCH(Input!$E110,OIUnitType,),1,CZ$13,MAX(CZ$13*(1-SUMIF(Input!$G$89:$Q$89,CZ$6,Input!$G$90:$Q$90)-CZ$31),))*IF(Input!$F110=PerMonth,1,1/12),1/12)</f>
        <v>2660</v>
      </c>
      <c r="DA145" s="635">
        <f>SUMIF(Input!$G$105:$Q$105,DA$6,Input!$G110:$Q110)*IFERROR(CHOOSE(MATCH(Input!$E110,OIUnitType,),1,DA$13,MAX(DA$13*(1-SUMIF(Input!$G$89:$Q$89,DA$6,Input!$G$90:$Q$90)-DA$31),))*IF(Input!$F110=PerMonth,1,1/12),1/12)</f>
        <v>2660</v>
      </c>
      <c r="DB145" s="635">
        <f>SUMIF(Input!$G$105:$Q$105,DB$6,Input!$G110:$Q110)*IFERROR(CHOOSE(MATCH(Input!$E110,OIUnitType,),1,DB$13,MAX(DB$13*(1-SUMIF(Input!$G$89:$Q$89,DB$6,Input!$G$90:$Q$90)-DB$31),))*IF(Input!$F110=PerMonth,1,1/12),1/12)</f>
        <v>2660</v>
      </c>
      <c r="DC145" s="635">
        <f>SUMIF(Input!$G$105:$Q$105,DC$6,Input!$G110:$Q110)*IFERROR(CHOOSE(MATCH(Input!$E110,OIUnitType,),1,DC$13,MAX(DC$13*(1-SUMIF(Input!$G$89:$Q$89,DC$6,Input!$G$90:$Q$90)-DC$31),))*IF(Input!$F110=PerMonth,1,1/12),1/12)</f>
        <v>2660</v>
      </c>
      <c r="DD145" s="635">
        <f>SUMIF(Input!$G$105:$Q$105,DD$6,Input!$G110:$Q110)*IFERROR(CHOOSE(MATCH(Input!$E110,OIUnitType,),1,DD$13,MAX(DD$13*(1-SUMIF(Input!$G$89:$Q$89,DD$6,Input!$G$90:$Q$90)-DD$31),))*IF(Input!$F110=PerMonth,1,1/12),1/12)</f>
        <v>2660</v>
      </c>
      <c r="DE145" s="635">
        <f>SUMIF(Input!$G$105:$Q$105,DE$6,Input!$G110:$Q110)*IFERROR(CHOOSE(MATCH(Input!$E110,OIUnitType,),1,DE$13,MAX(DE$13*(1-SUMIF(Input!$G$89:$Q$89,DE$6,Input!$G$90:$Q$90)-DE$31),))*IF(Input!$F110=PerMonth,1,1/12),1/12)</f>
        <v>2660</v>
      </c>
      <c r="DF145" s="635">
        <f>SUMIF(Input!$G$105:$Q$105,DF$6,Input!$G110:$Q110)*IFERROR(CHOOSE(MATCH(Input!$E110,OIUnitType,),1,DF$13,MAX(DF$13*(1-SUMIF(Input!$G$89:$Q$89,DF$6,Input!$G$90:$Q$90)-DF$31),))*IF(Input!$F110=PerMonth,1,1/12),1/12)</f>
        <v>2660</v>
      </c>
      <c r="DG145" s="635">
        <f>SUMIF(Input!$G$105:$Q$105,DG$6,Input!$G110:$Q110)*IFERROR(CHOOSE(MATCH(Input!$E110,OIUnitType,),1,DG$13,MAX(DG$13*(1-SUMIF(Input!$G$89:$Q$89,DG$6,Input!$G$90:$Q$90)-DG$31),))*IF(Input!$F110=PerMonth,1,1/12),1/12)</f>
        <v>2660</v>
      </c>
      <c r="DH145" s="635">
        <f>SUMIF(Input!$G$105:$Q$105,DH$6,Input!$G110:$Q110)*IFERROR(CHOOSE(MATCH(Input!$E110,OIUnitType,),1,DH$13,MAX(DH$13*(1-SUMIF(Input!$G$89:$Q$89,DH$6,Input!$G$90:$Q$90)-DH$31),))*IF(Input!$F110=PerMonth,1,1/12),1/12)</f>
        <v>2660</v>
      </c>
      <c r="DI145" s="635">
        <f>SUMIF(Input!$G$105:$Q$105,DI$6,Input!$G110:$Q110)*IFERROR(CHOOSE(MATCH(Input!$E110,OIUnitType,),1,DI$13,MAX(DI$13*(1-SUMIF(Input!$G$89:$Q$89,DI$6,Input!$G$90:$Q$90)-DI$31),))*IF(Input!$F110=PerMonth,1,1/12),1/12)</f>
        <v>2660</v>
      </c>
      <c r="DJ145" s="635">
        <f>SUMIF(Input!$G$105:$Q$105,DJ$6,Input!$G110:$Q110)*IFERROR(CHOOSE(MATCH(Input!$E110,OIUnitType,),1,DJ$13,MAX(DJ$13*(1-SUMIF(Input!$G$89:$Q$89,DJ$6,Input!$G$90:$Q$90)-DJ$31),))*IF(Input!$F110=PerMonth,1,1/12),1/12)</f>
        <v>2660</v>
      </c>
      <c r="DK145" s="635">
        <f>SUMIF(Input!$G$105:$Q$105,DK$6,Input!$G110:$Q110)*IFERROR(CHOOSE(MATCH(Input!$E110,OIUnitType,),1,DK$13,MAX(DK$13*(1-SUMIF(Input!$G$89:$Q$89,DK$6,Input!$G$90:$Q$90)-DK$31),))*IF(Input!$F110=PerMonth,1,1/12),1/12)</f>
        <v>2660</v>
      </c>
      <c r="DL145" s="635">
        <f>SUMIF(Input!$G$105:$Q$105,DL$6,Input!$G110:$Q110)*IFERROR(CHOOSE(MATCH(Input!$E110,OIUnitType,),1,DL$13,MAX(DL$13*(1-SUMIF(Input!$G$89:$Q$89,DL$6,Input!$G$90:$Q$90)-DL$31),))*IF(Input!$F110=PerMonth,1,1/12),1/12)</f>
        <v>2660</v>
      </c>
      <c r="DM145" s="635">
        <f>SUMIF(Input!$G$105:$Q$105,DM$6,Input!$G110:$Q110)*IFERROR(CHOOSE(MATCH(Input!$E110,OIUnitType,),1,DM$13,MAX(DM$13*(1-SUMIF(Input!$G$89:$Q$89,DM$6,Input!$G$90:$Q$90)-DM$31),))*IF(Input!$F110=PerMonth,1,1/12),1/12)</f>
        <v>2660</v>
      </c>
      <c r="DN145" s="635">
        <f>SUMIF(Input!$G$105:$Q$105,DN$6,Input!$G110:$Q110)*IFERROR(CHOOSE(MATCH(Input!$E110,OIUnitType,),1,DN$13,MAX(DN$13*(1-SUMIF(Input!$G$89:$Q$89,DN$6,Input!$G$90:$Q$90)-DN$31),))*IF(Input!$F110=PerMonth,1,1/12),1/12)</f>
        <v>2660</v>
      </c>
      <c r="DO145" s="635">
        <f>SUMIF(Input!$G$105:$Q$105,DO$6,Input!$G110:$Q110)*IFERROR(CHOOSE(MATCH(Input!$E110,OIUnitType,),1,DO$13,MAX(DO$13*(1-SUMIF(Input!$G$89:$Q$89,DO$6,Input!$G$90:$Q$90)-DO$31),))*IF(Input!$F110=PerMonth,1,1/12),1/12)</f>
        <v>2660</v>
      </c>
      <c r="DP145" s="635">
        <f>SUMIF(Input!$G$105:$Q$105,DP$6,Input!$G110:$Q110)*IFERROR(CHOOSE(MATCH(Input!$E110,OIUnitType,),1,DP$13,MAX(DP$13*(1-SUMIF(Input!$G$89:$Q$89,DP$6,Input!$G$90:$Q$90)-DP$31),))*IF(Input!$F110=PerMonth,1,1/12),1/12)</f>
        <v>2660</v>
      </c>
      <c r="DQ145" s="635">
        <f>SUMIF(Input!$G$105:$Q$105,DQ$6,Input!$G110:$Q110)*IFERROR(CHOOSE(MATCH(Input!$E110,OIUnitType,),1,DQ$13,MAX(DQ$13*(1-SUMIF(Input!$G$89:$Q$89,DQ$6,Input!$G$90:$Q$90)-DQ$31),))*IF(Input!$F110=PerMonth,1,1/12),1/12)</f>
        <v>2660</v>
      </c>
      <c r="DR145" s="635">
        <f>SUMIF(Input!$G$105:$Q$105,DR$6,Input!$G110:$Q110)*IFERROR(CHOOSE(MATCH(Input!$E110,OIUnitType,),1,DR$13,MAX(DR$13*(1-SUMIF(Input!$G$89:$Q$89,DR$6,Input!$G$90:$Q$90)-DR$31),))*IF(Input!$F110=PerMonth,1,1/12),1/12)</f>
        <v>2660</v>
      </c>
      <c r="DS145" s="635">
        <f>SUMIF(Input!$G$105:$Q$105,DS$6,Input!$G110:$Q110)*IFERROR(CHOOSE(MATCH(Input!$E110,OIUnitType,),1,DS$13,MAX(DS$13*(1-SUMIF(Input!$G$89:$Q$89,DS$6,Input!$G$90:$Q$90)-DS$31),))*IF(Input!$F110=PerMonth,1,1/12),1/12)</f>
        <v>2660</v>
      </c>
      <c r="DT145" s="635">
        <f>SUMIF(Input!$G$105:$Q$105,DT$6,Input!$G110:$Q110)*IFERROR(CHOOSE(MATCH(Input!$E110,OIUnitType,),1,DT$13,MAX(DT$13*(1-SUMIF(Input!$G$89:$Q$89,DT$6,Input!$G$90:$Q$90)-DT$31),))*IF(Input!$F110=PerMonth,1,1/12),1/12)</f>
        <v>2660</v>
      </c>
      <c r="DU145" s="635">
        <f>SUMIF(Input!$G$105:$Q$105,DU$6,Input!$G110:$Q110)*IFERROR(CHOOSE(MATCH(Input!$E110,OIUnitType,),1,DU$13,MAX(DU$13*(1-SUMIF(Input!$G$89:$Q$89,DU$6,Input!$G$90:$Q$90)-DU$31),))*IF(Input!$F110=PerMonth,1,1/12),1/12)</f>
        <v>2660</v>
      </c>
      <c r="DV145" s="635">
        <f>SUMIF(Input!$G$105:$Q$105,DV$6,Input!$G110:$Q110)*IFERROR(CHOOSE(MATCH(Input!$E110,OIUnitType,),1,DV$13,MAX(DV$13*(1-SUMIF(Input!$G$89:$Q$89,DV$6,Input!$G$90:$Q$90)-DV$31),))*IF(Input!$F110=PerMonth,1,1/12),1/12)</f>
        <v>2660</v>
      </c>
      <c r="DW145" s="635">
        <f>SUMIF(Input!$G$105:$Q$105,DW$6,Input!$G110:$Q110)*IFERROR(CHOOSE(MATCH(Input!$E110,OIUnitType,),1,DW$13,MAX(DW$13*(1-SUMIF(Input!$G$89:$Q$89,DW$6,Input!$G$90:$Q$90)-DW$31),))*IF(Input!$F110=PerMonth,1,1/12),1/12)</f>
        <v>2660</v>
      </c>
      <c r="DX145" s="635">
        <f>SUMIF(Input!$G$105:$Q$105,DX$6,Input!$G110:$Q110)*IFERROR(CHOOSE(MATCH(Input!$E110,OIUnitType,),1,DX$13,MAX(DX$13*(1-SUMIF(Input!$G$89:$Q$89,DX$6,Input!$G$90:$Q$90)-DX$31),))*IF(Input!$F110=PerMonth,1,1/12),1/12)</f>
        <v>2660</v>
      </c>
      <c r="DY145" s="635">
        <f>SUMIF(Input!$G$105:$Q$105,DY$6,Input!$G110:$Q110)*IFERROR(CHOOSE(MATCH(Input!$E110,OIUnitType,),1,DY$13,MAX(DY$13*(1-SUMIF(Input!$G$89:$Q$89,DY$6,Input!$G$90:$Q$90)-DY$31),))*IF(Input!$F110=PerMonth,1,1/12),1/12)</f>
        <v>2660</v>
      </c>
      <c r="DZ145" s="635">
        <f>SUMIF(Input!$G$105:$Q$105,DZ$6,Input!$G110:$Q110)*IFERROR(CHOOSE(MATCH(Input!$E110,OIUnitType,),1,DZ$13,MAX(DZ$13*(1-SUMIF(Input!$G$89:$Q$89,DZ$6,Input!$G$90:$Q$90)-DZ$31),))*IF(Input!$F110=PerMonth,1,1/12),1/12)</f>
        <v>2660</v>
      </c>
      <c r="EA145" s="635">
        <f>SUMIF(Input!$G$105:$Q$105,EA$6,Input!$G110:$Q110)*IFERROR(CHOOSE(MATCH(Input!$E110,OIUnitType,),1,EA$13,MAX(EA$13*(1-SUMIF(Input!$G$89:$Q$89,EA$6,Input!$G$90:$Q$90)-EA$31),))*IF(Input!$F110=PerMonth,1,1/12),1/12)</f>
        <v>2660</v>
      </c>
      <c r="EB145" s="635">
        <f>SUMIF(Input!$G$105:$Q$105,EB$6,Input!$G110:$Q110)*IFERROR(CHOOSE(MATCH(Input!$E110,OIUnitType,),1,EB$13,MAX(EB$13*(1-SUMIF(Input!$G$89:$Q$89,EB$6,Input!$G$90:$Q$90)-EB$31),))*IF(Input!$F110=PerMonth,1,1/12),1/12)</f>
        <v>2660</v>
      </c>
      <c r="EC145" s="635">
        <f>SUMIF(Input!$G$105:$Q$105,EC$6,Input!$G110:$Q110)*IFERROR(CHOOSE(MATCH(Input!$E110,OIUnitType,),1,EC$13,MAX(EC$13*(1-SUMIF(Input!$G$89:$Q$89,EC$6,Input!$G$90:$Q$90)-EC$31),))*IF(Input!$F110=PerMonth,1,1/12),1/12)</f>
        <v>2660</v>
      </c>
      <c r="ED145" s="635">
        <f>SUMIF(Input!$G$105:$Q$105,ED$6,Input!$G110:$Q110)*IFERROR(CHOOSE(MATCH(Input!$E110,OIUnitType,),1,ED$13,MAX(ED$13*(1-SUMIF(Input!$G$89:$Q$89,ED$6,Input!$G$90:$Q$90)-ED$31),))*IF(Input!$F110=PerMonth,1,1/12),1/12)</f>
        <v>2660</v>
      </c>
      <c r="EE145" s="635">
        <f>SUMIF(Input!$G$105:$Q$105,EE$6,Input!$G110:$Q110)*IFERROR(CHOOSE(MATCH(Input!$E110,OIUnitType,),1,EE$13,MAX(EE$13*(1-SUMIF(Input!$G$89:$Q$89,EE$6,Input!$G$90:$Q$90)-EE$31),))*IF(Input!$F110=PerMonth,1,1/12),1/12)</f>
        <v>2660</v>
      </c>
      <c r="EF145" s="635">
        <f>SUMIF(Input!$G$105:$Q$105,EF$6,Input!$G110:$Q110)*IFERROR(CHOOSE(MATCH(Input!$E110,OIUnitType,),1,EF$13,MAX(EF$13*(1-SUMIF(Input!$G$89:$Q$89,EF$6,Input!$G$90:$Q$90)-EF$31),))*IF(Input!$F110=PerMonth,1,1/12),1/12)</f>
        <v>2660</v>
      </c>
      <c r="EG145" s="635">
        <f>SUMIF(Input!$G$105:$Q$105,EG$6,Input!$G110:$Q110)*IFERROR(CHOOSE(MATCH(Input!$E110,OIUnitType,),1,EG$13,MAX(EG$13*(1-SUMIF(Input!$G$89:$Q$89,EG$6,Input!$G$90:$Q$90)-EG$31),))*IF(Input!$F110=PerMonth,1,1/12),1/12)</f>
        <v>2660</v>
      </c>
      <c r="EH145" s="635">
        <f>SUMIF(Input!$G$105:$Q$105,EH$6,Input!$G110:$Q110)*IFERROR(CHOOSE(MATCH(Input!$E110,OIUnitType,),1,EH$13,MAX(EH$13*(1-SUMIF(Input!$G$89:$Q$89,EH$6,Input!$G$90:$Q$90)-EH$31),))*IF(Input!$F110=PerMonth,1,1/12),1/12)</f>
        <v>2660</v>
      </c>
      <c r="EI145" s="635">
        <f>SUMIF(Input!$G$105:$Q$105,EI$6,Input!$G110:$Q110)*IFERROR(CHOOSE(MATCH(Input!$E110,OIUnitType,),1,EI$13,MAX(EI$13*(1-SUMIF(Input!$G$89:$Q$89,EI$6,Input!$G$90:$Q$90)-EI$31),))*IF(Input!$F110=PerMonth,1,1/12),1/12)</f>
        <v>2660</v>
      </c>
      <c r="EJ145" s="635">
        <f>SUMIF(Input!$G$105:$Q$105,EJ$6,Input!$G110:$Q110)*IFERROR(CHOOSE(MATCH(Input!$E110,OIUnitType,),1,EJ$13,MAX(EJ$13*(1-SUMIF(Input!$G$89:$Q$89,EJ$6,Input!$G$90:$Q$90)-EJ$31),))*IF(Input!$F110=PerMonth,1,1/12),1/12)</f>
        <v>2660</v>
      </c>
      <c r="EK145" s="635">
        <f>SUMIF(Input!$G$105:$Q$105,EK$6,Input!$G110:$Q110)*IFERROR(CHOOSE(MATCH(Input!$E110,OIUnitType,),1,EK$13,MAX(EK$13*(1-SUMIF(Input!$G$89:$Q$89,EK$6,Input!$G$90:$Q$90)-EK$31),))*IF(Input!$F110=PerMonth,1,1/12),1/12)</f>
        <v>2660</v>
      </c>
      <c r="EL145" s="635">
        <f>SUMIF(Input!$G$105:$Q$105,EL$6,Input!$G110:$Q110)*IFERROR(CHOOSE(MATCH(Input!$E110,OIUnitType,),1,EL$13,MAX(EL$13*(1-SUMIF(Input!$G$89:$Q$89,EL$6,Input!$G$90:$Q$90)-EL$31),))*IF(Input!$F110=PerMonth,1,1/12),1/12)</f>
        <v>2660</v>
      </c>
      <c r="EM145" s="635">
        <f>SUMIF(Input!$G$105:$Q$105,EM$6,Input!$G110:$Q110)*IFERROR(CHOOSE(MATCH(Input!$E110,OIUnitType,),1,EM$13,MAX(EM$13*(1-SUMIF(Input!$G$89:$Q$89,EM$6,Input!$G$90:$Q$90)-EM$31),))*IF(Input!$F110=PerMonth,1,1/12),1/12)</f>
        <v>2660</v>
      </c>
      <c r="EN145" s="635">
        <f>SUMIF(Input!$G$105:$Q$105,EN$6,Input!$G110:$Q110)*IFERROR(CHOOSE(MATCH(Input!$E110,OIUnitType,),1,EN$13,MAX(EN$13*(1-SUMIF(Input!$G$89:$Q$89,EN$6,Input!$G$90:$Q$90)-EN$31),))*IF(Input!$F110=PerMonth,1,1/12),1/12)</f>
        <v>2660</v>
      </c>
      <c r="EO145" s="635">
        <f>SUMIF(Input!$G$105:$Q$105,EO$6,Input!$G110:$Q110)*IFERROR(CHOOSE(MATCH(Input!$E110,OIUnitType,),1,EO$13,MAX(EO$13*(1-SUMIF(Input!$G$89:$Q$89,EO$6,Input!$G$90:$Q$90)-EO$31),))*IF(Input!$F110=PerMonth,1,1/12),1/12)</f>
        <v>2660</v>
      </c>
      <c r="EP145" s="635">
        <f>SUMIF(Input!$G$105:$Q$105,EP$6,Input!$G110:$Q110)*IFERROR(CHOOSE(MATCH(Input!$E110,OIUnitType,),1,EP$13,MAX(EP$13*(1-SUMIF(Input!$G$89:$Q$89,EP$6,Input!$G$90:$Q$90)-EP$31),))*IF(Input!$F110=PerMonth,1,1/12),1/12)</f>
        <v>2660</v>
      </c>
      <c r="EQ145" s="635">
        <f>SUMIF(Input!$G$105:$Q$105,EQ$6,Input!$G110:$Q110)*IFERROR(CHOOSE(MATCH(Input!$E110,OIUnitType,),1,EQ$13,MAX(EQ$13*(1-SUMIF(Input!$G$89:$Q$89,EQ$6,Input!$G$90:$Q$90)-EQ$31),))*IF(Input!$F110=PerMonth,1,1/12),1/12)</f>
        <v>2660</v>
      </c>
      <c r="ER145" s="635">
        <f>SUMIF(Input!$G$105:$Q$105,ER$6,Input!$G110:$Q110)*IFERROR(CHOOSE(MATCH(Input!$E110,OIUnitType,),1,ER$13,MAX(ER$13*(1-SUMIF(Input!$G$89:$Q$89,ER$6,Input!$G$90:$Q$90)-ER$31),))*IF(Input!$F110=PerMonth,1,1/12),1/12)</f>
        <v>2660</v>
      </c>
      <c r="ES145" s="635">
        <f>SUMIF(Input!$G$105:$Q$105,ES$6,Input!$G110:$Q110)*IFERROR(CHOOSE(MATCH(Input!$E110,OIUnitType,),1,ES$13,MAX(ES$13*(1-SUMIF(Input!$G$89:$Q$89,ES$6,Input!$G$90:$Q$90)-ES$31),))*IF(Input!$F110=PerMonth,1,1/12),1/12)</f>
        <v>2660</v>
      </c>
      <c r="ET145" s="192"/>
    </row>
    <row r="146" spans="1:150">
      <c r="A146" s="192"/>
      <c r="B146" s="36" t="str">
        <f>IF(Input!B111="","",Input!B111)</f>
        <v>Pet Rent</v>
      </c>
      <c r="C146" s="635">
        <f t="shared" si="141"/>
        <v>6840</v>
      </c>
      <c r="D146" s="635">
        <f t="shared" si="141"/>
        <v>6840</v>
      </c>
      <c r="E146" s="635">
        <f t="shared" si="141"/>
        <v>6840</v>
      </c>
      <c r="F146" s="635">
        <f t="shared" si="141"/>
        <v>6840</v>
      </c>
      <c r="G146" s="635">
        <f t="shared" si="141"/>
        <v>6840</v>
      </c>
      <c r="H146" s="635">
        <f t="shared" si="141"/>
        <v>6840</v>
      </c>
      <c r="I146" s="635">
        <f t="shared" si="141"/>
        <v>6840</v>
      </c>
      <c r="J146" s="635">
        <f t="shared" si="141"/>
        <v>6840</v>
      </c>
      <c r="K146" s="635">
        <f t="shared" si="141"/>
        <v>6840</v>
      </c>
      <c r="L146" s="635">
        <f t="shared" si="141"/>
        <v>6840</v>
      </c>
      <c r="M146" s="635">
        <f t="shared" si="141"/>
        <v>6840</v>
      </c>
      <c r="N146" s="192"/>
      <c r="O146" s="635">
        <f t="shared" si="142"/>
        <v>6840</v>
      </c>
      <c r="P146" s="192"/>
      <c r="Q146" s="37"/>
      <c r="R146" s="635">
        <f>SUMIF(Input!$G$105:$Q$105,R$6,Input!$G111:$Q111)*IFERROR(CHOOSE(MATCH(Input!$E111,OIUnitType,),1,R$13,MAX(R$13*(1+SUM(R$72:R$73)/R$71),))*IF(Input!$F111=PerMonth,1,1/12),1/12)</f>
        <v>570</v>
      </c>
      <c r="S146" s="635">
        <f>SUMIF(Input!$G$105:$Q$105,S$6,Input!$G111:$Q111)*IFERROR(CHOOSE(MATCH(Input!$E111,OIUnitType,),1,S$13,MAX(S$13*(1+SUM(S$72:S$73)/S$71),))*IF(Input!$F111=PerMonth,1,1/12),1/12)</f>
        <v>570</v>
      </c>
      <c r="T146" s="635">
        <f>SUMIF(Input!$G$105:$Q$105,T$6,Input!$G111:$Q111)*IFERROR(CHOOSE(MATCH(Input!$E111,OIUnitType,),1,T$13,MAX(T$13*(1+SUM(T$72:T$73)/T$71),))*IF(Input!$F111=PerMonth,1,1/12),1/12)</f>
        <v>570</v>
      </c>
      <c r="U146" s="635">
        <f>SUMIF(Input!$G$105:$Q$105,U$6,Input!$G111:$Q111)*IFERROR(CHOOSE(MATCH(Input!$E111,OIUnitType,),1,U$13,MAX(U$13*(1+SUM(U$72:U$73)/U$71),))*IF(Input!$F111=PerMonth,1,1/12),1/12)</f>
        <v>570</v>
      </c>
      <c r="V146" s="635">
        <f>SUMIF(Input!$G$105:$Q$105,V$6,Input!$G111:$Q111)*IFERROR(CHOOSE(MATCH(Input!$E111,OIUnitType,),1,V$13,MAX(V$13*(1+SUM(V$72:V$73)/V$71),))*IF(Input!$F111=PerMonth,1,1/12),1/12)</f>
        <v>570</v>
      </c>
      <c r="W146" s="635">
        <f>SUMIF(Input!$G$105:$Q$105,W$6,Input!$G111:$Q111)*IFERROR(CHOOSE(MATCH(Input!$E111,OIUnitType,),1,W$13,MAX(W$13*(1+SUM(W$72:W$73)/W$71),))*IF(Input!$F111=PerMonth,1,1/12),1/12)</f>
        <v>570</v>
      </c>
      <c r="X146" s="635">
        <f>SUMIF(Input!$G$105:$Q$105,X$6,Input!$G111:$Q111)*IFERROR(CHOOSE(MATCH(Input!$E111,OIUnitType,),1,X$13,MAX(X$13*(1+SUM(X$72:X$73)/X$71),))*IF(Input!$F111=PerMonth,1,1/12),1/12)</f>
        <v>570</v>
      </c>
      <c r="Y146" s="635">
        <f>SUMIF(Input!$G$105:$Q$105,Y$6,Input!$G111:$Q111)*IFERROR(CHOOSE(MATCH(Input!$E111,OIUnitType,),1,Y$13,MAX(Y$13*(1+SUM(Y$72:Y$73)/Y$71),))*IF(Input!$F111=PerMonth,1,1/12),1/12)</f>
        <v>570</v>
      </c>
      <c r="Z146" s="635">
        <f>SUMIF(Input!$G$105:$Q$105,Z$6,Input!$G111:$Q111)*IFERROR(CHOOSE(MATCH(Input!$E111,OIUnitType,),1,Z$13,MAX(Z$13*(1+SUM(Z$72:Z$73)/Z$71),))*IF(Input!$F111=PerMonth,1,1/12),1/12)</f>
        <v>570</v>
      </c>
      <c r="AA146" s="635">
        <f>SUMIF(Input!$G$105:$Q$105,AA$6,Input!$G111:$Q111)*IFERROR(CHOOSE(MATCH(Input!$E111,OIUnitType,),1,AA$13,MAX(AA$13*(1+SUM(AA$72:AA$73)/AA$71),))*IF(Input!$F111=PerMonth,1,1/12),1/12)</f>
        <v>570</v>
      </c>
      <c r="AB146" s="635">
        <f>SUMIF(Input!$G$105:$Q$105,AB$6,Input!$G111:$Q111)*IFERROR(CHOOSE(MATCH(Input!$E111,OIUnitType,),1,AB$13,MAX(AB$13*(1+SUM(AB$72:AB$73)/AB$71),))*IF(Input!$F111=PerMonth,1,1/12),1/12)</f>
        <v>570</v>
      </c>
      <c r="AC146" s="635">
        <f>SUMIF(Input!$G$105:$Q$105,AC$6,Input!$G111:$Q111)*IFERROR(CHOOSE(MATCH(Input!$E111,OIUnitType,),1,AC$13,MAX(AC$13*(1+SUM(AC$72:AC$73)/AC$71),))*IF(Input!$F111=PerMonth,1,1/12),1/12)</f>
        <v>570</v>
      </c>
      <c r="AD146" s="635">
        <f>SUMIF(Input!$G$105:$Q$105,AD$6,Input!$G111:$Q111)*IFERROR(CHOOSE(MATCH(Input!$E111,OIUnitType,),1,AD$13,MAX(AD$13*(1+SUM(AD$72:AD$73)/AD$71),))*IF(Input!$F111=PerMonth,1,1/12),1/12)</f>
        <v>570</v>
      </c>
      <c r="AE146" s="635">
        <f>SUMIF(Input!$G$105:$Q$105,AE$6,Input!$G111:$Q111)*IFERROR(CHOOSE(MATCH(Input!$E111,OIUnitType,),1,AE$13,MAX(AE$13*(1+SUM(AE$72:AE$73)/AE$71),))*IF(Input!$F111=PerMonth,1,1/12),1/12)</f>
        <v>570</v>
      </c>
      <c r="AF146" s="635">
        <f>SUMIF(Input!$G$105:$Q$105,AF$6,Input!$G111:$Q111)*IFERROR(CHOOSE(MATCH(Input!$E111,OIUnitType,),1,AF$13,MAX(AF$13*(1+SUM(AF$72:AF$73)/AF$71),))*IF(Input!$F111=PerMonth,1,1/12),1/12)</f>
        <v>570</v>
      </c>
      <c r="AG146" s="635">
        <f>SUMIF(Input!$G$105:$Q$105,AG$6,Input!$G111:$Q111)*IFERROR(CHOOSE(MATCH(Input!$E111,OIUnitType,),1,AG$13,MAX(AG$13*(1+SUM(AG$72:AG$73)/AG$71),))*IF(Input!$F111=PerMonth,1,1/12),1/12)</f>
        <v>570</v>
      </c>
      <c r="AH146" s="635">
        <f>SUMIF(Input!$G$105:$Q$105,AH$6,Input!$G111:$Q111)*IFERROR(CHOOSE(MATCH(Input!$E111,OIUnitType,),1,AH$13,MAX(AH$13*(1+SUM(AH$72:AH$73)/AH$71),))*IF(Input!$F111=PerMonth,1,1/12),1/12)</f>
        <v>570</v>
      </c>
      <c r="AI146" s="635">
        <f>SUMIF(Input!$G$105:$Q$105,AI$6,Input!$G111:$Q111)*IFERROR(CHOOSE(MATCH(Input!$E111,OIUnitType,),1,AI$13,MAX(AI$13*(1+SUM(AI$72:AI$73)/AI$71),))*IF(Input!$F111=PerMonth,1,1/12),1/12)</f>
        <v>570</v>
      </c>
      <c r="AJ146" s="635">
        <f>SUMIF(Input!$G$105:$Q$105,AJ$6,Input!$G111:$Q111)*IFERROR(CHOOSE(MATCH(Input!$E111,OIUnitType,),1,AJ$13,MAX(AJ$13*(1+SUM(AJ$72:AJ$73)/AJ$71),))*IF(Input!$F111=PerMonth,1,1/12),1/12)</f>
        <v>570</v>
      </c>
      <c r="AK146" s="635">
        <f>SUMIF(Input!$G$105:$Q$105,AK$6,Input!$G111:$Q111)*IFERROR(CHOOSE(MATCH(Input!$E111,OIUnitType,),1,AK$13,MAX(AK$13*(1+SUM(AK$72:AK$73)/AK$71),))*IF(Input!$F111=PerMonth,1,1/12),1/12)</f>
        <v>570</v>
      </c>
      <c r="AL146" s="635">
        <f>SUMIF(Input!$G$105:$Q$105,AL$6,Input!$G111:$Q111)*IFERROR(CHOOSE(MATCH(Input!$E111,OIUnitType,),1,AL$13,MAX(AL$13*(1+SUM(AL$72:AL$73)/AL$71),))*IF(Input!$F111=PerMonth,1,1/12),1/12)</f>
        <v>570</v>
      </c>
      <c r="AM146" s="635">
        <f>SUMIF(Input!$G$105:$Q$105,AM$6,Input!$G111:$Q111)*IFERROR(CHOOSE(MATCH(Input!$E111,OIUnitType,),1,AM$13,MAX(AM$13*(1+SUM(AM$72:AM$73)/AM$71),))*IF(Input!$F111=PerMonth,1,1/12),1/12)</f>
        <v>570</v>
      </c>
      <c r="AN146" s="635">
        <f>SUMIF(Input!$G$105:$Q$105,AN$6,Input!$G111:$Q111)*IFERROR(CHOOSE(MATCH(Input!$E111,OIUnitType,),1,AN$13,MAX(AN$13*(1+SUM(AN$72:AN$73)/AN$71),))*IF(Input!$F111=PerMonth,1,1/12),1/12)</f>
        <v>570</v>
      </c>
      <c r="AO146" s="635">
        <f>SUMIF(Input!$G$105:$Q$105,AO$6,Input!$G111:$Q111)*IFERROR(CHOOSE(MATCH(Input!$E111,OIUnitType,),1,AO$13,MAX(AO$13*(1+SUM(AO$72:AO$73)/AO$71),))*IF(Input!$F111=PerMonth,1,1/12),1/12)</f>
        <v>570</v>
      </c>
      <c r="AP146" s="635">
        <f>SUMIF(Input!$G$105:$Q$105,AP$6,Input!$G111:$Q111)*IFERROR(CHOOSE(MATCH(Input!$E111,OIUnitType,),1,AP$13,MAX(AP$13*(1+SUM(AP$72:AP$73)/AP$71),))*IF(Input!$F111=PerMonth,1,1/12),1/12)</f>
        <v>570</v>
      </c>
      <c r="AQ146" s="635">
        <f>SUMIF(Input!$G$105:$Q$105,AQ$6,Input!$G111:$Q111)*IFERROR(CHOOSE(MATCH(Input!$E111,OIUnitType,),1,AQ$13,MAX(AQ$13*(1+SUM(AQ$72:AQ$73)/AQ$71),))*IF(Input!$F111=PerMonth,1,1/12),1/12)</f>
        <v>570</v>
      </c>
      <c r="AR146" s="635">
        <f>SUMIF(Input!$G$105:$Q$105,AR$6,Input!$G111:$Q111)*IFERROR(CHOOSE(MATCH(Input!$E111,OIUnitType,),1,AR$13,MAX(AR$13*(1+SUM(AR$72:AR$73)/AR$71),))*IF(Input!$F111=PerMonth,1,1/12),1/12)</f>
        <v>570</v>
      </c>
      <c r="AS146" s="635">
        <f>SUMIF(Input!$G$105:$Q$105,AS$6,Input!$G111:$Q111)*IFERROR(CHOOSE(MATCH(Input!$E111,OIUnitType,),1,AS$13,MAX(AS$13*(1+SUM(AS$72:AS$73)/AS$71),))*IF(Input!$F111=PerMonth,1,1/12),1/12)</f>
        <v>570</v>
      </c>
      <c r="AT146" s="635">
        <f>SUMIF(Input!$G$105:$Q$105,AT$6,Input!$G111:$Q111)*IFERROR(CHOOSE(MATCH(Input!$E111,OIUnitType,),1,AT$13,MAX(AT$13*(1+SUM(AT$72:AT$73)/AT$71),))*IF(Input!$F111=PerMonth,1,1/12),1/12)</f>
        <v>570</v>
      </c>
      <c r="AU146" s="635">
        <f>SUMIF(Input!$G$105:$Q$105,AU$6,Input!$G111:$Q111)*IFERROR(CHOOSE(MATCH(Input!$E111,OIUnitType,),1,AU$13,MAX(AU$13*(1+SUM(AU$72:AU$73)/AU$71),))*IF(Input!$F111=PerMonth,1,1/12),1/12)</f>
        <v>570</v>
      </c>
      <c r="AV146" s="635">
        <f>SUMIF(Input!$G$105:$Q$105,AV$6,Input!$G111:$Q111)*IFERROR(CHOOSE(MATCH(Input!$E111,OIUnitType,),1,AV$13,MAX(AV$13*(1+SUM(AV$72:AV$73)/AV$71),))*IF(Input!$F111=PerMonth,1,1/12),1/12)</f>
        <v>570</v>
      </c>
      <c r="AW146" s="635">
        <f>SUMIF(Input!$G$105:$Q$105,AW$6,Input!$G111:$Q111)*IFERROR(CHOOSE(MATCH(Input!$E111,OIUnitType,),1,AW$13,MAX(AW$13*(1+SUM(AW$72:AW$73)/AW$71),))*IF(Input!$F111=PerMonth,1,1/12),1/12)</f>
        <v>570</v>
      </c>
      <c r="AX146" s="635">
        <f>SUMIF(Input!$G$105:$Q$105,AX$6,Input!$G111:$Q111)*IFERROR(CHOOSE(MATCH(Input!$E111,OIUnitType,),1,AX$13,MAX(AX$13*(1+SUM(AX$72:AX$73)/AX$71),))*IF(Input!$F111=PerMonth,1,1/12),1/12)</f>
        <v>570</v>
      </c>
      <c r="AY146" s="635">
        <f>SUMIF(Input!$G$105:$Q$105,AY$6,Input!$G111:$Q111)*IFERROR(CHOOSE(MATCH(Input!$E111,OIUnitType,),1,AY$13,MAX(AY$13*(1+SUM(AY$72:AY$73)/AY$71),))*IF(Input!$F111=PerMonth,1,1/12),1/12)</f>
        <v>570</v>
      </c>
      <c r="AZ146" s="635">
        <f>SUMIF(Input!$G$105:$Q$105,AZ$6,Input!$G111:$Q111)*IFERROR(CHOOSE(MATCH(Input!$E111,OIUnitType,),1,AZ$13,MAX(AZ$13*(1+SUM(AZ$72:AZ$73)/AZ$71),))*IF(Input!$F111=PerMonth,1,1/12),1/12)</f>
        <v>570</v>
      </c>
      <c r="BA146" s="635">
        <f>SUMIF(Input!$G$105:$Q$105,BA$6,Input!$G111:$Q111)*IFERROR(CHOOSE(MATCH(Input!$E111,OIUnitType,),1,BA$13,MAX(BA$13*(1+SUM(BA$72:BA$73)/BA$71),))*IF(Input!$F111=PerMonth,1,1/12),1/12)</f>
        <v>570</v>
      </c>
      <c r="BB146" s="635">
        <f>SUMIF(Input!$G$105:$Q$105,BB$6,Input!$G111:$Q111)*IFERROR(CHOOSE(MATCH(Input!$E111,OIUnitType,),1,BB$13,MAX(BB$13*(1-SUMIF(Input!$G$89:$Q$89,BB$6,Input!$G$90:$Q$90)-BB$31),))*IF(Input!$F111=PerMonth,1,1/12),1/12)</f>
        <v>570</v>
      </c>
      <c r="BC146" s="635">
        <f>SUMIF(Input!$G$105:$Q$105,BC$6,Input!$G111:$Q111)*IFERROR(CHOOSE(MATCH(Input!$E111,OIUnitType,),1,BC$13,MAX(BC$13*(1-SUMIF(Input!$G$89:$Q$89,BC$6,Input!$G$90:$Q$90)-BC$31),))*IF(Input!$F111=PerMonth,1,1/12),1/12)</f>
        <v>570</v>
      </c>
      <c r="BD146" s="635">
        <f>SUMIF(Input!$G$105:$Q$105,BD$6,Input!$G111:$Q111)*IFERROR(CHOOSE(MATCH(Input!$E111,OIUnitType,),1,BD$13,MAX(BD$13*(1-SUMIF(Input!$G$89:$Q$89,BD$6,Input!$G$90:$Q$90)-BD$31),))*IF(Input!$F111=PerMonth,1,1/12),1/12)</f>
        <v>570</v>
      </c>
      <c r="BE146" s="635">
        <f>SUMIF(Input!$G$105:$Q$105,BE$6,Input!$G111:$Q111)*IFERROR(CHOOSE(MATCH(Input!$E111,OIUnitType,),1,BE$13,MAX(BE$13*(1-SUMIF(Input!$G$89:$Q$89,BE$6,Input!$G$90:$Q$90)-BE$31),))*IF(Input!$F111=PerMonth,1,1/12),1/12)</f>
        <v>570</v>
      </c>
      <c r="BF146" s="635">
        <f>SUMIF(Input!$G$105:$Q$105,BF$6,Input!$G111:$Q111)*IFERROR(CHOOSE(MATCH(Input!$E111,OIUnitType,),1,BF$13,MAX(BF$13*(1-SUMIF(Input!$G$89:$Q$89,BF$6,Input!$G$90:$Q$90)-BF$31),))*IF(Input!$F111=PerMonth,1,1/12),1/12)</f>
        <v>570</v>
      </c>
      <c r="BG146" s="635">
        <f>SUMIF(Input!$G$105:$Q$105,BG$6,Input!$G111:$Q111)*IFERROR(CHOOSE(MATCH(Input!$E111,OIUnitType,),1,BG$13,MAX(BG$13*(1-SUMIF(Input!$G$89:$Q$89,BG$6,Input!$G$90:$Q$90)-BG$31),))*IF(Input!$F111=PerMonth,1,1/12),1/12)</f>
        <v>570</v>
      </c>
      <c r="BH146" s="635">
        <f>SUMIF(Input!$G$105:$Q$105,BH$6,Input!$G111:$Q111)*IFERROR(CHOOSE(MATCH(Input!$E111,OIUnitType,),1,BH$13,MAX(BH$13*(1-SUMIF(Input!$G$89:$Q$89,BH$6,Input!$G$90:$Q$90)-BH$31),))*IF(Input!$F111=PerMonth,1,1/12),1/12)</f>
        <v>570</v>
      </c>
      <c r="BI146" s="635">
        <f>SUMIF(Input!$G$105:$Q$105,BI$6,Input!$G111:$Q111)*IFERROR(CHOOSE(MATCH(Input!$E111,OIUnitType,),1,BI$13,MAX(BI$13*(1-SUMIF(Input!$G$89:$Q$89,BI$6,Input!$G$90:$Q$90)-BI$31),))*IF(Input!$F111=PerMonth,1,1/12),1/12)</f>
        <v>570</v>
      </c>
      <c r="BJ146" s="635">
        <f>SUMIF(Input!$G$105:$Q$105,BJ$6,Input!$G111:$Q111)*IFERROR(CHOOSE(MATCH(Input!$E111,OIUnitType,),1,BJ$13,MAX(BJ$13*(1-SUMIF(Input!$G$89:$Q$89,BJ$6,Input!$G$90:$Q$90)-BJ$31),))*IF(Input!$F111=PerMonth,1,1/12),1/12)</f>
        <v>570</v>
      </c>
      <c r="BK146" s="635">
        <f>SUMIF(Input!$G$105:$Q$105,BK$6,Input!$G111:$Q111)*IFERROR(CHOOSE(MATCH(Input!$E111,OIUnitType,),1,BK$13,MAX(BK$13*(1-SUMIF(Input!$G$89:$Q$89,BK$6,Input!$G$90:$Q$90)-BK$31),))*IF(Input!$F111=PerMonth,1,1/12),1/12)</f>
        <v>570</v>
      </c>
      <c r="BL146" s="635">
        <f>SUMIF(Input!$G$105:$Q$105,BL$6,Input!$G111:$Q111)*IFERROR(CHOOSE(MATCH(Input!$E111,OIUnitType,),1,BL$13,MAX(BL$13*(1-SUMIF(Input!$G$89:$Q$89,BL$6,Input!$G$90:$Q$90)-BL$31),))*IF(Input!$F111=PerMonth,1,1/12),1/12)</f>
        <v>570</v>
      </c>
      <c r="BM146" s="635">
        <f>SUMIF(Input!$G$105:$Q$105,BM$6,Input!$G111:$Q111)*IFERROR(CHOOSE(MATCH(Input!$E111,OIUnitType,),1,BM$13,MAX(BM$13*(1-SUMIF(Input!$G$89:$Q$89,BM$6,Input!$G$90:$Q$90)-BM$31),))*IF(Input!$F111=PerMonth,1,1/12),1/12)</f>
        <v>570</v>
      </c>
      <c r="BN146" s="635">
        <f>SUMIF(Input!$G$105:$Q$105,BN$6,Input!$G111:$Q111)*IFERROR(CHOOSE(MATCH(Input!$E111,OIUnitType,),1,BN$13,MAX(BN$13*(1-SUMIF(Input!$G$89:$Q$89,BN$6,Input!$G$90:$Q$90)-BN$31),))*IF(Input!$F111=PerMonth,1,1/12),1/12)</f>
        <v>570</v>
      </c>
      <c r="BO146" s="635">
        <f>SUMIF(Input!$G$105:$Q$105,BO$6,Input!$G111:$Q111)*IFERROR(CHOOSE(MATCH(Input!$E111,OIUnitType,),1,BO$13,MAX(BO$13*(1-SUMIF(Input!$G$89:$Q$89,BO$6,Input!$G$90:$Q$90)-BO$31),))*IF(Input!$F111=PerMonth,1,1/12),1/12)</f>
        <v>570</v>
      </c>
      <c r="BP146" s="635">
        <f>SUMIF(Input!$G$105:$Q$105,BP$6,Input!$G111:$Q111)*IFERROR(CHOOSE(MATCH(Input!$E111,OIUnitType,),1,BP$13,MAX(BP$13*(1-SUMIF(Input!$G$89:$Q$89,BP$6,Input!$G$90:$Q$90)-BP$31),))*IF(Input!$F111=PerMonth,1,1/12),1/12)</f>
        <v>570</v>
      </c>
      <c r="BQ146" s="635">
        <f>SUMIF(Input!$G$105:$Q$105,BQ$6,Input!$G111:$Q111)*IFERROR(CHOOSE(MATCH(Input!$E111,OIUnitType,),1,BQ$13,MAX(BQ$13*(1-SUMIF(Input!$G$89:$Q$89,BQ$6,Input!$G$90:$Q$90)-BQ$31),))*IF(Input!$F111=PerMonth,1,1/12),1/12)</f>
        <v>570</v>
      </c>
      <c r="BR146" s="635">
        <f>SUMIF(Input!$G$105:$Q$105,BR$6,Input!$G111:$Q111)*IFERROR(CHOOSE(MATCH(Input!$E111,OIUnitType,),1,BR$13,MAX(BR$13*(1-SUMIF(Input!$G$89:$Q$89,BR$6,Input!$G$90:$Q$90)-BR$31),))*IF(Input!$F111=PerMonth,1,1/12),1/12)</f>
        <v>570</v>
      </c>
      <c r="BS146" s="635">
        <f>SUMIF(Input!$G$105:$Q$105,BS$6,Input!$G111:$Q111)*IFERROR(CHOOSE(MATCH(Input!$E111,OIUnitType,),1,BS$13,MAX(BS$13*(1-SUMIF(Input!$G$89:$Q$89,BS$6,Input!$G$90:$Q$90)-BS$31),))*IF(Input!$F111=PerMonth,1,1/12),1/12)</f>
        <v>570</v>
      </c>
      <c r="BT146" s="635">
        <f>SUMIF(Input!$G$105:$Q$105,BT$6,Input!$G111:$Q111)*IFERROR(CHOOSE(MATCH(Input!$E111,OIUnitType,),1,BT$13,MAX(BT$13*(1-SUMIF(Input!$G$89:$Q$89,BT$6,Input!$G$90:$Q$90)-BT$31),))*IF(Input!$F111=PerMonth,1,1/12),1/12)</f>
        <v>570</v>
      </c>
      <c r="BU146" s="635">
        <f>SUMIF(Input!$G$105:$Q$105,BU$6,Input!$G111:$Q111)*IFERROR(CHOOSE(MATCH(Input!$E111,OIUnitType,),1,BU$13,MAX(BU$13*(1-SUMIF(Input!$G$89:$Q$89,BU$6,Input!$G$90:$Q$90)-BU$31),))*IF(Input!$F111=PerMonth,1,1/12),1/12)</f>
        <v>570</v>
      </c>
      <c r="BV146" s="635">
        <f>SUMIF(Input!$G$105:$Q$105,BV$6,Input!$G111:$Q111)*IFERROR(CHOOSE(MATCH(Input!$E111,OIUnitType,),1,BV$13,MAX(BV$13*(1-SUMIF(Input!$G$89:$Q$89,BV$6,Input!$G$90:$Q$90)-BV$31),))*IF(Input!$F111=PerMonth,1,1/12),1/12)</f>
        <v>570</v>
      </c>
      <c r="BW146" s="635">
        <f>SUMIF(Input!$G$105:$Q$105,BW$6,Input!$G111:$Q111)*IFERROR(CHOOSE(MATCH(Input!$E111,OIUnitType,),1,BW$13,MAX(BW$13*(1-SUMIF(Input!$G$89:$Q$89,BW$6,Input!$G$90:$Q$90)-BW$31),))*IF(Input!$F111=PerMonth,1,1/12),1/12)</f>
        <v>570</v>
      </c>
      <c r="BX146" s="635">
        <f>SUMIF(Input!$G$105:$Q$105,BX$6,Input!$G111:$Q111)*IFERROR(CHOOSE(MATCH(Input!$E111,OIUnitType,),1,BX$13,MAX(BX$13*(1-SUMIF(Input!$G$89:$Q$89,BX$6,Input!$G$90:$Q$90)-BX$31),))*IF(Input!$F111=PerMonth,1,1/12),1/12)</f>
        <v>570</v>
      </c>
      <c r="BY146" s="635">
        <f>SUMIF(Input!$G$105:$Q$105,BY$6,Input!$G111:$Q111)*IFERROR(CHOOSE(MATCH(Input!$E111,OIUnitType,),1,BY$13,MAX(BY$13*(1-SUMIF(Input!$G$89:$Q$89,BY$6,Input!$G$90:$Q$90)-BY$31),))*IF(Input!$F111=PerMonth,1,1/12),1/12)</f>
        <v>570</v>
      </c>
      <c r="BZ146" s="635">
        <f>SUMIF(Input!$G$105:$Q$105,BZ$6,Input!$G111:$Q111)*IFERROR(CHOOSE(MATCH(Input!$E111,OIUnitType,),1,BZ$13,MAX(BZ$13*(1-SUMIF(Input!$G$89:$Q$89,BZ$6,Input!$G$90:$Q$90)-BZ$31),))*IF(Input!$F111=PerMonth,1,1/12),1/12)</f>
        <v>570</v>
      </c>
      <c r="CA146" s="635">
        <f>SUMIF(Input!$G$105:$Q$105,CA$6,Input!$G111:$Q111)*IFERROR(CHOOSE(MATCH(Input!$E111,OIUnitType,),1,CA$13,MAX(CA$13*(1-SUMIF(Input!$G$89:$Q$89,CA$6,Input!$G$90:$Q$90)-CA$31),))*IF(Input!$F111=PerMonth,1,1/12),1/12)</f>
        <v>570</v>
      </c>
      <c r="CB146" s="635">
        <f>SUMIF(Input!$G$105:$Q$105,CB$6,Input!$G111:$Q111)*IFERROR(CHOOSE(MATCH(Input!$E111,OIUnitType,),1,CB$13,MAX(CB$13*(1-SUMIF(Input!$G$89:$Q$89,CB$6,Input!$G$90:$Q$90)-CB$31),))*IF(Input!$F111=PerMonth,1,1/12),1/12)</f>
        <v>570</v>
      </c>
      <c r="CC146" s="635">
        <f>SUMIF(Input!$G$105:$Q$105,CC$6,Input!$G111:$Q111)*IFERROR(CHOOSE(MATCH(Input!$E111,OIUnitType,),1,CC$13,MAX(CC$13*(1-SUMIF(Input!$G$89:$Q$89,CC$6,Input!$G$90:$Q$90)-CC$31),))*IF(Input!$F111=PerMonth,1,1/12),1/12)</f>
        <v>570</v>
      </c>
      <c r="CD146" s="635">
        <f>SUMIF(Input!$G$105:$Q$105,CD$6,Input!$G111:$Q111)*IFERROR(CHOOSE(MATCH(Input!$E111,OIUnitType,),1,CD$13,MAX(CD$13*(1-SUMIF(Input!$G$89:$Q$89,CD$6,Input!$G$90:$Q$90)-CD$31),))*IF(Input!$F111=PerMonth,1,1/12),1/12)</f>
        <v>570</v>
      </c>
      <c r="CE146" s="635">
        <f>SUMIF(Input!$G$105:$Q$105,CE$6,Input!$G111:$Q111)*IFERROR(CHOOSE(MATCH(Input!$E111,OIUnitType,),1,CE$13,MAX(CE$13*(1-SUMIF(Input!$G$89:$Q$89,CE$6,Input!$G$90:$Q$90)-CE$31),))*IF(Input!$F111=PerMonth,1,1/12),1/12)</f>
        <v>570</v>
      </c>
      <c r="CF146" s="635">
        <f>SUMIF(Input!$G$105:$Q$105,CF$6,Input!$G111:$Q111)*IFERROR(CHOOSE(MATCH(Input!$E111,OIUnitType,),1,CF$13,MAX(CF$13*(1-SUMIF(Input!$G$89:$Q$89,CF$6,Input!$G$90:$Q$90)-CF$31),))*IF(Input!$F111=PerMonth,1,1/12),1/12)</f>
        <v>570</v>
      </c>
      <c r="CG146" s="635">
        <f>SUMIF(Input!$G$105:$Q$105,CG$6,Input!$G111:$Q111)*IFERROR(CHOOSE(MATCH(Input!$E111,OIUnitType,),1,CG$13,MAX(CG$13*(1-SUMIF(Input!$G$89:$Q$89,CG$6,Input!$G$90:$Q$90)-CG$31),))*IF(Input!$F111=PerMonth,1,1/12),1/12)</f>
        <v>570</v>
      </c>
      <c r="CH146" s="635">
        <f>SUMIF(Input!$G$105:$Q$105,CH$6,Input!$G111:$Q111)*IFERROR(CHOOSE(MATCH(Input!$E111,OIUnitType,),1,CH$13,MAX(CH$13*(1-SUMIF(Input!$G$89:$Q$89,CH$6,Input!$G$90:$Q$90)-CH$31),))*IF(Input!$F111=PerMonth,1,1/12),1/12)</f>
        <v>570</v>
      </c>
      <c r="CI146" s="635">
        <f>SUMIF(Input!$G$105:$Q$105,CI$6,Input!$G111:$Q111)*IFERROR(CHOOSE(MATCH(Input!$E111,OIUnitType,),1,CI$13,MAX(CI$13*(1-SUMIF(Input!$G$89:$Q$89,CI$6,Input!$G$90:$Q$90)-CI$31),))*IF(Input!$F111=PerMonth,1,1/12),1/12)</f>
        <v>570</v>
      </c>
      <c r="CJ146" s="635">
        <f>SUMIF(Input!$G$105:$Q$105,CJ$6,Input!$G111:$Q111)*IFERROR(CHOOSE(MATCH(Input!$E111,OIUnitType,),1,CJ$13,MAX(CJ$13*(1-SUMIF(Input!$G$89:$Q$89,CJ$6,Input!$G$90:$Q$90)-CJ$31),))*IF(Input!$F111=PerMonth,1,1/12),1/12)</f>
        <v>570</v>
      </c>
      <c r="CK146" s="635">
        <f>SUMIF(Input!$G$105:$Q$105,CK$6,Input!$G111:$Q111)*IFERROR(CHOOSE(MATCH(Input!$E111,OIUnitType,),1,CK$13,MAX(CK$13*(1-SUMIF(Input!$G$89:$Q$89,CK$6,Input!$G$90:$Q$90)-CK$31),))*IF(Input!$F111=PerMonth,1,1/12),1/12)</f>
        <v>570</v>
      </c>
      <c r="CL146" s="635">
        <f>SUMIF(Input!$G$105:$Q$105,CL$6,Input!$G111:$Q111)*IFERROR(CHOOSE(MATCH(Input!$E111,OIUnitType,),1,CL$13,MAX(CL$13*(1-SUMIF(Input!$G$89:$Q$89,CL$6,Input!$G$90:$Q$90)-CL$31),))*IF(Input!$F111=PerMonth,1,1/12),1/12)</f>
        <v>570</v>
      </c>
      <c r="CM146" s="635">
        <f>SUMIF(Input!$G$105:$Q$105,CM$6,Input!$G111:$Q111)*IFERROR(CHOOSE(MATCH(Input!$E111,OIUnitType,),1,CM$13,MAX(CM$13*(1-SUMIF(Input!$G$89:$Q$89,CM$6,Input!$G$90:$Q$90)-CM$31),))*IF(Input!$F111=PerMonth,1,1/12),1/12)</f>
        <v>570</v>
      </c>
      <c r="CN146" s="635">
        <f>SUMIF(Input!$G$105:$Q$105,CN$6,Input!$G111:$Q111)*IFERROR(CHOOSE(MATCH(Input!$E111,OIUnitType,),1,CN$13,MAX(CN$13*(1-SUMIF(Input!$G$89:$Q$89,CN$6,Input!$G$90:$Q$90)-CN$31),))*IF(Input!$F111=PerMonth,1,1/12),1/12)</f>
        <v>570</v>
      </c>
      <c r="CO146" s="635">
        <f>SUMIF(Input!$G$105:$Q$105,CO$6,Input!$G111:$Q111)*IFERROR(CHOOSE(MATCH(Input!$E111,OIUnitType,),1,CO$13,MAX(CO$13*(1-SUMIF(Input!$G$89:$Q$89,CO$6,Input!$G$90:$Q$90)-CO$31),))*IF(Input!$F111=PerMonth,1,1/12),1/12)</f>
        <v>570</v>
      </c>
      <c r="CP146" s="635">
        <f>SUMIF(Input!$G$105:$Q$105,CP$6,Input!$G111:$Q111)*IFERROR(CHOOSE(MATCH(Input!$E111,OIUnitType,),1,CP$13,MAX(CP$13*(1-SUMIF(Input!$G$89:$Q$89,CP$6,Input!$G$90:$Q$90)-CP$31),))*IF(Input!$F111=PerMonth,1,1/12),1/12)</f>
        <v>570</v>
      </c>
      <c r="CQ146" s="635">
        <f>SUMIF(Input!$G$105:$Q$105,CQ$6,Input!$G111:$Q111)*IFERROR(CHOOSE(MATCH(Input!$E111,OIUnitType,),1,CQ$13,MAX(CQ$13*(1-SUMIF(Input!$G$89:$Q$89,CQ$6,Input!$G$90:$Q$90)-CQ$31),))*IF(Input!$F111=PerMonth,1,1/12),1/12)</f>
        <v>570</v>
      </c>
      <c r="CR146" s="635">
        <f>SUMIF(Input!$G$105:$Q$105,CR$6,Input!$G111:$Q111)*IFERROR(CHOOSE(MATCH(Input!$E111,OIUnitType,),1,CR$13,MAX(CR$13*(1-SUMIF(Input!$G$89:$Q$89,CR$6,Input!$G$90:$Q$90)-CR$31),))*IF(Input!$F111=PerMonth,1,1/12),1/12)</f>
        <v>570</v>
      </c>
      <c r="CS146" s="635">
        <f>SUMIF(Input!$G$105:$Q$105,CS$6,Input!$G111:$Q111)*IFERROR(CHOOSE(MATCH(Input!$E111,OIUnitType,),1,CS$13,MAX(CS$13*(1-SUMIF(Input!$G$89:$Q$89,CS$6,Input!$G$90:$Q$90)-CS$31),))*IF(Input!$F111=PerMonth,1,1/12),1/12)</f>
        <v>570</v>
      </c>
      <c r="CT146" s="635">
        <f>SUMIF(Input!$G$105:$Q$105,CT$6,Input!$G111:$Q111)*IFERROR(CHOOSE(MATCH(Input!$E111,OIUnitType,),1,CT$13,MAX(CT$13*(1-SUMIF(Input!$G$89:$Q$89,CT$6,Input!$G$90:$Q$90)-CT$31),))*IF(Input!$F111=PerMonth,1,1/12),1/12)</f>
        <v>570</v>
      </c>
      <c r="CU146" s="635">
        <f>SUMIF(Input!$G$105:$Q$105,CU$6,Input!$G111:$Q111)*IFERROR(CHOOSE(MATCH(Input!$E111,OIUnitType,),1,CU$13,MAX(CU$13*(1-SUMIF(Input!$G$89:$Q$89,CU$6,Input!$G$90:$Q$90)-CU$31),))*IF(Input!$F111=PerMonth,1,1/12),1/12)</f>
        <v>570</v>
      </c>
      <c r="CV146" s="635">
        <f>SUMIF(Input!$G$105:$Q$105,CV$6,Input!$G111:$Q111)*IFERROR(CHOOSE(MATCH(Input!$E111,OIUnitType,),1,CV$13,MAX(CV$13*(1-SUMIF(Input!$G$89:$Q$89,CV$6,Input!$G$90:$Q$90)-CV$31),))*IF(Input!$F111=PerMonth,1,1/12),1/12)</f>
        <v>570</v>
      </c>
      <c r="CW146" s="635">
        <f>SUMIF(Input!$G$105:$Q$105,CW$6,Input!$G111:$Q111)*IFERROR(CHOOSE(MATCH(Input!$E111,OIUnitType,),1,CW$13,MAX(CW$13*(1-SUMIF(Input!$G$89:$Q$89,CW$6,Input!$G$90:$Q$90)-CW$31),))*IF(Input!$F111=PerMonth,1,1/12),1/12)</f>
        <v>570</v>
      </c>
      <c r="CX146" s="635">
        <f>SUMIF(Input!$G$105:$Q$105,CX$6,Input!$G111:$Q111)*IFERROR(CHOOSE(MATCH(Input!$E111,OIUnitType,),1,CX$13,MAX(CX$13*(1-SUMIF(Input!$G$89:$Q$89,CX$6,Input!$G$90:$Q$90)-CX$31),))*IF(Input!$F111=PerMonth,1,1/12),1/12)</f>
        <v>570</v>
      </c>
      <c r="CY146" s="635">
        <f>SUMIF(Input!$G$105:$Q$105,CY$6,Input!$G111:$Q111)*IFERROR(CHOOSE(MATCH(Input!$E111,OIUnitType,),1,CY$13,MAX(CY$13*(1-SUMIF(Input!$G$89:$Q$89,CY$6,Input!$G$90:$Q$90)-CY$31),))*IF(Input!$F111=PerMonth,1,1/12),1/12)</f>
        <v>570</v>
      </c>
      <c r="CZ146" s="635">
        <f>SUMIF(Input!$G$105:$Q$105,CZ$6,Input!$G111:$Q111)*IFERROR(CHOOSE(MATCH(Input!$E111,OIUnitType,),1,CZ$13,MAX(CZ$13*(1-SUMIF(Input!$G$89:$Q$89,CZ$6,Input!$G$90:$Q$90)-CZ$31),))*IF(Input!$F111=PerMonth,1,1/12),1/12)</f>
        <v>570</v>
      </c>
      <c r="DA146" s="635">
        <f>SUMIF(Input!$G$105:$Q$105,DA$6,Input!$G111:$Q111)*IFERROR(CHOOSE(MATCH(Input!$E111,OIUnitType,),1,DA$13,MAX(DA$13*(1-SUMIF(Input!$G$89:$Q$89,DA$6,Input!$G$90:$Q$90)-DA$31),))*IF(Input!$F111=PerMonth,1,1/12),1/12)</f>
        <v>570</v>
      </c>
      <c r="DB146" s="635">
        <f>SUMIF(Input!$G$105:$Q$105,DB$6,Input!$G111:$Q111)*IFERROR(CHOOSE(MATCH(Input!$E111,OIUnitType,),1,DB$13,MAX(DB$13*(1-SUMIF(Input!$G$89:$Q$89,DB$6,Input!$G$90:$Q$90)-DB$31),))*IF(Input!$F111=PerMonth,1,1/12),1/12)</f>
        <v>570</v>
      </c>
      <c r="DC146" s="635">
        <f>SUMIF(Input!$G$105:$Q$105,DC$6,Input!$G111:$Q111)*IFERROR(CHOOSE(MATCH(Input!$E111,OIUnitType,),1,DC$13,MAX(DC$13*(1-SUMIF(Input!$G$89:$Q$89,DC$6,Input!$G$90:$Q$90)-DC$31),))*IF(Input!$F111=PerMonth,1,1/12),1/12)</f>
        <v>570</v>
      </c>
      <c r="DD146" s="635">
        <f>SUMIF(Input!$G$105:$Q$105,DD$6,Input!$G111:$Q111)*IFERROR(CHOOSE(MATCH(Input!$E111,OIUnitType,),1,DD$13,MAX(DD$13*(1-SUMIF(Input!$G$89:$Q$89,DD$6,Input!$G$90:$Q$90)-DD$31),))*IF(Input!$F111=PerMonth,1,1/12),1/12)</f>
        <v>570</v>
      </c>
      <c r="DE146" s="635">
        <f>SUMIF(Input!$G$105:$Q$105,DE$6,Input!$G111:$Q111)*IFERROR(CHOOSE(MATCH(Input!$E111,OIUnitType,),1,DE$13,MAX(DE$13*(1-SUMIF(Input!$G$89:$Q$89,DE$6,Input!$G$90:$Q$90)-DE$31),))*IF(Input!$F111=PerMonth,1,1/12),1/12)</f>
        <v>570</v>
      </c>
      <c r="DF146" s="635">
        <f>SUMIF(Input!$G$105:$Q$105,DF$6,Input!$G111:$Q111)*IFERROR(CHOOSE(MATCH(Input!$E111,OIUnitType,),1,DF$13,MAX(DF$13*(1-SUMIF(Input!$G$89:$Q$89,DF$6,Input!$G$90:$Q$90)-DF$31),))*IF(Input!$F111=PerMonth,1,1/12),1/12)</f>
        <v>570</v>
      </c>
      <c r="DG146" s="635">
        <f>SUMIF(Input!$G$105:$Q$105,DG$6,Input!$G111:$Q111)*IFERROR(CHOOSE(MATCH(Input!$E111,OIUnitType,),1,DG$13,MAX(DG$13*(1-SUMIF(Input!$G$89:$Q$89,DG$6,Input!$G$90:$Q$90)-DG$31),))*IF(Input!$F111=PerMonth,1,1/12),1/12)</f>
        <v>570</v>
      </c>
      <c r="DH146" s="635">
        <f>SUMIF(Input!$G$105:$Q$105,DH$6,Input!$G111:$Q111)*IFERROR(CHOOSE(MATCH(Input!$E111,OIUnitType,),1,DH$13,MAX(DH$13*(1-SUMIF(Input!$G$89:$Q$89,DH$6,Input!$G$90:$Q$90)-DH$31),))*IF(Input!$F111=PerMonth,1,1/12),1/12)</f>
        <v>570</v>
      </c>
      <c r="DI146" s="635">
        <f>SUMIF(Input!$G$105:$Q$105,DI$6,Input!$G111:$Q111)*IFERROR(CHOOSE(MATCH(Input!$E111,OIUnitType,),1,DI$13,MAX(DI$13*(1-SUMIF(Input!$G$89:$Q$89,DI$6,Input!$G$90:$Q$90)-DI$31),))*IF(Input!$F111=PerMonth,1,1/12),1/12)</f>
        <v>570</v>
      </c>
      <c r="DJ146" s="635">
        <f>SUMIF(Input!$G$105:$Q$105,DJ$6,Input!$G111:$Q111)*IFERROR(CHOOSE(MATCH(Input!$E111,OIUnitType,),1,DJ$13,MAX(DJ$13*(1-SUMIF(Input!$G$89:$Q$89,DJ$6,Input!$G$90:$Q$90)-DJ$31),))*IF(Input!$F111=PerMonth,1,1/12),1/12)</f>
        <v>570</v>
      </c>
      <c r="DK146" s="635">
        <f>SUMIF(Input!$G$105:$Q$105,DK$6,Input!$G111:$Q111)*IFERROR(CHOOSE(MATCH(Input!$E111,OIUnitType,),1,DK$13,MAX(DK$13*(1-SUMIF(Input!$G$89:$Q$89,DK$6,Input!$G$90:$Q$90)-DK$31),))*IF(Input!$F111=PerMonth,1,1/12),1/12)</f>
        <v>570</v>
      </c>
      <c r="DL146" s="635">
        <f>SUMIF(Input!$G$105:$Q$105,DL$6,Input!$G111:$Q111)*IFERROR(CHOOSE(MATCH(Input!$E111,OIUnitType,),1,DL$13,MAX(DL$13*(1-SUMIF(Input!$G$89:$Q$89,DL$6,Input!$G$90:$Q$90)-DL$31),))*IF(Input!$F111=PerMonth,1,1/12),1/12)</f>
        <v>570</v>
      </c>
      <c r="DM146" s="635">
        <f>SUMIF(Input!$G$105:$Q$105,DM$6,Input!$G111:$Q111)*IFERROR(CHOOSE(MATCH(Input!$E111,OIUnitType,),1,DM$13,MAX(DM$13*(1-SUMIF(Input!$G$89:$Q$89,DM$6,Input!$G$90:$Q$90)-DM$31),))*IF(Input!$F111=PerMonth,1,1/12),1/12)</f>
        <v>570</v>
      </c>
      <c r="DN146" s="635">
        <f>SUMIF(Input!$G$105:$Q$105,DN$6,Input!$G111:$Q111)*IFERROR(CHOOSE(MATCH(Input!$E111,OIUnitType,),1,DN$13,MAX(DN$13*(1-SUMIF(Input!$G$89:$Q$89,DN$6,Input!$G$90:$Q$90)-DN$31),))*IF(Input!$F111=PerMonth,1,1/12),1/12)</f>
        <v>570</v>
      </c>
      <c r="DO146" s="635">
        <f>SUMIF(Input!$G$105:$Q$105,DO$6,Input!$G111:$Q111)*IFERROR(CHOOSE(MATCH(Input!$E111,OIUnitType,),1,DO$13,MAX(DO$13*(1-SUMIF(Input!$G$89:$Q$89,DO$6,Input!$G$90:$Q$90)-DO$31),))*IF(Input!$F111=PerMonth,1,1/12),1/12)</f>
        <v>570</v>
      </c>
      <c r="DP146" s="635">
        <f>SUMIF(Input!$G$105:$Q$105,DP$6,Input!$G111:$Q111)*IFERROR(CHOOSE(MATCH(Input!$E111,OIUnitType,),1,DP$13,MAX(DP$13*(1-SUMIF(Input!$G$89:$Q$89,DP$6,Input!$G$90:$Q$90)-DP$31),))*IF(Input!$F111=PerMonth,1,1/12),1/12)</f>
        <v>570</v>
      </c>
      <c r="DQ146" s="635">
        <f>SUMIF(Input!$G$105:$Q$105,DQ$6,Input!$G111:$Q111)*IFERROR(CHOOSE(MATCH(Input!$E111,OIUnitType,),1,DQ$13,MAX(DQ$13*(1-SUMIF(Input!$G$89:$Q$89,DQ$6,Input!$G$90:$Q$90)-DQ$31),))*IF(Input!$F111=PerMonth,1,1/12),1/12)</f>
        <v>570</v>
      </c>
      <c r="DR146" s="635">
        <f>SUMIF(Input!$G$105:$Q$105,DR$6,Input!$G111:$Q111)*IFERROR(CHOOSE(MATCH(Input!$E111,OIUnitType,),1,DR$13,MAX(DR$13*(1-SUMIF(Input!$G$89:$Q$89,DR$6,Input!$G$90:$Q$90)-DR$31),))*IF(Input!$F111=PerMonth,1,1/12),1/12)</f>
        <v>570</v>
      </c>
      <c r="DS146" s="635">
        <f>SUMIF(Input!$G$105:$Q$105,DS$6,Input!$G111:$Q111)*IFERROR(CHOOSE(MATCH(Input!$E111,OIUnitType,),1,DS$13,MAX(DS$13*(1-SUMIF(Input!$G$89:$Q$89,DS$6,Input!$G$90:$Q$90)-DS$31),))*IF(Input!$F111=PerMonth,1,1/12),1/12)</f>
        <v>570</v>
      </c>
      <c r="DT146" s="635">
        <f>SUMIF(Input!$G$105:$Q$105,DT$6,Input!$G111:$Q111)*IFERROR(CHOOSE(MATCH(Input!$E111,OIUnitType,),1,DT$13,MAX(DT$13*(1-SUMIF(Input!$G$89:$Q$89,DT$6,Input!$G$90:$Q$90)-DT$31),))*IF(Input!$F111=PerMonth,1,1/12),1/12)</f>
        <v>570</v>
      </c>
      <c r="DU146" s="635">
        <f>SUMIF(Input!$G$105:$Q$105,DU$6,Input!$G111:$Q111)*IFERROR(CHOOSE(MATCH(Input!$E111,OIUnitType,),1,DU$13,MAX(DU$13*(1-SUMIF(Input!$G$89:$Q$89,DU$6,Input!$G$90:$Q$90)-DU$31),))*IF(Input!$F111=PerMonth,1,1/12),1/12)</f>
        <v>570</v>
      </c>
      <c r="DV146" s="635">
        <f>SUMIF(Input!$G$105:$Q$105,DV$6,Input!$G111:$Q111)*IFERROR(CHOOSE(MATCH(Input!$E111,OIUnitType,),1,DV$13,MAX(DV$13*(1-SUMIF(Input!$G$89:$Q$89,DV$6,Input!$G$90:$Q$90)-DV$31),))*IF(Input!$F111=PerMonth,1,1/12),1/12)</f>
        <v>570</v>
      </c>
      <c r="DW146" s="635">
        <f>SUMIF(Input!$G$105:$Q$105,DW$6,Input!$G111:$Q111)*IFERROR(CHOOSE(MATCH(Input!$E111,OIUnitType,),1,DW$13,MAX(DW$13*(1-SUMIF(Input!$G$89:$Q$89,DW$6,Input!$G$90:$Q$90)-DW$31),))*IF(Input!$F111=PerMonth,1,1/12),1/12)</f>
        <v>570</v>
      </c>
      <c r="DX146" s="635">
        <f>SUMIF(Input!$G$105:$Q$105,DX$6,Input!$G111:$Q111)*IFERROR(CHOOSE(MATCH(Input!$E111,OIUnitType,),1,DX$13,MAX(DX$13*(1-SUMIF(Input!$G$89:$Q$89,DX$6,Input!$G$90:$Q$90)-DX$31),))*IF(Input!$F111=PerMonth,1,1/12),1/12)</f>
        <v>570</v>
      </c>
      <c r="DY146" s="635">
        <f>SUMIF(Input!$G$105:$Q$105,DY$6,Input!$G111:$Q111)*IFERROR(CHOOSE(MATCH(Input!$E111,OIUnitType,),1,DY$13,MAX(DY$13*(1-SUMIF(Input!$G$89:$Q$89,DY$6,Input!$G$90:$Q$90)-DY$31),))*IF(Input!$F111=PerMonth,1,1/12),1/12)</f>
        <v>570</v>
      </c>
      <c r="DZ146" s="635">
        <f>SUMIF(Input!$G$105:$Q$105,DZ$6,Input!$G111:$Q111)*IFERROR(CHOOSE(MATCH(Input!$E111,OIUnitType,),1,DZ$13,MAX(DZ$13*(1-SUMIF(Input!$G$89:$Q$89,DZ$6,Input!$G$90:$Q$90)-DZ$31),))*IF(Input!$F111=PerMonth,1,1/12),1/12)</f>
        <v>570</v>
      </c>
      <c r="EA146" s="635">
        <f>SUMIF(Input!$G$105:$Q$105,EA$6,Input!$G111:$Q111)*IFERROR(CHOOSE(MATCH(Input!$E111,OIUnitType,),1,EA$13,MAX(EA$13*(1-SUMIF(Input!$G$89:$Q$89,EA$6,Input!$G$90:$Q$90)-EA$31),))*IF(Input!$F111=PerMonth,1,1/12),1/12)</f>
        <v>570</v>
      </c>
      <c r="EB146" s="635">
        <f>SUMIF(Input!$G$105:$Q$105,EB$6,Input!$G111:$Q111)*IFERROR(CHOOSE(MATCH(Input!$E111,OIUnitType,),1,EB$13,MAX(EB$13*(1-SUMIF(Input!$G$89:$Q$89,EB$6,Input!$G$90:$Q$90)-EB$31),))*IF(Input!$F111=PerMonth,1,1/12),1/12)</f>
        <v>570</v>
      </c>
      <c r="EC146" s="635">
        <f>SUMIF(Input!$G$105:$Q$105,EC$6,Input!$G111:$Q111)*IFERROR(CHOOSE(MATCH(Input!$E111,OIUnitType,),1,EC$13,MAX(EC$13*(1-SUMIF(Input!$G$89:$Q$89,EC$6,Input!$G$90:$Q$90)-EC$31),))*IF(Input!$F111=PerMonth,1,1/12),1/12)</f>
        <v>570</v>
      </c>
      <c r="ED146" s="635">
        <f>SUMIF(Input!$G$105:$Q$105,ED$6,Input!$G111:$Q111)*IFERROR(CHOOSE(MATCH(Input!$E111,OIUnitType,),1,ED$13,MAX(ED$13*(1-SUMIF(Input!$G$89:$Q$89,ED$6,Input!$G$90:$Q$90)-ED$31),))*IF(Input!$F111=PerMonth,1,1/12),1/12)</f>
        <v>570</v>
      </c>
      <c r="EE146" s="635">
        <f>SUMIF(Input!$G$105:$Q$105,EE$6,Input!$G111:$Q111)*IFERROR(CHOOSE(MATCH(Input!$E111,OIUnitType,),1,EE$13,MAX(EE$13*(1-SUMIF(Input!$G$89:$Q$89,EE$6,Input!$G$90:$Q$90)-EE$31),))*IF(Input!$F111=PerMonth,1,1/12),1/12)</f>
        <v>570</v>
      </c>
      <c r="EF146" s="635">
        <f>SUMIF(Input!$G$105:$Q$105,EF$6,Input!$G111:$Q111)*IFERROR(CHOOSE(MATCH(Input!$E111,OIUnitType,),1,EF$13,MAX(EF$13*(1-SUMIF(Input!$G$89:$Q$89,EF$6,Input!$G$90:$Q$90)-EF$31),))*IF(Input!$F111=PerMonth,1,1/12),1/12)</f>
        <v>570</v>
      </c>
      <c r="EG146" s="635">
        <f>SUMIF(Input!$G$105:$Q$105,EG$6,Input!$G111:$Q111)*IFERROR(CHOOSE(MATCH(Input!$E111,OIUnitType,),1,EG$13,MAX(EG$13*(1-SUMIF(Input!$G$89:$Q$89,EG$6,Input!$G$90:$Q$90)-EG$31),))*IF(Input!$F111=PerMonth,1,1/12),1/12)</f>
        <v>570</v>
      </c>
      <c r="EH146" s="635">
        <f>SUMIF(Input!$G$105:$Q$105,EH$6,Input!$G111:$Q111)*IFERROR(CHOOSE(MATCH(Input!$E111,OIUnitType,),1,EH$13,MAX(EH$13*(1-SUMIF(Input!$G$89:$Q$89,EH$6,Input!$G$90:$Q$90)-EH$31),))*IF(Input!$F111=PerMonth,1,1/12),1/12)</f>
        <v>570</v>
      </c>
      <c r="EI146" s="635">
        <f>SUMIF(Input!$G$105:$Q$105,EI$6,Input!$G111:$Q111)*IFERROR(CHOOSE(MATCH(Input!$E111,OIUnitType,),1,EI$13,MAX(EI$13*(1-SUMIF(Input!$G$89:$Q$89,EI$6,Input!$G$90:$Q$90)-EI$31),))*IF(Input!$F111=PerMonth,1,1/12),1/12)</f>
        <v>570</v>
      </c>
      <c r="EJ146" s="635">
        <f>SUMIF(Input!$G$105:$Q$105,EJ$6,Input!$G111:$Q111)*IFERROR(CHOOSE(MATCH(Input!$E111,OIUnitType,),1,EJ$13,MAX(EJ$13*(1-SUMIF(Input!$G$89:$Q$89,EJ$6,Input!$G$90:$Q$90)-EJ$31),))*IF(Input!$F111=PerMonth,1,1/12),1/12)</f>
        <v>570</v>
      </c>
      <c r="EK146" s="635">
        <f>SUMIF(Input!$G$105:$Q$105,EK$6,Input!$G111:$Q111)*IFERROR(CHOOSE(MATCH(Input!$E111,OIUnitType,),1,EK$13,MAX(EK$13*(1-SUMIF(Input!$G$89:$Q$89,EK$6,Input!$G$90:$Q$90)-EK$31),))*IF(Input!$F111=PerMonth,1,1/12),1/12)</f>
        <v>570</v>
      </c>
      <c r="EL146" s="635">
        <f>SUMIF(Input!$G$105:$Q$105,EL$6,Input!$G111:$Q111)*IFERROR(CHOOSE(MATCH(Input!$E111,OIUnitType,),1,EL$13,MAX(EL$13*(1-SUMIF(Input!$G$89:$Q$89,EL$6,Input!$G$90:$Q$90)-EL$31),))*IF(Input!$F111=PerMonth,1,1/12),1/12)</f>
        <v>570</v>
      </c>
      <c r="EM146" s="635">
        <f>SUMIF(Input!$G$105:$Q$105,EM$6,Input!$G111:$Q111)*IFERROR(CHOOSE(MATCH(Input!$E111,OIUnitType,),1,EM$13,MAX(EM$13*(1-SUMIF(Input!$G$89:$Q$89,EM$6,Input!$G$90:$Q$90)-EM$31),))*IF(Input!$F111=PerMonth,1,1/12),1/12)</f>
        <v>570</v>
      </c>
      <c r="EN146" s="635">
        <f>SUMIF(Input!$G$105:$Q$105,EN$6,Input!$G111:$Q111)*IFERROR(CHOOSE(MATCH(Input!$E111,OIUnitType,),1,EN$13,MAX(EN$13*(1-SUMIF(Input!$G$89:$Q$89,EN$6,Input!$G$90:$Q$90)-EN$31),))*IF(Input!$F111=PerMonth,1,1/12),1/12)</f>
        <v>570</v>
      </c>
      <c r="EO146" s="635">
        <f>SUMIF(Input!$G$105:$Q$105,EO$6,Input!$G111:$Q111)*IFERROR(CHOOSE(MATCH(Input!$E111,OIUnitType,),1,EO$13,MAX(EO$13*(1-SUMIF(Input!$G$89:$Q$89,EO$6,Input!$G$90:$Q$90)-EO$31),))*IF(Input!$F111=PerMonth,1,1/12),1/12)</f>
        <v>570</v>
      </c>
      <c r="EP146" s="635">
        <f>SUMIF(Input!$G$105:$Q$105,EP$6,Input!$G111:$Q111)*IFERROR(CHOOSE(MATCH(Input!$E111,OIUnitType,),1,EP$13,MAX(EP$13*(1-SUMIF(Input!$G$89:$Q$89,EP$6,Input!$G$90:$Q$90)-EP$31),))*IF(Input!$F111=PerMonth,1,1/12),1/12)</f>
        <v>570</v>
      </c>
      <c r="EQ146" s="635">
        <f>SUMIF(Input!$G$105:$Q$105,EQ$6,Input!$G111:$Q111)*IFERROR(CHOOSE(MATCH(Input!$E111,OIUnitType,),1,EQ$13,MAX(EQ$13*(1-SUMIF(Input!$G$89:$Q$89,EQ$6,Input!$G$90:$Q$90)-EQ$31),))*IF(Input!$F111=PerMonth,1,1/12),1/12)</f>
        <v>570</v>
      </c>
      <c r="ER146" s="635">
        <f>SUMIF(Input!$G$105:$Q$105,ER$6,Input!$G111:$Q111)*IFERROR(CHOOSE(MATCH(Input!$E111,OIUnitType,),1,ER$13,MAX(ER$13*(1-SUMIF(Input!$G$89:$Q$89,ER$6,Input!$G$90:$Q$90)-ER$31),))*IF(Input!$F111=PerMonth,1,1/12),1/12)</f>
        <v>570</v>
      </c>
      <c r="ES146" s="635">
        <f>SUMIF(Input!$G$105:$Q$105,ES$6,Input!$G111:$Q111)*IFERROR(CHOOSE(MATCH(Input!$E111,OIUnitType,),1,ES$13,MAX(ES$13*(1-SUMIF(Input!$G$89:$Q$89,ES$6,Input!$G$90:$Q$90)-ES$31),))*IF(Input!$F111=PerMonth,1,1/12),1/12)</f>
        <v>570</v>
      </c>
      <c r="ET146" s="192"/>
    </row>
    <row r="147" spans="1:150">
      <c r="A147" s="192"/>
      <c r="B147" s="36" t="str">
        <f>IF(Input!B112="","",Input!B112)</f>
        <v>Other Income</v>
      </c>
      <c r="C147" s="635">
        <f t="shared" si="141"/>
        <v>84816.000000000015</v>
      </c>
      <c r="D147" s="635">
        <f t="shared" si="141"/>
        <v>84816.000000000015</v>
      </c>
      <c r="E147" s="635">
        <f t="shared" si="141"/>
        <v>84816.000000000015</v>
      </c>
      <c r="F147" s="635">
        <f t="shared" si="141"/>
        <v>84816.000000000015</v>
      </c>
      <c r="G147" s="635">
        <f t="shared" si="141"/>
        <v>84816.000000000015</v>
      </c>
      <c r="H147" s="635">
        <f t="shared" si="141"/>
        <v>84816.000000000015</v>
      </c>
      <c r="I147" s="635">
        <f t="shared" si="141"/>
        <v>84816.000000000015</v>
      </c>
      <c r="J147" s="635">
        <f t="shared" si="141"/>
        <v>84816.000000000015</v>
      </c>
      <c r="K147" s="635">
        <f t="shared" si="141"/>
        <v>84816.000000000015</v>
      </c>
      <c r="L147" s="635">
        <f t="shared" si="141"/>
        <v>84816.000000000015</v>
      </c>
      <c r="M147" s="635">
        <f t="shared" si="141"/>
        <v>84816.000000000015</v>
      </c>
      <c r="N147" s="192"/>
      <c r="O147" s="635">
        <f t="shared" si="142"/>
        <v>84816.000000000015</v>
      </c>
      <c r="P147" s="192"/>
      <c r="Q147" s="37"/>
      <c r="R147" s="635">
        <f>SUMIF(Input!$G$105:$Q$105,R$6,Input!$G112:$Q112)*IFERROR(CHOOSE(MATCH(Input!$E112,OIUnitType,),1,R$13,MAX(R$13*(1+SUM(R$72:R$73)/R$71),))*IF(Input!$F112=PerMonth,1,1/12),1/12)</f>
        <v>7068.0000000000018</v>
      </c>
      <c r="S147" s="635">
        <f>SUMIF(Input!$G$105:$Q$105,S$6,Input!$G112:$Q112)*IFERROR(CHOOSE(MATCH(Input!$E112,OIUnitType,),1,S$13,MAX(S$13*(1+SUM(S$72:S$73)/S$71),))*IF(Input!$F112=PerMonth,1,1/12),1/12)</f>
        <v>7068.0000000000018</v>
      </c>
      <c r="T147" s="635">
        <f>SUMIF(Input!$G$105:$Q$105,T$6,Input!$G112:$Q112)*IFERROR(CHOOSE(MATCH(Input!$E112,OIUnitType,),1,T$13,MAX(T$13*(1+SUM(T$72:T$73)/T$71),))*IF(Input!$F112=PerMonth,1,1/12),1/12)</f>
        <v>7068.0000000000018</v>
      </c>
      <c r="U147" s="635">
        <f>SUMIF(Input!$G$105:$Q$105,U$6,Input!$G112:$Q112)*IFERROR(CHOOSE(MATCH(Input!$E112,OIUnitType,),1,U$13,MAX(U$13*(1+SUM(U$72:U$73)/U$71),))*IF(Input!$F112=PerMonth,1,1/12),1/12)</f>
        <v>7068.0000000000018</v>
      </c>
      <c r="V147" s="635">
        <f>SUMIF(Input!$G$105:$Q$105,V$6,Input!$G112:$Q112)*IFERROR(CHOOSE(MATCH(Input!$E112,OIUnitType,),1,V$13,MAX(V$13*(1+SUM(V$72:V$73)/V$71),))*IF(Input!$F112=PerMonth,1,1/12),1/12)</f>
        <v>7068.0000000000018</v>
      </c>
      <c r="W147" s="635">
        <f>SUMIF(Input!$G$105:$Q$105,W$6,Input!$G112:$Q112)*IFERROR(CHOOSE(MATCH(Input!$E112,OIUnitType,),1,W$13,MAX(W$13*(1+SUM(W$72:W$73)/W$71),))*IF(Input!$F112=PerMonth,1,1/12),1/12)</f>
        <v>7068.0000000000018</v>
      </c>
      <c r="X147" s="635">
        <f>SUMIF(Input!$G$105:$Q$105,X$6,Input!$G112:$Q112)*IFERROR(CHOOSE(MATCH(Input!$E112,OIUnitType,),1,X$13,MAX(X$13*(1+SUM(X$72:X$73)/X$71),))*IF(Input!$F112=PerMonth,1,1/12),1/12)</f>
        <v>7068.0000000000018</v>
      </c>
      <c r="Y147" s="635">
        <f>SUMIF(Input!$G$105:$Q$105,Y$6,Input!$G112:$Q112)*IFERROR(CHOOSE(MATCH(Input!$E112,OIUnitType,),1,Y$13,MAX(Y$13*(1+SUM(Y$72:Y$73)/Y$71),))*IF(Input!$F112=PerMonth,1,1/12),1/12)</f>
        <v>7068.0000000000018</v>
      </c>
      <c r="Z147" s="635">
        <f>SUMIF(Input!$G$105:$Q$105,Z$6,Input!$G112:$Q112)*IFERROR(CHOOSE(MATCH(Input!$E112,OIUnitType,),1,Z$13,MAX(Z$13*(1+SUM(Z$72:Z$73)/Z$71),))*IF(Input!$F112=PerMonth,1,1/12),1/12)</f>
        <v>7068.0000000000018</v>
      </c>
      <c r="AA147" s="635">
        <f>SUMIF(Input!$G$105:$Q$105,AA$6,Input!$G112:$Q112)*IFERROR(CHOOSE(MATCH(Input!$E112,OIUnitType,),1,AA$13,MAX(AA$13*(1+SUM(AA$72:AA$73)/AA$71),))*IF(Input!$F112=PerMonth,1,1/12),1/12)</f>
        <v>7068.0000000000018</v>
      </c>
      <c r="AB147" s="635">
        <f>SUMIF(Input!$G$105:$Q$105,AB$6,Input!$G112:$Q112)*IFERROR(CHOOSE(MATCH(Input!$E112,OIUnitType,),1,AB$13,MAX(AB$13*(1+SUM(AB$72:AB$73)/AB$71),))*IF(Input!$F112=PerMonth,1,1/12),1/12)</f>
        <v>7068.0000000000018</v>
      </c>
      <c r="AC147" s="635">
        <f>SUMIF(Input!$G$105:$Q$105,AC$6,Input!$G112:$Q112)*IFERROR(CHOOSE(MATCH(Input!$E112,OIUnitType,),1,AC$13,MAX(AC$13*(1+SUM(AC$72:AC$73)/AC$71),))*IF(Input!$F112=PerMonth,1,1/12),1/12)</f>
        <v>7068.0000000000018</v>
      </c>
      <c r="AD147" s="635">
        <f>SUMIF(Input!$G$105:$Q$105,AD$6,Input!$G112:$Q112)*IFERROR(CHOOSE(MATCH(Input!$E112,OIUnitType,),1,AD$13,MAX(AD$13*(1+SUM(AD$72:AD$73)/AD$71),))*IF(Input!$F112=PerMonth,1,1/12),1/12)</f>
        <v>7068.0000000000018</v>
      </c>
      <c r="AE147" s="635">
        <f>SUMIF(Input!$G$105:$Q$105,AE$6,Input!$G112:$Q112)*IFERROR(CHOOSE(MATCH(Input!$E112,OIUnitType,),1,AE$13,MAX(AE$13*(1+SUM(AE$72:AE$73)/AE$71),))*IF(Input!$F112=PerMonth,1,1/12),1/12)</f>
        <v>7068.0000000000018</v>
      </c>
      <c r="AF147" s="635">
        <f>SUMIF(Input!$G$105:$Q$105,AF$6,Input!$G112:$Q112)*IFERROR(CHOOSE(MATCH(Input!$E112,OIUnitType,),1,AF$13,MAX(AF$13*(1+SUM(AF$72:AF$73)/AF$71),))*IF(Input!$F112=PerMonth,1,1/12),1/12)</f>
        <v>7068.0000000000018</v>
      </c>
      <c r="AG147" s="635">
        <f>SUMIF(Input!$G$105:$Q$105,AG$6,Input!$G112:$Q112)*IFERROR(CHOOSE(MATCH(Input!$E112,OIUnitType,),1,AG$13,MAX(AG$13*(1+SUM(AG$72:AG$73)/AG$71),))*IF(Input!$F112=PerMonth,1,1/12),1/12)</f>
        <v>7068.0000000000018</v>
      </c>
      <c r="AH147" s="635">
        <f>SUMIF(Input!$G$105:$Q$105,AH$6,Input!$G112:$Q112)*IFERROR(CHOOSE(MATCH(Input!$E112,OIUnitType,),1,AH$13,MAX(AH$13*(1+SUM(AH$72:AH$73)/AH$71),))*IF(Input!$F112=PerMonth,1,1/12),1/12)</f>
        <v>7068.0000000000018</v>
      </c>
      <c r="AI147" s="635">
        <f>SUMIF(Input!$G$105:$Q$105,AI$6,Input!$G112:$Q112)*IFERROR(CHOOSE(MATCH(Input!$E112,OIUnitType,),1,AI$13,MAX(AI$13*(1+SUM(AI$72:AI$73)/AI$71),))*IF(Input!$F112=PerMonth,1,1/12),1/12)</f>
        <v>7068.0000000000018</v>
      </c>
      <c r="AJ147" s="635">
        <f>SUMIF(Input!$G$105:$Q$105,AJ$6,Input!$G112:$Q112)*IFERROR(CHOOSE(MATCH(Input!$E112,OIUnitType,),1,AJ$13,MAX(AJ$13*(1+SUM(AJ$72:AJ$73)/AJ$71),))*IF(Input!$F112=PerMonth,1,1/12),1/12)</f>
        <v>7068.0000000000018</v>
      </c>
      <c r="AK147" s="635">
        <f>SUMIF(Input!$G$105:$Q$105,AK$6,Input!$G112:$Q112)*IFERROR(CHOOSE(MATCH(Input!$E112,OIUnitType,),1,AK$13,MAX(AK$13*(1+SUM(AK$72:AK$73)/AK$71),))*IF(Input!$F112=PerMonth,1,1/12),1/12)</f>
        <v>7068.0000000000018</v>
      </c>
      <c r="AL147" s="635">
        <f>SUMIF(Input!$G$105:$Q$105,AL$6,Input!$G112:$Q112)*IFERROR(CHOOSE(MATCH(Input!$E112,OIUnitType,),1,AL$13,MAX(AL$13*(1+SUM(AL$72:AL$73)/AL$71),))*IF(Input!$F112=PerMonth,1,1/12),1/12)</f>
        <v>7068.0000000000018</v>
      </c>
      <c r="AM147" s="635">
        <f>SUMIF(Input!$G$105:$Q$105,AM$6,Input!$G112:$Q112)*IFERROR(CHOOSE(MATCH(Input!$E112,OIUnitType,),1,AM$13,MAX(AM$13*(1+SUM(AM$72:AM$73)/AM$71),))*IF(Input!$F112=PerMonth,1,1/12),1/12)</f>
        <v>7068.0000000000018</v>
      </c>
      <c r="AN147" s="635">
        <f>SUMIF(Input!$G$105:$Q$105,AN$6,Input!$G112:$Q112)*IFERROR(CHOOSE(MATCH(Input!$E112,OIUnitType,),1,AN$13,MAX(AN$13*(1+SUM(AN$72:AN$73)/AN$71),))*IF(Input!$F112=PerMonth,1,1/12),1/12)</f>
        <v>7068.0000000000018</v>
      </c>
      <c r="AO147" s="635">
        <f>SUMIF(Input!$G$105:$Q$105,AO$6,Input!$G112:$Q112)*IFERROR(CHOOSE(MATCH(Input!$E112,OIUnitType,),1,AO$13,MAX(AO$13*(1+SUM(AO$72:AO$73)/AO$71),))*IF(Input!$F112=PerMonth,1,1/12),1/12)</f>
        <v>7068.0000000000018</v>
      </c>
      <c r="AP147" s="635">
        <f>SUMIF(Input!$G$105:$Q$105,AP$6,Input!$G112:$Q112)*IFERROR(CHOOSE(MATCH(Input!$E112,OIUnitType,),1,AP$13,MAX(AP$13*(1+SUM(AP$72:AP$73)/AP$71),))*IF(Input!$F112=PerMonth,1,1/12),1/12)</f>
        <v>7068.0000000000018</v>
      </c>
      <c r="AQ147" s="635">
        <f>SUMIF(Input!$G$105:$Q$105,AQ$6,Input!$G112:$Q112)*IFERROR(CHOOSE(MATCH(Input!$E112,OIUnitType,),1,AQ$13,MAX(AQ$13*(1+SUM(AQ$72:AQ$73)/AQ$71),))*IF(Input!$F112=PerMonth,1,1/12),1/12)</f>
        <v>7068.0000000000018</v>
      </c>
      <c r="AR147" s="635">
        <f>SUMIF(Input!$G$105:$Q$105,AR$6,Input!$G112:$Q112)*IFERROR(CHOOSE(MATCH(Input!$E112,OIUnitType,),1,AR$13,MAX(AR$13*(1+SUM(AR$72:AR$73)/AR$71),))*IF(Input!$F112=PerMonth,1,1/12),1/12)</f>
        <v>7068.0000000000018</v>
      </c>
      <c r="AS147" s="635">
        <f>SUMIF(Input!$G$105:$Q$105,AS$6,Input!$G112:$Q112)*IFERROR(CHOOSE(MATCH(Input!$E112,OIUnitType,),1,AS$13,MAX(AS$13*(1+SUM(AS$72:AS$73)/AS$71),))*IF(Input!$F112=PerMonth,1,1/12),1/12)</f>
        <v>7068.0000000000018</v>
      </c>
      <c r="AT147" s="635">
        <f>SUMIF(Input!$G$105:$Q$105,AT$6,Input!$G112:$Q112)*IFERROR(CHOOSE(MATCH(Input!$E112,OIUnitType,),1,AT$13,MAX(AT$13*(1+SUM(AT$72:AT$73)/AT$71),))*IF(Input!$F112=PerMonth,1,1/12),1/12)</f>
        <v>7068.0000000000018</v>
      </c>
      <c r="AU147" s="635">
        <f>SUMIF(Input!$G$105:$Q$105,AU$6,Input!$G112:$Q112)*IFERROR(CHOOSE(MATCH(Input!$E112,OIUnitType,),1,AU$13,MAX(AU$13*(1+SUM(AU$72:AU$73)/AU$71),))*IF(Input!$F112=PerMonth,1,1/12),1/12)</f>
        <v>7068.0000000000018</v>
      </c>
      <c r="AV147" s="635">
        <f>SUMIF(Input!$G$105:$Q$105,AV$6,Input!$G112:$Q112)*IFERROR(CHOOSE(MATCH(Input!$E112,OIUnitType,),1,AV$13,MAX(AV$13*(1+SUM(AV$72:AV$73)/AV$71),))*IF(Input!$F112=PerMonth,1,1/12),1/12)</f>
        <v>7068.0000000000018</v>
      </c>
      <c r="AW147" s="635">
        <f>SUMIF(Input!$G$105:$Q$105,AW$6,Input!$G112:$Q112)*IFERROR(CHOOSE(MATCH(Input!$E112,OIUnitType,),1,AW$13,MAX(AW$13*(1+SUM(AW$72:AW$73)/AW$71),))*IF(Input!$F112=PerMonth,1,1/12),1/12)</f>
        <v>7068.0000000000018</v>
      </c>
      <c r="AX147" s="635">
        <f>SUMIF(Input!$G$105:$Q$105,AX$6,Input!$G112:$Q112)*IFERROR(CHOOSE(MATCH(Input!$E112,OIUnitType,),1,AX$13,MAX(AX$13*(1+SUM(AX$72:AX$73)/AX$71),))*IF(Input!$F112=PerMonth,1,1/12),1/12)</f>
        <v>7068.0000000000018</v>
      </c>
      <c r="AY147" s="635">
        <f>SUMIF(Input!$G$105:$Q$105,AY$6,Input!$G112:$Q112)*IFERROR(CHOOSE(MATCH(Input!$E112,OIUnitType,),1,AY$13,MAX(AY$13*(1+SUM(AY$72:AY$73)/AY$71),))*IF(Input!$F112=PerMonth,1,1/12),1/12)</f>
        <v>7068.0000000000018</v>
      </c>
      <c r="AZ147" s="635">
        <f>SUMIF(Input!$G$105:$Q$105,AZ$6,Input!$G112:$Q112)*IFERROR(CHOOSE(MATCH(Input!$E112,OIUnitType,),1,AZ$13,MAX(AZ$13*(1+SUM(AZ$72:AZ$73)/AZ$71),))*IF(Input!$F112=PerMonth,1,1/12),1/12)</f>
        <v>7068.0000000000018</v>
      </c>
      <c r="BA147" s="635">
        <f>SUMIF(Input!$G$105:$Q$105,BA$6,Input!$G112:$Q112)*IFERROR(CHOOSE(MATCH(Input!$E112,OIUnitType,),1,BA$13,MAX(BA$13*(1+SUM(BA$72:BA$73)/BA$71),))*IF(Input!$F112=PerMonth,1,1/12),1/12)</f>
        <v>7068.0000000000018</v>
      </c>
      <c r="BB147" s="635">
        <f>SUMIF(Input!$G$105:$Q$105,BB$6,Input!$G112:$Q112)*IFERROR(CHOOSE(MATCH(Input!$E112,OIUnitType,),1,BB$13,MAX(BB$13*(1-SUMIF(Input!$G$89:$Q$89,BB$6,Input!$G$90:$Q$90)-BB$31),))*IF(Input!$F112=PerMonth,1,1/12),1/12)</f>
        <v>7068.0000000000018</v>
      </c>
      <c r="BC147" s="635">
        <f>SUMIF(Input!$G$105:$Q$105,BC$6,Input!$G112:$Q112)*IFERROR(CHOOSE(MATCH(Input!$E112,OIUnitType,),1,BC$13,MAX(BC$13*(1-SUMIF(Input!$G$89:$Q$89,BC$6,Input!$G$90:$Q$90)-BC$31),))*IF(Input!$F112=PerMonth,1,1/12),1/12)</f>
        <v>7068.0000000000018</v>
      </c>
      <c r="BD147" s="635">
        <f>SUMIF(Input!$G$105:$Q$105,BD$6,Input!$G112:$Q112)*IFERROR(CHOOSE(MATCH(Input!$E112,OIUnitType,),1,BD$13,MAX(BD$13*(1-SUMIF(Input!$G$89:$Q$89,BD$6,Input!$G$90:$Q$90)-BD$31),))*IF(Input!$F112=PerMonth,1,1/12),1/12)</f>
        <v>7068.0000000000018</v>
      </c>
      <c r="BE147" s="635">
        <f>SUMIF(Input!$G$105:$Q$105,BE$6,Input!$G112:$Q112)*IFERROR(CHOOSE(MATCH(Input!$E112,OIUnitType,),1,BE$13,MAX(BE$13*(1-SUMIF(Input!$G$89:$Q$89,BE$6,Input!$G$90:$Q$90)-BE$31),))*IF(Input!$F112=PerMonth,1,1/12),1/12)</f>
        <v>7068.0000000000018</v>
      </c>
      <c r="BF147" s="635">
        <f>SUMIF(Input!$G$105:$Q$105,BF$6,Input!$G112:$Q112)*IFERROR(CHOOSE(MATCH(Input!$E112,OIUnitType,),1,BF$13,MAX(BF$13*(1-SUMIF(Input!$G$89:$Q$89,BF$6,Input!$G$90:$Q$90)-BF$31),))*IF(Input!$F112=PerMonth,1,1/12),1/12)</f>
        <v>7068.0000000000018</v>
      </c>
      <c r="BG147" s="635">
        <f>SUMIF(Input!$G$105:$Q$105,BG$6,Input!$G112:$Q112)*IFERROR(CHOOSE(MATCH(Input!$E112,OIUnitType,),1,BG$13,MAX(BG$13*(1-SUMIF(Input!$G$89:$Q$89,BG$6,Input!$G$90:$Q$90)-BG$31),))*IF(Input!$F112=PerMonth,1,1/12),1/12)</f>
        <v>7068.0000000000018</v>
      </c>
      <c r="BH147" s="635">
        <f>SUMIF(Input!$G$105:$Q$105,BH$6,Input!$G112:$Q112)*IFERROR(CHOOSE(MATCH(Input!$E112,OIUnitType,),1,BH$13,MAX(BH$13*(1-SUMIF(Input!$G$89:$Q$89,BH$6,Input!$G$90:$Q$90)-BH$31),))*IF(Input!$F112=PerMonth,1,1/12),1/12)</f>
        <v>7068.0000000000018</v>
      </c>
      <c r="BI147" s="635">
        <f>SUMIF(Input!$G$105:$Q$105,BI$6,Input!$G112:$Q112)*IFERROR(CHOOSE(MATCH(Input!$E112,OIUnitType,),1,BI$13,MAX(BI$13*(1-SUMIF(Input!$G$89:$Q$89,BI$6,Input!$G$90:$Q$90)-BI$31),))*IF(Input!$F112=PerMonth,1,1/12),1/12)</f>
        <v>7068.0000000000018</v>
      </c>
      <c r="BJ147" s="635">
        <f>SUMIF(Input!$G$105:$Q$105,BJ$6,Input!$G112:$Q112)*IFERROR(CHOOSE(MATCH(Input!$E112,OIUnitType,),1,BJ$13,MAX(BJ$13*(1-SUMIF(Input!$G$89:$Q$89,BJ$6,Input!$G$90:$Q$90)-BJ$31),))*IF(Input!$F112=PerMonth,1,1/12),1/12)</f>
        <v>7068.0000000000018</v>
      </c>
      <c r="BK147" s="635">
        <f>SUMIF(Input!$G$105:$Q$105,BK$6,Input!$G112:$Q112)*IFERROR(CHOOSE(MATCH(Input!$E112,OIUnitType,),1,BK$13,MAX(BK$13*(1-SUMIF(Input!$G$89:$Q$89,BK$6,Input!$G$90:$Q$90)-BK$31),))*IF(Input!$F112=PerMonth,1,1/12),1/12)</f>
        <v>7068.0000000000018</v>
      </c>
      <c r="BL147" s="635">
        <f>SUMIF(Input!$G$105:$Q$105,BL$6,Input!$G112:$Q112)*IFERROR(CHOOSE(MATCH(Input!$E112,OIUnitType,),1,BL$13,MAX(BL$13*(1-SUMIF(Input!$G$89:$Q$89,BL$6,Input!$G$90:$Q$90)-BL$31),))*IF(Input!$F112=PerMonth,1,1/12),1/12)</f>
        <v>7068.0000000000018</v>
      </c>
      <c r="BM147" s="635">
        <f>SUMIF(Input!$G$105:$Q$105,BM$6,Input!$G112:$Q112)*IFERROR(CHOOSE(MATCH(Input!$E112,OIUnitType,),1,BM$13,MAX(BM$13*(1-SUMIF(Input!$G$89:$Q$89,BM$6,Input!$G$90:$Q$90)-BM$31),))*IF(Input!$F112=PerMonth,1,1/12),1/12)</f>
        <v>7068.0000000000018</v>
      </c>
      <c r="BN147" s="635">
        <f>SUMIF(Input!$G$105:$Q$105,BN$6,Input!$G112:$Q112)*IFERROR(CHOOSE(MATCH(Input!$E112,OIUnitType,),1,BN$13,MAX(BN$13*(1-SUMIF(Input!$G$89:$Q$89,BN$6,Input!$G$90:$Q$90)-BN$31),))*IF(Input!$F112=PerMonth,1,1/12),1/12)</f>
        <v>7068.0000000000018</v>
      </c>
      <c r="BO147" s="635">
        <f>SUMIF(Input!$G$105:$Q$105,BO$6,Input!$G112:$Q112)*IFERROR(CHOOSE(MATCH(Input!$E112,OIUnitType,),1,BO$13,MAX(BO$13*(1-SUMIF(Input!$G$89:$Q$89,BO$6,Input!$G$90:$Q$90)-BO$31),))*IF(Input!$F112=PerMonth,1,1/12),1/12)</f>
        <v>7068.0000000000018</v>
      </c>
      <c r="BP147" s="635">
        <f>SUMIF(Input!$G$105:$Q$105,BP$6,Input!$G112:$Q112)*IFERROR(CHOOSE(MATCH(Input!$E112,OIUnitType,),1,BP$13,MAX(BP$13*(1-SUMIF(Input!$G$89:$Q$89,BP$6,Input!$G$90:$Q$90)-BP$31),))*IF(Input!$F112=PerMonth,1,1/12),1/12)</f>
        <v>7068.0000000000018</v>
      </c>
      <c r="BQ147" s="635">
        <f>SUMIF(Input!$G$105:$Q$105,BQ$6,Input!$G112:$Q112)*IFERROR(CHOOSE(MATCH(Input!$E112,OIUnitType,),1,BQ$13,MAX(BQ$13*(1-SUMIF(Input!$G$89:$Q$89,BQ$6,Input!$G$90:$Q$90)-BQ$31),))*IF(Input!$F112=PerMonth,1,1/12),1/12)</f>
        <v>7068.0000000000018</v>
      </c>
      <c r="BR147" s="635">
        <f>SUMIF(Input!$G$105:$Q$105,BR$6,Input!$G112:$Q112)*IFERROR(CHOOSE(MATCH(Input!$E112,OIUnitType,),1,BR$13,MAX(BR$13*(1-SUMIF(Input!$G$89:$Q$89,BR$6,Input!$G$90:$Q$90)-BR$31),))*IF(Input!$F112=PerMonth,1,1/12),1/12)</f>
        <v>7068.0000000000018</v>
      </c>
      <c r="BS147" s="635">
        <f>SUMIF(Input!$G$105:$Q$105,BS$6,Input!$G112:$Q112)*IFERROR(CHOOSE(MATCH(Input!$E112,OIUnitType,),1,BS$13,MAX(BS$13*(1-SUMIF(Input!$G$89:$Q$89,BS$6,Input!$G$90:$Q$90)-BS$31),))*IF(Input!$F112=PerMonth,1,1/12),1/12)</f>
        <v>7068.0000000000018</v>
      </c>
      <c r="BT147" s="635">
        <f>SUMIF(Input!$G$105:$Q$105,BT$6,Input!$G112:$Q112)*IFERROR(CHOOSE(MATCH(Input!$E112,OIUnitType,),1,BT$13,MAX(BT$13*(1-SUMIF(Input!$G$89:$Q$89,BT$6,Input!$G$90:$Q$90)-BT$31),))*IF(Input!$F112=PerMonth,1,1/12),1/12)</f>
        <v>7068.0000000000018</v>
      </c>
      <c r="BU147" s="635">
        <f>SUMIF(Input!$G$105:$Q$105,BU$6,Input!$G112:$Q112)*IFERROR(CHOOSE(MATCH(Input!$E112,OIUnitType,),1,BU$13,MAX(BU$13*(1-SUMIF(Input!$G$89:$Q$89,BU$6,Input!$G$90:$Q$90)-BU$31),))*IF(Input!$F112=PerMonth,1,1/12),1/12)</f>
        <v>7068.0000000000018</v>
      </c>
      <c r="BV147" s="635">
        <f>SUMIF(Input!$G$105:$Q$105,BV$6,Input!$G112:$Q112)*IFERROR(CHOOSE(MATCH(Input!$E112,OIUnitType,),1,BV$13,MAX(BV$13*(1-SUMIF(Input!$G$89:$Q$89,BV$6,Input!$G$90:$Q$90)-BV$31),))*IF(Input!$F112=PerMonth,1,1/12),1/12)</f>
        <v>7068.0000000000018</v>
      </c>
      <c r="BW147" s="635">
        <f>SUMIF(Input!$G$105:$Q$105,BW$6,Input!$G112:$Q112)*IFERROR(CHOOSE(MATCH(Input!$E112,OIUnitType,),1,BW$13,MAX(BW$13*(1-SUMIF(Input!$G$89:$Q$89,BW$6,Input!$G$90:$Q$90)-BW$31),))*IF(Input!$F112=PerMonth,1,1/12),1/12)</f>
        <v>7068.0000000000018</v>
      </c>
      <c r="BX147" s="635">
        <f>SUMIF(Input!$G$105:$Q$105,BX$6,Input!$G112:$Q112)*IFERROR(CHOOSE(MATCH(Input!$E112,OIUnitType,),1,BX$13,MAX(BX$13*(1-SUMIF(Input!$G$89:$Q$89,BX$6,Input!$G$90:$Q$90)-BX$31),))*IF(Input!$F112=PerMonth,1,1/12),1/12)</f>
        <v>7068.0000000000018</v>
      </c>
      <c r="BY147" s="635">
        <f>SUMIF(Input!$G$105:$Q$105,BY$6,Input!$G112:$Q112)*IFERROR(CHOOSE(MATCH(Input!$E112,OIUnitType,),1,BY$13,MAX(BY$13*(1-SUMIF(Input!$G$89:$Q$89,BY$6,Input!$G$90:$Q$90)-BY$31),))*IF(Input!$F112=PerMonth,1,1/12),1/12)</f>
        <v>7068.0000000000018</v>
      </c>
      <c r="BZ147" s="635">
        <f>SUMIF(Input!$G$105:$Q$105,BZ$6,Input!$G112:$Q112)*IFERROR(CHOOSE(MATCH(Input!$E112,OIUnitType,),1,BZ$13,MAX(BZ$13*(1-SUMIF(Input!$G$89:$Q$89,BZ$6,Input!$G$90:$Q$90)-BZ$31),))*IF(Input!$F112=PerMonth,1,1/12),1/12)</f>
        <v>7068.0000000000018</v>
      </c>
      <c r="CA147" s="635">
        <f>SUMIF(Input!$G$105:$Q$105,CA$6,Input!$G112:$Q112)*IFERROR(CHOOSE(MATCH(Input!$E112,OIUnitType,),1,CA$13,MAX(CA$13*(1-SUMIF(Input!$G$89:$Q$89,CA$6,Input!$G$90:$Q$90)-CA$31),))*IF(Input!$F112=PerMonth,1,1/12),1/12)</f>
        <v>7068.0000000000018</v>
      </c>
      <c r="CB147" s="635">
        <f>SUMIF(Input!$G$105:$Q$105,CB$6,Input!$G112:$Q112)*IFERROR(CHOOSE(MATCH(Input!$E112,OIUnitType,),1,CB$13,MAX(CB$13*(1-SUMIF(Input!$G$89:$Q$89,CB$6,Input!$G$90:$Q$90)-CB$31),))*IF(Input!$F112=PerMonth,1,1/12),1/12)</f>
        <v>7068.0000000000018</v>
      </c>
      <c r="CC147" s="635">
        <f>SUMIF(Input!$G$105:$Q$105,CC$6,Input!$G112:$Q112)*IFERROR(CHOOSE(MATCH(Input!$E112,OIUnitType,),1,CC$13,MAX(CC$13*(1-SUMIF(Input!$G$89:$Q$89,CC$6,Input!$G$90:$Q$90)-CC$31),))*IF(Input!$F112=PerMonth,1,1/12),1/12)</f>
        <v>7068.0000000000018</v>
      </c>
      <c r="CD147" s="635">
        <f>SUMIF(Input!$G$105:$Q$105,CD$6,Input!$G112:$Q112)*IFERROR(CHOOSE(MATCH(Input!$E112,OIUnitType,),1,CD$13,MAX(CD$13*(1-SUMIF(Input!$G$89:$Q$89,CD$6,Input!$G$90:$Q$90)-CD$31),))*IF(Input!$F112=PerMonth,1,1/12),1/12)</f>
        <v>7068.0000000000018</v>
      </c>
      <c r="CE147" s="635">
        <f>SUMIF(Input!$G$105:$Q$105,CE$6,Input!$G112:$Q112)*IFERROR(CHOOSE(MATCH(Input!$E112,OIUnitType,),1,CE$13,MAX(CE$13*(1-SUMIF(Input!$G$89:$Q$89,CE$6,Input!$G$90:$Q$90)-CE$31),))*IF(Input!$F112=PerMonth,1,1/12),1/12)</f>
        <v>7068.0000000000018</v>
      </c>
      <c r="CF147" s="635">
        <f>SUMIF(Input!$G$105:$Q$105,CF$6,Input!$G112:$Q112)*IFERROR(CHOOSE(MATCH(Input!$E112,OIUnitType,),1,CF$13,MAX(CF$13*(1-SUMIF(Input!$G$89:$Q$89,CF$6,Input!$G$90:$Q$90)-CF$31),))*IF(Input!$F112=PerMonth,1,1/12),1/12)</f>
        <v>7068.0000000000018</v>
      </c>
      <c r="CG147" s="635">
        <f>SUMIF(Input!$G$105:$Q$105,CG$6,Input!$G112:$Q112)*IFERROR(CHOOSE(MATCH(Input!$E112,OIUnitType,),1,CG$13,MAX(CG$13*(1-SUMIF(Input!$G$89:$Q$89,CG$6,Input!$G$90:$Q$90)-CG$31),))*IF(Input!$F112=PerMonth,1,1/12),1/12)</f>
        <v>7068.0000000000018</v>
      </c>
      <c r="CH147" s="635">
        <f>SUMIF(Input!$G$105:$Q$105,CH$6,Input!$G112:$Q112)*IFERROR(CHOOSE(MATCH(Input!$E112,OIUnitType,),1,CH$13,MAX(CH$13*(1-SUMIF(Input!$G$89:$Q$89,CH$6,Input!$G$90:$Q$90)-CH$31),))*IF(Input!$F112=PerMonth,1,1/12),1/12)</f>
        <v>7068.0000000000018</v>
      </c>
      <c r="CI147" s="635">
        <f>SUMIF(Input!$G$105:$Q$105,CI$6,Input!$G112:$Q112)*IFERROR(CHOOSE(MATCH(Input!$E112,OIUnitType,),1,CI$13,MAX(CI$13*(1-SUMIF(Input!$G$89:$Q$89,CI$6,Input!$G$90:$Q$90)-CI$31),))*IF(Input!$F112=PerMonth,1,1/12),1/12)</f>
        <v>7068.0000000000018</v>
      </c>
      <c r="CJ147" s="635">
        <f>SUMIF(Input!$G$105:$Q$105,CJ$6,Input!$G112:$Q112)*IFERROR(CHOOSE(MATCH(Input!$E112,OIUnitType,),1,CJ$13,MAX(CJ$13*(1-SUMIF(Input!$G$89:$Q$89,CJ$6,Input!$G$90:$Q$90)-CJ$31),))*IF(Input!$F112=PerMonth,1,1/12),1/12)</f>
        <v>7068.0000000000018</v>
      </c>
      <c r="CK147" s="635">
        <f>SUMIF(Input!$G$105:$Q$105,CK$6,Input!$G112:$Q112)*IFERROR(CHOOSE(MATCH(Input!$E112,OIUnitType,),1,CK$13,MAX(CK$13*(1-SUMIF(Input!$G$89:$Q$89,CK$6,Input!$G$90:$Q$90)-CK$31),))*IF(Input!$F112=PerMonth,1,1/12),1/12)</f>
        <v>7068.0000000000018</v>
      </c>
      <c r="CL147" s="635">
        <f>SUMIF(Input!$G$105:$Q$105,CL$6,Input!$G112:$Q112)*IFERROR(CHOOSE(MATCH(Input!$E112,OIUnitType,),1,CL$13,MAX(CL$13*(1-SUMIF(Input!$G$89:$Q$89,CL$6,Input!$G$90:$Q$90)-CL$31),))*IF(Input!$F112=PerMonth,1,1/12),1/12)</f>
        <v>7068.0000000000018</v>
      </c>
      <c r="CM147" s="635">
        <f>SUMIF(Input!$G$105:$Q$105,CM$6,Input!$G112:$Q112)*IFERROR(CHOOSE(MATCH(Input!$E112,OIUnitType,),1,CM$13,MAX(CM$13*(1-SUMIF(Input!$G$89:$Q$89,CM$6,Input!$G$90:$Q$90)-CM$31),))*IF(Input!$F112=PerMonth,1,1/12),1/12)</f>
        <v>7068.0000000000018</v>
      </c>
      <c r="CN147" s="635">
        <f>SUMIF(Input!$G$105:$Q$105,CN$6,Input!$G112:$Q112)*IFERROR(CHOOSE(MATCH(Input!$E112,OIUnitType,),1,CN$13,MAX(CN$13*(1-SUMIF(Input!$G$89:$Q$89,CN$6,Input!$G$90:$Q$90)-CN$31),))*IF(Input!$F112=PerMonth,1,1/12),1/12)</f>
        <v>7068.0000000000018</v>
      </c>
      <c r="CO147" s="635">
        <f>SUMIF(Input!$G$105:$Q$105,CO$6,Input!$G112:$Q112)*IFERROR(CHOOSE(MATCH(Input!$E112,OIUnitType,),1,CO$13,MAX(CO$13*(1-SUMIF(Input!$G$89:$Q$89,CO$6,Input!$G$90:$Q$90)-CO$31),))*IF(Input!$F112=PerMonth,1,1/12),1/12)</f>
        <v>7068.0000000000018</v>
      </c>
      <c r="CP147" s="635">
        <f>SUMIF(Input!$G$105:$Q$105,CP$6,Input!$G112:$Q112)*IFERROR(CHOOSE(MATCH(Input!$E112,OIUnitType,),1,CP$13,MAX(CP$13*(1-SUMIF(Input!$G$89:$Q$89,CP$6,Input!$G$90:$Q$90)-CP$31),))*IF(Input!$F112=PerMonth,1,1/12),1/12)</f>
        <v>7068.0000000000018</v>
      </c>
      <c r="CQ147" s="635">
        <f>SUMIF(Input!$G$105:$Q$105,CQ$6,Input!$G112:$Q112)*IFERROR(CHOOSE(MATCH(Input!$E112,OIUnitType,),1,CQ$13,MAX(CQ$13*(1-SUMIF(Input!$G$89:$Q$89,CQ$6,Input!$G$90:$Q$90)-CQ$31),))*IF(Input!$F112=PerMonth,1,1/12),1/12)</f>
        <v>7068.0000000000018</v>
      </c>
      <c r="CR147" s="635">
        <f>SUMIF(Input!$G$105:$Q$105,CR$6,Input!$G112:$Q112)*IFERROR(CHOOSE(MATCH(Input!$E112,OIUnitType,),1,CR$13,MAX(CR$13*(1-SUMIF(Input!$G$89:$Q$89,CR$6,Input!$G$90:$Q$90)-CR$31),))*IF(Input!$F112=PerMonth,1,1/12),1/12)</f>
        <v>7068.0000000000018</v>
      </c>
      <c r="CS147" s="635">
        <f>SUMIF(Input!$G$105:$Q$105,CS$6,Input!$G112:$Q112)*IFERROR(CHOOSE(MATCH(Input!$E112,OIUnitType,),1,CS$13,MAX(CS$13*(1-SUMIF(Input!$G$89:$Q$89,CS$6,Input!$G$90:$Q$90)-CS$31),))*IF(Input!$F112=PerMonth,1,1/12),1/12)</f>
        <v>7068.0000000000018</v>
      </c>
      <c r="CT147" s="635">
        <f>SUMIF(Input!$G$105:$Q$105,CT$6,Input!$G112:$Q112)*IFERROR(CHOOSE(MATCH(Input!$E112,OIUnitType,),1,CT$13,MAX(CT$13*(1-SUMIF(Input!$G$89:$Q$89,CT$6,Input!$G$90:$Q$90)-CT$31),))*IF(Input!$F112=PerMonth,1,1/12),1/12)</f>
        <v>7068.0000000000018</v>
      </c>
      <c r="CU147" s="635">
        <f>SUMIF(Input!$G$105:$Q$105,CU$6,Input!$G112:$Q112)*IFERROR(CHOOSE(MATCH(Input!$E112,OIUnitType,),1,CU$13,MAX(CU$13*(1-SUMIF(Input!$G$89:$Q$89,CU$6,Input!$G$90:$Q$90)-CU$31),))*IF(Input!$F112=PerMonth,1,1/12),1/12)</f>
        <v>7068.0000000000018</v>
      </c>
      <c r="CV147" s="635">
        <f>SUMIF(Input!$G$105:$Q$105,CV$6,Input!$G112:$Q112)*IFERROR(CHOOSE(MATCH(Input!$E112,OIUnitType,),1,CV$13,MAX(CV$13*(1-SUMIF(Input!$G$89:$Q$89,CV$6,Input!$G$90:$Q$90)-CV$31),))*IF(Input!$F112=PerMonth,1,1/12),1/12)</f>
        <v>7068.0000000000018</v>
      </c>
      <c r="CW147" s="635">
        <f>SUMIF(Input!$G$105:$Q$105,CW$6,Input!$G112:$Q112)*IFERROR(CHOOSE(MATCH(Input!$E112,OIUnitType,),1,CW$13,MAX(CW$13*(1-SUMIF(Input!$G$89:$Q$89,CW$6,Input!$G$90:$Q$90)-CW$31),))*IF(Input!$F112=PerMonth,1,1/12),1/12)</f>
        <v>7068.0000000000018</v>
      </c>
      <c r="CX147" s="635">
        <f>SUMIF(Input!$G$105:$Q$105,CX$6,Input!$G112:$Q112)*IFERROR(CHOOSE(MATCH(Input!$E112,OIUnitType,),1,CX$13,MAX(CX$13*(1-SUMIF(Input!$G$89:$Q$89,CX$6,Input!$G$90:$Q$90)-CX$31),))*IF(Input!$F112=PerMonth,1,1/12),1/12)</f>
        <v>7068.0000000000018</v>
      </c>
      <c r="CY147" s="635">
        <f>SUMIF(Input!$G$105:$Q$105,CY$6,Input!$G112:$Q112)*IFERROR(CHOOSE(MATCH(Input!$E112,OIUnitType,),1,CY$13,MAX(CY$13*(1-SUMIF(Input!$G$89:$Q$89,CY$6,Input!$G$90:$Q$90)-CY$31),))*IF(Input!$F112=PerMonth,1,1/12),1/12)</f>
        <v>7068.0000000000018</v>
      </c>
      <c r="CZ147" s="635">
        <f>SUMIF(Input!$G$105:$Q$105,CZ$6,Input!$G112:$Q112)*IFERROR(CHOOSE(MATCH(Input!$E112,OIUnitType,),1,CZ$13,MAX(CZ$13*(1-SUMIF(Input!$G$89:$Q$89,CZ$6,Input!$G$90:$Q$90)-CZ$31),))*IF(Input!$F112=PerMonth,1,1/12),1/12)</f>
        <v>7068.0000000000018</v>
      </c>
      <c r="DA147" s="635">
        <f>SUMIF(Input!$G$105:$Q$105,DA$6,Input!$G112:$Q112)*IFERROR(CHOOSE(MATCH(Input!$E112,OIUnitType,),1,DA$13,MAX(DA$13*(1-SUMIF(Input!$G$89:$Q$89,DA$6,Input!$G$90:$Q$90)-DA$31),))*IF(Input!$F112=PerMonth,1,1/12),1/12)</f>
        <v>7068.0000000000018</v>
      </c>
      <c r="DB147" s="635">
        <f>SUMIF(Input!$G$105:$Q$105,DB$6,Input!$G112:$Q112)*IFERROR(CHOOSE(MATCH(Input!$E112,OIUnitType,),1,DB$13,MAX(DB$13*(1-SUMIF(Input!$G$89:$Q$89,DB$6,Input!$G$90:$Q$90)-DB$31),))*IF(Input!$F112=PerMonth,1,1/12),1/12)</f>
        <v>7068.0000000000018</v>
      </c>
      <c r="DC147" s="635">
        <f>SUMIF(Input!$G$105:$Q$105,DC$6,Input!$G112:$Q112)*IFERROR(CHOOSE(MATCH(Input!$E112,OIUnitType,),1,DC$13,MAX(DC$13*(1-SUMIF(Input!$G$89:$Q$89,DC$6,Input!$G$90:$Q$90)-DC$31),))*IF(Input!$F112=PerMonth,1,1/12),1/12)</f>
        <v>7068.0000000000018</v>
      </c>
      <c r="DD147" s="635">
        <f>SUMIF(Input!$G$105:$Q$105,DD$6,Input!$G112:$Q112)*IFERROR(CHOOSE(MATCH(Input!$E112,OIUnitType,),1,DD$13,MAX(DD$13*(1-SUMIF(Input!$G$89:$Q$89,DD$6,Input!$G$90:$Q$90)-DD$31),))*IF(Input!$F112=PerMonth,1,1/12),1/12)</f>
        <v>7068.0000000000018</v>
      </c>
      <c r="DE147" s="635">
        <f>SUMIF(Input!$G$105:$Q$105,DE$6,Input!$G112:$Q112)*IFERROR(CHOOSE(MATCH(Input!$E112,OIUnitType,),1,DE$13,MAX(DE$13*(1-SUMIF(Input!$G$89:$Q$89,DE$6,Input!$G$90:$Q$90)-DE$31),))*IF(Input!$F112=PerMonth,1,1/12),1/12)</f>
        <v>7068.0000000000018</v>
      </c>
      <c r="DF147" s="635">
        <f>SUMIF(Input!$G$105:$Q$105,DF$6,Input!$G112:$Q112)*IFERROR(CHOOSE(MATCH(Input!$E112,OIUnitType,),1,DF$13,MAX(DF$13*(1-SUMIF(Input!$G$89:$Q$89,DF$6,Input!$G$90:$Q$90)-DF$31),))*IF(Input!$F112=PerMonth,1,1/12),1/12)</f>
        <v>7068.0000000000018</v>
      </c>
      <c r="DG147" s="635">
        <f>SUMIF(Input!$G$105:$Q$105,DG$6,Input!$G112:$Q112)*IFERROR(CHOOSE(MATCH(Input!$E112,OIUnitType,),1,DG$13,MAX(DG$13*(1-SUMIF(Input!$G$89:$Q$89,DG$6,Input!$G$90:$Q$90)-DG$31),))*IF(Input!$F112=PerMonth,1,1/12),1/12)</f>
        <v>7068.0000000000018</v>
      </c>
      <c r="DH147" s="635">
        <f>SUMIF(Input!$G$105:$Q$105,DH$6,Input!$G112:$Q112)*IFERROR(CHOOSE(MATCH(Input!$E112,OIUnitType,),1,DH$13,MAX(DH$13*(1-SUMIF(Input!$G$89:$Q$89,DH$6,Input!$G$90:$Q$90)-DH$31),))*IF(Input!$F112=PerMonth,1,1/12),1/12)</f>
        <v>7068.0000000000018</v>
      </c>
      <c r="DI147" s="635">
        <f>SUMIF(Input!$G$105:$Q$105,DI$6,Input!$G112:$Q112)*IFERROR(CHOOSE(MATCH(Input!$E112,OIUnitType,),1,DI$13,MAX(DI$13*(1-SUMIF(Input!$G$89:$Q$89,DI$6,Input!$G$90:$Q$90)-DI$31),))*IF(Input!$F112=PerMonth,1,1/12),1/12)</f>
        <v>7068.0000000000018</v>
      </c>
      <c r="DJ147" s="635">
        <f>SUMIF(Input!$G$105:$Q$105,DJ$6,Input!$G112:$Q112)*IFERROR(CHOOSE(MATCH(Input!$E112,OIUnitType,),1,DJ$13,MAX(DJ$13*(1-SUMIF(Input!$G$89:$Q$89,DJ$6,Input!$G$90:$Q$90)-DJ$31),))*IF(Input!$F112=PerMonth,1,1/12),1/12)</f>
        <v>7068.0000000000018</v>
      </c>
      <c r="DK147" s="635">
        <f>SUMIF(Input!$G$105:$Q$105,DK$6,Input!$G112:$Q112)*IFERROR(CHOOSE(MATCH(Input!$E112,OIUnitType,),1,DK$13,MAX(DK$13*(1-SUMIF(Input!$G$89:$Q$89,DK$6,Input!$G$90:$Q$90)-DK$31),))*IF(Input!$F112=PerMonth,1,1/12),1/12)</f>
        <v>7068.0000000000018</v>
      </c>
      <c r="DL147" s="635">
        <f>SUMIF(Input!$G$105:$Q$105,DL$6,Input!$G112:$Q112)*IFERROR(CHOOSE(MATCH(Input!$E112,OIUnitType,),1,DL$13,MAX(DL$13*(1-SUMIF(Input!$G$89:$Q$89,DL$6,Input!$G$90:$Q$90)-DL$31),))*IF(Input!$F112=PerMonth,1,1/12),1/12)</f>
        <v>7068.0000000000018</v>
      </c>
      <c r="DM147" s="635">
        <f>SUMIF(Input!$G$105:$Q$105,DM$6,Input!$G112:$Q112)*IFERROR(CHOOSE(MATCH(Input!$E112,OIUnitType,),1,DM$13,MAX(DM$13*(1-SUMIF(Input!$G$89:$Q$89,DM$6,Input!$G$90:$Q$90)-DM$31),))*IF(Input!$F112=PerMonth,1,1/12),1/12)</f>
        <v>7068.0000000000018</v>
      </c>
      <c r="DN147" s="635">
        <f>SUMIF(Input!$G$105:$Q$105,DN$6,Input!$G112:$Q112)*IFERROR(CHOOSE(MATCH(Input!$E112,OIUnitType,),1,DN$13,MAX(DN$13*(1-SUMIF(Input!$G$89:$Q$89,DN$6,Input!$G$90:$Q$90)-DN$31),))*IF(Input!$F112=PerMonth,1,1/12),1/12)</f>
        <v>7068.0000000000018</v>
      </c>
      <c r="DO147" s="635">
        <f>SUMIF(Input!$G$105:$Q$105,DO$6,Input!$G112:$Q112)*IFERROR(CHOOSE(MATCH(Input!$E112,OIUnitType,),1,DO$13,MAX(DO$13*(1-SUMIF(Input!$G$89:$Q$89,DO$6,Input!$G$90:$Q$90)-DO$31),))*IF(Input!$F112=PerMonth,1,1/12),1/12)</f>
        <v>7068.0000000000018</v>
      </c>
      <c r="DP147" s="635">
        <f>SUMIF(Input!$G$105:$Q$105,DP$6,Input!$G112:$Q112)*IFERROR(CHOOSE(MATCH(Input!$E112,OIUnitType,),1,DP$13,MAX(DP$13*(1-SUMIF(Input!$G$89:$Q$89,DP$6,Input!$G$90:$Q$90)-DP$31),))*IF(Input!$F112=PerMonth,1,1/12),1/12)</f>
        <v>7068.0000000000018</v>
      </c>
      <c r="DQ147" s="635">
        <f>SUMIF(Input!$G$105:$Q$105,DQ$6,Input!$G112:$Q112)*IFERROR(CHOOSE(MATCH(Input!$E112,OIUnitType,),1,DQ$13,MAX(DQ$13*(1-SUMIF(Input!$G$89:$Q$89,DQ$6,Input!$G$90:$Q$90)-DQ$31),))*IF(Input!$F112=PerMonth,1,1/12),1/12)</f>
        <v>7068.0000000000018</v>
      </c>
      <c r="DR147" s="635">
        <f>SUMIF(Input!$G$105:$Q$105,DR$6,Input!$G112:$Q112)*IFERROR(CHOOSE(MATCH(Input!$E112,OIUnitType,),1,DR$13,MAX(DR$13*(1-SUMIF(Input!$G$89:$Q$89,DR$6,Input!$G$90:$Q$90)-DR$31),))*IF(Input!$F112=PerMonth,1,1/12),1/12)</f>
        <v>7068.0000000000018</v>
      </c>
      <c r="DS147" s="635">
        <f>SUMIF(Input!$G$105:$Q$105,DS$6,Input!$G112:$Q112)*IFERROR(CHOOSE(MATCH(Input!$E112,OIUnitType,),1,DS$13,MAX(DS$13*(1-SUMIF(Input!$G$89:$Q$89,DS$6,Input!$G$90:$Q$90)-DS$31),))*IF(Input!$F112=PerMonth,1,1/12),1/12)</f>
        <v>7068.0000000000018</v>
      </c>
      <c r="DT147" s="635">
        <f>SUMIF(Input!$G$105:$Q$105,DT$6,Input!$G112:$Q112)*IFERROR(CHOOSE(MATCH(Input!$E112,OIUnitType,),1,DT$13,MAX(DT$13*(1-SUMIF(Input!$G$89:$Q$89,DT$6,Input!$G$90:$Q$90)-DT$31),))*IF(Input!$F112=PerMonth,1,1/12),1/12)</f>
        <v>7068.0000000000018</v>
      </c>
      <c r="DU147" s="635">
        <f>SUMIF(Input!$G$105:$Q$105,DU$6,Input!$G112:$Q112)*IFERROR(CHOOSE(MATCH(Input!$E112,OIUnitType,),1,DU$13,MAX(DU$13*(1-SUMIF(Input!$G$89:$Q$89,DU$6,Input!$G$90:$Q$90)-DU$31),))*IF(Input!$F112=PerMonth,1,1/12),1/12)</f>
        <v>7068.0000000000018</v>
      </c>
      <c r="DV147" s="635">
        <f>SUMIF(Input!$G$105:$Q$105,DV$6,Input!$G112:$Q112)*IFERROR(CHOOSE(MATCH(Input!$E112,OIUnitType,),1,DV$13,MAX(DV$13*(1-SUMIF(Input!$G$89:$Q$89,DV$6,Input!$G$90:$Q$90)-DV$31),))*IF(Input!$F112=PerMonth,1,1/12),1/12)</f>
        <v>7068.0000000000018</v>
      </c>
      <c r="DW147" s="635">
        <f>SUMIF(Input!$G$105:$Q$105,DW$6,Input!$G112:$Q112)*IFERROR(CHOOSE(MATCH(Input!$E112,OIUnitType,),1,DW$13,MAX(DW$13*(1-SUMIF(Input!$G$89:$Q$89,DW$6,Input!$G$90:$Q$90)-DW$31),))*IF(Input!$F112=PerMonth,1,1/12),1/12)</f>
        <v>7068.0000000000018</v>
      </c>
      <c r="DX147" s="635">
        <f>SUMIF(Input!$G$105:$Q$105,DX$6,Input!$G112:$Q112)*IFERROR(CHOOSE(MATCH(Input!$E112,OIUnitType,),1,DX$13,MAX(DX$13*(1-SUMIF(Input!$G$89:$Q$89,DX$6,Input!$G$90:$Q$90)-DX$31),))*IF(Input!$F112=PerMonth,1,1/12),1/12)</f>
        <v>7068.0000000000018</v>
      </c>
      <c r="DY147" s="635">
        <f>SUMIF(Input!$G$105:$Q$105,DY$6,Input!$G112:$Q112)*IFERROR(CHOOSE(MATCH(Input!$E112,OIUnitType,),1,DY$13,MAX(DY$13*(1-SUMIF(Input!$G$89:$Q$89,DY$6,Input!$G$90:$Q$90)-DY$31),))*IF(Input!$F112=PerMonth,1,1/12),1/12)</f>
        <v>7068.0000000000018</v>
      </c>
      <c r="DZ147" s="635">
        <f>SUMIF(Input!$G$105:$Q$105,DZ$6,Input!$G112:$Q112)*IFERROR(CHOOSE(MATCH(Input!$E112,OIUnitType,),1,DZ$13,MAX(DZ$13*(1-SUMIF(Input!$G$89:$Q$89,DZ$6,Input!$G$90:$Q$90)-DZ$31),))*IF(Input!$F112=PerMonth,1,1/12),1/12)</f>
        <v>7068.0000000000018</v>
      </c>
      <c r="EA147" s="635">
        <f>SUMIF(Input!$G$105:$Q$105,EA$6,Input!$G112:$Q112)*IFERROR(CHOOSE(MATCH(Input!$E112,OIUnitType,),1,EA$13,MAX(EA$13*(1-SUMIF(Input!$G$89:$Q$89,EA$6,Input!$G$90:$Q$90)-EA$31),))*IF(Input!$F112=PerMonth,1,1/12),1/12)</f>
        <v>7068.0000000000018</v>
      </c>
      <c r="EB147" s="635">
        <f>SUMIF(Input!$G$105:$Q$105,EB$6,Input!$G112:$Q112)*IFERROR(CHOOSE(MATCH(Input!$E112,OIUnitType,),1,EB$13,MAX(EB$13*(1-SUMIF(Input!$G$89:$Q$89,EB$6,Input!$G$90:$Q$90)-EB$31),))*IF(Input!$F112=PerMonth,1,1/12),1/12)</f>
        <v>7068.0000000000018</v>
      </c>
      <c r="EC147" s="635">
        <f>SUMIF(Input!$G$105:$Q$105,EC$6,Input!$G112:$Q112)*IFERROR(CHOOSE(MATCH(Input!$E112,OIUnitType,),1,EC$13,MAX(EC$13*(1-SUMIF(Input!$G$89:$Q$89,EC$6,Input!$G$90:$Q$90)-EC$31),))*IF(Input!$F112=PerMonth,1,1/12),1/12)</f>
        <v>7068.0000000000018</v>
      </c>
      <c r="ED147" s="635">
        <f>SUMIF(Input!$G$105:$Q$105,ED$6,Input!$G112:$Q112)*IFERROR(CHOOSE(MATCH(Input!$E112,OIUnitType,),1,ED$13,MAX(ED$13*(1-SUMIF(Input!$G$89:$Q$89,ED$6,Input!$G$90:$Q$90)-ED$31),))*IF(Input!$F112=PerMonth,1,1/12),1/12)</f>
        <v>7068.0000000000018</v>
      </c>
      <c r="EE147" s="635">
        <f>SUMIF(Input!$G$105:$Q$105,EE$6,Input!$G112:$Q112)*IFERROR(CHOOSE(MATCH(Input!$E112,OIUnitType,),1,EE$13,MAX(EE$13*(1-SUMIF(Input!$G$89:$Q$89,EE$6,Input!$G$90:$Q$90)-EE$31),))*IF(Input!$F112=PerMonth,1,1/12),1/12)</f>
        <v>7068.0000000000018</v>
      </c>
      <c r="EF147" s="635">
        <f>SUMIF(Input!$G$105:$Q$105,EF$6,Input!$G112:$Q112)*IFERROR(CHOOSE(MATCH(Input!$E112,OIUnitType,),1,EF$13,MAX(EF$13*(1-SUMIF(Input!$G$89:$Q$89,EF$6,Input!$G$90:$Q$90)-EF$31),))*IF(Input!$F112=PerMonth,1,1/12),1/12)</f>
        <v>7068.0000000000018</v>
      </c>
      <c r="EG147" s="635">
        <f>SUMIF(Input!$G$105:$Q$105,EG$6,Input!$G112:$Q112)*IFERROR(CHOOSE(MATCH(Input!$E112,OIUnitType,),1,EG$13,MAX(EG$13*(1-SUMIF(Input!$G$89:$Q$89,EG$6,Input!$G$90:$Q$90)-EG$31),))*IF(Input!$F112=PerMonth,1,1/12),1/12)</f>
        <v>7068.0000000000018</v>
      </c>
      <c r="EH147" s="635">
        <f>SUMIF(Input!$G$105:$Q$105,EH$6,Input!$G112:$Q112)*IFERROR(CHOOSE(MATCH(Input!$E112,OIUnitType,),1,EH$13,MAX(EH$13*(1-SUMIF(Input!$G$89:$Q$89,EH$6,Input!$G$90:$Q$90)-EH$31),))*IF(Input!$F112=PerMonth,1,1/12),1/12)</f>
        <v>7068.0000000000018</v>
      </c>
      <c r="EI147" s="635">
        <f>SUMIF(Input!$G$105:$Q$105,EI$6,Input!$G112:$Q112)*IFERROR(CHOOSE(MATCH(Input!$E112,OIUnitType,),1,EI$13,MAX(EI$13*(1-SUMIF(Input!$G$89:$Q$89,EI$6,Input!$G$90:$Q$90)-EI$31),))*IF(Input!$F112=PerMonth,1,1/12),1/12)</f>
        <v>7068.0000000000018</v>
      </c>
      <c r="EJ147" s="635">
        <f>SUMIF(Input!$G$105:$Q$105,EJ$6,Input!$G112:$Q112)*IFERROR(CHOOSE(MATCH(Input!$E112,OIUnitType,),1,EJ$13,MAX(EJ$13*(1-SUMIF(Input!$G$89:$Q$89,EJ$6,Input!$G$90:$Q$90)-EJ$31),))*IF(Input!$F112=PerMonth,1,1/12),1/12)</f>
        <v>7068.0000000000018</v>
      </c>
      <c r="EK147" s="635">
        <f>SUMIF(Input!$G$105:$Q$105,EK$6,Input!$G112:$Q112)*IFERROR(CHOOSE(MATCH(Input!$E112,OIUnitType,),1,EK$13,MAX(EK$13*(1-SUMIF(Input!$G$89:$Q$89,EK$6,Input!$G$90:$Q$90)-EK$31),))*IF(Input!$F112=PerMonth,1,1/12),1/12)</f>
        <v>7068.0000000000018</v>
      </c>
      <c r="EL147" s="635">
        <f>SUMIF(Input!$G$105:$Q$105,EL$6,Input!$G112:$Q112)*IFERROR(CHOOSE(MATCH(Input!$E112,OIUnitType,),1,EL$13,MAX(EL$13*(1-SUMIF(Input!$G$89:$Q$89,EL$6,Input!$G$90:$Q$90)-EL$31),))*IF(Input!$F112=PerMonth,1,1/12),1/12)</f>
        <v>7068.0000000000018</v>
      </c>
      <c r="EM147" s="635">
        <f>SUMIF(Input!$G$105:$Q$105,EM$6,Input!$G112:$Q112)*IFERROR(CHOOSE(MATCH(Input!$E112,OIUnitType,),1,EM$13,MAX(EM$13*(1-SUMIF(Input!$G$89:$Q$89,EM$6,Input!$G$90:$Q$90)-EM$31),))*IF(Input!$F112=PerMonth,1,1/12),1/12)</f>
        <v>7068.0000000000018</v>
      </c>
      <c r="EN147" s="635">
        <f>SUMIF(Input!$G$105:$Q$105,EN$6,Input!$G112:$Q112)*IFERROR(CHOOSE(MATCH(Input!$E112,OIUnitType,),1,EN$13,MAX(EN$13*(1-SUMIF(Input!$G$89:$Q$89,EN$6,Input!$G$90:$Q$90)-EN$31),))*IF(Input!$F112=PerMonth,1,1/12),1/12)</f>
        <v>7068.0000000000018</v>
      </c>
      <c r="EO147" s="635">
        <f>SUMIF(Input!$G$105:$Q$105,EO$6,Input!$G112:$Q112)*IFERROR(CHOOSE(MATCH(Input!$E112,OIUnitType,),1,EO$13,MAX(EO$13*(1-SUMIF(Input!$G$89:$Q$89,EO$6,Input!$G$90:$Q$90)-EO$31),))*IF(Input!$F112=PerMonth,1,1/12),1/12)</f>
        <v>7068.0000000000018</v>
      </c>
      <c r="EP147" s="635">
        <f>SUMIF(Input!$G$105:$Q$105,EP$6,Input!$G112:$Q112)*IFERROR(CHOOSE(MATCH(Input!$E112,OIUnitType,),1,EP$13,MAX(EP$13*(1-SUMIF(Input!$G$89:$Q$89,EP$6,Input!$G$90:$Q$90)-EP$31),))*IF(Input!$F112=PerMonth,1,1/12),1/12)</f>
        <v>7068.0000000000018</v>
      </c>
      <c r="EQ147" s="635">
        <f>SUMIF(Input!$G$105:$Q$105,EQ$6,Input!$G112:$Q112)*IFERROR(CHOOSE(MATCH(Input!$E112,OIUnitType,),1,EQ$13,MAX(EQ$13*(1-SUMIF(Input!$G$89:$Q$89,EQ$6,Input!$G$90:$Q$90)-EQ$31),))*IF(Input!$F112=PerMonth,1,1/12),1/12)</f>
        <v>7068.0000000000018</v>
      </c>
      <c r="ER147" s="635">
        <f>SUMIF(Input!$G$105:$Q$105,ER$6,Input!$G112:$Q112)*IFERROR(CHOOSE(MATCH(Input!$E112,OIUnitType,),1,ER$13,MAX(ER$13*(1-SUMIF(Input!$G$89:$Q$89,ER$6,Input!$G$90:$Q$90)-ER$31),))*IF(Input!$F112=PerMonth,1,1/12),1/12)</f>
        <v>7068.0000000000018</v>
      </c>
      <c r="ES147" s="635">
        <f>SUMIF(Input!$G$105:$Q$105,ES$6,Input!$G112:$Q112)*IFERROR(CHOOSE(MATCH(Input!$E112,OIUnitType,),1,ES$13,MAX(ES$13*(1-SUMIF(Input!$G$89:$Q$89,ES$6,Input!$G$90:$Q$90)-ES$31),))*IF(Input!$F112=PerMonth,1,1/12),1/12)</f>
        <v>7068.0000000000018</v>
      </c>
      <c r="ET147" s="192"/>
    </row>
    <row r="148" spans="1:150">
      <c r="A148" s="192"/>
      <c r="B148" s="36" t="str">
        <f>IF(Input!B113="","",Input!B113)</f>
        <v/>
      </c>
      <c r="C148" s="635">
        <f t="shared" si="141"/>
        <v>0</v>
      </c>
      <c r="D148" s="635">
        <f t="shared" si="141"/>
        <v>0</v>
      </c>
      <c r="E148" s="635">
        <f t="shared" si="141"/>
        <v>0</v>
      </c>
      <c r="F148" s="635">
        <f t="shared" si="141"/>
        <v>0</v>
      </c>
      <c r="G148" s="635">
        <f t="shared" si="141"/>
        <v>0</v>
      </c>
      <c r="H148" s="635">
        <f t="shared" si="141"/>
        <v>0</v>
      </c>
      <c r="I148" s="635">
        <f t="shared" si="141"/>
        <v>0</v>
      </c>
      <c r="J148" s="635">
        <f t="shared" si="141"/>
        <v>0</v>
      </c>
      <c r="K148" s="635">
        <f t="shared" si="141"/>
        <v>0</v>
      </c>
      <c r="L148" s="635">
        <f t="shared" si="141"/>
        <v>0</v>
      </c>
      <c r="M148" s="635">
        <f t="shared" si="141"/>
        <v>0</v>
      </c>
      <c r="N148" s="192"/>
      <c r="O148" s="635">
        <f t="shared" si="142"/>
        <v>0</v>
      </c>
      <c r="P148" s="192"/>
      <c r="Q148" s="37"/>
      <c r="R148" s="635">
        <f>SUMIF(Input!$G$105:$Q$105,R$6,Input!$G113:$Q113)*IFERROR(CHOOSE(MATCH(Input!$E113,OIUnitType,),1,R$13,MAX(R$13*(1+SUM(R$72:R$73)/R$71),))*IF(Input!$F113=PerMonth,1,1/12),1/12)</f>
        <v>0</v>
      </c>
      <c r="S148" s="635">
        <f>SUMIF(Input!$G$105:$Q$105,S$6,Input!$G113:$Q113)*IFERROR(CHOOSE(MATCH(Input!$E113,OIUnitType,),1,S$13,MAX(S$13*(1+SUM(S$72:S$73)/S$71),))*IF(Input!$F113=PerMonth,1,1/12),1/12)</f>
        <v>0</v>
      </c>
      <c r="T148" s="635">
        <f>SUMIF(Input!$G$105:$Q$105,T$6,Input!$G113:$Q113)*IFERROR(CHOOSE(MATCH(Input!$E113,OIUnitType,),1,T$13,MAX(T$13*(1+SUM(T$72:T$73)/T$71),))*IF(Input!$F113=PerMonth,1,1/12),1/12)</f>
        <v>0</v>
      </c>
      <c r="U148" s="635">
        <f>SUMIF(Input!$G$105:$Q$105,U$6,Input!$G113:$Q113)*IFERROR(CHOOSE(MATCH(Input!$E113,OIUnitType,),1,U$13,MAX(U$13*(1+SUM(U$72:U$73)/U$71),))*IF(Input!$F113=PerMonth,1,1/12),1/12)</f>
        <v>0</v>
      </c>
      <c r="V148" s="635">
        <f>SUMIF(Input!$G$105:$Q$105,V$6,Input!$G113:$Q113)*IFERROR(CHOOSE(MATCH(Input!$E113,OIUnitType,),1,V$13,MAX(V$13*(1+SUM(V$72:V$73)/V$71),))*IF(Input!$F113=PerMonth,1,1/12),1/12)</f>
        <v>0</v>
      </c>
      <c r="W148" s="635">
        <f>SUMIF(Input!$G$105:$Q$105,W$6,Input!$G113:$Q113)*IFERROR(CHOOSE(MATCH(Input!$E113,OIUnitType,),1,W$13,MAX(W$13*(1+SUM(W$72:W$73)/W$71),))*IF(Input!$F113=PerMonth,1,1/12),1/12)</f>
        <v>0</v>
      </c>
      <c r="X148" s="635">
        <f>SUMIF(Input!$G$105:$Q$105,X$6,Input!$G113:$Q113)*IFERROR(CHOOSE(MATCH(Input!$E113,OIUnitType,),1,X$13,MAX(X$13*(1+SUM(X$72:X$73)/X$71),))*IF(Input!$F113=PerMonth,1,1/12),1/12)</f>
        <v>0</v>
      </c>
      <c r="Y148" s="635">
        <f>SUMIF(Input!$G$105:$Q$105,Y$6,Input!$G113:$Q113)*IFERROR(CHOOSE(MATCH(Input!$E113,OIUnitType,),1,Y$13,MAX(Y$13*(1+SUM(Y$72:Y$73)/Y$71),))*IF(Input!$F113=PerMonth,1,1/12),1/12)</f>
        <v>0</v>
      </c>
      <c r="Z148" s="635">
        <f>SUMIF(Input!$G$105:$Q$105,Z$6,Input!$G113:$Q113)*IFERROR(CHOOSE(MATCH(Input!$E113,OIUnitType,),1,Z$13,MAX(Z$13*(1+SUM(Z$72:Z$73)/Z$71),))*IF(Input!$F113=PerMonth,1,1/12),1/12)</f>
        <v>0</v>
      </c>
      <c r="AA148" s="635">
        <f>SUMIF(Input!$G$105:$Q$105,AA$6,Input!$G113:$Q113)*IFERROR(CHOOSE(MATCH(Input!$E113,OIUnitType,),1,AA$13,MAX(AA$13*(1+SUM(AA$72:AA$73)/AA$71),))*IF(Input!$F113=PerMonth,1,1/12),1/12)</f>
        <v>0</v>
      </c>
      <c r="AB148" s="635">
        <f>SUMIF(Input!$G$105:$Q$105,AB$6,Input!$G113:$Q113)*IFERROR(CHOOSE(MATCH(Input!$E113,OIUnitType,),1,AB$13,MAX(AB$13*(1+SUM(AB$72:AB$73)/AB$71),))*IF(Input!$F113=PerMonth,1,1/12),1/12)</f>
        <v>0</v>
      </c>
      <c r="AC148" s="635">
        <f>SUMIF(Input!$G$105:$Q$105,AC$6,Input!$G113:$Q113)*IFERROR(CHOOSE(MATCH(Input!$E113,OIUnitType,),1,AC$13,MAX(AC$13*(1+SUM(AC$72:AC$73)/AC$71),))*IF(Input!$F113=PerMonth,1,1/12),1/12)</f>
        <v>0</v>
      </c>
      <c r="AD148" s="635">
        <f>SUMIF(Input!$G$105:$Q$105,AD$6,Input!$G113:$Q113)*IFERROR(CHOOSE(MATCH(Input!$E113,OIUnitType,),1,AD$13,MAX(AD$13*(1+SUM(AD$72:AD$73)/AD$71),))*IF(Input!$F113=PerMonth,1,1/12),1/12)</f>
        <v>0</v>
      </c>
      <c r="AE148" s="635">
        <f>SUMIF(Input!$G$105:$Q$105,AE$6,Input!$G113:$Q113)*IFERROR(CHOOSE(MATCH(Input!$E113,OIUnitType,),1,AE$13,MAX(AE$13*(1+SUM(AE$72:AE$73)/AE$71),))*IF(Input!$F113=PerMonth,1,1/12),1/12)</f>
        <v>0</v>
      </c>
      <c r="AF148" s="635">
        <f>SUMIF(Input!$G$105:$Q$105,AF$6,Input!$G113:$Q113)*IFERROR(CHOOSE(MATCH(Input!$E113,OIUnitType,),1,AF$13,MAX(AF$13*(1+SUM(AF$72:AF$73)/AF$71),))*IF(Input!$F113=PerMonth,1,1/12),1/12)</f>
        <v>0</v>
      </c>
      <c r="AG148" s="635">
        <f>SUMIF(Input!$G$105:$Q$105,AG$6,Input!$G113:$Q113)*IFERROR(CHOOSE(MATCH(Input!$E113,OIUnitType,),1,AG$13,MAX(AG$13*(1+SUM(AG$72:AG$73)/AG$71),))*IF(Input!$F113=PerMonth,1,1/12),1/12)</f>
        <v>0</v>
      </c>
      <c r="AH148" s="635">
        <f>SUMIF(Input!$G$105:$Q$105,AH$6,Input!$G113:$Q113)*IFERROR(CHOOSE(MATCH(Input!$E113,OIUnitType,),1,AH$13,MAX(AH$13*(1+SUM(AH$72:AH$73)/AH$71),))*IF(Input!$F113=PerMonth,1,1/12),1/12)</f>
        <v>0</v>
      </c>
      <c r="AI148" s="635">
        <f>SUMIF(Input!$G$105:$Q$105,AI$6,Input!$G113:$Q113)*IFERROR(CHOOSE(MATCH(Input!$E113,OIUnitType,),1,AI$13,MAX(AI$13*(1+SUM(AI$72:AI$73)/AI$71),))*IF(Input!$F113=PerMonth,1,1/12),1/12)</f>
        <v>0</v>
      </c>
      <c r="AJ148" s="635">
        <f>SUMIF(Input!$G$105:$Q$105,AJ$6,Input!$G113:$Q113)*IFERROR(CHOOSE(MATCH(Input!$E113,OIUnitType,),1,AJ$13,MAX(AJ$13*(1+SUM(AJ$72:AJ$73)/AJ$71),))*IF(Input!$F113=PerMonth,1,1/12),1/12)</f>
        <v>0</v>
      </c>
      <c r="AK148" s="635">
        <f>SUMIF(Input!$G$105:$Q$105,AK$6,Input!$G113:$Q113)*IFERROR(CHOOSE(MATCH(Input!$E113,OIUnitType,),1,AK$13,MAX(AK$13*(1+SUM(AK$72:AK$73)/AK$71),))*IF(Input!$F113=PerMonth,1,1/12),1/12)</f>
        <v>0</v>
      </c>
      <c r="AL148" s="635">
        <f>SUMIF(Input!$G$105:$Q$105,AL$6,Input!$G113:$Q113)*IFERROR(CHOOSE(MATCH(Input!$E113,OIUnitType,),1,AL$13,MAX(AL$13*(1+SUM(AL$72:AL$73)/AL$71),))*IF(Input!$F113=PerMonth,1,1/12),1/12)</f>
        <v>0</v>
      </c>
      <c r="AM148" s="635">
        <f>SUMIF(Input!$G$105:$Q$105,AM$6,Input!$G113:$Q113)*IFERROR(CHOOSE(MATCH(Input!$E113,OIUnitType,),1,AM$13,MAX(AM$13*(1+SUM(AM$72:AM$73)/AM$71),))*IF(Input!$F113=PerMonth,1,1/12),1/12)</f>
        <v>0</v>
      </c>
      <c r="AN148" s="635">
        <f>SUMIF(Input!$G$105:$Q$105,AN$6,Input!$G113:$Q113)*IFERROR(CHOOSE(MATCH(Input!$E113,OIUnitType,),1,AN$13,MAX(AN$13*(1+SUM(AN$72:AN$73)/AN$71),))*IF(Input!$F113=PerMonth,1,1/12),1/12)</f>
        <v>0</v>
      </c>
      <c r="AO148" s="635">
        <f>SUMIF(Input!$G$105:$Q$105,AO$6,Input!$G113:$Q113)*IFERROR(CHOOSE(MATCH(Input!$E113,OIUnitType,),1,AO$13,MAX(AO$13*(1+SUM(AO$72:AO$73)/AO$71),))*IF(Input!$F113=PerMonth,1,1/12),1/12)</f>
        <v>0</v>
      </c>
      <c r="AP148" s="635">
        <f>SUMIF(Input!$G$105:$Q$105,AP$6,Input!$G113:$Q113)*IFERROR(CHOOSE(MATCH(Input!$E113,OIUnitType,),1,AP$13,MAX(AP$13*(1+SUM(AP$72:AP$73)/AP$71),))*IF(Input!$F113=PerMonth,1,1/12),1/12)</f>
        <v>0</v>
      </c>
      <c r="AQ148" s="635">
        <f>SUMIF(Input!$G$105:$Q$105,AQ$6,Input!$G113:$Q113)*IFERROR(CHOOSE(MATCH(Input!$E113,OIUnitType,),1,AQ$13,MAX(AQ$13*(1+SUM(AQ$72:AQ$73)/AQ$71),))*IF(Input!$F113=PerMonth,1,1/12),1/12)</f>
        <v>0</v>
      </c>
      <c r="AR148" s="635">
        <f>SUMIF(Input!$G$105:$Q$105,AR$6,Input!$G113:$Q113)*IFERROR(CHOOSE(MATCH(Input!$E113,OIUnitType,),1,AR$13,MAX(AR$13*(1+SUM(AR$72:AR$73)/AR$71),))*IF(Input!$F113=PerMonth,1,1/12),1/12)</f>
        <v>0</v>
      </c>
      <c r="AS148" s="635">
        <f>SUMIF(Input!$G$105:$Q$105,AS$6,Input!$G113:$Q113)*IFERROR(CHOOSE(MATCH(Input!$E113,OIUnitType,),1,AS$13,MAX(AS$13*(1+SUM(AS$72:AS$73)/AS$71),))*IF(Input!$F113=PerMonth,1,1/12),1/12)</f>
        <v>0</v>
      </c>
      <c r="AT148" s="635">
        <f>SUMIF(Input!$G$105:$Q$105,AT$6,Input!$G113:$Q113)*IFERROR(CHOOSE(MATCH(Input!$E113,OIUnitType,),1,AT$13,MAX(AT$13*(1+SUM(AT$72:AT$73)/AT$71),))*IF(Input!$F113=PerMonth,1,1/12),1/12)</f>
        <v>0</v>
      </c>
      <c r="AU148" s="635">
        <f>SUMIF(Input!$G$105:$Q$105,AU$6,Input!$G113:$Q113)*IFERROR(CHOOSE(MATCH(Input!$E113,OIUnitType,),1,AU$13,MAX(AU$13*(1+SUM(AU$72:AU$73)/AU$71),))*IF(Input!$F113=PerMonth,1,1/12),1/12)</f>
        <v>0</v>
      </c>
      <c r="AV148" s="635">
        <f>SUMIF(Input!$G$105:$Q$105,AV$6,Input!$G113:$Q113)*IFERROR(CHOOSE(MATCH(Input!$E113,OIUnitType,),1,AV$13,MAX(AV$13*(1+SUM(AV$72:AV$73)/AV$71),))*IF(Input!$F113=PerMonth,1,1/12),1/12)</f>
        <v>0</v>
      </c>
      <c r="AW148" s="635">
        <f>SUMIF(Input!$G$105:$Q$105,AW$6,Input!$G113:$Q113)*IFERROR(CHOOSE(MATCH(Input!$E113,OIUnitType,),1,AW$13,MAX(AW$13*(1+SUM(AW$72:AW$73)/AW$71),))*IF(Input!$F113=PerMonth,1,1/12),1/12)</f>
        <v>0</v>
      </c>
      <c r="AX148" s="635">
        <f>SUMIF(Input!$G$105:$Q$105,AX$6,Input!$G113:$Q113)*IFERROR(CHOOSE(MATCH(Input!$E113,OIUnitType,),1,AX$13,MAX(AX$13*(1+SUM(AX$72:AX$73)/AX$71),))*IF(Input!$F113=PerMonth,1,1/12),1/12)</f>
        <v>0</v>
      </c>
      <c r="AY148" s="635">
        <f>SUMIF(Input!$G$105:$Q$105,AY$6,Input!$G113:$Q113)*IFERROR(CHOOSE(MATCH(Input!$E113,OIUnitType,),1,AY$13,MAX(AY$13*(1+SUM(AY$72:AY$73)/AY$71),))*IF(Input!$F113=PerMonth,1,1/12),1/12)</f>
        <v>0</v>
      </c>
      <c r="AZ148" s="635">
        <f>SUMIF(Input!$G$105:$Q$105,AZ$6,Input!$G113:$Q113)*IFERROR(CHOOSE(MATCH(Input!$E113,OIUnitType,),1,AZ$13,MAX(AZ$13*(1+SUM(AZ$72:AZ$73)/AZ$71),))*IF(Input!$F113=PerMonth,1,1/12),1/12)</f>
        <v>0</v>
      </c>
      <c r="BA148" s="635">
        <f>SUMIF(Input!$G$105:$Q$105,BA$6,Input!$G113:$Q113)*IFERROR(CHOOSE(MATCH(Input!$E113,OIUnitType,),1,BA$13,MAX(BA$13*(1+SUM(BA$72:BA$73)/BA$71),))*IF(Input!$F113=PerMonth,1,1/12),1/12)</f>
        <v>0</v>
      </c>
      <c r="BB148" s="635">
        <f>SUMIF(Input!$G$105:$Q$105,BB$6,Input!$G113:$Q113)*IFERROR(CHOOSE(MATCH(Input!$E113,OIUnitType,),1,BB$13,MAX(BB$13*(1-SUMIF(Input!$G$89:$Q$89,BB$6,Input!$G$90:$Q$90)-BB$31),))*IF(Input!$F113=PerMonth,1,1/12),1/12)</f>
        <v>0</v>
      </c>
      <c r="BC148" s="635">
        <f>SUMIF(Input!$G$105:$Q$105,BC$6,Input!$G113:$Q113)*IFERROR(CHOOSE(MATCH(Input!$E113,OIUnitType,),1,BC$13,MAX(BC$13*(1-SUMIF(Input!$G$89:$Q$89,BC$6,Input!$G$90:$Q$90)-BC$31),))*IF(Input!$F113=PerMonth,1,1/12),1/12)</f>
        <v>0</v>
      </c>
      <c r="BD148" s="635">
        <f>SUMIF(Input!$G$105:$Q$105,BD$6,Input!$G113:$Q113)*IFERROR(CHOOSE(MATCH(Input!$E113,OIUnitType,),1,BD$13,MAX(BD$13*(1-SUMIF(Input!$G$89:$Q$89,BD$6,Input!$G$90:$Q$90)-BD$31),))*IF(Input!$F113=PerMonth,1,1/12),1/12)</f>
        <v>0</v>
      </c>
      <c r="BE148" s="635">
        <f>SUMIF(Input!$G$105:$Q$105,BE$6,Input!$G113:$Q113)*IFERROR(CHOOSE(MATCH(Input!$E113,OIUnitType,),1,BE$13,MAX(BE$13*(1-SUMIF(Input!$G$89:$Q$89,BE$6,Input!$G$90:$Q$90)-BE$31),))*IF(Input!$F113=PerMonth,1,1/12),1/12)</f>
        <v>0</v>
      </c>
      <c r="BF148" s="635">
        <f>SUMIF(Input!$G$105:$Q$105,BF$6,Input!$G113:$Q113)*IFERROR(CHOOSE(MATCH(Input!$E113,OIUnitType,),1,BF$13,MAX(BF$13*(1-SUMIF(Input!$G$89:$Q$89,BF$6,Input!$G$90:$Q$90)-BF$31),))*IF(Input!$F113=PerMonth,1,1/12),1/12)</f>
        <v>0</v>
      </c>
      <c r="BG148" s="635">
        <f>SUMIF(Input!$G$105:$Q$105,BG$6,Input!$G113:$Q113)*IFERROR(CHOOSE(MATCH(Input!$E113,OIUnitType,),1,BG$13,MAX(BG$13*(1-SUMIF(Input!$G$89:$Q$89,BG$6,Input!$G$90:$Q$90)-BG$31),))*IF(Input!$F113=PerMonth,1,1/12),1/12)</f>
        <v>0</v>
      </c>
      <c r="BH148" s="635">
        <f>SUMIF(Input!$G$105:$Q$105,BH$6,Input!$G113:$Q113)*IFERROR(CHOOSE(MATCH(Input!$E113,OIUnitType,),1,BH$13,MAX(BH$13*(1-SUMIF(Input!$G$89:$Q$89,BH$6,Input!$G$90:$Q$90)-BH$31),))*IF(Input!$F113=PerMonth,1,1/12),1/12)</f>
        <v>0</v>
      </c>
      <c r="BI148" s="635">
        <f>SUMIF(Input!$G$105:$Q$105,BI$6,Input!$G113:$Q113)*IFERROR(CHOOSE(MATCH(Input!$E113,OIUnitType,),1,BI$13,MAX(BI$13*(1-SUMIF(Input!$G$89:$Q$89,BI$6,Input!$G$90:$Q$90)-BI$31),))*IF(Input!$F113=PerMonth,1,1/12),1/12)</f>
        <v>0</v>
      </c>
      <c r="BJ148" s="635">
        <f>SUMIF(Input!$G$105:$Q$105,BJ$6,Input!$G113:$Q113)*IFERROR(CHOOSE(MATCH(Input!$E113,OIUnitType,),1,BJ$13,MAX(BJ$13*(1-SUMIF(Input!$G$89:$Q$89,BJ$6,Input!$G$90:$Q$90)-BJ$31),))*IF(Input!$F113=PerMonth,1,1/12),1/12)</f>
        <v>0</v>
      </c>
      <c r="BK148" s="635">
        <f>SUMIF(Input!$G$105:$Q$105,BK$6,Input!$G113:$Q113)*IFERROR(CHOOSE(MATCH(Input!$E113,OIUnitType,),1,BK$13,MAX(BK$13*(1-SUMIF(Input!$G$89:$Q$89,BK$6,Input!$G$90:$Q$90)-BK$31),))*IF(Input!$F113=PerMonth,1,1/12),1/12)</f>
        <v>0</v>
      </c>
      <c r="BL148" s="635">
        <f>SUMIF(Input!$G$105:$Q$105,BL$6,Input!$G113:$Q113)*IFERROR(CHOOSE(MATCH(Input!$E113,OIUnitType,),1,BL$13,MAX(BL$13*(1-SUMIF(Input!$G$89:$Q$89,BL$6,Input!$G$90:$Q$90)-BL$31),))*IF(Input!$F113=PerMonth,1,1/12),1/12)</f>
        <v>0</v>
      </c>
      <c r="BM148" s="635">
        <f>SUMIF(Input!$G$105:$Q$105,BM$6,Input!$G113:$Q113)*IFERROR(CHOOSE(MATCH(Input!$E113,OIUnitType,),1,BM$13,MAX(BM$13*(1-SUMIF(Input!$G$89:$Q$89,BM$6,Input!$G$90:$Q$90)-BM$31),))*IF(Input!$F113=PerMonth,1,1/12),1/12)</f>
        <v>0</v>
      </c>
      <c r="BN148" s="635">
        <f>SUMIF(Input!$G$105:$Q$105,BN$6,Input!$G113:$Q113)*IFERROR(CHOOSE(MATCH(Input!$E113,OIUnitType,),1,BN$13,MAX(BN$13*(1-SUMIF(Input!$G$89:$Q$89,BN$6,Input!$G$90:$Q$90)-BN$31),))*IF(Input!$F113=PerMonth,1,1/12),1/12)</f>
        <v>0</v>
      </c>
      <c r="BO148" s="635">
        <f>SUMIF(Input!$G$105:$Q$105,BO$6,Input!$G113:$Q113)*IFERROR(CHOOSE(MATCH(Input!$E113,OIUnitType,),1,BO$13,MAX(BO$13*(1-SUMIF(Input!$G$89:$Q$89,BO$6,Input!$G$90:$Q$90)-BO$31),))*IF(Input!$F113=PerMonth,1,1/12),1/12)</f>
        <v>0</v>
      </c>
      <c r="BP148" s="635">
        <f>SUMIF(Input!$G$105:$Q$105,BP$6,Input!$G113:$Q113)*IFERROR(CHOOSE(MATCH(Input!$E113,OIUnitType,),1,BP$13,MAX(BP$13*(1-SUMIF(Input!$G$89:$Q$89,BP$6,Input!$G$90:$Q$90)-BP$31),))*IF(Input!$F113=PerMonth,1,1/12),1/12)</f>
        <v>0</v>
      </c>
      <c r="BQ148" s="635">
        <f>SUMIF(Input!$G$105:$Q$105,BQ$6,Input!$G113:$Q113)*IFERROR(CHOOSE(MATCH(Input!$E113,OIUnitType,),1,BQ$13,MAX(BQ$13*(1-SUMIF(Input!$G$89:$Q$89,BQ$6,Input!$G$90:$Q$90)-BQ$31),))*IF(Input!$F113=PerMonth,1,1/12),1/12)</f>
        <v>0</v>
      </c>
      <c r="BR148" s="635">
        <f>SUMIF(Input!$G$105:$Q$105,BR$6,Input!$G113:$Q113)*IFERROR(CHOOSE(MATCH(Input!$E113,OIUnitType,),1,BR$13,MAX(BR$13*(1-SUMIF(Input!$G$89:$Q$89,BR$6,Input!$G$90:$Q$90)-BR$31),))*IF(Input!$F113=PerMonth,1,1/12),1/12)</f>
        <v>0</v>
      </c>
      <c r="BS148" s="635">
        <f>SUMIF(Input!$G$105:$Q$105,BS$6,Input!$G113:$Q113)*IFERROR(CHOOSE(MATCH(Input!$E113,OIUnitType,),1,BS$13,MAX(BS$13*(1-SUMIF(Input!$G$89:$Q$89,BS$6,Input!$G$90:$Q$90)-BS$31),))*IF(Input!$F113=PerMonth,1,1/12),1/12)</f>
        <v>0</v>
      </c>
      <c r="BT148" s="635">
        <f>SUMIF(Input!$G$105:$Q$105,BT$6,Input!$G113:$Q113)*IFERROR(CHOOSE(MATCH(Input!$E113,OIUnitType,),1,BT$13,MAX(BT$13*(1-SUMIF(Input!$G$89:$Q$89,BT$6,Input!$G$90:$Q$90)-BT$31),))*IF(Input!$F113=PerMonth,1,1/12),1/12)</f>
        <v>0</v>
      </c>
      <c r="BU148" s="635">
        <f>SUMIF(Input!$G$105:$Q$105,BU$6,Input!$G113:$Q113)*IFERROR(CHOOSE(MATCH(Input!$E113,OIUnitType,),1,BU$13,MAX(BU$13*(1-SUMIF(Input!$G$89:$Q$89,BU$6,Input!$G$90:$Q$90)-BU$31),))*IF(Input!$F113=PerMonth,1,1/12),1/12)</f>
        <v>0</v>
      </c>
      <c r="BV148" s="635">
        <f>SUMIF(Input!$G$105:$Q$105,BV$6,Input!$G113:$Q113)*IFERROR(CHOOSE(MATCH(Input!$E113,OIUnitType,),1,BV$13,MAX(BV$13*(1-SUMIF(Input!$G$89:$Q$89,BV$6,Input!$G$90:$Q$90)-BV$31),))*IF(Input!$F113=PerMonth,1,1/12),1/12)</f>
        <v>0</v>
      </c>
      <c r="BW148" s="635">
        <f>SUMIF(Input!$G$105:$Q$105,BW$6,Input!$G113:$Q113)*IFERROR(CHOOSE(MATCH(Input!$E113,OIUnitType,),1,BW$13,MAX(BW$13*(1-SUMIF(Input!$G$89:$Q$89,BW$6,Input!$G$90:$Q$90)-BW$31),))*IF(Input!$F113=PerMonth,1,1/12),1/12)</f>
        <v>0</v>
      </c>
      <c r="BX148" s="635">
        <f>SUMIF(Input!$G$105:$Q$105,BX$6,Input!$G113:$Q113)*IFERROR(CHOOSE(MATCH(Input!$E113,OIUnitType,),1,BX$13,MAX(BX$13*(1-SUMIF(Input!$G$89:$Q$89,BX$6,Input!$G$90:$Q$90)-BX$31),))*IF(Input!$F113=PerMonth,1,1/12),1/12)</f>
        <v>0</v>
      </c>
      <c r="BY148" s="635">
        <f>SUMIF(Input!$G$105:$Q$105,BY$6,Input!$G113:$Q113)*IFERROR(CHOOSE(MATCH(Input!$E113,OIUnitType,),1,BY$13,MAX(BY$13*(1-SUMIF(Input!$G$89:$Q$89,BY$6,Input!$G$90:$Q$90)-BY$31),))*IF(Input!$F113=PerMonth,1,1/12),1/12)</f>
        <v>0</v>
      </c>
      <c r="BZ148" s="635">
        <f>SUMIF(Input!$G$105:$Q$105,BZ$6,Input!$G113:$Q113)*IFERROR(CHOOSE(MATCH(Input!$E113,OIUnitType,),1,BZ$13,MAX(BZ$13*(1-SUMIF(Input!$G$89:$Q$89,BZ$6,Input!$G$90:$Q$90)-BZ$31),))*IF(Input!$F113=PerMonth,1,1/12),1/12)</f>
        <v>0</v>
      </c>
      <c r="CA148" s="635">
        <f>SUMIF(Input!$G$105:$Q$105,CA$6,Input!$G113:$Q113)*IFERROR(CHOOSE(MATCH(Input!$E113,OIUnitType,),1,CA$13,MAX(CA$13*(1-SUMIF(Input!$G$89:$Q$89,CA$6,Input!$G$90:$Q$90)-CA$31),))*IF(Input!$F113=PerMonth,1,1/12),1/12)</f>
        <v>0</v>
      </c>
      <c r="CB148" s="635">
        <f>SUMIF(Input!$G$105:$Q$105,CB$6,Input!$G113:$Q113)*IFERROR(CHOOSE(MATCH(Input!$E113,OIUnitType,),1,CB$13,MAX(CB$13*(1-SUMIF(Input!$G$89:$Q$89,CB$6,Input!$G$90:$Q$90)-CB$31),))*IF(Input!$F113=PerMonth,1,1/12),1/12)</f>
        <v>0</v>
      </c>
      <c r="CC148" s="635">
        <f>SUMIF(Input!$G$105:$Q$105,CC$6,Input!$G113:$Q113)*IFERROR(CHOOSE(MATCH(Input!$E113,OIUnitType,),1,CC$13,MAX(CC$13*(1-SUMIF(Input!$G$89:$Q$89,CC$6,Input!$G$90:$Q$90)-CC$31),))*IF(Input!$F113=PerMonth,1,1/12),1/12)</f>
        <v>0</v>
      </c>
      <c r="CD148" s="635">
        <f>SUMIF(Input!$G$105:$Q$105,CD$6,Input!$G113:$Q113)*IFERROR(CHOOSE(MATCH(Input!$E113,OIUnitType,),1,CD$13,MAX(CD$13*(1-SUMIF(Input!$G$89:$Q$89,CD$6,Input!$G$90:$Q$90)-CD$31),))*IF(Input!$F113=PerMonth,1,1/12),1/12)</f>
        <v>0</v>
      </c>
      <c r="CE148" s="635">
        <f>SUMIF(Input!$G$105:$Q$105,CE$6,Input!$G113:$Q113)*IFERROR(CHOOSE(MATCH(Input!$E113,OIUnitType,),1,CE$13,MAX(CE$13*(1-SUMIF(Input!$G$89:$Q$89,CE$6,Input!$G$90:$Q$90)-CE$31),))*IF(Input!$F113=PerMonth,1,1/12),1/12)</f>
        <v>0</v>
      </c>
      <c r="CF148" s="635">
        <f>SUMIF(Input!$G$105:$Q$105,CF$6,Input!$G113:$Q113)*IFERROR(CHOOSE(MATCH(Input!$E113,OIUnitType,),1,CF$13,MAX(CF$13*(1-SUMIF(Input!$G$89:$Q$89,CF$6,Input!$G$90:$Q$90)-CF$31),))*IF(Input!$F113=PerMonth,1,1/12),1/12)</f>
        <v>0</v>
      </c>
      <c r="CG148" s="635">
        <f>SUMIF(Input!$G$105:$Q$105,CG$6,Input!$G113:$Q113)*IFERROR(CHOOSE(MATCH(Input!$E113,OIUnitType,),1,CG$13,MAX(CG$13*(1-SUMIF(Input!$G$89:$Q$89,CG$6,Input!$G$90:$Q$90)-CG$31),))*IF(Input!$F113=PerMonth,1,1/12),1/12)</f>
        <v>0</v>
      </c>
      <c r="CH148" s="635">
        <f>SUMIF(Input!$G$105:$Q$105,CH$6,Input!$G113:$Q113)*IFERROR(CHOOSE(MATCH(Input!$E113,OIUnitType,),1,CH$13,MAX(CH$13*(1-SUMIF(Input!$G$89:$Q$89,CH$6,Input!$G$90:$Q$90)-CH$31),))*IF(Input!$F113=PerMonth,1,1/12),1/12)</f>
        <v>0</v>
      </c>
      <c r="CI148" s="635">
        <f>SUMIF(Input!$G$105:$Q$105,CI$6,Input!$G113:$Q113)*IFERROR(CHOOSE(MATCH(Input!$E113,OIUnitType,),1,CI$13,MAX(CI$13*(1-SUMIF(Input!$G$89:$Q$89,CI$6,Input!$G$90:$Q$90)-CI$31),))*IF(Input!$F113=PerMonth,1,1/12),1/12)</f>
        <v>0</v>
      </c>
      <c r="CJ148" s="635">
        <f>SUMIF(Input!$G$105:$Q$105,CJ$6,Input!$G113:$Q113)*IFERROR(CHOOSE(MATCH(Input!$E113,OIUnitType,),1,CJ$13,MAX(CJ$13*(1-SUMIF(Input!$G$89:$Q$89,CJ$6,Input!$G$90:$Q$90)-CJ$31),))*IF(Input!$F113=PerMonth,1,1/12),1/12)</f>
        <v>0</v>
      </c>
      <c r="CK148" s="635">
        <f>SUMIF(Input!$G$105:$Q$105,CK$6,Input!$G113:$Q113)*IFERROR(CHOOSE(MATCH(Input!$E113,OIUnitType,),1,CK$13,MAX(CK$13*(1-SUMIF(Input!$G$89:$Q$89,CK$6,Input!$G$90:$Q$90)-CK$31),))*IF(Input!$F113=PerMonth,1,1/12),1/12)</f>
        <v>0</v>
      </c>
      <c r="CL148" s="635">
        <f>SUMIF(Input!$G$105:$Q$105,CL$6,Input!$G113:$Q113)*IFERROR(CHOOSE(MATCH(Input!$E113,OIUnitType,),1,CL$13,MAX(CL$13*(1-SUMIF(Input!$G$89:$Q$89,CL$6,Input!$G$90:$Q$90)-CL$31),))*IF(Input!$F113=PerMonth,1,1/12),1/12)</f>
        <v>0</v>
      </c>
      <c r="CM148" s="635">
        <f>SUMIF(Input!$G$105:$Q$105,CM$6,Input!$G113:$Q113)*IFERROR(CHOOSE(MATCH(Input!$E113,OIUnitType,),1,CM$13,MAX(CM$13*(1-SUMIF(Input!$G$89:$Q$89,CM$6,Input!$G$90:$Q$90)-CM$31),))*IF(Input!$F113=PerMonth,1,1/12),1/12)</f>
        <v>0</v>
      </c>
      <c r="CN148" s="635">
        <f>SUMIF(Input!$G$105:$Q$105,CN$6,Input!$G113:$Q113)*IFERROR(CHOOSE(MATCH(Input!$E113,OIUnitType,),1,CN$13,MAX(CN$13*(1-SUMIF(Input!$G$89:$Q$89,CN$6,Input!$G$90:$Q$90)-CN$31),))*IF(Input!$F113=PerMonth,1,1/12),1/12)</f>
        <v>0</v>
      </c>
      <c r="CO148" s="635">
        <f>SUMIF(Input!$G$105:$Q$105,CO$6,Input!$G113:$Q113)*IFERROR(CHOOSE(MATCH(Input!$E113,OIUnitType,),1,CO$13,MAX(CO$13*(1-SUMIF(Input!$G$89:$Q$89,CO$6,Input!$G$90:$Q$90)-CO$31),))*IF(Input!$F113=PerMonth,1,1/12),1/12)</f>
        <v>0</v>
      </c>
      <c r="CP148" s="635">
        <f>SUMIF(Input!$G$105:$Q$105,CP$6,Input!$G113:$Q113)*IFERROR(CHOOSE(MATCH(Input!$E113,OIUnitType,),1,CP$13,MAX(CP$13*(1-SUMIF(Input!$G$89:$Q$89,CP$6,Input!$G$90:$Q$90)-CP$31),))*IF(Input!$F113=PerMonth,1,1/12),1/12)</f>
        <v>0</v>
      </c>
      <c r="CQ148" s="635">
        <f>SUMIF(Input!$G$105:$Q$105,CQ$6,Input!$G113:$Q113)*IFERROR(CHOOSE(MATCH(Input!$E113,OIUnitType,),1,CQ$13,MAX(CQ$13*(1-SUMIF(Input!$G$89:$Q$89,CQ$6,Input!$G$90:$Q$90)-CQ$31),))*IF(Input!$F113=PerMonth,1,1/12),1/12)</f>
        <v>0</v>
      </c>
      <c r="CR148" s="635">
        <f>SUMIF(Input!$G$105:$Q$105,CR$6,Input!$G113:$Q113)*IFERROR(CHOOSE(MATCH(Input!$E113,OIUnitType,),1,CR$13,MAX(CR$13*(1-SUMIF(Input!$G$89:$Q$89,CR$6,Input!$G$90:$Q$90)-CR$31),))*IF(Input!$F113=PerMonth,1,1/12),1/12)</f>
        <v>0</v>
      </c>
      <c r="CS148" s="635">
        <f>SUMIF(Input!$G$105:$Q$105,CS$6,Input!$G113:$Q113)*IFERROR(CHOOSE(MATCH(Input!$E113,OIUnitType,),1,CS$13,MAX(CS$13*(1-SUMIF(Input!$G$89:$Q$89,CS$6,Input!$G$90:$Q$90)-CS$31),))*IF(Input!$F113=PerMonth,1,1/12),1/12)</f>
        <v>0</v>
      </c>
      <c r="CT148" s="635">
        <f>SUMIF(Input!$G$105:$Q$105,CT$6,Input!$G113:$Q113)*IFERROR(CHOOSE(MATCH(Input!$E113,OIUnitType,),1,CT$13,MAX(CT$13*(1-SUMIF(Input!$G$89:$Q$89,CT$6,Input!$G$90:$Q$90)-CT$31),))*IF(Input!$F113=PerMonth,1,1/12),1/12)</f>
        <v>0</v>
      </c>
      <c r="CU148" s="635">
        <f>SUMIF(Input!$G$105:$Q$105,CU$6,Input!$G113:$Q113)*IFERROR(CHOOSE(MATCH(Input!$E113,OIUnitType,),1,CU$13,MAX(CU$13*(1-SUMIF(Input!$G$89:$Q$89,CU$6,Input!$G$90:$Q$90)-CU$31),))*IF(Input!$F113=PerMonth,1,1/12),1/12)</f>
        <v>0</v>
      </c>
      <c r="CV148" s="635">
        <f>SUMIF(Input!$G$105:$Q$105,CV$6,Input!$G113:$Q113)*IFERROR(CHOOSE(MATCH(Input!$E113,OIUnitType,),1,CV$13,MAX(CV$13*(1-SUMIF(Input!$G$89:$Q$89,CV$6,Input!$G$90:$Q$90)-CV$31),))*IF(Input!$F113=PerMonth,1,1/12),1/12)</f>
        <v>0</v>
      </c>
      <c r="CW148" s="635">
        <f>SUMIF(Input!$G$105:$Q$105,CW$6,Input!$G113:$Q113)*IFERROR(CHOOSE(MATCH(Input!$E113,OIUnitType,),1,CW$13,MAX(CW$13*(1-SUMIF(Input!$G$89:$Q$89,CW$6,Input!$G$90:$Q$90)-CW$31),))*IF(Input!$F113=PerMonth,1,1/12),1/12)</f>
        <v>0</v>
      </c>
      <c r="CX148" s="635">
        <f>SUMIF(Input!$G$105:$Q$105,CX$6,Input!$G113:$Q113)*IFERROR(CHOOSE(MATCH(Input!$E113,OIUnitType,),1,CX$13,MAX(CX$13*(1-SUMIF(Input!$G$89:$Q$89,CX$6,Input!$G$90:$Q$90)-CX$31),))*IF(Input!$F113=PerMonth,1,1/12),1/12)</f>
        <v>0</v>
      </c>
      <c r="CY148" s="635">
        <f>SUMIF(Input!$G$105:$Q$105,CY$6,Input!$G113:$Q113)*IFERROR(CHOOSE(MATCH(Input!$E113,OIUnitType,),1,CY$13,MAX(CY$13*(1-SUMIF(Input!$G$89:$Q$89,CY$6,Input!$G$90:$Q$90)-CY$31),))*IF(Input!$F113=PerMonth,1,1/12),1/12)</f>
        <v>0</v>
      </c>
      <c r="CZ148" s="635">
        <f>SUMIF(Input!$G$105:$Q$105,CZ$6,Input!$G113:$Q113)*IFERROR(CHOOSE(MATCH(Input!$E113,OIUnitType,),1,CZ$13,MAX(CZ$13*(1-SUMIF(Input!$G$89:$Q$89,CZ$6,Input!$G$90:$Q$90)-CZ$31),))*IF(Input!$F113=PerMonth,1,1/12),1/12)</f>
        <v>0</v>
      </c>
      <c r="DA148" s="635">
        <f>SUMIF(Input!$G$105:$Q$105,DA$6,Input!$G113:$Q113)*IFERROR(CHOOSE(MATCH(Input!$E113,OIUnitType,),1,DA$13,MAX(DA$13*(1-SUMIF(Input!$G$89:$Q$89,DA$6,Input!$G$90:$Q$90)-DA$31),))*IF(Input!$F113=PerMonth,1,1/12),1/12)</f>
        <v>0</v>
      </c>
      <c r="DB148" s="635">
        <f>SUMIF(Input!$G$105:$Q$105,DB$6,Input!$G113:$Q113)*IFERROR(CHOOSE(MATCH(Input!$E113,OIUnitType,),1,DB$13,MAX(DB$13*(1-SUMIF(Input!$G$89:$Q$89,DB$6,Input!$G$90:$Q$90)-DB$31),))*IF(Input!$F113=PerMonth,1,1/12),1/12)</f>
        <v>0</v>
      </c>
      <c r="DC148" s="635">
        <f>SUMIF(Input!$G$105:$Q$105,DC$6,Input!$G113:$Q113)*IFERROR(CHOOSE(MATCH(Input!$E113,OIUnitType,),1,DC$13,MAX(DC$13*(1-SUMIF(Input!$G$89:$Q$89,DC$6,Input!$G$90:$Q$90)-DC$31),))*IF(Input!$F113=PerMonth,1,1/12),1/12)</f>
        <v>0</v>
      </c>
      <c r="DD148" s="635">
        <f>SUMIF(Input!$G$105:$Q$105,DD$6,Input!$G113:$Q113)*IFERROR(CHOOSE(MATCH(Input!$E113,OIUnitType,),1,DD$13,MAX(DD$13*(1-SUMIF(Input!$G$89:$Q$89,DD$6,Input!$G$90:$Q$90)-DD$31),))*IF(Input!$F113=PerMonth,1,1/12),1/12)</f>
        <v>0</v>
      </c>
      <c r="DE148" s="635">
        <f>SUMIF(Input!$G$105:$Q$105,DE$6,Input!$G113:$Q113)*IFERROR(CHOOSE(MATCH(Input!$E113,OIUnitType,),1,DE$13,MAX(DE$13*(1-SUMIF(Input!$G$89:$Q$89,DE$6,Input!$G$90:$Q$90)-DE$31),))*IF(Input!$F113=PerMonth,1,1/12),1/12)</f>
        <v>0</v>
      </c>
      <c r="DF148" s="635">
        <f>SUMIF(Input!$G$105:$Q$105,DF$6,Input!$G113:$Q113)*IFERROR(CHOOSE(MATCH(Input!$E113,OIUnitType,),1,DF$13,MAX(DF$13*(1-SUMIF(Input!$G$89:$Q$89,DF$6,Input!$G$90:$Q$90)-DF$31),))*IF(Input!$F113=PerMonth,1,1/12),1/12)</f>
        <v>0</v>
      </c>
      <c r="DG148" s="635">
        <f>SUMIF(Input!$G$105:$Q$105,DG$6,Input!$G113:$Q113)*IFERROR(CHOOSE(MATCH(Input!$E113,OIUnitType,),1,DG$13,MAX(DG$13*(1-SUMIF(Input!$G$89:$Q$89,DG$6,Input!$G$90:$Q$90)-DG$31),))*IF(Input!$F113=PerMonth,1,1/12),1/12)</f>
        <v>0</v>
      </c>
      <c r="DH148" s="635">
        <f>SUMIF(Input!$G$105:$Q$105,DH$6,Input!$G113:$Q113)*IFERROR(CHOOSE(MATCH(Input!$E113,OIUnitType,),1,DH$13,MAX(DH$13*(1-SUMIF(Input!$G$89:$Q$89,DH$6,Input!$G$90:$Q$90)-DH$31),))*IF(Input!$F113=PerMonth,1,1/12),1/12)</f>
        <v>0</v>
      </c>
      <c r="DI148" s="635">
        <f>SUMIF(Input!$G$105:$Q$105,DI$6,Input!$G113:$Q113)*IFERROR(CHOOSE(MATCH(Input!$E113,OIUnitType,),1,DI$13,MAX(DI$13*(1-SUMIF(Input!$G$89:$Q$89,DI$6,Input!$G$90:$Q$90)-DI$31),))*IF(Input!$F113=PerMonth,1,1/12),1/12)</f>
        <v>0</v>
      </c>
      <c r="DJ148" s="635">
        <f>SUMIF(Input!$G$105:$Q$105,DJ$6,Input!$G113:$Q113)*IFERROR(CHOOSE(MATCH(Input!$E113,OIUnitType,),1,DJ$13,MAX(DJ$13*(1-SUMIF(Input!$G$89:$Q$89,DJ$6,Input!$G$90:$Q$90)-DJ$31),))*IF(Input!$F113=PerMonth,1,1/12),1/12)</f>
        <v>0</v>
      </c>
      <c r="DK148" s="635">
        <f>SUMIF(Input!$G$105:$Q$105,DK$6,Input!$G113:$Q113)*IFERROR(CHOOSE(MATCH(Input!$E113,OIUnitType,),1,DK$13,MAX(DK$13*(1-SUMIF(Input!$G$89:$Q$89,DK$6,Input!$G$90:$Q$90)-DK$31),))*IF(Input!$F113=PerMonth,1,1/12),1/12)</f>
        <v>0</v>
      </c>
      <c r="DL148" s="635">
        <f>SUMIF(Input!$G$105:$Q$105,DL$6,Input!$G113:$Q113)*IFERROR(CHOOSE(MATCH(Input!$E113,OIUnitType,),1,DL$13,MAX(DL$13*(1-SUMIF(Input!$G$89:$Q$89,DL$6,Input!$G$90:$Q$90)-DL$31),))*IF(Input!$F113=PerMonth,1,1/12),1/12)</f>
        <v>0</v>
      </c>
      <c r="DM148" s="635">
        <f>SUMIF(Input!$G$105:$Q$105,DM$6,Input!$G113:$Q113)*IFERROR(CHOOSE(MATCH(Input!$E113,OIUnitType,),1,DM$13,MAX(DM$13*(1-SUMIF(Input!$G$89:$Q$89,DM$6,Input!$G$90:$Q$90)-DM$31),))*IF(Input!$F113=PerMonth,1,1/12),1/12)</f>
        <v>0</v>
      </c>
      <c r="DN148" s="635">
        <f>SUMIF(Input!$G$105:$Q$105,DN$6,Input!$G113:$Q113)*IFERROR(CHOOSE(MATCH(Input!$E113,OIUnitType,),1,DN$13,MAX(DN$13*(1-SUMIF(Input!$G$89:$Q$89,DN$6,Input!$G$90:$Q$90)-DN$31),))*IF(Input!$F113=PerMonth,1,1/12),1/12)</f>
        <v>0</v>
      </c>
      <c r="DO148" s="635">
        <f>SUMIF(Input!$G$105:$Q$105,DO$6,Input!$G113:$Q113)*IFERROR(CHOOSE(MATCH(Input!$E113,OIUnitType,),1,DO$13,MAX(DO$13*(1-SUMIF(Input!$G$89:$Q$89,DO$6,Input!$G$90:$Q$90)-DO$31),))*IF(Input!$F113=PerMonth,1,1/12),1/12)</f>
        <v>0</v>
      </c>
      <c r="DP148" s="635">
        <f>SUMIF(Input!$G$105:$Q$105,DP$6,Input!$G113:$Q113)*IFERROR(CHOOSE(MATCH(Input!$E113,OIUnitType,),1,DP$13,MAX(DP$13*(1-SUMIF(Input!$G$89:$Q$89,DP$6,Input!$G$90:$Q$90)-DP$31),))*IF(Input!$F113=PerMonth,1,1/12),1/12)</f>
        <v>0</v>
      </c>
      <c r="DQ148" s="635">
        <f>SUMIF(Input!$G$105:$Q$105,DQ$6,Input!$G113:$Q113)*IFERROR(CHOOSE(MATCH(Input!$E113,OIUnitType,),1,DQ$13,MAX(DQ$13*(1-SUMIF(Input!$G$89:$Q$89,DQ$6,Input!$G$90:$Q$90)-DQ$31),))*IF(Input!$F113=PerMonth,1,1/12),1/12)</f>
        <v>0</v>
      </c>
      <c r="DR148" s="635">
        <f>SUMIF(Input!$G$105:$Q$105,DR$6,Input!$G113:$Q113)*IFERROR(CHOOSE(MATCH(Input!$E113,OIUnitType,),1,DR$13,MAX(DR$13*(1-SUMIF(Input!$G$89:$Q$89,DR$6,Input!$G$90:$Q$90)-DR$31),))*IF(Input!$F113=PerMonth,1,1/12),1/12)</f>
        <v>0</v>
      </c>
      <c r="DS148" s="635">
        <f>SUMIF(Input!$G$105:$Q$105,DS$6,Input!$G113:$Q113)*IFERROR(CHOOSE(MATCH(Input!$E113,OIUnitType,),1,DS$13,MAX(DS$13*(1-SUMIF(Input!$G$89:$Q$89,DS$6,Input!$G$90:$Q$90)-DS$31),))*IF(Input!$F113=PerMonth,1,1/12),1/12)</f>
        <v>0</v>
      </c>
      <c r="DT148" s="635">
        <f>SUMIF(Input!$G$105:$Q$105,DT$6,Input!$G113:$Q113)*IFERROR(CHOOSE(MATCH(Input!$E113,OIUnitType,),1,DT$13,MAX(DT$13*(1-SUMIF(Input!$G$89:$Q$89,DT$6,Input!$G$90:$Q$90)-DT$31),))*IF(Input!$F113=PerMonth,1,1/12),1/12)</f>
        <v>0</v>
      </c>
      <c r="DU148" s="635">
        <f>SUMIF(Input!$G$105:$Q$105,DU$6,Input!$G113:$Q113)*IFERROR(CHOOSE(MATCH(Input!$E113,OIUnitType,),1,DU$13,MAX(DU$13*(1-SUMIF(Input!$G$89:$Q$89,DU$6,Input!$G$90:$Q$90)-DU$31),))*IF(Input!$F113=PerMonth,1,1/12),1/12)</f>
        <v>0</v>
      </c>
      <c r="DV148" s="635">
        <f>SUMIF(Input!$G$105:$Q$105,DV$6,Input!$G113:$Q113)*IFERROR(CHOOSE(MATCH(Input!$E113,OIUnitType,),1,DV$13,MAX(DV$13*(1-SUMIF(Input!$G$89:$Q$89,DV$6,Input!$G$90:$Q$90)-DV$31),))*IF(Input!$F113=PerMonth,1,1/12),1/12)</f>
        <v>0</v>
      </c>
      <c r="DW148" s="635">
        <f>SUMIF(Input!$G$105:$Q$105,DW$6,Input!$G113:$Q113)*IFERROR(CHOOSE(MATCH(Input!$E113,OIUnitType,),1,DW$13,MAX(DW$13*(1-SUMIF(Input!$G$89:$Q$89,DW$6,Input!$G$90:$Q$90)-DW$31),))*IF(Input!$F113=PerMonth,1,1/12),1/12)</f>
        <v>0</v>
      </c>
      <c r="DX148" s="635">
        <f>SUMIF(Input!$G$105:$Q$105,DX$6,Input!$G113:$Q113)*IFERROR(CHOOSE(MATCH(Input!$E113,OIUnitType,),1,DX$13,MAX(DX$13*(1-SUMIF(Input!$G$89:$Q$89,DX$6,Input!$G$90:$Q$90)-DX$31),))*IF(Input!$F113=PerMonth,1,1/12),1/12)</f>
        <v>0</v>
      </c>
      <c r="DY148" s="635">
        <f>SUMIF(Input!$G$105:$Q$105,DY$6,Input!$G113:$Q113)*IFERROR(CHOOSE(MATCH(Input!$E113,OIUnitType,),1,DY$13,MAX(DY$13*(1-SUMIF(Input!$G$89:$Q$89,DY$6,Input!$G$90:$Q$90)-DY$31),))*IF(Input!$F113=PerMonth,1,1/12),1/12)</f>
        <v>0</v>
      </c>
      <c r="DZ148" s="635">
        <f>SUMIF(Input!$G$105:$Q$105,DZ$6,Input!$G113:$Q113)*IFERROR(CHOOSE(MATCH(Input!$E113,OIUnitType,),1,DZ$13,MAX(DZ$13*(1-SUMIF(Input!$G$89:$Q$89,DZ$6,Input!$G$90:$Q$90)-DZ$31),))*IF(Input!$F113=PerMonth,1,1/12),1/12)</f>
        <v>0</v>
      </c>
      <c r="EA148" s="635">
        <f>SUMIF(Input!$G$105:$Q$105,EA$6,Input!$G113:$Q113)*IFERROR(CHOOSE(MATCH(Input!$E113,OIUnitType,),1,EA$13,MAX(EA$13*(1-SUMIF(Input!$G$89:$Q$89,EA$6,Input!$G$90:$Q$90)-EA$31),))*IF(Input!$F113=PerMonth,1,1/12),1/12)</f>
        <v>0</v>
      </c>
      <c r="EB148" s="635">
        <f>SUMIF(Input!$G$105:$Q$105,EB$6,Input!$G113:$Q113)*IFERROR(CHOOSE(MATCH(Input!$E113,OIUnitType,),1,EB$13,MAX(EB$13*(1-SUMIF(Input!$G$89:$Q$89,EB$6,Input!$G$90:$Q$90)-EB$31),))*IF(Input!$F113=PerMonth,1,1/12),1/12)</f>
        <v>0</v>
      </c>
      <c r="EC148" s="635">
        <f>SUMIF(Input!$G$105:$Q$105,EC$6,Input!$G113:$Q113)*IFERROR(CHOOSE(MATCH(Input!$E113,OIUnitType,),1,EC$13,MAX(EC$13*(1-SUMIF(Input!$G$89:$Q$89,EC$6,Input!$G$90:$Q$90)-EC$31),))*IF(Input!$F113=PerMonth,1,1/12),1/12)</f>
        <v>0</v>
      </c>
      <c r="ED148" s="635">
        <f>SUMIF(Input!$G$105:$Q$105,ED$6,Input!$G113:$Q113)*IFERROR(CHOOSE(MATCH(Input!$E113,OIUnitType,),1,ED$13,MAX(ED$13*(1-SUMIF(Input!$G$89:$Q$89,ED$6,Input!$G$90:$Q$90)-ED$31),))*IF(Input!$F113=PerMonth,1,1/12),1/12)</f>
        <v>0</v>
      </c>
      <c r="EE148" s="635">
        <f>SUMIF(Input!$G$105:$Q$105,EE$6,Input!$G113:$Q113)*IFERROR(CHOOSE(MATCH(Input!$E113,OIUnitType,),1,EE$13,MAX(EE$13*(1-SUMIF(Input!$G$89:$Q$89,EE$6,Input!$G$90:$Q$90)-EE$31),))*IF(Input!$F113=PerMonth,1,1/12),1/12)</f>
        <v>0</v>
      </c>
      <c r="EF148" s="635">
        <f>SUMIF(Input!$G$105:$Q$105,EF$6,Input!$G113:$Q113)*IFERROR(CHOOSE(MATCH(Input!$E113,OIUnitType,),1,EF$13,MAX(EF$13*(1-SUMIF(Input!$G$89:$Q$89,EF$6,Input!$G$90:$Q$90)-EF$31),))*IF(Input!$F113=PerMonth,1,1/12),1/12)</f>
        <v>0</v>
      </c>
      <c r="EG148" s="635">
        <f>SUMIF(Input!$G$105:$Q$105,EG$6,Input!$G113:$Q113)*IFERROR(CHOOSE(MATCH(Input!$E113,OIUnitType,),1,EG$13,MAX(EG$13*(1-SUMIF(Input!$G$89:$Q$89,EG$6,Input!$G$90:$Q$90)-EG$31),))*IF(Input!$F113=PerMonth,1,1/12),1/12)</f>
        <v>0</v>
      </c>
      <c r="EH148" s="635">
        <f>SUMIF(Input!$G$105:$Q$105,EH$6,Input!$G113:$Q113)*IFERROR(CHOOSE(MATCH(Input!$E113,OIUnitType,),1,EH$13,MAX(EH$13*(1-SUMIF(Input!$G$89:$Q$89,EH$6,Input!$G$90:$Q$90)-EH$31),))*IF(Input!$F113=PerMonth,1,1/12),1/12)</f>
        <v>0</v>
      </c>
      <c r="EI148" s="635">
        <f>SUMIF(Input!$G$105:$Q$105,EI$6,Input!$G113:$Q113)*IFERROR(CHOOSE(MATCH(Input!$E113,OIUnitType,),1,EI$13,MAX(EI$13*(1-SUMIF(Input!$G$89:$Q$89,EI$6,Input!$G$90:$Q$90)-EI$31),))*IF(Input!$F113=PerMonth,1,1/12),1/12)</f>
        <v>0</v>
      </c>
      <c r="EJ148" s="635">
        <f>SUMIF(Input!$G$105:$Q$105,EJ$6,Input!$G113:$Q113)*IFERROR(CHOOSE(MATCH(Input!$E113,OIUnitType,),1,EJ$13,MAX(EJ$13*(1-SUMIF(Input!$G$89:$Q$89,EJ$6,Input!$G$90:$Q$90)-EJ$31),))*IF(Input!$F113=PerMonth,1,1/12),1/12)</f>
        <v>0</v>
      </c>
      <c r="EK148" s="635">
        <f>SUMIF(Input!$G$105:$Q$105,EK$6,Input!$G113:$Q113)*IFERROR(CHOOSE(MATCH(Input!$E113,OIUnitType,),1,EK$13,MAX(EK$13*(1-SUMIF(Input!$G$89:$Q$89,EK$6,Input!$G$90:$Q$90)-EK$31),))*IF(Input!$F113=PerMonth,1,1/12),1/12)</f>
        <v>0</v>
      </c>
      <c r="EL148" s="635">
        <f>SUMIF(Input!$G$105:$Q$105,EL$6,Input!$G113:$Q113)*IFERROR(CHOOSE(MATCH(Input!$E113,OIUnitType,),1,EL$13,MAX(EL$13*(1-SUMIF(Input!$G$89:$Q$89,EL$6,Input!$G$90:$Q$90)-EL$31),))*IF(Input!$F113=PerMonth,1,1/12),1/12)</f>
        <v>0</v>
      </c>
      <c r="EM148" s="635">
        <f>SUMIF(Input!$G$105:$Q$105,EM$6,Input!$G113:$Q113)*IFERROR(CHOOSE(MATCH(Input!$E113,OIUnitType,),1,EM$13,MAX(EM$13*(1-SUMIF(Input!$G$89:$Q$89,EM$6,Input!$G$90:$Q$90)-EM$31),))*IF(Input!$F113=PerMonth,1,1/12),1/12)</f>
        <v>0</v>
      </c>
      <c r="EN148" s="635">
        <f>SUMIF(Input!$G$105:$Q$105,EN$6,Input!$G113:$Q113)*IFERROR(CHOOSE(MATCH(Input!$E113,OIUnitType,),1,EN$13,MAX(EN$13*(1-SUMIF(Input!$G$89:$Q$89,EN$6,Input!$G$90:$Q$90)-EN$31),))*IF(Input!$F113=PerMonth,1,1/12),1/12)</f>
        <v>0</v>
      </c>
      <c r="EO148" s="635">
        <f>SUMIF(Input!$G$105:$Q$105,EO$6,Input!$G113:$Q113)*IFERROR(CHOOSE(MATCH(Input!$E113,OIUnitType,),1,EO$13,MAX(EO$13*(1-SUMIF(Input!$G$89:$Q$89,EO$6,Input!$G$90:$Q$90)-EO$31),))*IF(Input!$F113=PerMonth,1,1/12),1/12)</f>
        <v>0</v>
      </c>
      <c r="EP148" s="635">
        <f>SUMIF(Input!$G$105:$Q$105,EP$6,Input!$G113:$Q113)*IFERROR(CHOOSE(MATCH(Input!$E113,OIUnitType,),1,EP$13,MAX(EP$13*(1-SUMIF(Input!$G$89:$Q$89,EP$6,Input!$G$90:$Q$90)-EP$31),))*IF(Input!$F113=PerMonth,1,1/12),1/12)</f>
        <v>0</v>
      </c>
      <c r="EQ148" s="635">
        <f>SUMIF(Input!$G$105:$Q$105,EQ$6,Input!$G113:$Q113)*IFERROR(CHOOSE(MATCH(Input!$E113,OIUnitType,),1,EQ$13,MAX(EQ$13*(1-SUMIF(Input!$G$89:$Q$89,EQ$6,Input!$G$90:$Q$90)-EQ$31),))*IF(Input!$F113=PerMonth,1,1/12),1/12)</f>
        <v>0</v>
      </c>
      <c r="ER148" s="635">
        <f>SUMIF(Input!$G$105:$Q$105,ER$6,Input!$G113:$Q113)*IFERROR(CHOOSE(MATCH(Input!$E113,OIUnitType,),1,ER$13,MAX(ER$13*(1-SUMIF(Input!$G$89:$Q$89,ER$6,Input!$G$90:$Q$90)-ER$31),))*IF(Input!$F113=PerMonth,1,1/12),1/12)</f>
        <v>0</v>
      </c>
      <c r="ES148" s="635">
        <f>SUMIF(Input!$G$105:$Q$105,ES$6,Input!$G113:$Q113)*IFERROR(CHOOSE(MATCH(Input!$E113,OIUnitType,),1,ES$13,MAX(ES$13*(1-SUMIF(Input!$G$89:$Q$89,ES$6,Input!$G$90:$Q$90)-ES$31),))*IF(Input!$F113=PerMonth,1,1/12),1/12)</f>
        <v>0</v>
      </c>
      <c r="ET148" s="192"/>
    </row>
    <row r="149" spans="1:150">
      <c r="A149" s="192"/>
      <c r="B149" s="36" t="str">
        <f>IF(Input!B114="","",Input!B114)</f>
        <v/>
      </c>
      <c r="C149" s="635">
        <f t="shared" si="141"/>
        <v>0</v>
      </c>
      <c r="D149" s="635">
        <f t="shared" si="141"/>
        <v>0</v>
      </c>
      <c r="E149" s="635">
        <f t="shared" si="141"/>
        <v>0</v>
      </c>
      <c r="F149" s="635">
        <f t="shared" si="141"/>
        <v>0</v>
      </c>
      <c r="G149" s="635">
        <f t="shared" si="141"/>
        <v>0</v>
      </c>
      <c r="H149" s="635">
        <f t="shared" si="141"/>
        <v>0</v>
      </c>
      <c r="I149" s="635">
        <f t="shared" si="141"/>
        <v>0</v>
      </c>
      <c r="J149" s="635">
        <f t="shared" si="141"/>
        <v>0</v>
      </c>
      <c r="K149" s="635">
        <f t="shared" si="141"/>
        <v>0</v>
      </c>
      <c r="L149" s="635">
        <f t="shared" si="141"/>
        <v>0</v>
      </c>
      <c r="M149" s="635">
        <f t="shared" si="141"/>
        <v>0</v>
      </c>
      <c r="N149" s="192"/>
      <c r="O149" s="635">
        <f t="shared" si="142"/>
        <v>0</v>
      </c>
      <c r="P149" s="192"/>
      <c r="Q149" s="37"/>
      <c r="R149" s="635">
        <f>SUMIF(Input!$G$105:$Q$105,R$6,Input!$G114:$Q114)*IFERROR(CHOOSE(MATCH(Input!$E114,OIUnitType,),1,R$13,MAX(R$13*(1+SUM(R$72:R$73)/R$71),))*IF(Input!$F114=PerMonth,1,1/12),1/12)</f>
        <v>0</v>
      </c>
      <c r="S149" s="635">
        <f>SUMIF(Input!$G$105:$Q$105,S$6,Input!$G114:$Q114)*IFERROR(CHOOSE(MATCH(Input!$E114,OIUnitType,),1,S$13,MAX(S$13*(1+SUM(S$72:S$73)/S$71),))*IF(Input!$F114=PerMonth,1,1/12),1/12)</f>
        <v>0</v>
      </c>
      <c r="T149" s="635">
        <f>SUMIF(Input!$G$105:$Q$105,T$6,Input!$G114:$Q114)*IFERROR(CHOOSE(MATCH(Input!$E114,OIUnitType,),1,T$13,MAX(T$13*(1+SUM(T$72:T$73)/T$71),))*IF(Input!$F114=PerMonth,1,1/12),1/12)</f>
        <v>0</v>
      </c>
      <c r="U149" s="635">
        <f>SUMIF(Input!$G$105:$Q$105,U$6,Input!$G114:$Q114)*IFERROR(CHOOSE(MATCH(Input!$E114,OIUnitType,),1,U$13,MAX(U$13*(1+SUM(U$72:U$73)/U$71),))*IF(Input!$F114=PerMonth,1,1/12),1/12)</f>
        <v>0</v>
      </c>
      <c r="V149" s="635">
        <f>SUMIF(Input!$G$105:$Q$105,V$6,Input!$G114:$Q114)*IFERROR(CHOOSE(MATCH(Input!$E114,OIUnitType,),1,V$13,MAX(V$13*(1+SUM(V$72:V$73)/V$71),))*IF(Input!$F114=PerMonth,1,1/12),1/12)</f>
        <v>0</v>
      </c>
      <c r="W149" s="635">
        <f>SUMIF(Input!$G$105:$Q$105,W$6,Input!$G114:$Q114)*IFERROR(CHOOSE(MATCH(Input!$E114,OIUnitType,),1,W$13,MAX(W$13*(1+SUM(W$72:W$73)/W$71),))*IF(Input!$F114=PerMonth,1,1/12),1/12)</f>
        <v>0</v>
      </c>
      <c r="X149" s="635">
        <f>SUMIF(Input!$G$105:$Q$105,X$6,Input!$G114:$Q114)*IFERROR(CHOOSE(MATCH(Input!$E114,OIUnitType,),1,X$13,MAX(X$13*(1+SUM(X$72:X$73)/X$71),))*IF(Input!$F114=PerMonth,1,1/12),1/12)</f>
        <v>0</v>
      </c>
      <c r="Y149" s="635">
        <f>SUMIF(Input!$G$105:$Q$105,Y$6,Input!$G114:$Q114)*IFERROR(CHOOSE(MATCH(Input!$E114,OIUnitType,),1,Y$13,MAX(Y$13*(1+SUM(Y$72:Y$73)/Y$71),))*IF(Input!$F114=PerMonth,1,1/12),1/12)</f>
        <v>0</v>
      </c>
      <c r="Z149" s="635">
        <f>SUMIF(Input!$G$105:$Q$105,Z$6,Input!$G114:$Q114)*IFERROR(CHOOSE(MATCH(Input!$E114,OIUnitType,),1,Z$13,MAX(Z$13*(1+SUM(Z$72:Z$73)/Z$71),))*IF(Input!$F114=PerMonth,1,1/12),1/12)</f>
        <v>0</v>
      </c>
      <c r="AA149" s="635">
        <f>SUMIF(Input!$G$105:$Q$105,AA$6,Input!$G114:$Q114)*IFERROR(CHOOSE(MATCH(Input!$E114,OIUnitType,),1,AA$13,MAX(AA$13*(1+SUM(AA$72:AA$73)/AA$71),))*IF(Input!$F114=PerMonth,1,1/12),1/12)</f>
        <v>0</v>
      </c>
      <c r="AB149" s="635">
        <f>SUMIF(Input!$G$105:$Q$105,AB$6,Input!$G114:$Q114)*IFERROR(CHOOSE(MATCH(Input!$E114,OIUnitType,),1,AB$13,MAX(AB$13*(1+SUM(AB$72:AB$73)/AB$71),))*IF(Input!$F114=PerMonth,1,1/12),1/12)</f>
        <v>0</v>
      </c>
      <c r="AC149" s="635">
        <f>SUMIF(Input!$G$105:$Q$105,AC$6,Input!$G114:$Q114)*IFERROR(CHOOSE(MATCH(Input!$E114,OIUnitType,),1,AC$13,MAX(AC$13*(1+SUM(AC$72:AC$73)/AC$71),))*IF(Input!$F114=PerMonth,1,1/12),1/12)</f>
        <v>0</v>
      </c>
      <c r="AD149" s="635">
        <f>SUMIF(Input!$G$105:$Q$105,AD$6,Input!$G114:$Q114)*IFERROR(CHOOSE(MATCH(Input!$E114,OIUnitType,),1,AD$13,MAX(AD$13*(1+SUM(AD$72:AD$73)/AD$71),))*IF(Input!$F114=PerMonth,1,1/12),1/12)</f>
        <v>0</v>
      </c>
      <c r="AE149" s="635">
        <f>SUMIF(Input!$G$105:$Q$105,AE$6,Input!$G114:$Q114)*IFERROR(CHOOSE(MATCH(Input!$E114,OIUnitType,),1,AE$13,MAX(AE$13*(1+SUM(AE$72:AE$73)/AE$71),))*IF(Input!$F114=PerMonth,1,1/12),1/12)</f>
        <v>0</v>
      </c>
      <c r="AF149" s="635">
        <f>SUMIF(Input!$G$105:$Q$105,AF$6,Input!$G114:$Q114)*IFERROR(CHOOSE(MATCH(Input!$E114,OIUnitType,),1,AF$13,MAX(AF$13*(1+SUM(AF$72:AF$73)/AF$71),))*IF(Input!$F114=PerMonth,1,1/12),1/12)</f>
        <v>0</v>
      </c>
      <c r="AG149" s="635">
        <f>SUMIF(Input!$G$105:$Q$105,AG$6,Input!$G114:$Q114)*IFERROR(CHOOSE(MATCH(Input!$E114,OIUnitType,),1,AG$13,MAX(AG$13*(1+SUM(AG$72:AG$73)/AG$71),))*IF(Input!$F114=PerMonth,1,1/12),1/12)</f>
        <v>0</v>
      </c>
      <c r="AH149" s="635">
        <f>SUMIF(Input!$G$105:$Q$105,AH$6,Input!$G114:$Q114)*IFERROR(CHOOSE(MATCH(Input!$E114,OIUnitType,),1,AH$13,MAX(AH$13*(1+SUM(AH$72:AH$73)/AH$71),))*IF(Input!$F114=PerMonth,1,1/12),1/12)</f>
        <v>0</v>
      </c>
      <c r="AI149" s="635">
        <f>SUMIF(Input!$G$105:$Q$105,AI$6,Input!$G114:$Q114)*IFERROR(CHOOSE(MATCH(Input!$E114,OIUnitType,),1,AI$13,MAX(AI$13*(1+SUM(AI$72:AI$73)/AI$71),))*IF(Input!$F114=PerMonth,1,1/12),1/12)</f>
        <v>0</v>
      </c>
      <c r="AJ149" s="635">
        <f>SUMIF(Input!$G$105:$Q$105,AJ$6,Input!$G114:$Q114)*IFERROR(CHOOSE(MATCH(Input!$E114,OIUnitType,),1,AJ$13,MAX(AJ$13*(1+SUM(AJ$72:AJ$73)/AJ$71),))*IF(Input!$F114=PerMonth,1,1/12),1/12)</f>
        <v>0</v>
      </c>
      <c r="AK149" s="635">
        <f>SUMIF(Input!$G$105:$Q$105,AK$6,Input!$G114:$Q114)*IFERROR(CHOOSE(MATCH(Input!$E114,OIUnitType,),1,AK$13,MAX(AK$13*(1+SUM(AK$72:AK$73)/AK$71),))*IF(Input!$F114=PerMonth,1,1/12),1/12)</f>
        <v>0</v>
      </c>
      <c r="AL149" s="635">
        <f>SUMIF(Input!$G$105:$Q$105,AL$6,Input!$G114:$Q114)*IFERROR(CHOOSE(MATCH(Input!$E114,OIUnitType,),1,AL$13,MAX(AL$13*(1+SUM(AL$72:AL$73)/AL$71),))*IF(Input!$F114=PerMonth,1,1/12),1/12)</f>
        <v>0</v>
      </c>
      <c r="AM149" s="635">
        <f>SUMIF(Input!$G$105:$Q$105,AM$6,Input!$G114:$Q114)*IFERROR(CHOOSE(MATCH(Input!$E114,OIUnitType,),1,AM$13,MAX(AM$13*(1+SUM(AM$72:AM$73)/AM$71),))*IF(Input!$F114=PerMonth,1,1/12),1/12)</f>
        <v>0</v>
      </c>
      <c r="AN149" s="635">
        <f>SUMIF(Input!$G$105:$Q$105,AN$6,Input!$G114:$Q114)*IFERROR(CHOOSE(MATCH(Input!$E114,OIUnitType,),1,AN$13,MAX(AN$13*(1+SUM(AN$72:AN$73)/AN$71),))*IF(Input!$F114=PerMonth,1,1/12),1/12)</f>
        <v>0</v>
      </c>
      <c r="AO149" s="635">
        <f>SUMIF(Input!$G$105:$Q$105,AO$6,Input!$G114:$Q114)*IFERROR(CHOOSE(MATCH(Input!$E114,OIUnitType,),1,AO$13,MAX(AO$13*(1+SUM(AO$72:AO$73)/AO$71),))*IF(Input!$F114=PerMonth,1,1/12),1/12)</f>
        <v>0</v>
      </c>
      <c r="AP149" s="635">
        <f>SUMIF(Input!$G$105:$Q$105,AP$6,Input!$G114:$Q114)*IFERROR(CHOOSE(MATCH(Input!$E114,OIUnitType,),1,AP$13,MAX(AP$13*(1+SUM(AP$72:AP$73)/AP$71),))*IF(Input!$F114=PerMonth,1,1/12),1/12)</f>
        <v>0</v>
      </c>
      <c r="AQ149" s="635">
        <f>SUMIF(Input!$G$105:$Q$105,AQ$6,Input!$G114:$Q114)*IFERROR(CHOOSE(MATCH(Input!$E114,OIUnitType,),1,AQ$13,MAX(AQ$13*(1+SUM(AQ$72:AQ$73)/AQ$71),))*IF(Input!$F114=PerMonth,1,1/12),1/12)</f>
        <v>0</v>
      </c>
      <c r="AR149" s="635">
        <f>SUMIF(Input!$G$105:$Q$105,AR$6,Input!$G114:$Q114)*IFERROR(CHOOSE(MATCH(Input!$E114,OIUnitType,),1,AR$13,MAX(AR$13*(1+SUM(AR$72:AR$73)/AR$71),))*IF(Input!$F114=PerMonth,1,1/12),1/12)</f>
        <v>0</v>
      </c>
      <c r="AS149" s="635">
        <f>SUMIF(Input!$G$105:$Q$105,AS$6,Input!$G114:$Q114)*IFERROR(CHOOSE(MATCH(Input!$E114,OIUnitType,),1,AS$13,MAX(AS$13*(1+SUM(AS$72:AS$73)/AS$71),))*IF(Input!$F114=PerMonth,1,1/12),1/12)</f>
        <v>0</v>
      </c>
      <c r="AT149" s="635">
        <f>SUMIF(Input!$G$105:$Q$105,AT$6,Input!$G114:$Q114)*IFERROR(CHOOSE(MATCH(Input!$E114,OIUnitType,),1,AT$13,MAX(AT$13*(1+SUM(AT$72:AT$73)/AT$71),))*IF(Input!$F114=PerMonth,1,1/12),1/12)</f>
        <v>0</v>
      </c>
      <c r="AU149" s="635">
        <f>SUMIF(Input!$G$105:$Q$105,AU$6,Input!$G114:$Q114)*IFERROR(CHOOSE(MATCH(Input!$E114,OIUnitType,),1,AU$13,MAX(AU$13*(1+SUM(AU$72:AU$73)/AU$71),))*IF(Input!$F114=PerMonth,1,1/12),1/12)</f>
        <v>0</v>
      </c>
      <c r="AV149" s="635">
        <f>SUMIF(Input!$G$105:$Q$105,AV$6,Input!$G114:$Q114)*IFERROR(CHOOSE(MATCH(Input!$E114,OIUnitType,),1,AV$13,MAX(AV$13*(1+SUM(AV$72:AV$73)/AV$71),))*IF(Input!$F114=PerMonth,1,1/12),1/12)</f>
        <v>0</v>
      </c>
      <c r="AW149" s="635">
        <f>SUMIF(Input!$G$105:$Q$105,AW$6,Input!$G114:$Q114)*IFERROR(CHOOSE(MATCH(Input!$E114,OIUnitType,),1,AW$13,MAX(AW$13*(1+SUM(AW$72:AW$73)/AW$71),))*IF(Input!$F114=PerMonth,1,1/12),1/12)</f>
        <v>0</v>
      </c>
      <c r="AX149" s="635">
        <f>SUMIF(Input!$G$105:$Q$105,AX$6,Input!$G114:$Q114)*IFERROR(CHOOSE(MATCH(Input!$E114,OIUnitType,),1,AX$13,MAX(AX$13*(1+SUM(AX$72:AX$73)/AX$71),))*IF(Input!$F114=PerMonth,1,1/12),1/12)</f>
        <v>0</v>
      </c>
      <c r="AY149" s="635">
        <f>SUMIF(Input!$G$105:$Q$105,AY$6,Input!$G114:$Q114)*IFERROR(CHOOSE(MATCH(Input!$E114,OIUnitType,),1,AY$13,MAX(AY$13*(1+SUM(AY$72:AY$73)/AY$71),))*IF(Input!$F114=PerMonth,1,1/12),1/12)</f>
        <v>0</v>
      </c>
      <c r="AZ149" s="635">
        <f>SUMIF(Input!$G$105:$Q$105,AZ$6,Input!$G114:$Q114)*IFERROR(CHOOSE(MATCH(Input!$E114,OIUnitType,),1,AZ$13,MAX(AZ$13*(1+SUM(AZ$72:AZ$73)/AZ$71),))*IF(Input!$F114=PerMonth,1,1/12),1/12)</f>
        <v>0</v>
      </c>
      <c r="BA149" s="635">
        <f>SUMIF(Input!$G$105:$Q$105,BA$6,Input!$G114:$Q114)*IFERROR(CHOOSE(MATCH(Input!$E114,OIUnitType,),1,BA$13,MAX(BA$13*(1+SUM(BA$72:BA$73)/BA$71),))*IF(Input!$F114=PerMonth,1,1/12),1/12)</f>
        <v>0</v>
      </c>
      <c r="BB149" s="635">
        <f>SUMIF(Input!$G$105:$Q$105,BB$6,Input!$G114:$Q114)*IFERROR(CHOOSE(MATCH(Input!$E114,OIUnitType,),1,BB$13,MAX(BB$13*(1-SUMIF(Input!$G$89:$Q$89,BB$6,Input!$G$90:$Q$90)-BB$31),))*IF(Input!$F114=PerMonth,1,1/12),1/12)</f>
        <v>0</v>
      </c>
      <c r="BC149" s="635">
        <f>SUMIF(Input!$G$105:$Q$105,BC$6,Input!$G114:$Q114)*IFERROR(CHOOSE(MATCH(Input!$E114,OIUnitType,),1,BC$13,MAX(BC$13*(1-SUMIF(Input!$G$89:$Q$89,BC$6,Input!$G$90:$Q$90)-BC$31),))*IF(Input!$F114=PerMonth,1,1/12),1/12)</f>
        <v>0</v>
      </c>
      <c r="BD149" s="635">
        <f>SUMIF(Input!$G$105:$Q$105,BD$6,Input!$G114:$Q114)*IFERROR(CHOOSE(MATCH(Input!$E114,OIUnitType,),1,BD$13,MAX(BD$13*(1-SUMIF(Input!$G$89:$Q$89,BD$6,Input!$G$90:$Q$90)-BD$31),))*IF(Input!$F114=PerMonth,1,1/12),1/12)</f>
        <v>0</v>
      </c>
      <c r="BE149" s="635">
        <f>SUMIF(Input!$G$105:$Q$105,BE$6,Input!$G114:$Q114)*IFERROR(CHOOSE(MATCH(Input!$E114,OIUnitType,),1,BE$13,MAX(BE$13*(1-SUMIF(Input!$G$89:$Q$89,BE$6,Input!$G$90:$Q$90)-BE$31),))*IF(Input!$F114=PerMonth,1,1/12),1/12)</f>
        <v>0</v>
      </c>
      <c r="BF149" s="635">
        <f>SUMIF(Input!$G$105:$Q$105,BF$6,Input!$G114:$Q114)*IFERROR(CHOOSE(MATCH(Input!$E114,OIUnitType,),1,BF$13,MAX(BF$13*(1-SUMIF(Input!$G$89:$Q$89,BF$6,Input!$G$90:$Q$90)-BF$31),))*IF(Input!$F114=PerMonth,1,1/12),1/12)</f>
        <v>0</v>
      </c>
      <c r="BG149" s="635">
        <f>SUMIF(Input!$G$105:$Q$105,BG$6,Input!$G114:$Q114)*IFERROR(CHOOSE(MATCH(Input!$E114,OIUnitType,),1,BG$13,MAX(BG$13*(1-SUMIF(Input!$G$89:$Q$89,BG$6,Input!$G$90:$Q$90)-BG$31),))*IF(Input!$F114=PerMonth,1,1/12),1/12)</f>
        <v>0</v>
      </c>
      <c r="BH149" s="635">
        <f>SUMIF(Input!$G$105:$Q$105,BH$6,Input!$G114:$Q114)*IFERROR(CHOOSE(MATCH(Input!$E114,OIUnitType,),1,BH$13,MAX(BH$13*(1-SUMIF(Input!$G$89:$Q$89,BH$6,Input!$G$90:$Q$90)-BH$31),))*IF(Input!$F114=PerMonth,1,1/12),1/12)</f>
        <v>0</v>
      </c>
      <c r="BI149" s="635">
        <f>SUMIF(Input!$G$105:$Q$105,BI$6,Input!$G114:$Q114)*IFERROR(CHOOSE(MATCH(Input!$E114,OIUnitType,),1,BI$13,MAX(BI$13*(1-SUMIF(Input!$G$89:$Q$89,BI$6,Input!$G$90:$Q$90)-BI$31),))*IF(Input!$F114=PerMonth,1,1/12),1/12)</f>
        <v>0</v>
      </c>
      <c r="BJ149" s="635">
        <f>SUMIF(Input!$G$105:$Q$105,BJ$6,Input!$G114:$Q114)*IFERROR(CHOOSE(MATCH(Input!$E114,OIUnitType,),1,BJ$13,MAX(BJ$13*(1-SUMIF(Input!$G$89:$Q$89,BJ$6,Input!$G$90:$Q$90)-BJ$31),))*IF(Input!$F114=PerMonth,1,1/12),1/12)</f>
        <v>0</v>
      </c>
      <c r="BK149" s="635">
        <f>SUMIF(Input!$G$105:$Q$105,BK$6,Input!$G114:$Q114)*IFERROR(CHOOSE(MATCH(Input!$E114,OIUnitType,),1,BK$13,MAX(BK$13*(1-SUMIF(Input!$G$89:$Q$89,BK$6,Input!$G$90:$Q$90)-BK$31),))*IF(Input!$F114=PerMonth,1,1/12),1/12)</f>
        <v>0</v>
      </c>
      <c r="BL149" s="635">
        <f>SUMIF(Input!$G$105:$Q$105,BL$6,Input!$G114:$Q114)*IFERROR(CHOOSE(MATCH(Input!$E114,OIUnitType,),1,BL$13,MAX(BL$13*(1-SUMIF(Input!$G$89:$Q$89,BL$6,Input!$G$90:$Q$90)-BL$31),))*IF(Input!$F114=PerMonth,1,1/12),1/12)</f>
        <v>0</v>
      </c>
      <c r="BM149" s="635">
        <f>SUMIF(Input!$G$105:$Q$105,BM$6,Input!$G114:$Q114)*IFERROR(CHOOSE(MATCH(Input!$E114,OIUnitType,),1,BM$13,MAX(BM$13*(1-SUMIF(Input!$G$89:$Q$89,BM$6,Input!$G$90:$Q$90)-BM$31),))*IF(Input!$F114=PerMonth,1,1/12),1/12)</f>
        <v>0</v>
      </c>
      <c r="BN149" s="635">
        <f>SUMIF(Input!$G$105:$Q$105,BN$6,Input!$G114:$Q114)*IFERROR(CHOOSE(MATCH(Input!$E114,OIUnitType,),1,BN$13,MAX(BN$13*(1-SUMIF(Input!$G$89:$Q$89,BN$6,Input!$G$90:$Q$90)-BN$31),))*IF(Input!$F114=PerMonth,1,1/12),1/12)</f>
        <v>0</v>
      </c>
      <c r="BO149" s="635">
        <f>SUMIF(Input!$G$105:$Q$105,BO$6,Input!$G114:$Q114)*IFERROR(CHOOSE(MATCH(Input!$E114,OIUnitType,),1,BO$13,MAX(BO$13*(1-SUMIF(Input!$G$89:$Q$89,BO$6,Input!$G$90:$Q$90)-BO$31),))*IF(Input!$F114=PerMonth,1,1/12),1/12)</f>
        <v>0</v>
      </c>
      <c r="BP149" s="635">
        <f>SUMIF(Input!$G$105:$Q$105,BP$6,Input!$G114:$Q114)*IFERROR(CHOOSE(MATCH(Input!$E114,OIUnitType,),1,BP$13,MAX(BP$13*(1-SUMIF(Input!$G$89:$Q$89,BP$6,Input!$G$90:$Q$90)-BP$31),))*IF(Input!$F114=PerMonth,1,1/12),1/12)</f>
        <v>0</v>
      </c>
      <c r="BQ149" s="635">
        <f>SUMIF(Input!$G$105:$Q$105,BQ$6,Input!$G114:$Q114)*IFERROR(CHOOSE(MATCH(Input!$E114,OIUnitType,),1,BQ$13,MAX(BQ$13*(1-SUMIF(Input!$G$89:$Q$89,BQ$6,Input!$G$90:$Q$90)-BQ$31),))*IF(Input!$F114=PerMonth,1,1/12),1/12)</f>
        <v>0</v>
      </c>
      <c r="BR149" s="635">
        <f>SUMIF(Input!$G$105:$Q$105,BR$6,Input!$G114:$Q114)*IFERROR(CHOOSE(MATCH(Input!$E114,OIUnitType,),1,BR$13,MAX(BR$13*(1-SUMIF(Input!$G$89:$Q$89,BR$6,Input!$G$90:$Q$90)-BR$31),))*IF(Input!$F114=PerMonth,1,1/12),1/12)</f>
        <v>0</v>
      </c>
      <c r="BS149" s="635">
        <f>SUMIF(Input!$G$105:$Q$105,BS$6,Input!$G114:$Q114)*IFERROR(CHOOSE(MATCH(Input!$E114,OIUnitType,),1,BS$13,MAX(BS$13*(1-SUMIF(Input!$G$89:$Q$89,BS$6,Input!$G$90:$Q$90)-BS$31),))*IF(Input!$F114=PerMonth,1,1/12),1/12)</f>
        <v>0</v>
      </c>
      <c r="BT149" s="635">
        <f>SUMIF(Input!$G$105:$Q$105,BT$6,Input!$G114:$Q114)*IFERROR(CHOOSE(MATCH(Input!$E114,OIUnitType,),1,BT$13,MAX(BT$13*(1-SUMIF(Input!$G$89:$Q$89,BT$6,Input!$G$90:$Q$90)-BT$31),))*IF(Input!$F114=PerMonth,1,1/12),1/12)</f>
        <v>0</v>
      </c>
      <c r="BU149" s="635">
        <f>SUMIF(Input!$G$105:$Q$105,BU$6,Input!$G114:$Q114)*IFERROR(CHOOSE(MATCH(Input!$E114,OIUnitType,),1,BU$13,MAX(BU$13*(1-SUMIF(Input!$G$89:$Q$89,BU$6,Input!$G$90:$Q$90)-BU$31),))*IF(Input!$F114=PerMonth,1,1/12),1/12)</f>
        <v>0</v>
      </c>
      <c r="BV149" s="635">
        <f>SUMIF(Input!$G$105:$Q$105,BV$6,Input!$G114:$Q114)*IFERROR(CHOOSE(MATCH(Input!$E114,OIUnitType,),1,BV$13,MAX(BV$13*(1-SUMIF(Input!$G$89:$Q$89,BV$6,Input!$G$90:$Q$90)-BV$31),))*IF(Input!$F114=PerMonth,1,1/12),1/12)</f>
        <v>0</v>
      </c>
      <c r="BW149" s="635">
        <f>SUMIF(Input!$G$105:$Q$105,BW$6,Input!$G114:$Q114)*IFERROR(CHOOSE(MATCH(Input!$E114,OIUnitType,),1,BW$13,MAX(BW$13*(1-SUMIF(Input!$G$89:$Q$89,BW$6,Input!$G$90:$Q$90)-BW$31),))*IF(Input!$F114=PerMonth,1,1/12),1/12)</f>
        <v>0</v>
      </c>
      <c r="BX149" s="635">
        <f>SUMIF(Input!$G$105:$Q$105,BX$6,Input!$G114:$Q114)*IFERROR(CHOOSE(MATCH(Input!$E114,OIUnitType,),1,BX$13,MAX(BX$13*(1-SUMIF(Input!$G$89:$Q$89,BX$6,Input!$G$90:$Q$90)-BX$31),))*IF(Input!$F114=PerMonth,1,1/12),1/12)</f>
        <v>0</v>
      </c>
      <c r="BY149" s="635">
        <f>SUMIF(Input!$G$105:$Q$105,BY$6,Input!$G114:$Q114)*IFERROR(CHOOSE(MATCH(Input!$E114,OIUnitType,),1,BY$13,MAX(BY$13*(1-SUMIF(Input!$G$89:$Q$89,BY$6,Input!$G$90:$Q$90)-BY$31),))*IF(Input!$F114=PerMonth,1,1/12),1/12)</f>
        <v>0</v>
      </c>
      <c r="BZ149" s="635">
        <f>SUMIF(Input!$G$105:$Q$105,BZ$6,Input!$G114:$Q114)*IFERROR(CHOOSE(MATCH(Input!$E114,OIUnitType,),1,BZ$13,MAX(BZ$13*(1-SUMIF(Input!$G$89:$Q$89,BZ$6,Input!$G$90:$Q$90)-BZ$31),))*IF(Input!$F114=PerMonth,1,1/12),1/12)</f>
        <v>0</v>
      </c>
      <c r="CA149" s="635">
        <f>SUMIF(Input!$G$105:$Q$105,CA$6,Input!$G114:$Q114)*IFERROR(CHOOSE(MATCH(Input!$E114,OIUnitType,),1,CA$13,MAX(CA$13*(1-SUMIF(Input!$G$89:$Q$89,CA$6,Input!$G$90:$Q$90)-CA$31),))*IF(Input!$F114=PerMonth,1,1/12),1/12)</f>
        <v>0</v>
      </c>
      <c r="CB149" s="635">
        <f>SUMIF(Input!$G$105:$Q$105,CB$6,Input!$G114:$Q114)*IFERROR(CHOOSE(MATCH(Input!$E114,OIUnitType,),1,CB$13,MAX(CB$13*(1-SUMIF(Input!$G$89:$Q$89,CB$6,Input!$G$90:$Q$90)-CB$31),))*IF(Input!$F114=PerMonth,1,1/12),1/12)</f>
        <v>0</v>
      </c>
      <c r="CC149" s="635">
        <f>SUMIF(Input!$G$105:$Q$105,CC$6,Input!$G114:$Q114)*IFERROR(CHOOSE(MATCH(Input!$E114,OIUnitType,),1,CC$13,MAX(CC$13*(1-SUMIF(Input!$G$89:$Q$89,CC$6,Input!$G$90:$Q$90)-CC$31),))*IF(Input!$F114=PerMonth,1,1/12),1/12)</f>
        <v>0</v>
      </c>
      <c r="CD149" s="635">
        <f>SUMIF(Input!$G$105:$Q$105,CD$6,Input!$G114:$Q114)*IFERROR(CHOOSE(MATCH(Input!$E114,OIUnitType,),1,CD$13,MAX(CD$13*(1-SUMIF(Input!$G$89:$Q$89,CD$6,Input!$G$90:$Q$90)-CD$31),))*IF(Input!$F114=PerMonth,1,1/12),1/12)</f>
        <v>0</v>
      </c>
      <c r="CE149" s="635">
        <f>SUMIF(Input!$G$105:$Q$105,CE$6,Input!$G114:$Q114)*IFERROR(CHOOSE(MATCH(Input!$E114,OIUnitType,),1,CE$13,MAX(CE$13*(1-SUMIF(Input!$G$89:$Q$89,CE$6,Input!$G$90:$Q$90)-CE$31),))*IF(Input!$F114=PerMonth,1,1/12),1/12)</f>
        <v>0</v>
      </c>
      <c r="CF149" s="635">
        <f>SUMIF(Input!$G$105:$Q$105,CF$6,Input!$G114:$Q114)*IFERROR(CHOOSE(MATCH(Input!$E114,OIUnitType,),1,CF$13,MAX(CF$13*(1-SUMIF(Input!$G$89:$Q$89,CF$6,Input!$G$90:$Q$90)-CF$31),))*IF(Input!$F114=PerMonth,1,1/12),1/12)</f>
        <v>0</v>
      </c>
      <c r="CG149" s="635">
        <f>SUMIF(Input!$G$105:$Q$105,CG$6,Input!$G114:$Q114)*IFERROR(CHOOSE(MATCH(Input!$E114,OIUnitType,),1,CG$13,MAX(CG$13*(1-SUMIF(Input!$G$89:$Q$89,CG$6,Input!$G$90:$Q$90)-CG$31),))*IF(Input!$F114=PerMonth,1,1/12),1/12)</f>
        <v>0</v>
      </c>
      <c r="CH149" s="635">
        <f>SUMIF(Input!$G$105:$Q$105,CH$6,Input!$G114:$Q114)*IFERROR(CHOOSE(MATCH(Input!$E114,OIUnitType,),1,CH$13,MAX(CH$13*(1-SUMIF(Input!$G$89:$Q$89,CH$6,Input!$G$90:$Q$90)-CH$31),))*IF(Input!$F114=PerMonth,1,1/12),1/12)</f>
        <v>0</v>
      </c>
      <c r="CI149" s="635">
        <f>SUMIF(Input!$G$105:$Q$105,CI$6,Input!$G114:$Q114)*IFERROR(CHOOSE(MATCH(Input!$E114,OIUnitType,),1,CI$13,MAX(CI$13*(1-SUMIF(Input!$G$89:$Q$89,CI$6,Input!$G$90:$Q$90)-CI$31),))*IF(Input!$F114=PerMonth,1,1/12),1/12)</f>
        <v>0</v>
      </c>
      <c r="CJ149" s="635">
        <f>SUMIF(Input!$G$105:$Q$105,CJ$6,Input!$G114:$Q114)*IFERROR(CHOOSE(MATCH(Input!$E114,OIUnitType,),1,CJ$13,MAX(CJ$13*(1-SUMIF(Input!$G$89:$Q$89,CJ$6,Input!$G$90:$Q$90)-CJ$31),))*IF(Input!$F114=PerMonth,1,1/12),1/12)</f>
        <v>0</v>
      </c>
      <c r="CK149" s="635">
        <f>SUMIF(Input!$G$105:$Q$105,CK$6,Input!$G114:$Q114)*IFERROR(CHOOSE(MATCH(Input!$E114,OIUnitType,),1,CK$13,MAX(CK$13*(1-SUMIF(Input!$G$89:$Q$89,CK$6,Input!$G$90:$Q$90)-CK$31),))*IF(Input!$F114=PerMonth,1,1/12),1/12)</f>
        <v>0</v>
      </c>
      <c r="CL149" s="635">
        <f>SUMIF(Input!$G$105:$Q$105,CL$6,Input!$G114:$Q114)*IFERROR(CHOOSE(MATCH(Input!$E114,OIUnitType,),1,CL$13,MAX(CL$13*(1-SUMIF(Input!$G$89:$Q$89,CL$6,Input!$G$90:$Q$90)-CL$31),))*IF(Input!$F114=PerMonth,1,1/12),1/12)</f>
        <v>0</v>
      </c>
      <c r="CM149" s="635">
        <f>SUMIF(Input!$G$105:$Q$105,CM$6,Input!$G114:$Q114)*IFERROR(CHOOSE(MATCH(Input!$E114,OIUnitType,),1,CM$13,MAX(CM$13*(1-SUMIF(Input!$G$89:$Q$89,CM$6,Input!$G$90:$Q$90)-CM$31),))*IF(Input!$F114=PerMonth,1,1/12),1/12)</f>
        <v>0</v>
      </c>
      <c r="CN149" s="635">
        <f>SUMIF(Input!$G$105:$Q$105,CN$6,Input!$G114:$Q114)*IFERROR(CHOOSE(MATCH(Input!$E114,OIUnitType,),1,CN$13,MAX(CN$13*(1-SUMIF(Input!$G$89:$Q$89,CN$6,Input!$G$90:$Q$90)-CN$31),))*IF(Input!$F114=PerMonth,1,1/12),1/12)</f>
        <v>0</v>
      </c>
      <c r="CO149" s="635">
        <f>SUMIF(Input!$G$105:$Q$105,CO$6,Input!$G114:$Q114)*IFERROR(CHOOSE(MATCH(Input!$E114,OIUnitType,),1,CO$13,MAX(CO$13*(1-SUMIF(Input!$G$89:$Q$89,CO$6,Input!$G$90:$Q$90)-CO$31),))*IF(Input!$F114=PerMonth,1,1/12),1/12)</f>
        <v>0</v>
      </c>
      <c r="CP149" s="635">
        <f>SUMIF(Input!$G$105:$Q$105,CP$6,Input!$G114:$Q114)*IFERROR(CHOOSE(MATCH(Input!$E114,OIUnitType,),1,CP$13,MAX(CP$13*(1-SUMIF(Input!$G$89:$Q$89,CP$6,Input!$G$90:$Q$90)-CP$31),))*IF(Input!$F114=PerMonth,1,1/12),1/12)</f>
        <v>0</v>
      </c>
      <c r="CQ149" s="635">
        <f>SUMIF(Input!$G$105:$Q$105,CQ$6,Input!$G114:$Q114)*IFERROR(CHOOSE(MATCH(Input!$E114,OIUnitType,),1,CQ$13,MAX(CQ$13*(1-SUMIF(Input!$G$89:$Q$89,CQ$6,Input!$G$90:$Q$90)-CQ$31),))*IF(Input!$F114=PerMonth,1,1/12),1/12)</f>
        <v>0</v>
      </c>
      <c r="CR149" s="635">
        <f>SUMIF(Input!$G$105:$Q$105,CR$6,Input!$G114:$Q114)*IFERROR(CHOOSE(MATCH(Input!$E114,OIUnitType,),1,CR$13,MAX(CR$13*(1-SUMIF(Input!$G$89:$Q$89,CR$6,Input!$G$90:$Q$90)-CR$31),))*IF(Input!$F114=PerMonth,1,1/12),1/12)</f>
        <v>0</v>
      </c>
      <c r="CS149" s="635">
        <f>SUMIF(Input!$G$105:$Q$105,CS$6,Input!$G114:$Q114)*IFERROR(CHOOSE(MATCH(Input!$E114,OIUnitType,),1,CS$13,MAX(CS$13*(1-SUMIF(Input!$G$89:$Q$89,CS$6,Input!$G$90:$Q$90)-CS$31),))*IF(Input!$F114=PerMonth,1,1/12),1/12)</f>
        <v>0</v>
      </c>
      <c r="CT149" s="635">
        <f>SUMIF(Input!$G$105:$Q$105,CT$6,Input!$G114:$Q114)*IFERROR(CHOOSE(MATCH(Input!$E114,OIUnitType,),1,CT$13,MAX(CT$13*(1-SUMIF(Input!$G$89:$Q$89,CT$6,Input!$G$90:$Q$90)-CT$31),))*IF(Input!$F114=PerMonth,1,1/12),1/12)</f>
        <v>0</v>
      </c>
      <c r="CU149" s="635">
        <f>SUMIF(Input!$G$105:$Q$105,CU$6,Input!$G114:$Q114)*IFERROR(CHOOSE(MATCH(Input!$E114,OIUnitType,),1,CU$13,MAX(CU$13*(1-SUMIF(Input!$G$89:$Q$89,CU$6,Input!$G$90:$Q$90)-CU$31),))*IF(Input!$F114=PerMonth,1,1/12),1/12)</f>
        <v>0</v>
      </c>
      <c r="CV149" s="635">
        <f>SUMIF(Input!$G$105:$Q$105,CV$6,Input!$G114:$Q114)*IFERROR(CHOOSE(MATCH(Input!$E114,OIUnitType,),1,CV$13,MAX(CV$13*(1-SUMIF(Input!$G$89:$Q$89,CV$6,Input!$G$90:$Q$90)-CV$31),))*IF(Input!$F114=PerMonth,1,1/12),1/12)</f>
        <v>0</v>
      </c>
      <c r="CW149" s="635">
        <f>SUMIF(Input!$G$105:$Q$105,CW$6,Input!$G114:$Q114)*IFERROR(CHOOSE(MATCH(Input!$E114,OIUnitType,),1,CW$13,MAX(CW$13*(1-SUMIF(Input!$G$89:$Q$89,CW$6,Input!$G$90:$Q$90)-CW$31),))*IF(Input!$F114=PerMonth,1,1/12),1/12)</f>
        <v>0</v>
      </c>
      <c r="CX149" s="635">
        <f>SUMIF(Input!$G$105:$Q$105,CX$6,Input!$G114:$Q114)*IFERROR(CHOOSE(MATCH(Input!$E114,OIUnitType,),1,CX$13,MAX(CX$13*(1-SUMIF(Input!$G$89:$Q$89,CX$6,Input!$G$90:$Q$90)-CX$31),))*IF(Input!$F114=PerMonth,1,1/12),1/12)</f>
        <v>0</v>
      </c>
      <c r="CY149" s="635">
        <f>SUMIF(Input!$G$105:$Q$105,CY$6,Input!$G114:$Q114)*IFERROR(CHOOSE(MATCH(Input!$E114,OIUnitType,),1,CY$13,MAX(CY$13*(1-SUMIF(Input!$G$89:$Q$89,CY$6,Input!$G$90:$Q$90)-CY$31),))*IF(Input!$F114=PerMonth,1,1/12),1/12)</f>
        <v>0</v>
      </c>
      <c r="CZ149" s="635">
        <f>SUMIF(Input!$G$105:$Q$105,CZ$6,Input!$G114:$Q114)*IFERROR(CHOOSE(MATCH(Input!$E114,OIUnitType,),1,CZ$13,MAX(CZ$13*(1-SUMIF(Input!$G$89:$Q$89,CZ$6,Input!$G$90:$Q$90)-CZ$31),))*IF(Input!$F114=PerMonth,1,1/12),1/12)</f>
        <v>0</v>
      </c>
      <c r="DA149" s="635">
        <f>SUMIF(Input!$G$105:$Q$105,DA$6,Input!$G114:$Q114)*IFERROR(CHOOSE(MATCH(Input!$E114,OIUnitType,),1,DA$13,MAX(DA$13*(1-SUMIF(Input!$G$89:$Q$89,DA$6,Input!$G$90:$Q$90)-DA$31),))*IF(Input!$F114=PerMonth,1,1/12),1/12)</f>
        <v>0</v>
      </c>
      <c r="DB149" s="635">
        <f>SUMIF(Input!$G$105:$Q$105,DB$6,Input!$G114:$Q114)*IFERROR(CHOOSE(MATCH(Input!$E114,OIUnitType,),1,DB$13,MAX(DB$13*(1-SUMIF(Input!$G$89:$Q$89,DB$6,Input!$G$90:$Q$90)-DB$31),))*IF(Input!$F114=PerMonth,1,1/12),1/12)</f>
        <v>0</v>
      </c>
      <c r="DC149" s="635">
        <f>SUMIF(Input!$G$105:$Q$105,DC$6,Input!$G114:$Q114)*IFERROR(CHOOSE(MATCH(Input!$E114,OIUnitType,),1,DC$13,MAX(DC$13*(1-SUMIF(Input!$G$89:$Q$89,DC$6,Input!$G$90:$Q$90)-DC$31),))*IF(Input!$F114=PerMonth,1,1/12),1/12)</f>
        <v>0</v>
      </c>
      <c r="DD149" s="635">
        <f>SUMIF(Input!$G$105:$Q$105,DD$6,Input!$G114:$Q114)*IFERROR(CHOOSE(MATCH(Input!$E114,OIUnitType,),1,DD$13,MAX(DD$13*(1-SUMIF(Input!$G$89:$Q$89,DD$6,Input!$G$90:$Q$90)-DD$31),))*IF(Input!$F114=PerMonth,1,1/12),1/12)</f>
        <v>0</v>
      </c>
      <c r="DE149" s="635">
        <f>SUMIF(Input!$G$105:$Q$105,DE$6,Input!$G114:$Q114)*IFERROR(CHOOSE(MATCH(Input!$E114,OIUnitType,),1,DE$13,MAX(DE$13*(1-SUMIF(Input!$G$89:$Q$89,DE$6,Input!$G$90:$Q$90)-DE$31),))*IF(Input!$F114=PerMonth,1,1/12),1/12)</f>
        <v>0</v>
      </c>
      <c r="DF149" s="635">
        <f>SUMIF(Input!$G$105:$Q$105,DF$6,Input!$G114:$Q114)*IFERROR(CHOOSE(MATCH(Input!$E114,OIUnitType,),1,DF$13,MAX(DF$13*(1-SUMIF(Input!$G$89:$Q$89,DF$6,Input!$G$90:$Q$90)-DF$31),))*IF(Input!$F114=PerMonth,1,1/12),1/12)</f>
        <v>0</v>
      </c>
      <c r="DG149" s="635">
        <f>SUMIF(Input!$G$105:$Q$105,DG$6,Input!$G114:$Q114)*IFERROR(CHOOSE(MATCH(Input!$E114,OIUnitType,),1,DG$13,MAX(DG$13*(1-SUMIF(Input!$G$89:$Q$89,DG$6,Input!$G$90:$Q$90)-DG$31),))*IF(Input!$F114=PerMonth,1,1/12),1/12)</f>
        <v>0</v>
      </c>
      <c r="DH149" s="635">
        <f>SUMIF(Input!$G$105:$Q$105,DH$6,Input!$G114:$Q114)*IFERROR(CHOOSE(MATCH(Input!$E114,OIUnitType,),1,DH$13,MAX(DH$13*(1-SUMIF(Input!$G$89:$Q$89,DH$6,Input!$G$90:$Q$90)-DH$31),))*IF(Input!$F114=PerMonth,1,1/12),1/12)</f>
        <v>0</v>
      </c>
      <c r="DI149" s="635">
        <f>SUMIF(Input!$G$105:$Q$105,DI$6,Input!$G114:$Q114)*IFERROR(CHOOSE(MATCH(Input!$E114,OIUnitType,),1,DI$13,MAX(DI$13*(1-SUMIF(Input!$G$89:$Q$89,DI$6,Input!$G$90:$Q$90)-DI$31),))*IF(Input!$F114=PerMonth,1,1/12),1/12)</f>
        <v>0</v>
      </c>
      <c r="DJ149" s="635">
        <f>SUMIF(Input!$G$105:$Q$105,DJ$6,Input!$G114:$Q114)*IFERROR(CHOOSE(MATCH(Input!$E114,OIUnitType,),1,DJ$13,MAX(DJ$13*(1-SUMIF(Input!$G$89:$Q$89,DJ$6,Input!$G$90:$Q$90)-DJ$31),))*IF(Input!$F114=PerMonth,1,1/12),1/12)</f>
        <v>0</v>
      </c>
      <c r="DK149" s="635">
        <f>SUMIF(Input!$G$105:$Q$105,DK$6,Input!$G114:$Q114)*IFERROR(CHOOSE(MATCH(Input!$E114,OIUnitType,),1,DK$13,MAX(DK$13*(1-SUMIF(Input!$G$89:$Q$89,DK$6,Input!$G$90:$Q$90)-DK$31),))*IF(Input!$F114=PerMonth,1,1/12),1/12)</f>
        <v>0</v>
      </c>
      <c r="DL149" s="635">
        <f>SUMIF(Input!$G$105:$Q$105,DL$6,Input!$G114:$Q114)*IFERROR(CHOOSE(MATCH(Input!$E114,OIUnitType,),1,DL$13,MAX(DL$13*(1-SUMIF(Input!$G$89:$Q$89,DL$6,Input!$G$90:$Q$90)-DL$31),))*IF(Input!$F114=PerMonth,1,1/12),1/12)</f>
        <v>0</v>
      </c>
      <c r="DM149" s="635">
        <f>SUMIF(Input!$G$105:$Q$105,DM$6,Input!$G114:$Q114)*IFERROR(CHOOSE(MATCH(Input!$E114,OIUnitType,),1,DM$13,MAX(DM$13*(1-SUMIF(Input!$G$89:$Q$89,DM$6,Input!$G$90:$Q$90)-DM$31),))*IF(Input!$F114=PerMonth,1,1/12),1/12)</f>
        <v>0</v>
      </c>
      <c r="DN149" s="635">
        <f>SUMIF(Input!$G$105:$Q$105,DN$6,Input!$G114:$Q114)*IFERROR(CHOOSE(MATCH(Input!$E114,OIUnitType,),1,DN$13,MAX(DN$13*(1-SUMIF(Input!$G$89:$Q$89,DN$6,Input!$G$90:$Q$90)-DN$31),))*IF(Input!$F114=PerMonth,1,1/12),1/12)</f>
        <v>0</v>
      </c>
      <c r="DO149" s="635">
        <f>SUMIF(Input!$G$105:$Q$105,DO$6,Input!$G114:$Q114)*IFERROR(CHOOSE(MATCH(Input!$E114,OIUnitType,),1,DO$13,MAX(DO$13*(1-SUMIF(Input!$G$89:$Q$89,DO$6,Input!$G$90:$Q$90)-DO$31),))*IF(Input!$F114=PerMonth,1,1/12),1/12)</f>
        <v>0</v>
      </c>
      <c r="DP149" s="635">
        <f>SUMIF(Input!$G$105:$Q$105,DP$6,Input!$G114:$Q114)*IFERROR(CHOOSE(MATCH(Input!$E114,OIUnitType,),1,DP$13,MAX(DP$13*(1-SUMIF(Input!$G$89:$Q$89,DP$6,Input!$G$90:$Q$90)-DP$31),))*IF(Input!$F114=PerMonth,1,1/12),1/12)</f>
        <v>0</v>
      </c>
      <c r="DQ149" s="635">
        <f>SUMIF(Input!$G$105:$Q$105,DQ$6,Input!$G114:$Q114)*IFERROR(CHOOSE(MATCH(Input!$E114,OIUnitType,),1,DQ$13,MAX(DQ$13*(1-SUMIF(Input!$G$89:$Q$89,DQ$6,Input!$G$90:$Q$90)-DQ$31),))*IF(Input!$F114=PerMonth,1,1/12),1/12)</f>
        <v>0</v>
      </c>
      <c r="DR149" s="635">
        <f>SUMIF(Input!$G$105:$Q$105,DR$6,Input!$G114:$Q114)*IFERROR(CHOOSE(MATCH(Input!$E114,OIUnitType,),1,DR$13,MAX(DR$13*(1-SUMIF(Input!$G$89:$Q$89,DR$6,Input!$G$90:$Q$90)-DR$31),))*IF(Input!$F114=PerMonth,1,1/12),1/12)</f>
        <v>0</v>
      </c>
      <c r="DS149" s="635">
        <f>SUMIF(Input!$G$105:$Q$105,DS$6,Input!$G114:$Q114)*IFERROR(CHOOSE(MATCH(Input!$E114,OIUnitType,),1,DS$13,MAX(DS$13*(1-SUMIF(Input!$G$89:$Q$89,DS$6,Input!$G$90:$Q$90)-DS$31),))*IF(Input!$F114=PerMonth,1,1/12),1/12)</f>
        <v>0</v>
      </c>
      <c r="DT149" s="635">
        <f>SUMIF(Input!$G$105:$Q$105,DT$6,Input!$G114:$Q114)*IFERROR(CHOOSE(MATCH(Input!$E114,OIUnitType,),1,DT$13,MAX(DT$13*(1-SUMIF(Input!$G$89:$Q$89,DT$6,Input!$G$90:$Q$90)-DT$31),))*IF(Input!$F114=PerMonth,1,1/12),1/12)</f>
        <v>0</v>
      </c>
      <c r="DU149" s="635">
        <f>SUMIF(Input!$G$105:$Q$105,DU$6,Input!$G114:$Q114)*IFERROR(CHOOSE(MATCH(Input!$E114,OIUnitType,),1,DU$13,MAX(DU$13*(1-SUMIF(Input!$G$89:$Q$89,DU$6,Input!$G$90:$Q$90)-DU$31),))*IF(Input!$F114=PerMonth,1,1/12),1/12)</f>
        <v>0</v>
      </c>
      <c r="DV149" s="635">
        <f>SUMIF(Input!$G$105:$Q$105,DV$6,Input!$G114:$Q114)*IFERROR(CHOOSE(MATCH(Input!$E114,OIUnitType,),1,DV$13,MAX(DV$13*(1-SUMIF(Input!$G$89:$Q$89,DV$6,Input!$G$90:$Q$90)-DV$31),))*IF(Input!$F114=PerMonth,1,1/12),1/12)</f>
        <v>0</v>
      </c>
      <c r="DW149" s="635">
        <f>SUMIF(Input!$G$105:$Q$105,DW$6,Input!$G114:$Q114)*IFERROR(CHOOSE(MATCH(Input!$E114,OIUnitType,),1,DW$13,MAX(DW$13*(1-SUMIF(Input!$G$89:$Q$89,DW$6,Input!$G$90:$Q$90)-DW$31),))*IF(Input!$F114=PerMonth,1,1/12),1/12)</f>
        <v>0</v>
      </c>
      <c r="DX149" s="635">
        <f>SUMIF(Input!$G$105:$Q$105,DX$6,Input!$G114:$Q114)*IFERROR(CHOOSE(MATCH(Input!$E114,OIUnitType,),1,DX$13,MAX(DX$13*(1-SUMIF(Input!$G$89:$Q$89,DX$6,Input!$G$90:$Q$90)-DX$31),))*IF(Input!$F114=PerMonth,1,1/12),1/12)</f>
        <v>0</v>
      </c>
      <c r="DY149" s="635">
        <f>SUMIF(Input!$G$105:$Q$105,DY$6,Input!$G114:$Q114)*IFERROR(CHOOSE(MATCH(Input!$E114,OIUnitType,),1,DY$13,MAX(DY$13*(1-SUMIF(Input!$G$89:$Q$89,DY$6,Input!$G$90:$Q$90)-DY$31),))*IF(Input!$F114=PerMonth,1,1/12),1/12)</f>
        <v>0</v>
      </c>
      <c r="DZ149" s="635">
        <f>SUMIF(Input!$G$105:$Q$105,DZ$6,Input!$G114:$Q114)*IFERROR(CHOOSE(MATCH(Input!$E114,OIUnitType,),1,DZ$13,MAX(DZ$13*(1-SUMIF(Input!$G$89:$Q$89,DZ$6,Input!$G$90:$Q$90)-DZ$31),))*IF(Input!$F114=PerMonth,1,1/12),1/12)</f>
        <v>0</v>
      </c>
      <c r="EA149" s="635">
        <f>SUMIF(Input!$G$105:$Q$105,EA$6,Input!$G114:$Q114)*IFERROR(CHOOSE(MATCH(Input!$E114,OIUnitType,),1,EA$13,MAX(EA$13*(1-SUMIF(Input!$G$89:$Q$89,EA$6,Input!$G$90:$Q$90)-EA$31),))*IF(Input!$F114=PerMonth,1,1/12),1/12)</f>
        <v>0</v>
      </c>
      <c r="EB149" s="635">
        <f>SUMIF(Input!$G$105:$Q$105,EB$6,Input!$G114:$Q114)*IFERROR(CHOOSE(MATCH(Input!$E114,OIUnitType,),1,EB$13,MAX(EB$13*(1-SUMIF(Input!$G$89:$Q$89,EB$6,Input!$G$90:$Q$90)-EB$31),))*IF(Input!$F114=PerMonth,1,1/12),1/12)</f>
        <v>0</v>
      </c>
      <c r="EC149" s="635">
        <f>SUMIF(Input!$G$105:$Q$105,EC$6,Input!$G114:$Q114)*IFERROR(CHOOSE(MATCH(Input!$E114,OIUnitType,),1,EC$13,MAX(EC$13*(1-SUMIF(Input!$G$89:$Q$89,EC$6,Input!$G$90:$Q$90)-EC$31),))*IF(Input!$F114=PerMonth,1,1/12),1/12)</f>
        <v>0</v>
      </c>
      <c r="ED149" s="635">
        <f>SUMIF(Input!$G$105:$Q$105,ED$6,Input!$G114:$Q114)*IFERROR(CHOOSE(MATCH(Input!$E114,OIUnitType,),1,ED$13,MAX(ED$13*(1-SUMIF(Input!$G$89:$Q$89,ED$6,Input!$G$90:$Q$90)-ED$31),))*IF(Input!$F114=PerMonth,1,1/12),1/12)</f>
        <v>0</v>
      </c>
      <c r="EE149" s="635">
        <f>SUMIF(Input!$G$105:$Q$105,EE$6,Input!$G114:$Q114)*IFERROR(CHOOSE(MATCH(Input!$E114,OIUnitType,),1,EE$13,MAX(EE$13*(1-SUMIF(Input!$G$89:$Q$89,EE$6,Input!$G$90:$Q$90)-EE$31),))*IF(Input!$F114=PerMonth,1,1/12),1/12)</f>
        <v>0</v>
      </c>
      <c r="EF149" s="635">
        <f>SUMIF(Input!$G$105:$Q$105,EF$6,Input!$G114:$Q114)*IFERROR(CHOOSE(MATCH(Input!$E114,OIUnitType,),1,EF$13,MAX(EF$13*(1-SUMIF(Input!$G$89:$Q$89,EF$6,Input!$G$90:$Q$90)-EF$31),))*IF(Input!$F114=PerMonth,1,1/12),1/12)</f>
        <v>0</v>
      </c>
      <c r="EG149" s="635">
        <f>SUMIF(Input!$G$105:$Q$105,EG$6,Input!$G114:$Q114)*IFERROR(CHOOSE(MATCH(Input!$E114,OIUnitType,),1,EG$13,MAX(EG$13*(1-SUMIF(Input!$G$89:$Q$89,EG$6,Input!$G$90:$Q$90)-EG$31),))*IF(Input!$F114=PerMonth,1,1/12),1/12)</f>
        <v>0</v>
      </c>
      <c r="EH149" s="635">
        <f>SUMIF(Input!$G$105:$Q$105,EH$6,Input!$G114:$Q114)*IFERROR(CHOOSE(MATCH(Input!$E114,OIUnitType,),1,EH$13,MAX(EH$13*(1-SUMIF(Input!$G$89:$Q$89,EH$6,Input!$G$90:$Q$90)-EH$31),))*IF(Input!$F114=PerMonth,1,1/12),1/12)</f>
        <v>0</v>
      </c>
      <c r="EI149" s="635">
        <f>SUMIF(Input!$G$105:$Q$105,EI$6,Input!$G114:$Q114)*IFERROR(CHOOSE(MATCH(Input!$E114,OIUnitType,),1,EI$13,MAX(EI$13*(1-SUMIF(Input!$G$89:$Q$89,EI$6,Input!$G$90:$Q$90)-EI$31),))*IF(Input!$F114=PerMonth,1,1/12),1/12)</f>
        <v>0</v>
      </c>
      <c r="EJ149" s="635">
        <f>SUMIF(Input!$G$105:$Q$105,EJ$6,Input!$G114:$Q114)*IFERROR(CHOOSE(MATCH(Input!$E114,OIUnitType,),1,EJ$13,MAX(EJ$13*(1-SUMIF(Input!$G$89:$Q$89,EJ$6,Input!$G$90:$Q$90)-EJ$31),))*IF(Input!$F114=PerMonth,1,1/12),1/12)</f>
        <v>0</v>
      </c>
      <c r="EK149" s="635">
        <f>SUMIF(Input!$G$105:$Q$105,EK$6,Input!$G114:$Q114)*IFERROR(CHOOSE(MATCH(Input!$E114,OIUnitType,),1,EK$13,MAX(EK$13*(1-SUMIF(Input!$G$89:$Q$89,EK$6,Input!$G$90:$Q$90)-EK$31),))*IF(Input!$F114=PerMonth,1,1/12),1/12)</f>
        <v>0</v>
      </c>
      <c r="EL149" s="635">
        <f>SUMIF(Input!$G$105:$Q$105,EL$6,Input!$G114:$Q114)*IFERROR(CHOOSE(MATCH(Input!$E114,OIUnitType,),1,EL$13,MAX(EL$13*(1-SUMIF(Input!$G$89:$Q$89,EL$6,Input!$G$90:$Q$90)-EL$31),))*IF(Input!$F114=PerMonth,1,1/12),1/12)</f>
        <v>0</v>
      </c>
      <c r="EM149" s="635">
        <f>SUMIF(Input!$G$105:$Q$105,EM$6,Input!$G114:$Q114)*IFERROR(CHOOSE(MATCH(Input!$E114,OIUnitType,),1,EM$13,MAX(EM$13*(1-SUMIF(Input!$G$89:$Q$89,EM$6,Input!$G$90:$Q$90)-EM$31),))*IF(Input!$F114=PerMonth,1,1/12),1/12)</f>
        <v>0</v>
      </c>
      <c r="EN149" s="635">
        <f>SUMIF(Input!$G$105:$Q$105,EN$6,Input!$G114:$Q114)*IFERROR(CHOOSE(MATCH(Input!$E114,OIUnitType,),1,EN$13,MAX(EN$13*(1-SUMIF(Input!$G$89:$Q$89,EN$6,Input!$G$90:$Q$90)-EN$31),))*IF(Input!$F114=PerMonth,1,1/12),1/12)</f>
        <v>0</v>
      </c>
      <c r="EO149" s="635">
        <f>SUMIF(Input!$G$105:$Q$105,EO$6,Input!$G114:$Q114)*IFERROR(CHOOSE(MATCH(Input!$E114,OIUnitType,),1,EO$13,MAX(EO$13*(1-SUMIF(Input!$G$89:$Q$89,EO$6,Input!$G$90:$Q$90)-EO$31),))*IF(Input!$F114=PerMonth,1,1/12),1/12)</f>
        <v>0</v>
      </c>
      <c r="EP149" s="635">
        <f>SUMIF(Input!$G$105:$Q$105,EP$6,Input!$G114:$Q114)*IFERROR(CHOOSE(MATCH(Input!$E114,OIUnitType,),1,EP$13,MAX(EP$13*(1-SUMIF(Input!$G$89:$Q$89,EP$6,Input!$G$90:$Q$90)-EP$31),))*IF(Input!$F114=PerMonth,1,1/12),1/12)</f>
        <v>0</v>
      </c>
      <c r="EQ149" s="635">
        <f>SUMIF(Input!$G$105:$Q$105,EQ$6,Input!$G114:$Q114)*IFERROR(CHOOSE(MATCH(Input!$E114,OIUnitType,),1,EQ$13,MAX(EQ$13*(1-SUMIF(Input!$G$89:$Q$89,EQ$6,Input!$G$90:$Q$90)-EQ$31),))*IF(Input!$F114=PerMonth,1,1/12),1/12)</f>
        <v>0</v>
      </c>
      <c r="ER149" s="635">
        <f>SUMIF(Input!$G$105:$Q$105,ER$6,Input!$G114:$Q114)*IFERROR(CHOOSE(MATCH(Input!$E114,OIUnitType,),1,ER$13,MAX(ER$13*(1-SUMIF(Input!$G$89:$Q$89,ER$6,Input!$G$90:$Q$90)-ER$31),))*IF(Input!$F114=PerMonth,1,1/12),1/12)</f>
        <v>0</v>
      </c>
      <c r="ES149" s="635">
        <f>SUMIF(Input!$G$105:$Q$105,ES$6,Input!$G114:$Q114)*IFERROR(CHOOSE(MATCH(Input!$E114,OIUnitType,),1,ES$13,MAX(ES$13*(1-SUMIF(Input!$G$89:$Q$89,ES$6,Input!$G$90:$Q$90)-ES$31),))*IF(Input!$F114=PerMonth,1,1/12),1/12)</f>
        <v>0</v>
      </c>
      <c r="ET149" s="192"/>
    </row>
    <row r="150" spans="1:150">
      <c r="A150" s="192"/>
      <c r="B150" s="36" t="str">
        <f>IF(Input!B115="","",Input!B115)</f>
        <v/>
      </c>
      <c r="C150" s="635">
        <f t="shared" si="141"/>
        <v>0</v>
      </c>
      <c r="D150" s="635">
        <f t="shared" si="141"/>
        <v>0</v>
      </c>
      <c r="E150" s="635">
        <f t="shared" si="141"/>
        <v>0</v>
      </c>
      <c r="F150" s="635">
        <f t="shared" si="141"/>
        <v>0</v>
      </c>
      <c r="G150" s="635">
        <f t="shared" si="141"/>
        <v>0</v>
      </c>
      <c r="H150" s="635">
        <f t="shared" si="141"/>
        <v>0</v>
      </c>
      <c r="I150" s="635">
        <f t="shared" si="141"/>
        <v>0</v>
      </c>
      <c r="J150" s="635">
        <f t="shared" si="141"/>
        <v>0</v>
      </c>
      <c r="K150" s="635">
        <f t="shared" si="141"/>
        <v>0</v>
      </c>
      <c r="L150" s="635">
        <f t="shared" si="141"/>
        <v>0</v>
      </c>
      <c r="M150" s="635">
        <f t="shared" si="141"/>
        <v>0</v>
      </c>
      <c r="N150" s="192"/>
      <c r="O150" s="635">
        <f t="shared" si="142"/>
        <v>0</v>
      </c>
      <c r="P150" s="192"/>
      <c r="Q150" s="37"/>
      <c r="R150" s="635">
        <f>SUMIF(Input!$G$105:$Q$105,R$6,Input!$G115:$Q115)*IFERROR(CHOOSE(MATCH(Input!$E115,OIUnitType,),1,R$13,MAX(R$13*(1+SUM(R$72:R$73)/R$71),))*IF(Input!$F115=PerMonth,1,1/12),1/12)</f>
        <v>0</v>
      </c>
      <c r="S150" s="635">
        <f>SUMIF(Input!$G$105:$Q$105,S$6,Input!$G115:$Q115)*IFERROR(CHOOSE(MATCH(Input!$E115,OIUnitType,),1,S$13,MAX(S$13*(1+SUM(S$72:S$73)/S$71),))*IF(Input!$F115=PerMonth,1,1/12),1/12)</f>
        <v>0</v>
      </c>
      <c r="T150" s="635">
        <f>SUMIF(Input!$G$105:$Q$105,T$6,Input!$G115:$Q115)*IFERROR(CHOOSE(MATCH(Input!$E115,OIUnitType,),1,T$13,MAX(T$13*(1+SUM(T$72:T$73)/T$71),))*IF(Input!$F115=PerMonth,1,1/12),1/12)</f>
        <v>0</v>
      </c>
      <c r="U150" s="635">
        <f>SUMIF(Input!$G$105:$Q$105,U$6,Input!$G115:$Q115)*IFERROR(CHOOSE(MATCH(Input!$E115,OIUnitType,),1,U$13,MAX(U$13*(1+SUM(U$72:U$73)/U$71),))*IF(Input!$F115=PerMonth,1,1/12),1/12)</f>
        <v>0</v>
      </c>
      <c r="V150" s="635">
        <f>SUMIF(Input!$G$105:$Q$105,V$6,Input!$G115:$Q115)*IFERROR(CHOOSE(MATCH(Input!$E115,OIUnitType,),1,V$13,MAX(V$13*(1+SUM(V$72:V$73)/V$71),))*IF(Input!$F115=PerMonth,1,1/12),1/12)</f>
        <v>0</v>
      </c>
      <c r="W150" s="635">
        <f>SUMIF(Input!$G$105:$Q$105,W$6,Input!$G115:$Q115)*IFERROR(CHOOSE(MATCH(Input!$E115,OIUnitType,),1,W$13,MAX(W$13*(1+SUM(W$72:W$73)/W$71),))*IF(Input!$F115=PerMonth,1,1/12),1/12)</f>
        <v>0</v>
      </c>
      <c r="X150" s="635">
        <f>SUMIF(Input!$G$105:$Q$105,X$6,Input!$G115:$Q115)*IFERROR(CHOOSE(MATCH(Input!$E115,OIUnitType,),1,X$13,MAX(X$13*(1+SUM(X$72:X$73)/X$71),))*IF(Input!$F115=PerMonth,1,1/12),1/12)</f>
        <v>0</v>
      </c>
      <c r="Y150" s="635">
        <f>SUMIF(Input!$G$105:$Q$105,Y$6,Input!$G115:$Q115)*IFERROR(CHOOSE(MATCH(Input!$E115,OIUnitType,),1,Y$13,MAX(Y$13*(1+SUM(Y$72:Y$73)/Y$71),))*IF(Input!$F115=PerMonth,1,1/12),1/12)</f>
        <v>0</v>
      </c>
      <c r="Z150" s="635">
        <f>SUMIF(Input!$G$105:$Q$105,Z$6,Input!$G115:$Q115)*IFERROR(CHOOSE(MATCH(Input!$E115,OIUnitType,),1,Z$13,MAX(Z$13*(1+SUM(Z$72:Z$73)/Z$71),))*IF(Input!$F115=PerMonth,1,1/12),1/12)</f>
        <v>0</v>
      </c>
      <c r="AA150" s="635">
        <f>SUMIF(Input!$G$105:$Q$105,AA$6,Input!$G115:$Q115)*IFERROR(CHOOSE(MATCH(Input!$E115,OIUnitType,),1,AA$13,MAX(AA$13*(1+SUM(AA$72:AA$73)/AA$71),))*IF(Input!$F115=PerMonth,1,1/12),1/12)</f>
        <v>0</v>
      </c>
      <c r="AB150" s="635">
        <f>SUMIF(Input!$G$105:$Q$105,AB$6,Input!$G115:$Q115)*IFERROR(CHOOSE(MATCH(Input!$E115,OIUnitType,),1,AB$13,MAX(AB$13*(1+SUM(AB$72:AB$73)/AB$71),))*IF(Input!$F115=PerMonth,1,1/12),1/12)</f>
        <v>0</v>
      </c>
      <c r="AC150" s="635">
        <f>SUMIF(Input!$G$105:$Q$105,AC$6,Input!$G115:$Q115)*IFERROR(CHOOSE(MATCH(Input!$E115,OIUnitType,),1,AC$13,MAX(AC$13*(1+SUM(AC$72:AC$73)/AC$71),))*IF(Input!$F115=PerMonth,1,1/12),1/12)</f>
        <v>0</v>
      </c>
      <c r="AD150" s="635">
        <f>SUMIF(Input!$G$105:$Q$105,AD$6,Input!$G115:$Q115)*IFERROR(CHOOSE(MATCH(Input!$E115,OIUnitType,),1,AD$13,MAX(AD$13*(1+SUM(AD$72:AD$73)/AD$71),))*IF(Input!$F115=PerMonth,1,1/12),1/12)</f>
        <v>0</v>
      </c>
      <c r="AE150" s="635">
        <f>SUMIF(Input!$G$105:$Q$105,AE$6,Input!$G115:$Q115)*IFERROR(CHOOSE(MATCH(Input!$E115,OIUnitType,),1,AE$13,MAX(AE$13*(1+SUM(AE$72:AE$73)/AE$71),))*IF(Input!$F115=PerMonth,1,1/12),1/12)</f>
        <v>0</v>
      </c>
      <c r="AF150" s="635">
        <f>SUMIF(Input!$G$105:$Q$105,AF$6,Input!$G115:$Q115)*IFERROR(CHOOSE(MATCH(Input!$E115,OIUnitType,),1,AF$13,MAX(AF$13*(1+SUM(AF$72:AF$73)/AF$71),))*IF(Input!$F115=PerMonth,1,1/12),1/12)</f>
        <v>0</v>
      </c>
      <c r="AG150" s="635">
        <f>SUMIF(Input!$G$105:$Q$105,AG$6,Input!$G115:$Q115)*IFERROR(CHOOSE(MATCH(Input!$E115,OIUnitType,),1,AG$13,MAX(AG$13*(1+SUM(AG$72:AG$73)/AG$71),))*IF(Input!$F115=PerMonth,1,1/12),1/12)</f>
        <v>0</v>
      </c>
      <c r="AH150" s="635">
        <f>SUMIF(Input!$G$105:$Q$105,AH$6,Input!$G115:$Q115)*IFERROR(CHOOSE(MATCH(Input!$E115,OIUnitType,),1,AH$13,MAX(AH$13*(1+SUM(AH$72:AH$73)/AH$71),))*IF(Input!$F115=PerMonth,1,1/12),1/12)</f>
        <v>0</v>
      </c>
      <c r="AI150" s="635">
        <f>SUMIF(Input!$G$105:$Q$105,AI$6,Input!$G115:$Q115)*IFERROR(CHOOSE(MATCH(Input!$E115,OIUnitType,),1,AI$13,MAX(AI$13*(1+SUM(AI$72:AI$73)/AI$71),))*IF(Input!$F115=PerMonth,1,1/12),1/12)</f>
        <v>0</v>
      </c>
      <c r="AJ150" s="635">
        <f>SUMIF(Input!$G$105:$Q$105,AJ$6,Input!$G115:$Q115)*IFERROR(CHOOSE(MATCH(Input!$E115,OIUnitType,),1,AJ$13,MAX(AJ$13*(1+SUM(AJ$72:AJ$73)/AJ$71),))*IF(Input!$F115=PerMonth,1,1/12),1/12)</f>
        <v>0</v>
      </c>
      <c r="AK150" s="635">
        <f>SUMIF(Input!$G$105:$Q$105,AK$6,Input!$G115:$Q115)*IFERROR(CHOOSE(MATCH(Input!$E115,OIUnitType,),1,AK$13,MAX(AK$13*(1+SUM(AK$72:AK$73)/AK$71),))*IF(Input!$F115=PerMonth,1,1/12),1/12)</f>
        <v>0</v>
      </c>
      <c r="AL150" s="635">
        <f>SUMIF(Input!$G$105:$Q$105,AL$6,Input!$G115:$Q115)*IFERROR(CHOOSE(MATCH(Input!$E115,OIUnitType,),1,AL$13,MAX(AL$13*(1+SUM(AL$72:AL$73)/AL$71),))*IF(Input!$F115=PerMonth,1,1/12),1/12)</f>
        <v>0</v>
      </c>
      <c r="AM150" s="635">
        <f>SUMIF(Input!$G$105:$Q$105,AM$6,Input!$G115:$Q115)*IFERROR(CHOOSE(MATCH(Input!$E115,OIUnitType,),1,AM$13,MAX(AM$13*(1+SUM(AM$72:AM$73)/AM$71),))*IF(Input!$F115=PerMonth,1,1/12),1/12)</f>
        <v>0</v>
      </c>
      <c r="AN150" s="635">
        <f>SUMIF(Input!$G$105:$Q$105,AN$6,Input!$G115:$Q115)*IFERROR(CHOOSE(MATCH(Input!$E115,OIUnitType,),1,AN$13,MAX(AN$13*(1+SUM(AN$72:AN$73)/AN$71),))*IF(Input!$F115=PerMonth,1,1/12),1/12)</f>
        <v>0</v>
      </c>
      <c r="AO150" s="635">
        <f>SUMIF(Input!$G$105:$Q$105,AO$6,Input!$G115:$Q115)*IFERROR(CHOOSE(MATCH(Input!$E115,OIUnitType,),1,AO$13,MAX(AO$13*(1+SUM(AO$72:AO$73)/AO$71),))*IF(Input!$F115=PerMonth,1,1/12),1/12)</f>
        <v>0</v>
      </c>
      <c r="AP150" s="635">
        <f>SUMIF(Input!$G$105:$Q$105,AP$6,Input!$G115:$Q115)*IFERROR(CHOOSE(MATCH(Input!$E115,OIUnitType,),1,AP$13,MAX(AP$13*(1+SUM(AP$72:AP$73)/AP$71),))*IF(Input!$F115=PerMonth,1,1/12),1/12)</f>
        <v>0</v>
      </c>
      <c r="AQ150" s="635">
        <f>SUMIF(Input!$G$105:$Q$105,AQ$6,Input!$G115:$Q115)*IFERROR(CHOOSE(MATCH(Input!$E115,OIUnitType,),1,AQ$13,MAX(AQ$13*(1+SUM(AQ$72:AQ$73)/AQ$71),))*IF(Input!$F115=PerMonth,1,1/12),1/12)</f>
        <v>0</v>
      </c>
      <c r="AR150" s="635">
        <f>SUMIF(Input!$G$105:$Q$105,AR$6,Input!$G115:$Q115)*IFERROR(CHOOSE(MATCH(Input!$E115,OIUnitType,),1,AR$13,MAX(AR$13*(1+SUM(AR$72:AR$73)/AR$71),))*IF(Input!$F115=PerMonth,1,1/12),1/12)</f>
        <v>0</v>
      </c>
      <c r="AS150" s="635">
        <f>SUMIF(Input!$G$105:$Q$105,AS$6,Input!$G115:$Q115)*IFERROR(CHOOSE(MATCH(Input!$E115,OIUnitType,),1,AS$13,MAX(AS$13*(1+SUM(AS$72:AS$73)/AS$71),))*IF(Input!$F115=PerMonth,1,1/12),1/12)</f>
        <v>0</v>
      </c>
      <c r="AT150" s="635">
        <f>SUMIF(Input!$G$105:$Q$105,AT$6,Input!$G115:$Q115)*IFERROR(CHOOSE(MATCH(Input!$E115,OIUnitType,),1,AT$13,MAX(AT$13*(1+SUM(AT$72:AT$73)/AT$71),))*IF(Input!$F115=PerMonth,1,1/12),1/12)</f>
        <v>0</v>
      </c>
      <c r="AU150" s="635">
        <f>SUMIF(Input!$G$105:$Q$105,AU$6,Input!$G115:$Q115)*IFERROR(CHOOSE(MATCH(Input!$E115,OIUnitType,),1,AU$13,MAX(AU$13*(1+SUM(AU$72:AU$73)/AU$71),))*IF(Input!$F115=PerMonth,1,1/12),1/12)</f>
        <v>0</v>
      </c>
      <c r="AV150" s="635">
        <f>SUMIF(Input!$G$105:$Q$105,AV$6,Input!$G115:$Q115)*IFERROR(CHOOSE(MATCH(Input!$E115,OIUnitType,),1,AV$13,MAX(AV$13*(1+SUM(AV$72:AV$73)/AV$71),))*IF(Input!$F115=PerMonth,1,1/12),1/12)</f>
        <v>0</v>
      </c>
      <c r="AW150" s="635">
        <f>SUMIF(Input!$G$105:$Q$105,AW$6,Input!$G115:$Q115)*IFERROR(CHOOSE(MATCH(Input!$E115,OIUnitType,),1,AW$13,MAX(AW$13*(1+SUM(AW$72:AW$73)/AW$71),))*IF(Input!$F115=PerMonth,1,1/12),1/12)</f>
        <v>0</v>
      </c>
      <c r="AX150" s="635">
        <f>SUMIF(Input!$G$105:$Q$105,AX$6,Input!$G115:$Q115)*IFERROR(CHOOSE(MATCH(Input!$E115,OIUnitType,),1,AX$13,MAX(AX$13*(1+SUM(AX$72:AX$73)/AX$71),))*IF(Input!$F115=PerMonth,1,1/12),1/12)</f>
        <v>0</v>
      </c>
      <c r="AY150" s="635">
        <f>SUMIF(Input!$G$105:$Q$105,AY$6,Input!$G115:$Q115)*IFERROR(CHOOSE(MATCH(Input!$E115,OIUnitType,),1,AY$13,MAX(AY$13*(1+SUM(AY$72:AY$73)/AY$71),))*IF(Input!$F115=PerMonth,1,1/12),1/12)</f>
        <v>0</v>
      </c>
      <c r="AZ150" s="635">
        <f>SUMIF(Input!$G$105:$Q$105,AZ$6,Input!$G115:$Q115)*IFERROR(CHOOSE(MATCH(Input!$E115,OIUnitType,),1,AZ$13,MAX(AZ$13*(1+SUM(AZ$72:AZ$73)/AZ$71),))*IF(Input!$F115=PerMonth,1,1/12),1/12)</f>
        <v>0</v>
      </c>
      <c r="BA150" s="635">
        <f>SUMIF(Input!$G$105:$Q$105,BA$6,Input!$G115:$Q115)*IFERROR(CHOOSE(MATCH(Input!$E115,OIUnitType,),1,BA$13,MAX(BA$13*(1+SUM(BA$72:BA$73)/BA$71),))*IF(Input!$F115=PerMonth,1,1/12),1/12)</f>
        <v>0</v>
      </c>
      <c r="BB150" s="635">
        <f>SUMIF(Input!$G$105:$Q$105,BB$6,Input!$G115:$Q115)*IFERROR(CHOOSE(MATCH(Input!$E115,OIUnitType,),1,BB$13,MAX(BB$13*(1-SUMIF(Input!$G$89:$Q$89,BB$6,Input!$G$90:$Q$90)-BB$31),))*IF(Input!$F115=PerMonth,1,1/12),1/12)</f>
        <v>0</v>
      </c>
      <c r="BC150" s="635">
        <f>SUMIF(Input!$G$105:$Q$105,BC$6,Input!$G115:$Q115)*IFERROR(CHOOSE(MATCH(Input!$E115,OIUnitType,),1,BC$13,MAX(BC$13*(1-SUMIF(Input!$G$89:$Q$89,BC$6,Input!$G$90:$Q$90)-BC$31),))*IF(Input!$F115=PerMonth,1,1/12),1/12)</f>
        <v>0</v>
      </c>
      <c r="BD150" s="635">
        <f>SUMIF(Input!$G$105:$Q$105,BD$6,Input!$G115:$Q115)*IFERROR(CHOOSE(MATCH(Input!$E115,OIUnitType,),1,BD$13,MAX(BD$13*(1-SUMIF(Input!$G$89:$Q$89,BD$6,Input!$G$90:$Q$90)-BD$31),))*IF(Input!$F115=PerMonth,1,1/12),1/12)</f>
        <v>0</v>
      </c>
      <c r="BE150" s="635">
        <f>SUMIF(Input!$G$105:$Q$105,BE$6,Input!$G115:$Q115)*IFERROR(CHOOSE(MATCH(Input!$E115,OIUnitType,),1,BE$13,MAX(BE$13*(1-SUMIF(Input!$G$89:$Q$89,BE$6,Input!$G$90:$Q$90)-BE$31),))*IF(Input!$F115=PerMonth,1,1/12),1/12)</f>
        <v>0</v>
      </c>
      <c r="BF150" s="635">
        <f>SUMIF(Input!$G$105:$Q$105,BF$6,Input!$G115:$Q115)*IFERROR(CHOOSE(MATCH(Input!$E115,OIUnitType,),1,BF$13,MAX(BF$13*(1-SUMIF(Input!$G$89:$Q$89,BF$6,Input!$G$90:$Q$90)-BF$31),))*IF(Input!$F115=PerMonth,1,1/12),1/12)</f>
        <v>0</v>
      </c>
      <c r="BG150" s="635">
        <f>SUMIF(Input!$G$105:$Q$105,BG$6,Input!$G115:$Q115)*IFERROR(CHOOSE(MATCH(Input!$E115,OIUnitType,),1,BG$13,MAX(BG$13*(1-SUMIF(Input!$G$89:$Q$89,BG$6,Input!$G$90:$Q$90)-BG$31),))*IF(Input!$F115=PerMonth,1,1/12),1/12)</f>
        <v>0</v>
      </c>
      <c r="BH150" s="635">
        <f>SUMIF(Input!$G$105:$Q$105,BH$6,Input!$G115:$Q115)*IFERROR(CHOOSE(MATCH(Input!$E115,OIUnitType,),1,BH$13,MAX(BH$13*(1-SUMIF(Input!$G$89:$Q$89,BH$6,Input!$G$90:$Q$90)-BH$31),))*IF(Input!$F115=PerMonth,1,1/12),1/12)</f>
        <v>0</v>
      </c>
      <c r="BI150" s="635">
        <f>SUMIF(Input!$G$105:$Q$105,BI$6,Input!$G115:$Q115)*IFERROR(CHOOSE(MATCH(Input!$E115,OIUnitType,),1,BI$13,MAX(BI$13*(1-SUMIF(Input!$G$89:$Q$89,BI$6,Input!$G$90:$Q$90)-BI$31),))*IF(Input!$F115=PerMonth,1,1/12),1/12)</f>
        <v>0</v>
      </c>
      <c r="BJ150" s="635">
        <f>SUMIF(Input!$G$105:$Q$105,BJ$6,Input!$G115:$Q115)*IFERROR(CHOOSE(MATCH(Input!$E115,OIUnitType,),1,BJ$13,MAX(BJ$13*(1-SUMIF(Input!$G$89:$Q$89,BJ$6,Input!$G$90:$Q$90)-BJ$31),))*IF(Input!$F115=PerMonth,1,1/12),1/12)</f>
        <v>0</v>
      </c>
      <c r="BK150" s="635">
        <f>SUMIF(Input!$G$105:$Q$105,BK$6,Input!$G115:$Q115)*IFERROR(CHOOSE(MATCH(Input!$E115,OIUnitType,),1,BK$13,MAX(BK$13*(1-SUMIF(Input!$G$89:$Q$89,BK$6,Input!$G$90:$Q$90)-BK$31),))*IF(Input!$F115=PerMonth,1,1/12),1/12)</f>
        <v>0</v>
      </c>
      <c r="BL150" s="635">
        <f>SUMIF(Input!$G$105:$Q$105,BL$6,Input!$G115:$Q115)*IFERROR(CHOOSE(MATCH(Input!$E115,OIUnitType,),1,BL$13,MAX(BL$13*(1-SUMIF(Input!$G$89:$Q$89,BL$6,Input!$G$90:$Q$90)-BL$31),))*IF(Input!$F115=PerMonth,1,1/12),1/12)</f>
        <v>0</v>
      </c>
      <c r="BM150" s="635">
        <f>SUMIF(Input!$G$105:$Q$105,BM$6,Input!$G115:$Q115)*IFERROR(CHOOSE(MATCH(Input!$E115,OIUnitType,),1,BM$13,MAX(BM$13*(1-SUMIF(Input!$G$89:$Q$89,BM$6,Input!$G$90:$Q$90)-BM$31),))*IF(Input!$F115=PerMonth,1,1/12),1/12)</f>
        <v>0</v>
      </c>
      <c r="BN150" s="635">
        <f>SUMIF(Input!$G$105:$Q$105,BN$6,Input!$G115:$Q115)*IFERROR(CHOOSE(MATCH(Input!$E115,OIUnitType,),1,BN$13,MAX(BN$13*(1-SUMIF(Input!$G$89:$Q$89,BN$6,Input!$G$90:$Q$90)-BN$31),))*IF(Input!$F115=PerMonth,1,1/12),1/12)</f>
        <v>0</v>
      </c>
      <c r="BO150" s="635">
        <f>SUMIF(Input!$G$105:$Q$105,BO$6,Input!$G115:$Q115)*IFERROR(CHOOSE(MATCH(Input!$E115,OIUnitType,),1,BO$13,MAX(BO$13*(1-SUMIF(Input!$G$89:$Q$89,BO$6,Input!$G$90:$Q$90)-BO$31),))*IF(Input!$F115=PerMonth,1,1/12),1/12)</f>
        <v>0</v>
      </c>
      <c r="BP150" s="635">
        <f>SUMIF(Input!$G$105:$Q$105,BP$6,Input!$G115:$Q115)*IFERROR(CHOOSE(MATCH(Input!$E115,OIUnitType,),1,BP$13,MAX(BP$13*(1-SUMIF(Input!$G$89:$Q$89,BP$6,Input!$G$90:$Q$90)-BP$31),))*IF(Input!$F115=PerMonth,1,1/12),1/12)</f>
        <v>0</v>
      </c>
      <c r="BQ150" s="635">
        <f>SUMIF(Input!$G$105:$Q$105,BQ$6,Input!$G115:$Q115)*IFERROR(CHOOSE(MATCH(Input!$E115,OIUnitType,),1,BQ$13,MAX(BQ$13*(1-SUMIF(Input!$G$89:$Q$89,BQ$6,Input!$G$90:$Q$90)-BQ$31),))*IF(Input!$F115=PerMonth,1,1/12),1/12)</f>
        <v>0</v>
      </c>
      <c r="BR150" s="635">
        <f>SUMIF(Input!$G$105:$Q$105,BR$6,Input!$G115:$Q115)*IFERROR(CHOOSE(MATCH(Input!$E115,OIUnitType,),1,BR$13,MAX(BR$13*(1-SUMIF(Input!$G$89:$Q$89,BR$6,Input!$G$90:$Q$90)-BR$31),))*IF(Input!$F115=PerMonth,1,1/12),1/12)</f>
        <v>0</v>
      </c>
      <c r="BS150" s="635">
        <f>SUMIF(Input!$G$105:$Q$105,BS$6,Input!$G115:$Q115)*IFERROR(CHOOSE(MATCH(Input!$E115,OIUnitType,),1,BS$13,MAX(BS$13*(1-SUMIF(Input!$G$89:$Q$89,BS$6,Input!$G$90:$Q$90)-BS$31),))*IF(Input!$F115=PerMonth,1,1/12),1/12)</f>
        <v>0</v>
      </c>
      <c r="BT150" s="635">
        <f>SUMIF(Input!$G$105:$Q$105,BT$6,Input!$G115:$Q115)*IFERROR(CHOOSE(MATCH(Input!$E115,OIUnitType,),1,BT$13,MAX(BT$13*(1-SUMIF(Input!$G$89:$Q$89,BT$6,Input!$G$90:$Q$90)-BT$31),))*IF(Input!$F115=PerMonth,1,1/12),1/12)</f>
        <v>0</v>
      </c>
      <c r="BU150" s="635">
        <f>SUMIF(Input!$G$105:$Q$105,BU$6,Input!$G115:$Q115)*IFERROR(CHOOSE(MATCH(Input!$E115,OIUnitType,),1,BU$13,MAX(BU$13*(1-SUMIF(Input!$G$89:$Q$89,BU$6,Input!$G$90:$Q$90)-BU$31),))*IF(Input!$F115=PerMonth,1,1/12),1/12)</f>
        <v>0</v>
      </c>
      <c r="BV150" s="635">
        <f>SUMIF(Input!$G$105:$Q$105,BV$6,Input!$G115:$Q115)*IFERROR(CHOOSE(MATCH(Input!$E115,OIUnitType,),1,BV$13,MAX(BV$13*(1-SUMIF(Input!$G$89:$Q$89,BV$6,Input!$G$90:$Q$90)-BV$31),))*IF(Input!$F115=PerMonth,1,1/12),1/12)</f>
        <v>0</v>
      </c>
      <c r="BW150" s="635">
        <f>SUMIF(Input!$G$105:$Q$105,BW$6,Input!$G115:$Q115)*IFERROR(CHOOSE(MATCH(Input!$E115,OIUnitType,),1,BW$13,MAX(BW$13*(1-SUMIF(Input!$G$89:$Q$89,BW$6,Input!$G$90:$Q$90)-BW$31),))*IF(Input!$F115=PerMonth,1,1/12),1/12)</f>
        <v>0</v>
      </c>
      <c r="BX150" s="635">
        <f>SUMIF(Input!$G$105:$Q$105,BX$6,Input!$G115:$Q115)*IFERROR(CHOOSE(MATCH(Input!$E115,OIUnitType,),1,BX$13,MAX(BX$13*(1-SUMIF(Input!$G$89:$Q$89,BX$6,Input!$G$90:$Q$90)-BX$31),))*IF(Input!$F115=PerMonth,1,1/12),1/12)</f>
        <v>0</v>
      </c>
      <c r="BY150" s="635">
        <f>SUMIF(Input!$G$105:$Q$105,BY$6,Input!$G115:$Q115)*IFERROR(CHOOSE(MATCH(Input!$E115,OIUnitType,),1,BY$13,MAX(BY$13*(1-SUMIF(Input!$G$89:$Q$89,BY$6,Input!$G$90:$Q$90)-BY$31),))*IF(Input!$F115=PerMonth,1,1/12),1/12)</f>
        <v>0</v>
      </c>
      <c r="BZ150" s="635">
        <f>SUMIF(Input!$G$105:$Q$105,BZ$6,Input!$G115:$Q115)*IFERROR(CHOOSE(MATCH(Input!$E115,OIUnitType,),1,BZ$13,MAX(BZ$13*(1-SUMIF(Input!$G$89:$Q$89,BZ$6,Input!$G$90:$Q$90)-BZ$31),))*IF(Input!$F115=PerMonth,1,1/12),1/12)</f>
        <v>0</v>
      </c>
      <c r="CA150" s="635">
        <f>SUMIF(Input!$G$105:$Q$105,CA$6,Input!$G115:$Q115)*IFERROR(CHOOSE(MATCH(Input!$E115,OIUnitType,),1,CA$13,MAX(CA$13*(1-SUMIF(Input!$G$89:$Q$89,CA$6,Input!$G$90:$Q$90)-CA$31),))*IF(Input!$F115=PerMonth,1,1/12),1/12)</f>
        <v>0</v>
      </c>
      <c r="CB150" s="635">
        <f>SUMIF(Input!$G$105:$Q$105,CB$6,Input!$G115:$Q115)*IFERROR(CHOOSE(MATCH(Input!$E115,OIUnitType,),1,CB$13,MAX(CB$13*(1-SUMIF(Input!$G$89:$Q$89,CB$6,Input!$G$90:$Q$90)-CB$31),))*IF(Input!$F115=PerMonth,1,1/12),1/12)</f>
        <v>0</v>
      </c>
      <c r="CC150" s="635">
        <f>SUMIF(Input!$G$105:$Q$105,CC$6,Input!$G115:$Q115)*IFERROR(CHOOSE(MATCH(Input!$E115,OIUnitType,),1,CC$13,MAX(CC$13*(1-SUMIF(Input!$G$89:$Q$89,CC$6,Input!$G$90:$Q$90)-CC$31),))*IF(Input!$F115=PerMonth,1,1/12),1/12)</f>
        <v>0</v>
      </c>
      <c r="CD150" s="635">
        <f>SUMIF(Input!$G$105:$Q$105,CD$6,Input!$G115:$Q115)*IFERROR(CHOOSE(MATCH(Input!$E115,OIUnitType,),1,CD$13,MAX(CD$13*(1-SUMIF(Input!$G$89:$Q$89,CD$6,Input!$G$90:$Q$90)-CD$31),))*IF(Input!$F115=PerMonth,1,1/12),1/12)</f>
        <v>0</v>
      </c>
      <c r="CE150" s="635">
        <f>SUMIF(Input!$G$105:$Q$105,CE$6,Input!$G115:$Q115)*IFERROR(CHOOSE(MATCH(Input!$E115,OIUnitType,),1,CE$13,MAX(CE$13*(1-SUMIF(Input!$G$89:$Q$89,CE$6,Input!$G$90:$Q$90)-CE$31),))*IF(Input!$F115=PerMonth,1,1/12),1/12)</f>
        <v>0</v>
      </c>
      <c r="CF150" s="635">
        <f>SUMIF(Input!$G$105:$Q$105,CF$6,Input!$G115:$Q115)*IFERROR(CHOOSE(MATCH(Input!$E115,OIUnitType,),1,CF$13,MAX(CF$13*(1-SUMIF(Input!$G$89:$Q$89,CF$6,Input!$G$90:$Q$90)-CF$31),))*IF(Input!$F115=PerMonth,1,1/12),1/12)</f>
        <v>0</v>
      </c>
      <c r="CG150" s="635">
        <f>SUMIF(Input!$G$105:$Q$105,CG$6,Input!$G115:$Q115)*IFERROR(CHOOSE(MATCH(Input!$E115,OIUnitType,),1,CG$13,MAX(CG$13*(1-SUMIF(Input!$G$89:$Q$89,CG$6,Input!$G$90:$Q$90)-CG$31),))*IF(Input!$F115=PerMonth,1,1/12),1/12)</f>
        <v>0</v>
      </c>
      <c r="CH150" s="635">
        <f>SUMIF(Input!$G$105:$Q$105,CH$6,Input!$G115:$Q115)*IFERROR(CHOOSE(MATCH(Input!$E115,OIUnitType,),1,CH$13,MAX(CH$13*(1-SUMIF(Input!$G$89:$Q$89,CH$6,Input!$G$90:$Q$90)-CH$31),))*IF(Input!$F115=PerMonth,1,1/12),1/12)</f>
        <v>0</v>
      </c>
      <c r="CI150" s="635">
        <f>SUMIF(Input!$G$105:$Q$105,CI$6,Input!$G115:$Q115)*IFERROR(CHOOSE(MATCH(Input!$E115,OIUnitType,),1,CI$13,MAX(CI$13*(1-SUMIF(Input!$G$89:$Q$89,CI$6,Input!$G$90:$Q$90)-CI$31),))*IF(Input!$F115=PerMonth,1,1/12),1/12)</f>
        <v>0</v>
      </c>
      <c r="CJ150" s="635">
        <f>SUMIF(Input!$G$105:$Q$105,CJ$6,Input!$G115:$Q115)*IFERROR(CHOOSE(MATCH(Input!$E115,OIUnitType,),1,CJ$13,MAX(CJ$13*(1-SUMIF(Input!$G$89:$Q$89,CJ$6,Input!$G$90:$Q$90)-CJ$31),))*IF(Input!$F115=PerMonth,1,1/12),1/12)</f>
        <v>0</v>
      </c>
      <c r="CK150" s="635">
        <f>SUMIF(Input!$G$105:$Q$105,CK$6,Input!$G115:$Q115)*IFERROR(CHOOSE(MATCH(Input!$E115,OIUnitType,),1,CK$13,MAX(CK$13*(1-SUMIF(Input!$G$89:$Q$89,CK$6,Input!$G$90:$Q$90)-CK$31),))*IF(Input!$F115=PerMonth,1,1/12),1/12)</f>
        <v>0</v>
      </c>
      <c r="CL150" s="635">
        <f>SUMIF(Input!$G$105:$Q$105,CL$6,Input!$G115:$Q115)*IFERROR(CHOOSE(MATCH(Input!$E115,OIUnitType,),1,CL$13,MAX(CL$13*(1-SUMIF(Input!$G$89:$Q$89,CL$6,Input!$G$90:$Q$90)-CL$31),))*IF(Input!$F115=PerMonth,1,1/12),1/12)</f>
        <v>0</v>
      </c>
      <c r="CM150" s="635">
        <f>SUMIF(Input!$G$105:$Q$105,CM$6,Input!$G115:$Q115)*IFERROR(CHOOSE(MATCH(Input!$E115,OIUnitType,),1,CM$13,MAX(CM$13*(1-SUMIF(Input!$G$89:$Q$89,CM$6,Input!$G$90:$Q$90)-CM$31),))*IF(Input!$F115=PerMonth,1,1/12),1/12)</f>
        <v>0</v>
      </c>
      <c r="CN150" s="635">
        <f>SUMIF(Input!$G$105:$Q$105,CN$6,Input!$G115:$Q115)*IFERROR(CHOOSE(MATCH(Input!$E115,OIUnitType,),1,CN$13,MAX(CN$13*(1-SUMIF(Input!$G$89:$Q$89,CN$6,Input!$G$90:$Q$90)-CN$31),))*IF(Input!$F115=PerMonth,1,1/12),1/12)</f>
        <v>0</v>
      </c>
      <c r="CO150" s="635">
        <f>SUMIF(Input!$G$105:$Q$105,CO$6,Input!$G115:$Q115)*IFERROR(CHOOSE(MATCH(Input!$E115,OIUnitType,),1,CO$13,MAX(CO$13*(1-SUMIF(Input!$G$89:$Q$89,CO$6,Input!$G$90:$Q$90)-CO$31),))*IF(Input!$F115=PerMonth,1,1/12),1/12)</f>
        <v>0</v>
      </c>
      <c r="CP150" s="635">
        <f>SUMIF(Input!$G$105:$Q$105,CP$6,Input!$G115:$Q115)*IFERROR(CHOOSE(MATCH(Input!$E115,OIUnitType,),1,CP$13,MAX(CP$13*(1-SUMIF(Input!$G$89:$Q$89,CP$6,Input!$G$90:$Q$90)-CP$31),))*IF(Input!$F115=PerMonth,1,1/12),1/12)</f>
        <v>0</v>
      </c>
      <c r="CQ150" s="635">
        <f>SUMIF(Input!$G$105:$Q$105,CQ$6,Input!$G115:$Q115)*IFERROR(CHOOSE(MATCH(Input!$E115,OIUnitType,),1,CQ$13,MAX(CQ$13*(1-SUMIF(Input!$G$89:$Q$89,CQ$6,Input!$G$90:$Q$90)-CQ$31),))*IF(Input!$F115=PerMonth,1,1/12),1/12)</f>
        <v>0</v>
      </c>
      <c r="CR150" s="635">
        <f>SUMIF(Input!$G$105:$Q$105,CR$6,Input!$G115:$Q115)*IFERROR(CHOOSE(MATCH(Input!$E115,OIUnitType,),1,CR$13,MAX(CR$13*(1-SUMIF(Input!$G$89:$Q$89,CR$6,Input!$G$90:$Q$90)-CR$31),))*IF(Input!$F115=PerMonth,1,1/12),1/12)</f>
        <v>0</v>
      </c>
      <c r="CS150" s="635">
        <f>SUMIF(Input!$G$105:$Q$105,CS$6,Input!$G115:$Q115)*IFERROR(CHOOSE(MATCH(Input!$E115,OIUnitType,),1,CS$13,MAX(CS$13*(1-SUMIF(Input!$G$89:$Q$89,CS$6,Input!$G$90:$Q$90)-CS$31),))*IF(Input!$F115=PerMonth,1,1/12),1/12)</f>
        <v>0</v>
      </c>
      <c r="CT150" s="635">
        <f>SUMIF(Input!$G$105:$Q$105,CT$6,Input!$G115:$Q115)*IFERROR(CHOOSE(MATCH(Input!$E115,OIUnitType,),1,CT$13,MAX(CT$13*(1-SUMIF(Input!$G$89:$Q$89,CT$6,Input!$G$90:$Q$90)-CT$31),))*IF(Input!$F115=PerMonth,1,1/12),1/12)</f>
        <v>0</v>
      </c>
      <c r="CU150" s="635">
        <f>SUMIF(Input!$G$105:$Q$105,CU$6,Input!$G115:$Q115)*IFERROR(CHOOSE(MATCH(Input!$E115,OIUnitType,),1,CU$13,MAX(CU$13*(1-SUMIF(Input!$G$89:$Q$89,CU$6,Input!$G$90:$Q$90)-CU$31),))*IF(Input!$F115=PerMonth,1,1/12),1/12)</f>
        <v>0</v>
      </c>
      <c r="CV150" s="635">
        <f>SUMIF(Input!$G$105:$Q$105,CV$6,Input!$G115:$Q115)*IFERROR(CHOOSE(MATCH(Input!$E115,OIUnitType,),1,CV$13,MAX(CV$13*(1-SUMIF(Input!$G$89:$Q$89,CV$6,Input!$G$90:$Q$90)-CV$31),))*IF(Input!$F115=PerMonth,1,1/12),1/12)</f>
        <v>0</v>
      </c>
      <c r="CW150" s="635">
        <f>SUMIF(Input!$G$105:$Q$105,CW$6,Input!$G115:$Q115)*IFERROR(CHOOSE(MATCH(Input!$E115,OIUnitType,),1,CW$13,MAX(CW$13*(1-SUMIF(Input!$G$89:$Q$89,CW$6,Input!$G$90:$Q$90)-CW$31),))*IF(Input!$F115=PerMonth,1,1/12),1/12)</f>
        <v>0</v>
      </c>
      <c r="CX150" s="635">
        <f>SUMIF(Input!$G$105:$Q$105,CX$6,Input!$G115:$Q115)*IFERROR(CHOOSE(MATCH(Input!$E115,OIUnitType,),1,CX$13,MAX(CX$13*(1-SUMIF(Input!$G$89:$Q$89,CX$6,Input!$G$90:$Q$90)-CX$31),))*IF(Input!$F115=PerMonth,1,1/12),1/12)</f>
        <v>0</v>
      </c>
      <c r="CY150" s="635">
        <f>SUMIF(Input!$G$105:$Q$105,CY$6,Input!$G115:$Q115)*IFERROR(CHOOSE(MATCH(Input!$E115,OIUnitType,),1,CY$13,MAX(CY$13*(1-SUMIF(Input!$G$89:$Q$89,CY$6,Input!$G$90:$Q$90)-CY$31),))*IF(Input!$F115=PerMonth,1,1/12),1/12)</f>
        <v>0</v>
      </c>
      <c r="CZ150" s="635">
        <f>SUMIF(Input!$G$105:$Q$105,CZ$6,Input!$G115:$Q115)*IFERROR(CHOOSE(MATCH(Input!$E115,OIUnitType,),1,CZ$13,MAX(CZ$13*(1-SUMIF(Input!$G$89:$Q$89,CZ$6,Input!$G$90:$Q$90)-CZ$31),))*IF(Input!$F115=PerMonth,1,1/12),1/12)</f>
        <v>0</v>
      </c>
      <c r="DA150" s="635">
        <f>SUMIF(Input!$G$105:$Q$105,DA$6,Input!$G115:$Q115)*IFERROR(CHOOSE(MATCH(Input!$E115,OIUnitType,),1,DA$13,MAX(DA$13*(1-SUMIF(Input!$G$89:$Q$89,DA$6,Input!$G$90:$Q$90)-DA$31),))*IF(Input!$F115=PerMonth,1,1/12),1/12)</f>
        <v>0</v>
      </c>
      <c r="DB150" s="635">
        <f>SUMIF(Input!$G$105:$Q$105,DB$6,Input!$G115:$Q115)*IFERROR(CHOOSE(MATCH(Input!$E115,OIUnitType,),1,DB$13,MAX(DB$13*(1-SUMIF(Input!$G$89:$Q$89,DB$6,Input!$G$90:$Q$90)-DB$31),))*IF(Input!$F115=PerMonth,1,1/12),1/12)</f>
        <v>0</v>
      </c>
      <c r="DC150" s="635">
        <f>SUMIF(Input!$G$105:$Q$105,DC$6,Input!$G115:$Q115)*IFERROR(CHOOSE(MATCH(Input!$E115,OIUnitType,),1,DC$13,MAX(DC$13*(1-SUMIF(Input!$G$89:$Q$89,DC$6,Input!$G$90:$Q$90)-DC$31),))*IF(Input!$F115=PerMonth,1,1/12),1/12)</f>
        <v>0</v>
      </c>
      <c r="DD150" s="635">
        <f>SUMIF(Input!$G$105:$Q$105,DD$6,Input!$G115:$Q115)*IFERROR(CHOOSE(MATCH(Input!$E115,OIUnitType,),1,DD$13,MAX(DD$13*(1-SUMIF(Input!$G$89:$Q$89,DD$6,Input!$G$90:$Q$90)-DD$31),))*IF(Input!$F115=PerMonth,1,1/12),1/12)</f>
        <v>0</v>
      </c>
      <c r="DE150" s="635">
        <f>SUMIF(Input!$G$105:$Q$105,DE$6,Input!$G115:$Q115)*IFERROR(CHOOSE(MATCH(Input!$E115,OIUnitType,),1,DE$13,MAX(DE$13*(1-SUMIF(Input!$G$89:$Q$89,DE$6,Input!$G$90:$Q$90)-DE$31),))*IF(Input!$F115=PerMonth,1,1/12),1/12)</f>
        <v>0</v>
      </c>
      <c r="DF150" s="635">
        <f>SUMIF(Input!$G$105:$Q$105,DF$6,Input!$G115:$Q115)*IFERROR(CHOOSE(MATCH(Input!$E115,OIUnitType,),1,DF$13,MAX(DF$13*(1-SUMIF(Input!$G$89:$Q$89,DF$6,Input!$G$90:$Q$90)-DF$31),))*IF(Input!$F115=PerMonth,1,1/12),1/12)</f>
        <v>0</v>
      </c>
      <c r="DG150" s="635">
        <f>SUMIF(Input!$G$105:$Q$105,DG$6,Input!$G115:$Q115)*IFERROR(CHOOSE(MATCH(Input!$E115,OIUnitType,),1,DG$13,MAX(DG$13*(1-SUMIF(Input!$G$89:$Q$89,DG$6,Input!$G$90:$Q$90)-DG$31),))*IF(Input!$F115=PerMonth,1,1/12),1/12)</f>
        <v>0</v>
      </c>
      <c r="DH150" s="635">
        <f>SUMIF(Input!$G$105:$Q$105,DH$6,Input!$G115:$Q115)*IFERROR(CHOOSE(MATCH(Input!$E115,OIUnitType,),1,DH$13,MAX(DH$13*(1-SUMIF(Input!$G$89:$Q$89,DH$6,Input!$G$90:$Q$90)-DH$31),))*IF(Input!$F115=PerMonth,1,1/12),1/12)</f>
        <v>0</v>
      </c>
      <c r="DI150" s="635">
        <f>SUMIF(Input!$G$105:$Q$105,DI$6,Input!$G115:$Q115)*IFERROR(CHOOSE(MATCH(Input!$E115,OIUnitType,),1,DI$13,MAX(DI$13*(1-SUMIF(Input!$G$89:$Q$89,DI$6,Input!$G$90:$Q$90)-DI$31),))*IF(Input!$F115=PerMonth,1,1/12),1/12)</f>
        <v>0</v>
      </c>
      <c r="DJ150" s="635">
        <f>SUMIF(Input!$G$105:$Q$105,DJ$6,Input!$G115:$Q115)*IFERROR(CHOOSE(MATCH(Input!$E115,OIUnitType,),1,DJ$13,MAX(DJ$13*(1-SUMIF(Input!$G$89:$Q$89,DJ$6,Input!$G$90:$Q$90)-DJ$31),))*IF(Input!$F115=PerMonth,1,1/12),1/12)</f>
        <v>0</v>
      </c>
      <c r="DK150" s="635">
        <f>SUMIF(Input!$G$105:$Q$105,DK$6,Input!$G115:$Q115)*IFERROR(CHOOSE(MATCH(Input!$E115,OIUnitType,),1,DK$13,MAX(DK$13*(1-SUMIF(Input!$G$89:$Q$89,DK$6,Input!$G$90:$Q$90)-DK$31),))*IF(Input!$F115=PerMonth,1,1/12),1/12)</f>
        <v>0</v>
      </c>
      <c r="DL150" s="635">
        <f>SUMIF(Input!$G$105:$Q$105,DL$6,Input!$G115:$Q115)*IFERROR(CHOOSE(MATCH(Input!$E115,OIUnitType,),1,DL$13,MAX(DL$13*(1-SUMIF(Input!$G$89:$Q$89,DL$6,Input!$G$90:$Q$90)-DL$31),))*IF(Input!$F115=PerMonth,1,1/12),1/12)</f>
        <v>0</v>
      </c>
      <c r="DM150" s="635">
        <f>SUMIF(Input!$G$105:$Q$105,DM$6,Input!$G115:$Q115)*IFERROR(CHOOSE(MATCH(Input!$E115,OIUnitType,),1,DM$13,MAX(DM$13*(1-SUMIF(Input!$G$89:$Q$89,DM$6,Input!$G$90:$Q$90)-DM$31),))*IF(Input!$F115=PerMonth,1,1/12),1/12)</f>
        <v>0</v>
      </c>
      <c r="DN150" s="635">
        <f>SUMIF(Input!$G$105:$Q$105,DN$6,Input!$G115:$Q115)*IFERROR(CHOOSE(MATCH(Input!$E115,OIUnitType,),1,DN$13,MAX(DN$13*(1-SUMIF(Input!$G$89:$Q$89,DN$6,Input!$G$90:$Q$90)-DN$31),))*IF(Input!$F115=PerMonth,1,1/12),1/12)</f>
        <v>0</v>
      </c>
      <c r="DO150" s="635">
        <f>SUMIF(Input!$G$105:$Q$105,DO$6,Input!$G115:$Q115)*IFERROR(CHOOSE(MATCH(Input!$E115,OIUnitType,),1,DO$13,MAX(DO$13*(1-SUMIF(Input!$G$89:$Q$89,DO$6,Input!$G$90:$Q$90)-DO$31),))*IF(Input!$F115=PerMonth,1,1/12),1/12)</f>
        <v>0</v>
      </c>
      <c r="DP150" s="635">
        <f>SUMIF(Input!$G$105:$Q$105,DP$6,Input!$G115:$Q115)*IFERROR(CHOOSE(MATCH(Input!$E115,OIUnitType,),1,DP$13,MAX(DP$13*(1-SUMIF(Input!$G$89:$Q$89,DP$6,Input!$G$90:$Q$90)-DP$31),))*IF(Input!$F115=PerMonth,1,1/12),1/12)</f>
        <v>0</v>
      </c>
      <c r="DQ150" s="635">
        <f>SUMIF(Input!$G$105:$Q$105,DQ$6,Input!$G115:$Q115)*IFERROR(CHOOSE(MATCH(Input!$E115,OIUnitType,),1,DQ$13,MAX(DQ$13*(1-SUMIF(Input!$G$89:$Q$89,DQ$6,Input!$G$90:$Q$90)-DQ$31),))*IF(Input!$F115=PerMonth,1,1/12),1/12)</f>
        <v>0</v>
      </c>
      <c r="DR150" s="635">
        <f>SUMIF(Input!$G$105:$Q$105,DR$6,Input!$G115:$Q115)*IFERROR(CHOOSE(MATCH(Input!$E115,OIUnitType,),1,DR$13,MAX(DR$13*(1-SUMIF(Input!$G$89:$Q$89,DR$6,Input!$G$90:$Q$90)-DR$31),))*IF(Input!$F115=PerMonth,1,1/12),1/12)</f>
        <v>0</v>
      </c>
      <c r="DS150" s="635">
        <f>SUMIF(Input!$G$105:$Q$105,DS$6,Input!$G115:$Q115)*IFERROR(CHOOSE(MATCH(Input!$E115,OIUnitType,),1,DS$13,MAX(DS$13*(1-SUMIF(Input!$G$89:$Q$89,DS$6,Input!$G$90:$Q$90)-DS$31),))*IF(Input!$F115=PerMonth,1,1/12),1/12)</f>
        <v>0</v>
      </c>
      <c r="DT150" s="635">
        <f>SUMIF(Input!$G$105:$Q$105,DT$6,Input!$G115:$Q115)*IFERROR(CHOOSE(MATCH(Input!$E115,OIUnitType,),1,DT$13,MAX(DT$13*(1-SUMIF(Input!$G$89:$Q$89,DT$6,Input!$G$90:$Q$90)-DT$31),))*IF(Input!$F115=PerMonth,1,1/12),1/12)</f>
        <v>0</v>
      </c>
      <c r="DU150" s="635">
        <f>SUMIF(Input!$G$105:$Q$105,DU$6,Input!$G115:$Q115)*IFERROR(CHOOSE(MATCH(Input!$E115,OIUnitType,),1,DU$13,MAX(DU$13*(1-SUMIF(Input!$G$89:$Q$89,DU$6,Input!$G$90:$Q$90)-DU$31),))*IF(Input!$F115=PerMonth,1,1/12),1/12)</f>
        <v>0</v>
      </c>
      <c r="DV150" s="635">
        <f>SUMIF(Input!$G$105:$Q$105,DV$6,Input!$G115:$Q115)*IFERROR(CHOOSE(MATCH(Input!$E115,OIUnitType,),1,DV$13,MAX(DV$13*(1-SUMIF(Input!$G$89:$Q$89,DV$6,Input!$G$90:$Q$90)-DV$31),))*IF(Input!$F115=PerMonth,1,1/12),1/12)</f>
        <v>0</v>
      </c>
      <c r="DW150" s="635">
        <f>SUMIF(Input!$G$105:$Q$105,DW$6,Input!$G115:$Q115)*IFERROR(CHOOSE(MATCH(Input!$E115,OIUnitType,),1,DW$13,MAX(DW$13*(1-SUMIF(Input!$G$89:$Q$89,DW$6,Input!$G$90:$Q$90)-DW$31),))*IF(Input!$F115=PerMonth,1,1/12),1/12)</f>
        <v>0</v>
      </c>
      <c r="DX150" s="635">
        <f>SUMIF(Input!$G$105:$Q$105,DX$6,Input!$G115:$Q115)*IFERROR(CHOOSE(MATCH(Input!$E115,OIUnitType,),1,DX$13,MAX(DX$13*(1-SUMIF(Input!$G$89:$Q$89,DX$6,Input!$G$90:$Q$90)-DX$31),))*IF(Input!$F115=PerMonth,1,1/12),1/12)</f>
        <v>0</v>
      </c>
      <c r="DY150" s="635">
        <f>SUMIF(Input!$G$105:$Q$105,DY$6,Input!$G115:$Q115)*IFERROR(CHOOSE(MATCH(Input!$E115,OIUnitType,),1,DY$13,MAX(DY$13*(1-SUMIF(Input!$G$89:$Q$89,DY$6,Input!$G$90:$Q$90)-DY$31),))*IF(Input!$F115=PerMonth,1,1/12),1/12)</f>
        <v>0</v>
      </c>
      <c r="DZ150" s="635">
        <f>SUMIF(Input!$G$105:$Q$105,DZ$6,Input!$G115:$Q115)*IFERROR(CHOOSE(MATCH(Input!$E115,OIUnitType,),1,DZ$13,MAX(DZ$13*(1-SUMIF(Input!$G$89:$Q$89,DZ$6,Input!$G$90:$Q$90)-DZ$31),))*IF(Input!$F115=PerMonth,1,1/12),1/12)</f>
        <v>0</v>
      </c>
      <c r="EA150" s="635">
        <f>SUMIF(Input!$G$105:$Q$105,EA$6,Input!$G115:$Q115)*IFERROR(CHOOSE(MATCH(Input!$E115,OIUnitType,),1,EA$13,MAX(EA$13*(1-SUMIF(Input!$G$89:$Q$89,EA$6,Input!$G$90:$Q$90)-EA$31),))*IF(Input!$F115=PerMonth,1,1/12),1/12)</f>
        <v>0</v>
      </c>
      <c r="EB150" s="635">
        <f>SUMIF(Input!$G$105:$Q$105,EB$6,Input!$G115:$Q115)*IFERROR(CHOOSE(MATCH(Input!$E115,OIUnitType,),1,EB$13,MAX(EB$13*(1-SUMIF(Input!$G$89:$Q$89,EB$6,Input!$G$90:$Q$90)-EB$31),))*IF(Input!$F115=PerMonth,1,1/12),1/12)</f>
        <v>0</v>
      </c>
      <c r="EC150" s="635">
        <f>SUMIF(Input!$G$105:$Q$105,EC$6,Input!$G115:$Q115)*IFERROR(CHOOSE(MATCH(Input!$E115,OIUnitType,),1,EC$13,MAX(EC$13*(1-SUMIF(Input!$G$89:$Q$89,EC$6,Input!$G$90:$Q$90)-EC$31),))*IF(Input!$F115=PerMonth,1,1/12),1/12)</f>
        <v>0</v>
      </c>
      <c r="ED150" s="635">
        <f>SUMIF(Input!$G$105:$Q$105,ED$6,Input!$G115:$Q115)*IFERROR(CHOOSE(MATCH(Input!$E115,OIUnitType,),1,ED$13,MAX(ED$13*(1-SUMIF(Input!$G$89:$Q$89,ED$6,Input!$G$90:$Q$90)-ED$31),))*IF(Input!$F115=PerMonth,1,1/12),1/12)</f>
        <v>0</v>
      </c>
      <c r="EE150" s="635">
        <f>SUMIF(Input!$G$105:$Q$105,EE$6,Input!$G115:$Q115)*IFERROR(CHOOSE(MATCH(Input!$E115,OIUnitType,),1,EE$13,MAX(EE$13*(1-SUMIF(Input!$G$89:$Q$89,EE$6,Input!$G$90:$Q$90)-EE$31),))*IF(Input!$F115=PerMonth,1,1/12),1/12)</f>
        <v>0</v>
      </c>
      <c r="EF150" s="635">
        <f>SUMIF(Input!$G$105:$Q$105,EF$6,Input!$G115:$Q115)*IFERROR(CHOOSE(MATCH(Input!$E115,OIUnitType,),1,EF$13,MAX(EF$13*(1-SUMIF(Input!$G$89:$Q$89,EF$6,Input!$G$90:$Q$90)-EF$31),))*IF(Input!$F115=PerMonth,1,1/12),1/12)</f>
        <v>0</v>
      </c>
      <c r="EG150" s="635">
        <f>SUMIF(Input!$G$105:$Q$105,EG$6,Input!$G115:$Q115)*IFERROR(CHOOSE(MATCH(Input!$E115,OIUnitType,),1,EG$13,MAX(EG$13*(1-SUMIF(Input!$G$89:$Q$89,EG$6,Input!$G$90:$Q$90)-EG$31),))*IF(Input!$F115=PerMonth,1,1/12),1/12)</f>
        <v>0</v>
      </c>
      <c r="EH150" s="635">
        <f>SUMIF(Input!$G$105:$Q$105,EH$6,Input!$G115:$Q115)*IFERROR(CHOOSE(MATCH(Input!$E115,OIUnitType,),1,EH$13,MAX(EH$13*(1-SUMIF(Input!$G$89:$Q$89,EH$6,Input!$G$90:$Q$90)-EH$31),))*IF(Input!$F115=PerMonth,1,1/12),1/12)</f>
        <v>0</v>
      </c>
      <c r="EI150" s="635">
        <f>SUMIF(Input!$G$105:$Q$105,EI$6,Input!$G115:$Q115)*IFERROR(CHOOSE(MATCH(Input!$E115,OIUnitType,),1,EI$13,MAX(EI$13*(1-SUMIF(Input!$G$89:$Q$89,EI$6,Input!$G$90:$Q$90)-EI$31),))*IF(Input!$F115=PerMonth,1,1/12),1/12)</f>
        <v>0</v>
      </c>
      <c r="EJ150" s="635">
        <f>SUMIF(Input!$G$105:$Q$105,EJ$6,Input!$G115:$Q115)*IFERROR(CHOOSE(MATCH(Input!$E115,OIUnitType,),1,EJ$13,MAX(EJ$13*(1-SUMIF(Input!$G$89:$Q$89,EJ$6,Input!$G$90:$Q$90)-EJ$31),))*IF(Input!$F115=PerMonth,1,1/12),1/12)</f>
        <v>0</v>
      </c>
      <c r="EK150" s="635">
        <f>SUMIF(Input!$G$105:$Q$105,EK$6,Input!$G115:$Q115)*IFERROR(CHOOSE(MATCH(Input!$E115,OIUnitType,),1,EK$13,MAX(EK$13*(1-SUMIF(Input!$G$89:$Q$89,EK$6,Input!$G$90:$Q$90)-EK$31),))*IF(Input!$F115=PerMonth,1,1/12),1/12)</f>
        <v>0</v>
      </c>
      <c r="EL150" s="635">
        <f>SUMIF(Input!$G$105:$Q$105,EL$6,Input!$G115:$Q115)*IFERROR(CHOOSE(MATCH(Input!$E115,OIUnitType,),1,EL$13,MAX(EL$13*(1-SUMIF(Input!$G$89:$Q$89,EL$6,Input!$G$90:$Q$90)-EL$31),))*IF(Input!$F115=PerMonth,1,1/12),1/12)</f>
        <v>0</v>
      </c>
      <c r="EM150" s="635">
        <f>SUMIF(Input!$G$105:$Q$105,EM$6,Input!$G115:$Q115)*IFERROR(CHOOSE(MATCH(Input!$E115,OIUnitType,),1,EM$13,MAX(EM$13*(1-SUMIF(Input!$G$89:$Q$89,EM$6,Input!$G$90:$Q$90)-EM$31),))*IF(Input!$F115=PerMonth,1,1/12),1/12)</f>
        <v>0</v>
      </c>
      <c r="EN150" s="635">
        <f>SUMIF(Input!$G$105:$Q$105,EN$6,Input!$G115:$Q115)*IFERROR(CHOOSE(MATCH(Input!$E115,OIUnitType,),1,EN$13,MAX(EN$13*(1-SUMIF(Input!$G$89:$Q$89,EN$6,Input!$G$90:$Q$90)-EN$31),))*IF(Input!$F115=PerMonth,1,1/12),1/12)</f>
        <v>0</v>
      </c>
      <c r="EO150" s="635">
        <f>SUMIF(Input!$G$105:$Q$105,EO$6,Input!$G115:$Q115)*IFERROR(CHOOSE(MATCH(Input!$E115,OIUnitType,),1,EO$13,MAX(EO$13*(1-SUMIF(Input!$G$89:$Q$89,EO$6,Input!$G$90:$Q$90)-EO$31),))*IF(Input!$F115=PerMonth,1,1/12),1/12)</f>
        <v>0</v>
      </c>
      <c r="EP150" s="635">
        <f>SUMIF(Input!$G$105:$Q$105,EP$6,Input!$G115:$Q115)*IFERROR(CHOOSE(MATCH(Input!$E115,OIUnitType,),1,EP$13,MAX(EP$13*(1-SUMIF(Input!$G$89:$Q$89,EP$6,Input!$G$90:$Q$90)-EP$31),))*IF(Input!$F115=PerMonth,1,1/12),1/12)</f>
        <v>0</v>
      </c>
      <c r="EQ150" s="635">
        <f>SUMIF(Input!$G$105:$Q$105,EQ$6,Input!$G115:$Q115)*IFERROR(CHOOSE(MATCH(Input!$E115,OIUnitType,),1,EQ$13,MAX(EQ$13*(1-SUMIF(Input!$G$89:$Q$89,EQ$6,Input!$G$90:$Q$90)-EQ$31),))*IF(Input!$F115=PerMonth,1,1/12),1/12)</f>
        <v>0</v>
      </c>
      <c r="ER150" s="635">
        <f>SUMIF(Input!$G$105:$Q$105,ER$6,Input!$G115:$Q115)*IFERROR(CHOOSE(MATCH(Input!$E115,OIUnitType,),1,ER$13,MAX(ER$13*(1-SUMIF(Input!$G$89:$Q$89,ER$6,Input!$G$90:$Q$90)-ER$31),))*IF(Input!$F115=PerMonth,1,1/12),1/12)</f>
        <v>0</v>
      </c>
      <c r="ES150" s="635">
        <f>SUMIF(Input!$G$105:$Q$105,ES$6,Input!$G115:$Q115)*IFERROR(CHOOSE(MATCH(Input!$E115,OIUnitType,),1,ES$13,MAX(ES$13*(1-SUMIF(Input!$G$89:$Q$89,ES$6,Input!$G$90:$Q$90)-ES$31),))*IF(Input!$F115=PerMonth,1,1/12),1/12)</f>
        <v>0</v>
      </c>
      <c r="ET150" s="192"/>
    </row>
    <row r="151" spans="1:150" ht="6.75" customHeight="1">
      <c r="A151" s="192"/>
      <c r="B151" s="36"/>
      <c r="C151" s="635"/>
      <c r="D151" s="635"/>
      <c r="E151" s="635"/>
      <c r="F151" s="635"/>
      <c r="G151" s="635"/>
      <c r="H151" s="635"/>
      <c r="I151" s="635"/>
      <c r="J151" s="635"/>
      <c r="K151" s="635"/>
      <c r="L151" s="635"/>
      <c r="M151" s="635"/>
      <c r="N151" s="192"/>
      <c r="O151" s="635"/>
      <c r="P151" s="192"/>
      <c r="Q151" s="37"/>
      <c r="R151" s="635"/>
      <c r="S151" s="635"/>
      <c r="T151" s="635"/>
      <c r="U151" s="635"/>
      <c r="V151" s="635"/>
      <c r="W151" s="635"/>
      <c r="X151" s="635"/>
      <c r="Y151" s="635"/>
      <c r="Z151" s="635"/>
      <c r="AA151" s="635"/>
      <c r="AB151" s="635"/>
      <c r="AC151" s="635"/>
      <c r="AD151" s="635"/>
      <c r="AE151" s="635"/>
      <c r="AF151" s="635"/>
      <c r="AG151" s="635"/>
      <c r="AH151" s="635"/>
      <c r="AI151" s="635"/>
      <c r="AJ151" s="635"/>
      <c r="AK151" s="635"/>
      <c r="AL151" s="635"/>
      <c r="AM151" s="635"/>
      <c r="AN151" s="635"/>
      <c r="AO151" s="635"/>
      <c r="AP151" s="635"/>
      <c r="AQ151" s="635"/>
      <c r="AR151" s="635"/>
      <c r="AS151" s="635"/>
      <c r="AT151" s="635"/>
      <c r="AU151" s="635"/>
      <c r="AV151" s="635"/>
      <c r="AW151" s="635"/>
      <c r="AX151" s="635"/>
      <c r="AY151" s="635"/>
      <c r="AZ151" s="635"/>
      <c r="BA151" s="635"/>
      <c r="BB151" s="635"/>
      <c r="BC151" s="635"/>
      <c r="BD151" s="635"/>
      <c r="BE151" s="635"/>
      <c r="BF151" s="635"/>
      <c r="BG151" s="635"/>
      <c r="BH151" s="635"/>
      <c r="BI151" s="635"/>
      <c r="BJ151" s="635"/>
      <c r="BK151" s="635"/>
      <c r="BL151" s="635"/>
      <c r="BM151" s="635"/>
      <c r="BN151" s="635"/>
      <c r="BO151" s="635"/>
      <c r="BP151" s="635"/>
      <c r="BQ151" s="635"/>
      <c r="BR151" s="635"/>
      <c r="BS151" s="635"/>
      <c r="BT151" s="635"/>
      <c r="BU151" s="635"/>
      <c r="BV151" s="635"/>
      <c r="BW151" s="635"/>
      <c r="BX151" s="635"/>
      <c r="BY151" s="635"/>
      <c r="BZ151" s="635"/>
      <c r="CA151" s="635"/>
      <c r="CB151" s="635"/>
      <c r="CC151" s="635"/>
      <c r="CD151" s="635"/>
      <c r="CE151" s="635"/>
      <c r="CF151" s="635"/>
      <c r="CG151" s="635"/>
      <c r="CH151" s="635"/>
      <c r="CI151" s="635"/>
      <c r="CJ151" s="635"/>
      <c r="CK151" s="635"/>
      <c r="CL151" s="635"/>
      <c r="CM151" s="635"/>
      <c r="CN151" s="635"/>
      <c r="CO151" s="635"/>
      <c r="CP151" s="635"/>
      <c r="CQ151" s="635"/>
      <c r="CR151" s="635"/>
      <c r="CS151" s="635"/>
      <c r="CT151" s="635"/>
      <c r="CU151" s="635"/>
      <c r="CV151" s="635"/>
      <c r="CW151" s="635"/>
      <c r="CX151" s="635"/>
      <c r="CY151" s="635"/>
      <c r="CZ151" s="635"/>
      <c r="DA151" s="635"/>
      <c r="DB151" s="635"/>
      <c r="DC151" s="635"/>
      <c r="DD151" s="635"/>
      <c r="DE151" s="635"/>
      <c r="DF151" s="635"/>
      <c r="DG151" s="635"/>
      <c r="DH151" s="635"/>
      <c r="DI151" s="635"/>
      <c r="DJ151" s="635"/>
      <c r="DK151" s="635"/>
      <c r="DL151" s="635"/>
      <c r="DM151" s="635"/>
      <c r="DN151" s="635"/>
      <c r="DO151" s="635"/>
      <c r="DP151" s="635"/>
      <c r="DQ151" s="635"/>
      <c r="DR151" s="635"/>
      <c r="DS151" s="635"/>
      <c r="DT151" s="635"/>
      <c r="DU151" s="635"/>
      <c r="DV151" s="635"/>
      <c r="DW151" s="635"/>
      <c r="DX151" s="635"/>
      <c r="DY151" s="635"/>
      <c r="DZ151" s="635"/>
      <c r="EA151" s="635"/>
      <c r="EB151" s="635"/>
      <c r="EC151" s="635"/>
      <c r="ED151" s="635"/>
      <c r="EE151" s="635"/>
      <c r="EF151" s="635"/>
      <c r="EG151" s="635"/>
      <c r="EH151" s="635"/>
      <c r="EI151" s="635"/>
      <c r="EJ151" s="635"/>
      <c r="EK151" s="635"/>
      <c r="EL151" s="635"/>
      <c r="EM151" s="635"/>
      <c r="EN151" s="635"/>
      <c r="EO151" s="635"/>
      <c r="EP151" s="635"/>
      <c r="EQ151" s="635"/>
      <c r="ER151" s="635"/>
      <c r="ES151" s="635"/>
      <c r="ET151" s="192"/>
    </row>
    <row r="152" spans="1:150">
      <c r="A152" s="192"/>
      <c r="B152" s="378" t="s">
        <v>575</v>
      </c>
      <c r="C152" s="836">
        <f t="shared" ref="C152:M152" si="143">SUM(C141:C151)</f>
        <v>193800</v>
      </c>
      <c r="D152" s="836">
        <f t="shared" si="143"/>
        <v>193800</v>
      </c>
      <c r="E152" s="836">
        <f t="shared" si="143"/>
        <v>193800</v>
      </c>
      <c r="F152" s="836">
        <f t="shared" si="143"/>
        <v>193800</v>
      </c>
      <c r="G152" s="836">
        <f t="shared" si="143"/>
        <v>193800</v>
      </c>
      <c r="H152" s="836">
        <f t="shared" si="143"/>
        <v>193800</v>
      </c>
      <c r="I152" s="836">
        <f t="shared" si="143"/>
        <v>193800</v>
      </c>
      <c r="J152" s="836">
        <f t="shared" si="143"/>
        <v>193800</v>
      </c>
      <c r="K152" s="836">
        <f t="shared" si="143"/>
        <v>193800</v>
      </c>
      <c r="L152" s="836">
        <f t="shared" si="143"/>
        <v>193800</v>
      </c>
      <c r="M152" s="836">
        <f t="shared" si="143"/>
        <v>193800</v>
      </c>
      <c r="N152" s="812"/>
      <c r="O152" s="836">
        <f>SUM(O141:O151)</f>
        <v>193800</v>
      </c>
      <c r="P152" s="812"/>
      <c r="Q152" s="837"/>
      <c r="R152" s="836">
        <f t="shared" ref="R152:AW152" si="144">SUM(R141:R151)</f>
        <v>16150.000000000002</v>
      </c>
      <c r="S152" s="836">
        <f t="shared" si="144"/>
        <v>16150.000000000002</v>
      </c>
      <c r="T152" s="836">
        <f t="shared" si="144"/>
        <v>16150.000000000002</v>
      </c>
      <c r="U152" s="836">
        <f t="shared" si="144"/>
        <v>16150.000000000002</v>
      </c>
      <c r="V152" s="836">
        <f t="shared" si="144"/>
        <v>16150.000000000002</v>
      </c>
      <c r="W152" s="836">
        <f t="shared" si="144"/>
        <v>16150.000000000002</v>
      </c>
      <c r="X152" s="836">
        <f t="shared" si="144"/>
        <v>16150.000000000002</v>
      </c>
      <c r="Y152" s="836">
        <f t="shared" si="144"/>
        <v>16150.000000000002</v>
      </c>
      <c r="Z152" s="836">
        <f t="shared" si="144"/>
        <v>16150.000000000002</v>
      </c>
      <c r="AA152" s="836">
        <f t="shared" si="144"/>
        <v>16150.000000000002</v>
      </c>
      <c r="AB152" s="836">
        <f t="shared" si="144"/>
        <v>16150.000000000002</v>
      </c>
      <c r="AC152" s="836">
        <f t="shared" si="144"/>
        <v>16150.000000000002</v>
      </c>
      <c r="AD152" s="836">
        <f t="shared" si="144"/>
        <v>16150.000000000002</v>
      </c>
      <c r="AE152" s="836">
        <f t="shared" si="144"/>
        <v>16150.000000000002</v>
      </c>
      <c r="AF152" s="836">
        <f t="shared" si="144"/>
        <v>16150.000000000002</v>
      </c>
      <c r="AG152" s="836">
        <f t="shared" si="144"/>
        <v>16150.000000000002</v>
      </c>
      <c r="AH152" s="836">
        <f t="shared" si="144"/>
        <v>16150.000000000002</v>
      </c>
      <c r="AI152" s="836">
        <f t="shared" si="144"/>
        <v>16150.000000000002</v>
      </c>
      <c r="AJ152" s="836">
        <f t="shared" si="144"/>
        <v>16150.000000000002</v>
      </c>
      <c r="AK152" s="836">
        <f t="shared" si="144"/>
        <v>16150.000000000002</v>
      </c>
      <c r="AL152" s="836">
        <f t="shared" si="144"/>
        <v>16150.000000000002</v>
      </c>
      <c r="AM152" s="836">
        <f t="shared" si="144"/>
        <v>16150.000000000002</v>
      </c>
      <c r="AN152" s="836">
        <f t="shared" si="144"/>
        <v>16150.000000000002</v>
      </c>
      <c r="AO152" s="836">
        <f t="shared" si="144"/>
        <v>16150.000000000002</v>
      </c>
      <c r="AP152" s="836">
        <f t="shared" si="144"/>
        <v>16150.000000000002</v>
      </c>
      <c r="AQ152" s="836">
        <f t="shared" si="144"/>
        <v>16150.000000000002</v>
      </c>
      <c r="AR152" s="836">
        <f t="shared" si="144"/>
        <v>16150.000000000002</v>
      </c>
      <c r="AS152" s="836">
        <f t="shared" si="144"/>
        <v>16150.000000000002</v>
      </c>
      <c r="AT152" s="836">
        <f t="shared" si="144"/>
        <v>16150.000000000002</v>
      </c>
      <c r="AU152" s="836">
        <f t="shared" si="144"/>
        <v>16150.000000000002</v>
      </c>
      <c r="AV152" s="836">
        <f t="shared" si="144"/>
        <v>16150.000000000002</v>
      </c>
      <c r="AW152" s="836">
        <f t="shared" si="144"/>
        <v>16150.000000000002</v>
      </c>
      <c r="AX152" s="836">
        <f t="shared" ref="AX152:CC152" si="145">SUM(AX141:AX151)</f>
        <v>16150.000000000002</v>
      </c>
      <c r="AY152" s="836">
        <f t="shared" si="145"/>
        <v>16150.000000000002</v>
      </c>
      <c r="AZ152" s="836">
        <f t="shared" si="145"/>
        <v>16150.000000000002</v>
      </c>
      <c r="BA152" s="836">
        <f t="shared" si="145"/>
        <v>16150.000000000002</v>
      </c>
      <c r="BB152" s="836">
        <f t="shared" si="145"/>
        <v>16150.000000000002</v>
      </c>
      <c r="BC152" s="836">
        <f t="shared" si="145"/>
        <v>16150.000000000002</v>
      </c>
      <c r="BD152" s="836">
        <f t="shared" si="145"/>
        <v>16150.000000000002</v>
      </c>
      <c r="BE152" s="836">
        <f t="shared" si="145"/>
        <v>16150.000000000002</v>
      </c>
      <c r="BF152" s="836">
        <f t="shared" si="145"/>
        <v>16150.000000000002</v>
      </c>
      <c r="BG152" s="836">
        <f t="shared" si="145"/>
        <v>16150.000000000002</v>
      </c>
      <c r="BH152" s="836">
        <f t="shared" si="145"/>
        <v>16150.000000000002</v>
      </c>
      <c r="BI152" s="836">
        <f t="shared" si="145"/>
        <v>16150.000000000002</v>
      </c>
      <c r="BJ152" s="836">
        <f t="shared" si="145"/>
        <v>16150.000000000002</v>
      </c>
      <c r="BK152" s="836">
        <f t="shared" si="145"/>
        <v>16150.000000000002</v>
      </c>
      <c r="BL152" s="836">
        <f t="shared" si="145"/>
        <v>16150.000000000002</v>
      </c>
      <c r="BM152" s="836">
        <f t="shared" si="145"/>
        <v>16150.000000000002</v>
      </c>
      <c r="BN152" s="836">
        <f t="shared" si="145"/>
        <v>16150.000000000002</v>
      </c>
      <c r="BO152" s="836">
        <f t="shared" si="145"/>
        <v>16150.000000000002</v>
      </c>
      <c r="BP152" s="836">
        <f t="shared" si="145"/>
        <v>16150.000000000002</v>
      </c>
      <c r="BQ152" s="836">
        <f t="shared" si="145"/>
        <v>16150.000000000002</v>
      </c>
      <c r="BR152" s="836">
        <f t="shared" si="145"/>
        <v>16150.000000000002</v>
      </c>
      <c r="BS152" s="836">
        <f t="shared" si="145"/>
        <v>16150.000000000002</v>
      </c>
      <c r="BT152" s="836">
        <f t="shared" si="145"/>
        <v>16150.000000000002</v>
      </c>
      <c r="BU152" s="836">
        <f t="shared" si="145"/>
        <v>16150.000000000002</v>
      </c>
      <c r="BV152" s="836">
        <f t="shared" si="145"/>
        <v>16150.000000000002</v>
      </c>
      <c r="BW152" s="836">
        <f t="shared" si="145"/>
        <v>16150.000000000002</v>
      </c>
      <c r="BX152" s="836">
        <f t="shared" si="145"/>
        <v>16150.000000000002</v>
      </c>
      <c r="BY152" s="836">
        <f t="shared" si="145"/>
        <v>16150.000000000002</v>
      </c>
      <c r="BZ152" s="836">
        <f t="shared" si="145"/>
        <v>16150.000000000002</v>
      </c>
      <c r="CA152" s="836">
        <f t="shared" si="145"/>
        <v>16150.000000000002</v>
      </c>
      <c r="CB152" s="836">
        <f t="shared" si="145"/>
        <v>16150.000000000002</v>
      </c>
      <c r="CC152" s="836">
        <f t="shared" si="145"/>
        <v>16150.000000000002</v>
      </c>
      <c r="CD152" s="836">
        <f t="shared" ref="CD152:DI152" si="146">SUM(CD141:CD151)</f>
        <v>16150.000000000002</v>
      </c>
      <c r="CE152" s="836">
        <f t="shared" si="146"/>
        <v>16150.000000000002</v>
      </c>
      <c r="CF152" s="836">
        <f t="shared" si="146"/>
        <v>16150.000000000002</v>
      </c>
      <c r="CG152" s="836">
        <f t="shared" si="146"/>
        <v>16150.000000000002</v>
      </c>
      <c r="CH152" s="836">
        <f t="shared" si="146"/>
        <v>16150.000000000002</v>
      </c>
      <c r="CI152" s="836">
        <f t="shared" si="146"/>
        <v>16150.000000000002</v>
      </c>
      <c r="CJ152" s="836">
        <f t="shared" si="146"/>
        <v>16150.000000000002</v>
      </c>
      <c r="CK152" s="836">
        <f t="shared" si="146"/>
        <v>16150.000000000002</v>
      </c>
      <c r="CL152" s="836">
        <f t="shared" si="146"/>
        <v>16150.000000000002</v>
      </c>
      <c r="CM152" s="836">
        <f t="shared" si="146"/>
        <v>16150.000000000002</v>
      </c>
      <c r="CN152" s="836">
        <f t="shared" si="146"/>
        <v>16150.000000000002</v>
      </c>
      <c r="CO152" s="836">
        <f t="shared" si="146"/>
        <v>16150.000000000002</v>
      </c>
      <c r="CP152" s="836">
        <f t="shared" si="146"/>
        <v>16150.000000000002</v>
      </c>
      <c r="CQ152" s="836">
        <f t="shared" si="146"/>
        <v>16150.000000000002</v>
      </c>
      <c r="CR152" s="836">
        <f t="shared" si="146"/>
        <v>16150.000000000002</v>
      </c>
      <c r="CS152" s="836">
        <f t="shared" si="146"/>
        <v>16150.000000000002</v>
      </c>
      <c r="CT152" s="836">
        <f t="shared" si="146"/>
        <v>16150.000000000002</v>
      </c>
      <c r="CU152" s="836">
        <f t="shared" si="146"/>
        <v>16150.000000000002</v>
      </c>
      <c r="CV152" s="836">
        <f t="shared" si="146"/>
        <v>16150.000000000002</v>
      </c>
      <c r="CW152" s="836">
        <f t="shared" si="146"/>
        <v>16150.000000000002</v>
      </c>
      <c r="CX152" s="836">
        <f t="shared" si="146"/>
        <v>16150.000000000002</v>
      </c>
      <c r="CY152" s="836">
        <f t="shared" si="146"/>
        <v>16150.000000000002</v>
      </c>
      <c r="CZ152" s="836">
        <f t="shared" si="146"/>
        <v>16150.000000000002</v>
      </c>
      <c r="DA152" s="836">
        <f t="shared" si="146"/>
        <v>16150.000000000002</v>
      </c>
      <c r="DB152" s="836">
        <f t="shared" si="146"/>
        <v>16150.000000000002</v>
      </c>
      <c r="DC152" s="836">
        <f t="shared" si="146"/>
        <v>16150.000000000002</v>
      </c>
      <c r="DD152" s="836">
        <f t="shared" si="146"/>
        <v>16150.000000000002</v>
      </c>
      <c r="DE152" s="836">
        <f t="shared" si="146"/>
        <v>16150.000000000002</v>
      </c>
      <c r="DF152" s="836">
        <f t="shared" si="146"/>
        <v>16150.000000000002</v>
      </c>
      <c r="DG152" s="836">
        <f t="shared" si="146"/>
        <v>16150.000000000002</v>
      </c>
      <c r="DH152" s="836">
        <f t="shared" si="146"/>
        <v>16150.000000000002</v>
      </c>
      <c r="DI152" s="836">
        <f t="shared" si="146"/>
        <v>16150.000000000002</v>
      </c>
      <c r="DJ152" s="836">
        <f t="shared" ref="DJ152:EO152" si="147">SUM(DJ141:DJ151)</f>
        <v>16150.000000000002</v>
      </c>
      <c r="DK152" s="836">
        <f t="shared" si="147"/>
        <v>16150.000000000002</v>
      </c>
      <c r="DL152" s="836">
        <f t="shared" si="147"/>
        <v>16150.000000000002</v>
      </c>
      <c r="DM152" s="836">
        <f t="shared" si="147"/>
        <v>16150.000000000002</v>
      </c>
      <c r="DN152" s="836">
        <f t="shared" si="147"/>
        <v>16150.000000000002</v>
      </c>
      <c r="DO152" s="836">
        <f t="shared" si="147"/>
        <v>16150.000000000002</v>
      </c>
      <c r="DP152" s="836">
        <f t="shared" si="147"/>
        <v>16150.000000000002</v>
      </c>
      <c r="DQ152" s="836">
        <f t="shared" si="147"/>
        <v>16150.000000000002</v>
      </c>
      <c r="DR152" s="836">
        <f t="shared" si="147"/>
        <v>16150.000000000002</v>
      </c>
      <c r="DS152" s="836">
        <f t="shared" si="147"/>
        <v>16150.000000000002</v>
      </c>
      <c r="DT152" s="836">
        <f t="shared" si="147"/>
        <v>16150.000000000002</v>
      </c>
      <c r="DU152" s="836">
        <f t="shared" si="147"/>
        <v>16150.000000000002</v>
      </c>
      <c r="DV152" s="836">
        <f t="shared" si="147"/>
        <v>16150.000000000002</v>
      </c>
      <c r="DW152" s="836">
        <f t="shared" si="147"/>
        <v>16150.000000000002</v>
      </c>
      <c r="DX152" s="836">
        <f t="shared" si="147"/>
        <v>16150.000000000002</v>
      </c>
      <c r="DY152" s="836">
        <f t="shared" si="147"/>
        <v>16150.000000000002</v>
      </c>
      <c r="DZ152" s="836">
        <f t="shared" si="147"/>
        <v>16150.000000000002</v>
      </c>
      <c r="EA152" s="836">
        <f t="shared" si="147"/>
        <v>16150.000000000002</v>
      </c>
      <c r="EB152" s="836">
        <f t="shared" si="147"/>
        <v>16150.000000000002</v>
      </c>
      <c r="EC152" s="836">
        <f t="shared" si="147"/>
        <v>16150.000000000002</v>
      </c>
      <c r="ED152" s="836">
        <f t="shared" si="147"/>
        <v>16150.000000000002</v>
      </c>
      <c r="EE152" s="836">
        <f t="shared" si="147"/>
        <v>16150.000000000002</v>
      </c>
      <c r="EF152" s="836">
        <f t="shared" si="147"/>
        <v>16150.000000000002</v>
      </c>
      <c r="EG152" s="836">
        <f t="shared" si="147"/>
        <v>16150.000000000002</v>
      </c>
      <c r="EH152" s="836">
        <f t="shared" si="147"/>
        <v>16150.000000000002</v>
      </c>
      <c r="EI152" s="836">
        <f t="shared" si="147"/>
        <v>16150.000000000002</v>
      </c>
      <c r="EJ152" s="836">
        <f t="shared" si="147"/>
        <v>16150.000000000002</v>
      </c>
      <c r="EK152" s="836">
        <f t="shared" si="147"/>
        <v>16150.000000000002</v>
      </c>
      <c r="EL152" s="836">
        <f t="shared" si="147"/>
        <v>16150.000000000002</v>
      </c>
      <c r="EM152" s="836">
        <f t="shared" si="147"/>
        <v>16150.000000000002</v>
      </c>
      <c r="EN152" s="836">
        <f t="shared" si="147"/>
        <v>16150.000000000002</v>
      </c>
      <c r="EO152" s="836">
        <f t="shared" si="147"/>
        <v>16150.000000000002</v>
      </c>
      <c r="EP152" s="836">
        <f t="shared" ref="EP152:FU152" si="148">SUM(EP141:EP151)</f>
        <v>16150.000000000002</v>
      </c>
      <c r="EQ152" s="836">
        <f t="shared" si="148"/>
        <v>16150.000000000002</v>
      </c>
      <c r="ER152" s="836">
        <f t="shared" si="148"/>
        <v>16150.000000000002</v>
      </c>
      <c r="ES152" s="836">
        <f t="shared" si="148"/>
        <v>16150.000000000002</v>
      </c>
      <c r="ET152" s="192"/>
    </row>
    <row r="153" spans="1:150">
      <c r="A153" s="192"/>
      <c r="B153" s="36"/>
      <c r="C153" s="37"/>
      <c r="D153" s="37"/>
      <c r="E153" s="37"/>
      <c r="F153" s="37"/>
      <c r="G153" s="37"/>
      <c r="H153" s="37"/>
      <c r="I153" s="37"/>
      <c r="J153" s="37"/>
      <c r="K153" s="37"/>
      <c r="L153" s="37"/>
      <c r="M153" s="37"/>
      <c r="N153" s="192"/>
      <c r="O153" s="37"/>
      <c r="P153" s="192"/>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c r="BT153" s="37"/>
      <c r="BU153" s="37"/>
      <c r="BV153" s="37"/>
      <c r="BW153" s="37"/>
      <c r="BX153" s="37"/>
      <c r="BY153" s="37"/>
      <c r="BZ153" s="37"/>
      <c r="CA153" s="37"/>
      <c r="CB153" s="37"/>
      <c r="CC153" s="37"/>
      <c r="CD153" s="37"/>
      <c r="CE153" s="37"/>
      <c r="CF153" s="37"/>
      <c r="CG153" s="37"/>
      <c r="CH153" s="37"/>
      <c r="CI153" s="37"/>
      <c r="CJ153" s="37"/>
      <c r="CK153" s="37"/>
      <c r="CL153" s="37"/>
      <c r="CM153" s="37"/>
      <c r="CN153" s="37"/>
      <c r="CO153" s="37"/>
      <c r="CP153" s="37"/>
      <c r="CQ153" s="37"/>
      <c r="CR153" s="37"/>
      <c r="CS153" s="37"/>
      <c r="CT153" s="37"/>
      <c r="CU153" s="37"/>
      <c r="CV153" s="37"/>
      <c r="CW153" s="37"/>
      <c r="CX153" s="37"/>
      <c r="CY153" s="37"/>
      <c r="CZ153" s="37"/>
      <c r="DA153" s="37"/>
      <c r="DB153" s="37"/>
      <c r="DC153" s="37"/>
      <c r="DD153" s="37"/>
      <c r="DE153" s="37"/>
      <c r="DF153" s="37"/>
      <c r="DG153" s="37"/>
      <c r="DH153" s="37"/>
      <c r="DI153" s="37"/>
      <c r="DJ153" s="37"/>
      <c r="DK153" s="37"/>
      <c r="DL153" s="37"/>
      <c r="DM153" s="37"/>
      <c r="DN153" s="37"/>
      <c r="DO153" s="37"/>
      <c r="DP153" s="37"/>
      <c r="DQ153" s="37"/>
      <c r="DR153" s="37"/>
      <c r="DS153" s="37"/>
      <c r="DT153" s="37"/>
      <c r="DU153" s="37"/>
      <c r="DV153" s="37"/>
      <c r="DW153" s="37"/>
      <c r="DX153" s="37"/>
      <c r="DY153" s="37"/>
      <c r="DZ153" s="37"/>
      <c r="EA153" s="37"/>
      <c r="EB153" s="37"/>
      <c r="EC153" s="37"/>
      <c r="ED153" s="37"/>
      <c r="EE153" s="37"/>
      <c r="EF153" s="37"/>
      <c r="EG153" s="37"/>
      <c r="EH153" s="37"/>
      <c r="EI153" s="37"/>
      <c r="EJ153" s="37"/>
      <c r="EK153" s="37"/>
      <c r="EL153" s="37"/>
      <c r="EM153" s="37"/>
      <c r="EN153" s="37"/>
      <c r="EO153" s="37"/>
      <c r="EP153" s="37"/>
      <c r="EQ153" s="37"/>
      <c r="ER153" s="37"/>
      <c r="ES153" s="37"/>
      <c r="ET153" s="192"/>
    </row>
    <row r="156" spans="1:150" s="192" customFormat="1" ht="15.75" hidden="1" customHeight="1" outlineLevel="1">
      <c r="B156" s="1034" t="s">
        <v>576</v>
      </c>
      <c r="C156" s="1019"/>
      <c r="D156" s="1019"/>
      <c r="E156" s="1019"/>
      <c r="F156" s="1019"/>
      <c r="G156" s="1019"/>
      <c r="H156" s="1019"/>
      <c r="I156" s="1019"/>
      <c r="J156" s="1019"/>
      <c r="K156" s="1019"/>
      <c r="L156" s="1019"/>
      <c r="M156" s="1019"/>
      <c r="N156" s="1019"/>
      <c r="O156" s="1019"/>
      <c r="P156"/>
      <c r="Q156" s="1034" t="s">
        <v>577</v>
      </c>
      <c r="R156" s="1019"/>
      <c r="S156" s="1019"/>
      <c r="T156" s="1019"/>
      <c r="U156" s="1019"/>
      <c r="V156" s="1019"/>
      <c r="W156" s="1019"/>
      <c r="X156" s="1019"/>
      <c r="Y156" s="1019"/>
      <c r="Z156" s="1019"/>
      <c r="AA156" s="1019"/>
      <c r="AB156" s="1019"/>
      <c r="AC156" s="1019"/>
      <c r="AD156" s="1019"/>
      <c r="AE156" s="1019"/>
      <c r="AF156" s="1019"/>
      <c r="AG156" s="1019"/>
      <c r="AH156" s="1019"/>
      <c r="AI156" s="1019"/>
      <c r="AJ156" s="1019"/>
      <c r="AK156" s="1019"/>
      <c r="AL156" s="1019"/>
      <c r="AM156" s="1019"/>
      <c r="AN156" s="1019"/>
      <c r="AO156" s="1019"/>
      <c r="AP156" s="1019"/>
      <c r="AQ156" s="1019"/>
      <c r="AR156" s="1019"/>
      <c r="AS156" s="1019"/>
      <c r="AT156" s="1019"/>
      <c r="AU156" s="1019"/>
      <c r="AV156" s="1019"/>
      <c r="AW156" s="1019"/>
      <c r="AX156" s="1019"/>
      <c r="AY156" s="1019"/>
      <c r="AZ156" s="1019"/>
      <c r="BA156" s="1019"/>
      <c r="BB156" s="1019"/>
      <c r="BC156" s="1019"/>
      <c r="BD156" s="1019"/>
      <c r="BE156" s="1019"/>
      <c r="BF156" s="1019"/>
      <c r="BG156" s="1019"/>
      <c r="BH156" s="1019"/>
      <c r="BI156" s="1019"/>
      <c r="BJ156" s="1019"/>
      <c r="BK156" s="1019"/>
      <c r="BL156" s="1019"/>
      <c r="BM156" s="1019"/>
      <c r="BN156" s="1019"/>
      <c r="BO156" s="1019"/>
      <c r="BP156" s="1019"/>
      <c r="BQ156" s="1019"/>
      <c r="BR156" s="1019"/>
      <c r="BS156" s="1019"/>
      <c r="BT156" s="1019"/>
      <c r="BU156" s="1019"/>
      <c r="BV156" s="1019"/>
      <c r="BW156" s="1019"/>
      <c r="BX156" s="1019"/>
      <c r="BY156" s="1019"/>
      <c r="BZ156" s="1019"/>
      <c r="CA156" s="1019"/>
      <c r="CB156" s="1019"/>
      <c r="CC156" s="1019"/>
      <c r="CD156" s="1019"/>
      <c r="CE156" s="1019"/>
      <c r="CF156" s="1019"/>
      <c r="CG156" s="1019"/>
      <c r="CH156" s="1019"/>
      <c r="CI156" s="1019"/>
      <c r="CJ156" s="1019"/>
      <c r="CK156" s="1019"/>
      <c r="CL156" s="1019"/>
      <c r="CM156" s="1019"/>
      <c r="CN156" s="1019"/>
      <c r="CO156" s="1019"/>
      <c r="CP156" s="1019"/>
      <c r="CQ156" s="1019"/>
      <c r="CR156" s="1019"/>
      <c r="CS156" s="1019"/>
      <c r="CT156" s="1019"/>
      <c r="CU156" s="1019"/>
      <c r="CV156" s="1019"/>
      <c r="CW156" s="1019"/>
      <c r="CX156" s="1019"/>
      <c r="CY156" s="1019"/>
      <c r="CZ156" s="1019"/>
      <c r="DA156" s="1019"/>
      <c r="DB156" s="1019"/>
      <c r="DC156" s="1019"/>
      <c r="DD156" s="1019"/>
      <c r="DE156" s="1019"/>
      <c r="DF156" s="1019"/>
      <c r="DG156" s="1019"/>
      <c r="DH156" s="1019"/>
      <c r="DI156" s="1019"/>
      <c r="DJ156" s="1019"/>
      <c r="DK156" s="1019"/>
      <c r="DL156" s="1019"/>
      <c r="DM156" s="1019"/>
      <c r="DN156" s="1019"/>
      <c r="DO156" s="1019"/>
      <c r="DP156" s="1019"/>
      <c r="DQ156" s="1019"/>
      <c r="DR156" s="1019"/>
      <c r="DS156" s="1019"/>
      <c r="DT156" s="1019"/>
      <c r="DU156" s="1019"/>
      <c r="DV156" s="1019"/>
      <c r="DW156" s="1019"/>
      <c r="DX156" s="1019"/>
      <c r="DY156" s="1019"/>
      <c r="DZ156" s="1019"/>
      <c r="EA156" s="1019"/>
      <c r="EB156" s="1019"/>
      <c r="EC156" s="1019"/>
      <c r="ED156" s="1019"/>
      <c r="EE156" s="1019"/>
      <c r="EF156" s="1019"/>
      <c r="EG156" s="1019"/>
      <c r="EH156" s="1019"/>
      <c r="EI156" s="1019"/>
      <c r="EJ156" s="1019"/>
      <c r="EK156" s="1019"/>
      <c r="EL156" s="1019"/>
      <c r="EM156" s="1019"/>
      <c r="EN156" s="1019"/>
      <c r="EO156" s="1019"/>
      <c r="EP156" s="1019"/>
      <c r="EQ156" s="1019"/>
      <c r="ER156" s="1019"/>
      <c r="ES156" s="1019"/>
    </row>
    <row r="157" spans="1:150" ht="15.75" hidden="1" customHeight="1" outlineLevel="1">
      <c r="A157" s="192"/>
      <c r="B157" s="192"/>
      <c r="C157" s="192"/>
      <c r="D157" s="192"/>
      <c r="E157" s="192"/>
      <c r="F157" s="192"/>
      <c r="G157" s="192"/>
      <c r="H157" s="192"/>
      <c r="I157" s="192"/>
      <c r="J157" s="192"/>
      <c r="K157" s="192"/>
      <c r="L157" s="192"/>
      <c r="M157" s="192"/>
      <c r="N157" s="192"/>
      <c r="O157" s="192"/>
      <c r="Q157" s="192"/>
      <c r="R157" s="192"/>
      <c r="S157" s="192"/>
      <c r="T157" s="192"/>
      <c r="U157" s="192"/>
      <c r="V157" s="192"/>
      <c r="W157" s="192"/>
      <c r="X157" s="192"/>
      <c r="Y157" s="192"/>
      <c r="Z157" s="192"/>
      <c r="AA157" s="192"/>
      <c r="AB157" s="192"/>
      <c r="AC157" s="192"/>
      <c r="AD157" s="192"/>
      <c r="AE157" s="192"/>
      <c r="AF157" s="192"/>
      <c r="AG157" s="192"/>
      <c r="AH157" s="192"/>
      <c r="AI157" s="192"/>
      <c r="AJ157" s="192"/>
      <c r="AK157" s="192"/>
      <c r="AL157" s="192"/>
      <c r="AM157" s="192"/>
      <c r="AN157" s="192"/>
      <c r="AO157" s="192"/>
      <c r="AP157" s="192"/>
      <c r="AQ157" s="192"/>
      <c r="AR157" s="192"/>
      <c r="AS157" s="192"/>
      <c r="AT157" s="192"/>
      <c r="AU157" s="192"/>
      <c r="AV157" s="192"/>
      <c r="AW157" s="192"/>
      <c r="AX157" s="192"/>
      <c r="AY157" s="192"/>
      <c r="AZ157" s="192"/>
      <c r="BA157" s="192"/>
      <c r="BB157" s="192"/>
      <c r="BC157" s="192"/>
      <c r="BD157" s="192"/>
      <c r="BE157" s="192"/>
      <c r="BF157" s="192"/>
      <c r="BG157" s="192"/>
      <c r="BH157" s="192"/>
      <c r="BI157" s="192"/>
      <c r="BJ157" s="192"/>
      <c r="BK157" s="192"/>
      <c r="BL157" s="192"/>
      <c r="BM157" s="192"/>
      <c r="BN157" s="192"/>
      <c r="BO157" s="192"/>
      <c r="BP157" s="192"/>
      <c r="BQ157" s="192"/>
      <c r="BR157" s="192"/>
      <c r="BS157" s="192"/>
      <c r="BT157" s="192"/>
      <c r="BU157" s="192"/>
      <c r="BV157" s="192"/>
      <c r="BW157" s="192"/>
      <c r="BX157" s="192"/>
      <c r="BY157" s="192"/>
      <c r="BZ157" s="192"/>
      <c r="CA157" s="192"/>
      <c r="CB157" s="192"/>
      <c r="CC157" s="192"/>
      <c r="CD157" s="192"/>
      <c r="CE157" s="192"/>
      <c r="CF157" s="192"/>
      <c r="CG157" s="192"/>
      <c r="CH157" s="192"/>
      <c r="CI157" s="192"/>
      <c r="CJ157" s="192"/>
      <c r="CK157" s="192"/>
      <c r="CL157" s="192"/>
      <c r="CM157" s="192"/>
      <c r="CN157" s="192"/>
      <c r="CO157" s="192"/>
      <c r="CP157" s="192"/>
      <c r="CQ157" s="192"/>
      <c r="CR157" s="192"/>
      <c r="CS157" s="192"/>
      <c r="CT157" s="192"/>
      <c r="CU157" s="192"/>
      <c r="CV157" s="192"/>
      <c r="CW157" s="192"/>
      <c r="CX157" s="192"/>
      <c r="CY157" s="192"/>
      <c r="CZ157" s="192"/>
      <c r="DA157" s="192"/>
      <c r="DB157" s="192"/>
      <c r="DC157" s="192"/>
      <c r="DD157" s="192"/>
      <c r="DE157" s="192"/>
      <c r="DF157" s="192"/>
      <c r="DG157" s="192"/>
      <c r="DH157" s="192"/>
      <c r="DI157" s="192"/>
      <c r="DJ157" s="192"/>
      <c r="DK157" s="192"/>
      <c r="DL157" s="192"/>
      <c r="DM157" s="192"/>
      <c r="DN157" s="192"/>
      <c r="DO157" s="192"/>
      <c r="DP157" s="192"/>
      <c r="DQ157" s="192"/>
      <c r="DR157" s="192"/>
      <c r="DS157" s="192"/>
      <c r="DT157" s="192"/>
      <c r="DU157" s="192"/>
      <c r="DV157" s="192"/>
      <c r="DW157" s="192"/>
      <c r="DX157" s="192"/>
      <c r="DY157" s="192"/>
      <c r="DZ157" s="192"/>
      <c r="EA157" s="192"/>
      <c r="EB157" s="192"/>
      <c r="EC157" s="192"/>
      <c r="ED157" s="192"/>
      <c r="EE157" s="192"/>
      <c r="EF157" s="192"/>
      <c r="EG157" s="192"/>
      <c r="EH157" s="192"/>
      <c r="EI157" s="192"/>
      <c r="EJ157" s="192"/>
      <c r="EK157" s="192"/>
      <c r="EL157" s="192"/>
      <c r="EM157" s="192"/>
      <c r="EN157" s="192"/>
      <c r="EO157" s="192"/>
      <c r="EP157" s="192"/>
      <c r="EQ157" s="192"/>
      <c r="ER157" s="192"/>
      <c r="ES157" s="192"/>
      <c r="ET157" s="192"/>
    </row>
    <row r="158" spans="1:150" s="192" customFormat="1" ht="14.25" hidden="1" customHeight="1" outlineLevel="1">
      <c r="B158" s="196"/>
      <c r="C158" s="196"/>
      <c r="D158" s="197"/>
      <c r="E158" s="197"/>
      <c r="F158" s="197"/>
      <c r="G158" s="197"/>
      <c r="H158" s="197"/>
      <c r="I158" s="197"/>
      <c r="J158" s="197"/>
      <c r="K158" s="197"/>
      <c r="L158" s="197"/>
      <c r="M158" s="197"/>
      <c r="N158" s="197"/>
      <c r="O158" s="197"/>
      <c r="P158"/>
      <c r="Q158" s="197"/>
      <c r="R158" s="197"/>
      <c r="S158" s="197"/>
      <c r="T158" s="197"/>
      <c r="U158" s="197"/>
      <c r="V158" s="197"/>
      <c r="W158" s="197"/>
      <c r="X158" s="197"/>
      <c r="Y158" s="197"/>
      <c r="Z158" s="197"/>
      <c r="AA158" s="197"/>
      <c r="AB158" s="197"/>
      <c r="AC158" s="197"/>
      <c r="AD158" s="197"/>
      <c r="AE158" s="197"/>
      <c r="AF158" s="197"/>
      <c r="AG158" s="197"/>
      <c r="AH158" s="197"/>
      <c r="AI158" s="197"/>
      <c r="AJ158" s="197"/>
      <c r="AK158" s="197"/>
      <c r="AL158" s="197"/>
      <c r="AM158" s="197"/>
      <c r="AN158" s="197"/>
      <c r="AO158" s="197"/>
      <c r="AP158" s="197"/>
      <c r="AQ158" s="197"/>
      <c r="AR158" s="197"/>
      <c r="AS158" s="197"/>
      <c r="AT158" s="197"/>
      <c r="AU158" s="197"/>
      <c r="AV158" s="197"/>
      <c r="AW158" s="197"/>
      <c r="AX158" s="197"/>
      <c r="AY158" s="197"/>
      <c r="AZ158" s="197"/>
      <c r="BA158" s="197"/>
      <c r="BB158" s="197"/>
      <c r="BC158" s="197"/>
      <c r="BD158" s="197"/>
      <c r="BE158" s="197"/>
      <c r="BF158" s="197"/>
      <c r="BG158" s="197"/>
      <c r="BH158" s="197"/>
      <c r="BI158" s="197"/>
      <c r="BJ158" s="197"/>
      <c r="BK158" s="197"/>
      <c r="BL158" s="197"/>
      <c r="BM158" s="197"/>
      <c r="BN158" s="197"/>
      <c r="BO158" s="197"/>
      <c r="BP158" s="197"/>
      <c r="BQ158" s="197"/>
      <c r="BR158" s="197"/>
      <c r="BS158" s="197"/>
      <c r="BT158" s="197"/>
      <c r="BU158" s="197"/>
      <c r="BV158" s="197"/>
      <c r="BW158" s="197"/>
      <c r="BX158" s="197"/>
      <c r="BY158" s="197"/>
      <c r="BZ158" s="197"/>
      <c r="CA158" s="197"/>
      <c r="CB158" s="197"/>
      <c r="CC158" s="197"/>
      <c r="CD158" s="197"/>
      <c r="CE158" s="197"/>
      <c r="CF158" s="197"/>
      <c r="CG158" s="197"/>
      <c r="CH158" s="197"/>
      <c r="CI158" s="197"/>
      <c r="CJ158" s="197"/>
      <c r="CK158" s="197"/>
      <c r="CL158" s="197"/>
      <c r="CM158" s="197"/>
      <c r="CN158" s="197"/>
      <c r="CO158" s="197"/>
      <c r="CP158" s="197"/>
      <c r="CQ158" s="197"/>
      <c r="CR158" s="197"/>
      <c r="CS158" s="197"/>
      <c r="CT158" s="197"/>
      <c r="CU158" s="197"/>
      <c r="CV158" s="197"/>
      <c r="CW158" s="197"/>
      <c r="CX158" s="197"/>
      <c r="CY158" s="197"/>
      <c r="CZ158" s="197"/>
      <c r="DA158" s="197"/>
      <c r="DB158" s="197"/>
      <c r="DC158" s="197"/>
      <c r="DD158" s="197"/>
      <c r="DE158" s="197"/>
      <c r="DF158" s="197"/>
      <c r="DG158" s="197"/>
      <c r="DH158" s="197"/>
      <c r="DI158" s="197"/>
      <c r="DJ158" s="197"/>
      <c r="DK158" s="197"/>
      <c r="DL158" s="197"/>
      <c r="DM158" s="197"/>
      <c r="DN158" s="197"/>
      <c r="DO158" s="197"/>
      <c r="DP158" s="197"/>
      <c r="DQ158" s="197"/>
      <c r="DR158" s="197"/>
      <c r="DS158" s="197"/>
      <c r="DT158" s="197"/>
      <c r="DU158" s="197"/>
      <c r="DV158" s="197"/>
      <c r="DW158" s="197"/>
      <c r="DX158" s="197"/>
      <c r="DY158" s="197"/>
      <c r="DZ158" s="197"/>
      <c r="EA158" s="197"/>
      <c r="EB158" s="197"/>
      <c r="EC158" s="197"/>
      <c r="ED158" s="197"/>
      <c r="EE158" s="197"/>
      <c r="EF158" s="197"/>
      <c r="EG158" s="197"/>
      <c r="EH158" s="197"/>
      <c r="EI158" s="197"/>
      <c r="EJ158" s="197"/>
      <c r="EK158" s="197"/>
      <c r="EL158" s="197"/>
      <c r="EM158" s="197"/>
      <c r="EN158" s="197"/>
      <c r="EO158" s="197"/>
      <c r="EP158" s="197"/>
      <c r="EQ158" s="197"/>
      <c r="ER158" s="197"/>
      <c r="ES158" s="197"/>
    </row>
    <row r="159" spans="1:150" hidden="1" outlineLevel="1">
      <c r="A159" s="192"/>
      <c r="B159" s="36" t="s">
        <v>578</v>
      </c>
      <c r="C159" s="37"/>
      <c r="D159" s="37"/>
      <c r="E159" s="37"/>
      <c r="F159" s="37"/>
      <c r="G159" s="37"/>
      <c r="H159" s="37"/>
      <c r="I159" s="37"/>
      <c r="J159" s="37"/>
      <c r="K159" s="37"/>
      <c r="L159" s="37"/>
      <c r="M159" s="37"/>
      <c r="N159" s="37"/>
      <c r="O159" s="37"/>
      <c r="Q159" s="37"/>
      <c r="R159" s="634">
        <f>(1+Input!S69)*(1+R$161)</f>
        <v>1</v>
      </c>
      <c r="S159" s="634">
        <f>(1+Input!T69)*(1+S$161)</f>
        <v>1</v>
      </c>
      <c r="T159" s="634">
        <f>(1+Input!U69)*(1+T$161)</f>
        <v>1</v>
      </c>
      <c r="U159" s="634">
        <f>(1+Input!V69)*(1+U$161)</f>
        <v>1</v>
      </c>
      <c r="V159" s="634">
        <f>(1+Input!W69)*(1+V$161)</f>
        <v>1</v>
      </c>
      <c r="W159" s="634">
        <f>(1+Input!X69)*(1+W$161)</f>
        <v>1</v>
      </c>
      <c r="X159" s="634">
        <f>(1+Input!Y69)*(1+X$161)</f>
        <v>1</v>
      </c>
      <c r="Y159" s="634">
        <f>(1+Input!Z69)*(1+Y$161)</f>
        <v>1</v>
      </c>
      <c r="Z159" s="634">
        <f>(1+Input!AA69)*(1+Z$161)</f>
        <v>1</v>
      </c>
      <c r="AA159" s="634">
        <f>(1+Input!AB69)*(1+AA$161)</f>
        <v>1</v>
      </c>
      <c r="AB159" s="634">
        <f>(1+Input!AC69)*(1+AB$161)</f>
        <v>1</v>
      </c>
      <c r="AC159" s="634">
        <f>(1+Input!AD69)*(1+AC$161)</f>
        <v>1</v>
      </c>
      <c r="AD159" s="634">
        <f>(1+Input!AE69)*(1+AD$161)</f>
        <v>1.0016515813019202</v>
      </c>
      <c r="AE159" s="634">
        <f>(1+Input!AF69)*(1+AE$161)</f>
        <v>1.0016515813019202</v>
      </c>
      <c r="AF159" s="634">
        <f>(1+Input!AG69)*(1+AF$161)</f>
        <v>1.0016515813019202</v>
      </c>
      <c r="AG159" s="634">
        <f>(1+Input!AH69)*(1+AG$161)</f>
        <v>1.0016515813019202</v>
      </c>
      <c r="AH159" s="634">
        <f>(1+Input!AI69)*(1+AH$161)</f>
        <v>1.0016515813019202</v>
      </c>
      <c r="AI159" s="634">
        <f>(1+Input!AJ69)*(1+AI$161)</f>
        <v>1.0016515813019202</v>
      </c>
      <c r="AJ159" s="634">
        <f>(1+Input!AK69)*(1+AJ$161)</f>
        <v>1.0016515813019202</v>
      </c>
      <c r="AK159" s="634">
        <f>(1+Input!AL69)*(1+AK$161)</f>
        <v>1.0016515813019202</v>
      </c>
      <c r="AL159" s="634">
        <f>(1+Input!AM69)*(1+AL$161)</f>
        <v>1.0016515813019202</v>
      </c>
      <c r="AM159" s="634">
        <f>(1+Input!AN69)*(1+AM$161)</f>
        <v>1.0016515813019202</v>
      </c>
      <c r="AN159" s="634">
        <f>(1+Input!AO69)*(1+AN$161)</f>
        <v>1.0016515813019202</v>
      </c>
      <c r="AO159" s="634">
        <f>(1+Input!AP69)*(1+AO$161)</f>
        <v>1.0016515813019202</v>
      </c>
      <c r="AP159" s="634">
        <f>(1+Input!AQ69)*(1+AP$161)</f>
        <v>1.0024662697723037</v>
      </c>
      <c r="AQ159" s="634">
        <f>(1+Input!AR69)*(1+AQ$161)</f>
        <v>1.0024662697723037</v>
      </c>
      <c r="AR159" s="634">
        <f>(1+Input!AS69)*(1+AR$161)</f>
        <v>1.0024662697723037</v>
      </c>
      <c r="AS159" s="634">
        <f>(1+Input!AT69)*(1+AS$161)</f>
        <v>1.0024662697723037</v>
      </c>
      <c r="AT159" s="634">
        <f>(1+Input!AU69)*(1+AT$161)</f>
        <v>1.0024662697723037</v>
      </c>
      <c r="AU159" s="634">
        <f>(1+Input!AV69)*(1+AU$161)</f>
        <v>1.0024662697723037</v>
      </c>
      <c r="AV159" s="634">
        <f>(1+Input!AW69)*(1+AV$161)</f>
        <v>1.0024662697723037</v>
      </c>
      <c r="AW159" s="634">
        <f>(1+Input!AX69)*(1+AW$161)</f>
        <v>1.0024662697723037</v>
      </c>
      <c r="AX159" s="634">
        <f>(1+Input!AY69)*(1+AX$161)</f>
        <v>1.0024662697723037</v>
      </c>
      <c r="AY159" s="634">
        <f>(1+Input!AZ69)*(1+AY$161)</f>
        <v>1.0024662697723037</v>
      </c>
      <c r="AZ159" s="634">
        <f>(1+Input!BA69)*(1+AZ$161)</f>
        <v>1.0024662697723037</v>
      </c>
      <c r="BA159" s="634">
        <f>(1+Input!BB69)*(1+BA$161)</f>
        <v>1.0024662697723037</v>
      </c>
      <c r="BB159" s="634">
        <f>CHOOSE(MarketRentGrowthType-49,1+SUMIF($C$5:$M$5,BB$6-1,Input!$G69:$Q69)*(MOD(BB$5,12)=1),(1+SUMIF($C$5:$M$5,BB$6,Input!$G69:$Q69))^(1/12),1+SUMIF($C$5:$M$5,BB$6,Input!$G69:$Q69))*(1+BB$161)</f>
        <v>1.0024662697723037</v>
      </c>
      <c r="BC159" s="634">
        <f>CHOOSE(MarketRentGrowthType-49,1+SUMIF($C$5:$M$5,BC$6-1,Input!$G69:$Q69)*(MOD(BC$5,12)=1),(1+SUMIF($C$5:$M$5,BC$6,Input!$G69:$Q69))^(1/12),1+SUMIF($C$5:$M$5,BC$6,Input!$G69:$Q69))*(1+BC$161)</f>
        <v>1.0024662697723037</v>
      </c>
      <c r="BD159" s="634">
        <f>CHOOSE(MarketRentGrowthType-49,1+SUMIF($C$5:$M$5,BD$6-1,Input!$G69:$Q69)*(MOD(BD$5,12)=1),(1+SUMIF($C$5:$M$5,BD$6,Input!$G69:$Q69))^(1/12),1+SUMIF($C$5:$M$5,BD$6,Input!$G69:$Q69))*(1+BD$161)</f>
        <v>1.0024662697723037</v>
      </c>
      <c r="BE159" s="634">
        <f>CHOOSE(MarketRentGrowthType-49,1+SUMIF($C$5:$M$5,BE$6-1,Input!$G69:$Q69)*(MOD(BE$5,12)=1),(1+SUMIF($C$5:$M$5,BE$6,Input!$G69:$Q69))^(1/12),1+SUMIF($C$5:$M$5,BE$6,Input!$G69:$Q69))*(1+BE$161)</f>
        <v>1.0024662697723037</v>
      </c>
      <c r="BF159" s="634">
        <f>CHOOSE(MarketRentGrowthType-49,1+SUMIF($C$5:$M$5,BF$6-1,Input!$G69:$Q69)*(MOD(BF$5,12)=1),(1+SUMIF($C$5:$M$5,BF$6,Input!$G69:$Q69))^(1/12),1+SUMIF($C$5:$M$5,BF$6,Input!$G69:$Q69))*(1+BF$161)</f>
        <v>1.0024662697723037</v>
      </c>
      <c r="BG159" s="634">
        <f>CHOOSE(MarketRentGrowthType-49,1+SUMIF($C$5:$M$5,BG$6-1,Input!$G69:$Q69)*(MOD(BG$5,12)=1),(1+SUMIF($C$5:$M$5,BG$6,Input!$G69:$Q69))^(1/12),1+SUMIF($C$5:$M$5,BG$6,Input!$G69:$Q69))*(1+BG$161)</f>
        <v>1.0024662697723037</v>
      </c>
      <c r="BH159" s="634">
        <f>CHOOSE(MarketRentGrowthType-49,1+SUMIF($C$5:$M$5,BH$6-1,Input!$G69:$Q69)*(MOD(BH$5,12)=1),(1+SUMIF($C$5:$M$5,BH$6,Input!$G69:$Q69))^(1/12),1+SUMIF($C$5:$M$5,BH$6,Input!$G69:$Q69))*(1+BH$161)</f>
        <v>1.0024662697723037</v>
      </c>
      <c r="BI159" s="634">
        <f>CHOOSE(MarketRentGrowthType-49,1+SUMIF($C$5:$M$5,BI$6-1,Input!$G69:$Q69)*(MOD(BI$5,12)=1),(1+SUMIF($C$5:$M$5,BI$6,Input!$G69:$Q69))^(1/12),1+SUMIF($C$5:$M$5,BI$6,Input!$G69:$Q69))*(1+BI$161)</f>
        <v>1.0024662697723037</v>
      </c>
      <c r="BJ159" s="634">
        <f>CHOOSE(MarketRentGrowthType-49,1+SUMIF($C$5:$M$5,BJ$6-1,Input!$G69:$Q69)*(MOD(BJ$5,12)=1),(1+SUMIF($C$5:$M$5,BJ$6,Input!$G69:$Q69))^(1/12),1+SUMIF($C$5:$M$5,BJ$6,Input!$G69:$Q69))*(1+BJ$161)</f>
        <v>1.0024662697723037</v>
      </c>
      <c r="BK159" s="634">
        <f>CHOOSE(MarketRentGrowthType-49,1+SUMIF($C$5:$M$5,BK$6-1,Input!$G69:$Q69)*(MOD(BK$5,12)=1),(1+SUMIF($C$5:$M$5,BK$6,Input!$G69:$Q69))^(1/12),1+SUMIF($C$5:$M$5,BK$6,Input!$G69:$Q69))*(1+BK$161)</f>
        <v>1.0024662697723037</v>
      </c>
      <c r="BL159" s="634">
        <f>CHOOSE(MarketRentGrowthType-49,1+SUMIF($C$5:$M$5,BL$6-1,Input!$G69:$Q69)*(MOD(BL$5,12)=1),(1+SUMIF($C$5:$M$5,BL$6,Input!$G69:$Q69))^(1/12),1+SUMIF($C$5:$M$5,BL$6,Input!$G69:$Q69))*(1+BL$161)</f>
        <v>1.0024662697723037</v>
      </c>
      <c r="BM159" s="634">
        <f>CHOOSE(MarketRentGrowthType-49,1+SUMIF($C$5:$M$5,BM$6-1,Input!$G69:$Q69)*(MOD(BM$5,12)=1),(1+SUMIF($C$5:$M$5,BM$6,Input!$G69:$Q69))^(1/12),1+SUMIF($C$5:$M$5,BM$6,Input!$G69:$Q69))*(1+BM$161)</f>
        <v>1.0024662697723037</v>
      </c>
      <c r="BN159" s="634">
        <f>CHOOSE(MarketRentGrowthType-49,1+SUMIF($C$5:$M$5,BN$6-1,Input!$G69:$Q69)*(MOD(BN$5,12)=1),(1+SUMIF($C$5:$M$5,BN$6,Input!$G69:$Q69))^(1/12),1+SUMIF($C$5:$M$5,BN$6,Input!$G69:$Q69))*(1+BN$161)</f>
        <v>1.0024662697723037</v>
      </c>
      <c r="BO159" s="634">
        <f>CHOOSE(MarketRentGrowthType-49,1+SUMIF($C$5:$M$5,BO$6-1,Input!$G69:$Q69)*(MOD(BO$5,12)=1),(1+SUMIF($C$5:$M$5,BO$6,Input!$G69:$Q69))^(1/12),1+SUMIF($C$5:$M$5,BO$6,Input!$G69:$Q69))*(1+BO$161)</f>
        <v>1.0024662697723037</v>
      </c>
      <c r="BP159" s="634">
        <f>CHOOSE(MarketRentGrowthType-49,1+SUMIF($C$5:$M$5,BP$6-1,Input!$G69:$Q69)*(MOD(BP$5,12)=1),(1+SUMIF($C$5:$M$5,BP$6,Input!$G69:$Q69))^(1/12),1+SUMIF($C$5:$M$5,BP$6,Input!$G69:$Q69))*(1+BP$161)</f>
        <v>1.0024662697723037</v>
      </c>
      <c r="BQ159" s="634">
        <f>CHOOSE(MarketRentGrowthType-49,1+SUMIF($C$5:$M$5,BQ$6-1,Input!$G69:$Q69)*(MOD(BQ$5,12)=1),(1+SUMIF($C$5:$M$5,BQ$6,Input!$G69:$Q69))^(1/12),1+SUMIF($C$5:$M$5,BQ$6,Input!$G69:$Q69))*(1+BQ$161)</f>
        <v>1.0024662697723037</v>
      </c>
      <c r="BR159" s="634">
        <f>CHOOSE(MarketRentGrowthType-49,1+SUMIF($C$5:$M$5,BR$6-1,Input!$G69:$Q69)*(MOD(BR$5,12)=1),(1+SUMIF($C$5:$M$5,BR$6,Input!$G69:$Q69))^(1/12),1+SUMIF($C$5:$M$5,BR$6,Input!$G69:$Q69))*(1+BR$161)</f>
        <v>1.0024662697723037</v>
      </c>
      <c r="BS159" s="634">
        <f>CHOOSE(MarketRentGrowthType-49,1+SUMIF($C$5:$M$5,BS$6-1,Input!$G69:$Q69)*(MOD(BS$5,12)=1),(1+SUMIF($C$5:$M$5,BS$6,Input!$G69:$Q69))^(1/12),1+SUMIF($C$5:$M$5,BS$6,Input!$G69:$Q69))*(1+BS$161)</f>
        <v>1.0024662697723037</v>
      </c>
      <c r="BT159" s="634">
        <f>CHOOSE(MarketRentGrowthType-49,1+SUMIF($C$5:$M$5,BT$6-1,Input!$G69:$Q69)*(MOD(BT$5,12)=1),(1+SUMIF($C$5:$M$5,BT$6,Input!$G69:$Q69))^(1/12),1+SUMIF($C$5:$M$5,BT$6,Input!$G69:$Q69))*(1+BT$161)</f>
        <v>1.0024662697723037</v>
      </c>
      <c r="BU159" s="634">
        <f>CHOOSE(MarketRentGrowthType-49,1+SUMIF($C$5:$M$5,BU$6-1,Input!$G69:$Q69)*(MOD(BU$5,12)=1),(1+SUMIF($C$5:$M$5,BU$6,Input!$G69:$Q69))^(1/12),1+SUMIF($C$5:$M$5,BU$6,Input!$G69:$Q69))*(1+BU$161)</f>
        <v>1.0024662697723037</v>
      </c>
      <c r="BV159" s="634">
        <f>CHOOSE(MarketRentGrowthType-49,1+SUMIF($C$5:$M$5,BV$6-1,Input!$G69:$Q69)*(MOD(BV$5,12)=1),(1+SUMIF($C$5:$M$5,BV$6,Input!$G69:$Q69))^(1/12),1+SUMIF($C$5:$M$5,BV$6,Input!$G69:$Q69))*(1+BV$161)</f>
        <v>1.0024662697723037</v>
      </c>
      <c r="BW159" s="634">
        <f>CHOOSE(MarketRentGrowthType-49,1+SUMIF($C$5:$M$5,BW$6-1,Input!$G69:$Q69)*(MOD(BW$5,12)=1),(1+SUMIF($C$5:$M$5,BW$6,Input!$G69:$Q69))^(1/12),1+SUMIF($C$5:$M$5,BW$6,Input!$G69:$Q69))*(1+BW$161)</f>
        <v>1.0024662697723037</v>
      </c>
      <c r="BX159" s="634">
        <f>CHOOSE(MarketRentGrowthType-49,1+SUMIF($C$5:$M$5,BX$6-1,Input!$G69:$Q69)*(MOD(BX$5,12)=1),(1+SUMIF($C$5:$M$5,BX$6,Input!$G69:$Q69))^(1/12),1+SUMIF($C$5:$M$5,BX$6,Input!$G69:$Q69))*(1+BX$161)</f>
        <v>1.0024662697723037</v>
      </c>
      <c r="BY159" s="634">
        <f>CHOOSE(MarketRentGrowthType-49,1+SUMIF($C$5:$M$5,BY$6-1,Input!$G69:$Q69)*(MOD(BY$5,12)=1),(1+SUMIF($C$5:$M$5,BY$6,Input!$G69:$Q69))^(1/12),1+SUMIF($C$5:$M$5,BY$6,Input!$G69:$Q69))*(1+BY$161)</f>
        <v>1.0024662697723037</v>
      </c>
      <c r="BZ159" s="634">
        <f>CHOOSE(MarketRentGrowthType-49,1+SUMIF($C$5:$M$5,BZ$6-1,Input!$G69:$Q69)*(MOD(BZ$5,12)=1),(1+SUMIF($C$5:$M$5,BZ$6,Input!$G69:$Q69))^(1/12),1+SUMIF($C$5:$M$5,BZ$6,Input!$G69:$Q69))*(1+BZ$161)</f>
        <v>1.0024662697723037</v>
      </c>
      <c r="CA159" s="634">
        <f>CHOOSE(MarketRentGrowthType-49,1+SUMIF($C$5:$M$5,CA$6-1,Input!$G69:$Q69)*(MOD(CA$5,12)=1),(1+SUMIF($C$5:$M$5,CA$6,Input!$G69:$Q69))^(1/12),1+SUMIF($C$5:$M$5,CA$6,Input!$G69:$Q69))*(1+CA$161)</f>
        <v>1.0024662697723037</v>
      </c>
      <c r="CB159" s="634">
        <f>CHOOSE(MarketRentGrowthType-49,1+SUMIF($C$5:$M$5,CB$6-1,Input!$G69:$Q69)*(MOD(CB$5,12)=1),(1+SUMIF($C$5:$M$5,CB$6,Input!$G69:$Q69))^(1/12),1+SUMIF($C$5:$M$5,CB$6,Input!$G69:$Q69))*(1+CB$161)</f>
        <v>1.0024662697723037</v>
      </c>
      <c r="CC159" s="634">
        <f>CHOOSE(MarketRentGrowthType-49,1+SUMIF($C$5:$M$5,CC$6-1,Input!$G69:$Q69)*(MOD(CC$5,12)=1),(1+SUMIF($C$5:$M$5,CC$6,Input!$G69:$Q69))^(1/12),1+SUMIF($C$5:$M$5,CC$6,Input!$G69:$Q69))*(1+CC$161)</f>
        <v>1.0024662697723037</v>
      </c>
      <c r="CD159" s="634">
        <f>CHOOSE(MarketRentGrowthType-49,1+SUMIF($C$5:$M$5,CD$6-1,Input!$G69:$Q69)*(MOD(CD$5,12)=1),(1+SUMIF($C$5:$M$5,CD$6,Input!$G69:$Q69))^(1/12),1+SUMIF($C$5:$M$5,CD$6,Input!$G69:$Q69))*(1+CD$161)</f>
        <v>1.0024662697723037</v>
      </c>
      <c r="CE159" s="634">
        <f>CHOOSE(MarketRentGrowthType-49,1+SUMIF($C$5:$M$5,CE$6-1,Input!$G69:$Q69)*(MOD(CE$5,12)=1),(1+SUMIF($C$5:$M$5,CE$6,Input!$G69:$Q69))^(1/12),1+SUMIF($C$5:$M$5,CE$6,Input!$G69:$Q69))*(1+CE$161)</f>
        <v>1.0024662697723037</v>
      </c>
      <c r="CF159" s="634">
        <f>CHOOSE(MarketRentGrowthType-49,1+SUMIF($C$5:$M$5,CF$6-1,Input!$G69:$Q69)*(MOD(CF$5,12)=1),(1+SUMIF($C$5:$M$5,CF$6,Input!$G69:$Q69))^(1/12),1+SUMIF($C$5:$M$5,CF$6,Input!$G69:$Q69))*(1+CF$161)</f>
        <v>1.0024662697723037</v>
      </c>
      <c r="CG159" s="634">
        <f>CHOOSE(MarketRentGrowthType-49,1+SUMIF($C$5:$M$5,CG$6-1,Input!$G69:$Q69)*(MOD(CG$5,12)=1),(1+SUMIF($C$5:$M$5,CG$6,Input!$G69:$Q69))^(1/12),1+SUMIF($C$5:$M$5,CG$6,Input!$G69:$Q69))*(1+CG$161)</f>
        <v>1.0024662697723037</v>
      </c>
      <c r="CH159" s="634">
        <f>CHOOSE(MarketRentGrowthType-49,1+SUMIF($C$5:$M$5,CH$6-1,Input!$G69:$Q69)*(MOD(CH$5,12)=1),(1+SUMIF($C$5:$M$5,CH$6,Input!$G69:$Q69))^(1/12),1+SUMIF($C$5:$M$5,CH$6,Input!$G69:$Q69))*(1+CH$161)</f>
        <v>1.0024662697723037</v>
      </c>
      <c r="CI159" s="634">
        <f>CHOOSE(MarketRentGrowthType-49,1+SUMIF($C$5:$M$5,CI$6-1,Input!$G69:$Q69)*(MOD(CI$5,12)=1),(1+SUMIF($C$5:$M$5,CI$6,Input!$G69:$Q69))^(1/12),1+SUMIF($C$5:$M$5,CI$6,Input!$G69:$Q69))*(1+CI$161)</f>
        <v>1.0024662697723037</v>
      </c>
      <c r="CJ159" s="634">
        <f>CHOOSE(MarketRentGrowthType-49,1+SUMIF($C$5:$M$5,CJ$6-1,Input!$G69:$Q69)*(MOD(CJ$5,12)=1),(1+SUMIF($C$5:$M$5,CJ$6,Input!$G69:$Q69))^(1/12),1+SUMIF($C$5:$M$5,CJ$6,Input!$G69:$Q69))*(1+CJ$161)</f>
        <v>1.0024662697723037</v>
      </c>
      <c r="CK159" s="634">
        <f>CHOOSE(MarketRentGrowthType-49,1+SUMIF($C$5:$M$5,CK$6-1,Input!$G69:$Q69)*(MOD(CK$5,12)=1),(1+SUMIF($C$5:$M$5,CK$6,Input!$G69:$Q69))^(1/12),1+SUMIF($C$5:$M$5,CK$6,Input!$G69:$Q69))*(1+CK$161)</f>
        <v>1.0024662697723037</v>
      </c>
      <c r="CL159" s="634">
        <f>CHOOSE(MarketRentGrowthType-49,1+SUMIF($C$5:$M$5,CL$6-1,Input!$G69:$Q69)*(MOD(CL$5,12)=1),(1+SUMIF($C$5:$M$5,CL$6,Input!$G69:$Q69))^(1/12),1+SUMIF($C$5:$M$5,CL$6,Input!$G69:$Q69))*(1+CL$161)</f>
        <v>1.0024662697723037</v>
      </c>
      <c r="CM159" s="634">
        <f>CHOOSE(MarketRentGrowthType-49,1+SUMIF($C$5:$M$5,CM$6-1,Input!$G69:$Q69)*(MOD(CM$5,12)=1),(1+SUMIF($C$5:$M$5,CM$6,Input!$G69:$Q69))^(1/12),1+SUMIF($C$5:$M$5,CM$6,Input!$G69:$Q69))*(1+CM$161)</f>
        <v>1.0024662697723037</v>
      </c>
      <c r="CN159" s="634">
        <f>CHOOSE(MarketRentGrowthType-49,1+SUMIF($C$5:$M$5,CN$6-1,Input!$G69:$Q69)*(MOD(CN$5,12)=1),(1+SUMIF($C$5:$M$5,CN$6,Input!$G69:$Q69))^(1/12),1+SUMIF($C$5:$M$5,CN$6,Input!$G69:$Q69))*(1+CN$161)</f>
        <v>1.0024662697723037</v>
      </c>
      <c r="CO159" s="634">
        <f>CHOOSE(MarketRentGrowthType-49,1+SUMIF($C$5:$M$5,CO$6-1,Input!$G69:$Q69)*(MOD(CO$5,12)=1),(1+SUMIF($C$5:$M$5,CO$6,Input!$G69:$Q69))^(1/12),1+SUMIF($C$5:$M$5,CO$6,Input!$G69:$Q69))*(1+CO$161)</f>
        <v>1.0024662697723037</v>
      </c>
      <c r="CP159" s="634">
        <f>CHOOSE(MarketRentGrowthType-49,1+SUMIF($C$5:$M$5,CP$6-1,Input!$G69:$Q69)*(MOD(CP$5,12)=1),(1+SUMIF($C$5:$M$5,CP$6,Input!$G69:$Q69))^(1/12),1+SUMIF($C$5:$M$5,CP$6,Input!$G69:$Q69))*(1+CP$161)</f>
        <v>1.0024662697723037</v>
      </c>
      <c r="CQ159" s="634">
        <f>CHOOSE(MarketRentGrowthType-49,1+SUMIF($C$5:$M$5,CQ$6-1,Input!$G69:$Q69)*(MOD(CQ$5,12)=1),(1+SUMIF($C$5:$M$5,CQ$6,Input!$G69:$Q69))^(1/12),1+SUMIF($C$5:$M$5,CQ$6,Input!$G69:$Q69))*(1+CQ$161)</f>
        <v>1.0024662697723037</v>
      </c>
      <c r="CR159" s="634">
        <f>CHOOSE(MarketRentGrowthType-49,1+SUMIF($C$5:$M$5,CR$6-1,Input!$G69:$Q69)*(MOD(CR$5,12)=1),(1+SUMIF($C$5:$M$5,CR$6,Input!$G69:$Q69))^(1/12),1+SUMIF($C$5:$M$5,CR$6,Input!$G69:$Q69))*(1+CR$161)</f>
        <v>1.0024662697723037</v>
      </c>
      <c r="CS159" s="634">
        <f>CHOOSE(MarketRentGrowthType-49,1+SUMIF($C$5:$M$5,CS$6-1,Input!$G69:$Q69)*(MOD(CS$5,12)=1),(1+SUMIF($C$5:$M$5,CS$6,Input!$G69:$Q69))^(1/12),1+SUMIF($C$5:$M$5,CS$6,Input!$G69:$Q69))*(1+CS$161)</f>
        <v>1.0024662697723037</v>
      </c>
      <c r="CT159" s="634">
        <f>CHOOSE(MarketRentGrowthType-49,1+SUMIF($C$5:$M$5,CT$6-1,Input!$G69:$Q69)*(MOD(CT$5,12)=1),(1+SUMIF($C$5:$M$5,CT$6,Input!$G69:$Q69))^(1/12),1+SUMIF($C$5:$M$5,CT$6,Input!$G69:$Q69))*(1+CT$161)</f>
        <v>1.0024662697723037</v>
      </c>
      <c r="CU159" s="634">
        <f>CHOOSE(MarketRentGrowthType-49,1+SUMIF($C$5:$M$5,CU$6-1,Input!$G69:$Q69)*(MOD(CU$5,12)=1),(1+SUMIF($C$5:$M$5,CU$6,Input!$G69:$Q69))^(1/12),1+SUMIF($C$5:$M$5,CU$6,Input!$G69:$Q69))*(1+CU$161)</f>
        <v>1.0024662697723037</v>
      </c>
      <c r="CV159" s="634">
        <f>CHOOSE(MarketRentGrowthType-49,1+SUMIF($C$5:$M$5,CV$6-1,Input!$G69:$Q69)*(MOD(CV$5,12)=1),(1+SUMIF($C$5:$M$5,CV$6,Input!$G69:$Q69))^(1/12),1+SUMIF($C$5:$M$5,CV$6,Input!$G69:$Q69))*(1+CV$161)</f>
        <v>1.0024662697723037</v>
      </c>
      <c r="CW159" s="634">
        <f>CHOOSE(MarketRentGrowthType-49,1+SUMIF($C$5:$M$5,CW$6-1,Input!$G69:$Q69)*(MOD(CW$5,12)=1),(1+SUMIF($C$5:$M$5,CW$6,Input!$G69:$Q69))^(1/12),1+SUMIF($C$5:$M$5,CW$6,Input!$G69:$Q69))*(1+CW$161)</f>
        <v>1.0024662697723037</v>
      </c>
      <c r="CX159" s="634">
        <f>CHOOSE(MarketRentGrowthType-49,1+SUMIF($C$5:$M$5,CX$6-1,Input!$G69:$Q69)*(MOD(CX$5,12)=1),(1+SUMIF($C$5:$M$5,CX$6,Input!$G69:$Q69))^(1/12),1+SUMIF($C$5:$M$5,CX$6,Input!$G69:$Q69))*(1+CX$161)</f>
        <v>1.0024662697723037</v>
      </c>
      <c r="CY159" s="634">
        <f>CHOOSE(MarketRentGrowthType-49,1+SUMIF($C$5:$M$5,CY$6-1,Input!$G69:$Q69)*(MOD(CY$5,12)=1),(1+SUMIF($C$5:$M$5,CY$6,Input!$G69:$Q69))^(1/12),1+SUMIF($C$5:$M$5,CY$6,Input!$G69:$Q69))*(1+CY$161)</f>
        <v>1.0024662697723037</v>
      </c>
      <c r="CZ159" s="634">
        <f>CHOOSE(MarketRentGrowthType-49,1+SUMIF($C$5:$M$5,CZ$6-1,Input!$G69:$Q69)*(MOD(CZ$5,12)=1),(1+SUMIF($C$5:$M$5,CZ$6,Input!$G69:$Q69))^(1/12),1+SUMIF($C$5:$M$5,CZ$6,Input!$G69:$Q69))*(1+CZ$161)</f>
        <v>1.0024662697723037</v>
      </c>
      <c r="DA159" s="634">
        <f>CHOOSE(MarketRentGrowthType-49,1+SUMIF($C$5:$M$5,DA$6-1,Input!$G69:$Q69)*(MOD(DA$5,12)=1),(1+SUMIF($C$5:$M$5,DA$6,Input!$G69:$Q69))^(1/12),1+SUMIF($C$5:$M$5,DA$6,Input!$G69:$Q69))*(1+DA$161)</f>
        <v>1.0024662697723037</v>
      </c>
      <c r="DB159" s="634">
        <f>CHOOSE(MarketRentGrowthType-49,1+SUMIF($C$5:$M$5,DB$6-1,Input!$G69:$Q69)*(MOD(DB$5,12)=1),(1+SUMIF($C$5:$M$5,DB$6,Input!$G69:$Q69))^(1/12),1+SUMIF($C$5:$M$5,DB$6,Input!$G69:$Q69))*(1+DB$161)</f>
        <v>1.0024662697723037</v>
      </c>
      <c r="DC159" s="634">
        <f>CHOOSE(MarketRentGrowthType-49,1+SUMIF($C$5:$M$5,DC$6-1,Input!$G69:$Q69)*(MOD(DC$5,12)=1),(1+SUMIF($C$5:$M$5,DC$6,Input!$G69:$Q69))^(1/12),1+SUMIF($C$5:$M$5,DC$6,Input!$G69:$Q69))*(1+DC$161)</f>
        <v>1.0024662697723037</v>
      </c>
      <c r="DD159" s="634">
        <f>CHOOSE(MarketRentGrowthType-49,1+SUMIF($C$5:$M$5,DD$6-1,Input!$G69:$Q69)*(MOD(DD$5,12)=1),(1+SUMIF($C$5:$M$5,DD$6,Input!$G69:$Q69))^(1/12),1+SUMIF($C$5:$M$5,DD$6,Input!$G69:$Q69))*(1+DD$161)</f>
        <v>1.0024662697723037</v>
      </c>
      <c r="DE159" s="634">
        <f>CHOOSE(MarketRentGrowthType-49,1+SUMIF($C$5:$M$5,DE$6-1,Input!$G69:$Q69)*(MOD(DE$5,12)=1),(1+SUMIF($C$5:$M$5,DE$6,Input!$G69:$Q69))^(1/12),1+SUMIF($C$5:$M$5,DE$6,Input!$G69:$Q69))*(1+DE$161)</f>
        <v>1.0024662697723037</v>
      </c>
      <c r="DF159" s="634">
        <f>CHOOSE(MarketRentGrowthType-49,1+SUMIF($C$5:$M$5,DF$6-1,Input!$G69:$Q69)*(MOD(DF$5,12)=1),(1+SUMIF($C$5:$M$5,DF$6,Input!$G69:$Q69))^(1/12),1+SUMIF($C$5:$M$5,DF$6,Input!$G69:$Q69))*(1+DF$161)</f>
        <v>1.0024662697723037</v>
      </c>
      <c r="DG159" s="634">
        <f>CHOOSE(MarketRentGrowthType-49,1+SUMIF($C$5:$M$5,DG$6-1,Input!$G69:$Q69)*(MOD(DG$5,12)=1),(1+SUMIF($C$5:$M$5,DG$6,Input!$G69:$Q69))^(1/12),1+SUMIF($C$5:$M$5,DG$6,Input!$G69:$Q69))*(1+DG$161)</f>
        <v>1.0024662697723037</v>
      </c>
      <c r="DH159" s="634">
        <f>CHOOSE(MarketRentGrowthType-49,1+SUMIF($C$5:$M$5,DH$6-1,Input!$G69:$Q69)*(MOD(DH$5,12)=1),(1+SUMIF($C$5:$M$5,DH$6,Input!$G69:$Q69))^(1/12),1+SUMIF($C$5:$M$5,DH$6,Input!$G69:$Q69))*(1+DH$161)</f>
        <v>1.0024662697723037</v>
      </c>
      <c r="DI159" s="634">
        <f>CHOOSE(MarketRentGrowthType-49,1+SUMIF($C$5:$M$5,DI$6-1,Input!$G69:$Q69)*(MOD(DI$5,12)=1),(1+SUMIF($C$5:$M$5,DI$6,Input!$G69:$Q69))^(1/12),1+SUMIF($C$5:$M$5,DI$6,Input!$G69:$Q69))*(1+DI$161)</f>
        <v>1.0024662697723037</v>
      </c>
      <c r="DJ159" s="634">
        <f>CHOOSE(MarketRentGrowthType-49,1+SUMIF($C$5:$M$5,DJ$6-1,Input!$G69:$Q69)*(MOD(DJ$5,12)=1),(1+SUMIF($C$5:$M$5,DJ$6,Input!$G69:$Q69))^(1/12),1+SUMIF($C$5:$M$5,DJ$6,Input!$G69:$Q69))*(1+DJ$161)</f>
        <v>1.0024662697723037</v>
      </c>
      <c r="DK159" s="634">
        <f>CHOOSE(MarketRentGrowthType-49,1+SUMIF($C$5:$M$5,DK$6-1,Input!$G69:$Q69)*(MOD(DK$5,12)=1),(1+SUMIF($C$5:$M$5,DK$6,Input!$G69:$Q69))^(1/12),1+SUMIF($C$5:$M$5,DK$6,Input!$G69:$Q69))*(1+DK$161)</f>
        <v>1.0024662697723037</v>
      </c>
      <c r="DL159" s="634">
        <f>CHOOSE(MarketRentGrowthType-49,1+SUMIF($C$5:$M$5,DL$6-1,Input!$G69:$Q69)*(MOD(DL$5,12)=1),(1+SUMIF($C$5:$M$5,DL$6,Input!$G69:$Q69))^(1/12),1+SUMIF($C$5:$M$5,DL$6,Input!$G69:$Q69))*(1+DL$161)</f>
        <v>1.0024662697723037</v>
      </c>
      <c r="DM159" s="634">
        <f>CHOOSE(MarketRentGrowthType-49,1+SUMIF($C$5:$M$5,DM$6-1,Input!$G69:$Q69)*(MOD(DM$5,12)=1),(1+SUMIF($C$5:$M$5,DM$6,Input!$G69:$Q69))^(1/12),1+SUMIF($C$5:$M$5,DM$6,Input!$G69:$Q69))*(1+DM$161)</f>
        <v>1.0024662697723037</v>
      </c>
      <c r="DN159" s="634">
        <f>CHOOSE(MarketRentGrowthType-49,1+SUMIF($C$5:$M$5,DN$6-1,Input!$G69:$Q69)*(MOD(DN$5,12)=1),(1+SUMIF($C$5:$M$5,DN$6,Input!$G69:$Q69))^(1/12),1+SUMIF($C$5:$M$5,DN$6,Input!$G69:$Q69))*(1+DN$161)</f>
        <v>1.0024662697723037</v>
      </c>
      <c r="DO159" s="634">
        <f>CHOOSE(MarketRentGrowthType-49,1+SUMIF($C$5:$M$5,DO$6-1,Input!$G69:$Q69)*(MOD(DO$5,12)=1),(1+SUMIF($C$5:$M$5,DO$6,Input!$G69:$Q69))^(1/12),1+SUMIF($C$5:$M$5,DO$6,Input!$G69:$Q69))*(1+DO$161)</f>
        <v>1.0024662697723037</v>
      </c>
      <c r="DP159" s="634">
        <f>CHOOSE(MarketRentGrowthType-49,1+SUMIF($C$5:$M$5,DP$6-1,Input!$G69:$Q69)*(MOD(DP$5,12)=1),(1+SUMIF($C$5:$M$5,DP$6,Input!$G69:$Q69))^(1/12),1+SUMIF($C$5:$M$5,DP$6,Input!$G69:$Q69))*(1+DP$161)</f>
        <v>1.0024662697723037</v>
      </c>
      <c r="DQ159" s="634">
        <f>CHOOSE(MarketRentGrowthType-49,1+SUMIF($C$5:$M$5,DQ$6-1,Input!$G69:$Q69)*(MOD(DQ$5,12)=1),(1+SUMIF($C$5:$M$5,DQ$6,Input!$G69:$Q69))^(1/12),1+SUMIF($C$5:$M$5,DQ$6,Input!$G69:$Q69))*(1+DQ$161)</f>
        <v>1.0024662697723037</v>
      </c>
      <c r="DR159" s="634">
        <f>CHOOSE(MarketRentGrowthType-49,1+SUMIF($C$5:$M$5,DR$6-1,Input!$G69:$Q69)*(MOD(DR$5,12)=1),(1+SUMIF($C$5:$M$5,DR$6,Input!$G69:$Q69))^(1/12),1+SUMIF($C$5:$M$5,DR$6,Input!$G69:$Q69))*(1+DR$161)</f>
        <v>1.0024662697723037</v>
      </c>
      <c r="DS159" s="634">
        <f>CHOOSE(MarketRentGrowthType-49,1+SUMIF($C$5:$M$5,DS$6-1,Input!$G69:$Q69)*(MOD(DS$5,12)=1),(1+SUMIF($C$5:$M$5,DS$6,Input!$G69:$Q69))^(1/12),1+SUMIF($C$5:$M$5,DS$6,Input!$G69:$Q69))*(1+DS$161)</f>
        <v>1.0024662697723037</v>
      </c>
      <c r="DT159" s="634">
        <f>CHOOSE(MarketRentGrowthType-49,1+SUMIF($C$5:$M$5,DT$6-1,Input!$G69:$Q69)*(MOD(DT$5,12)=1),(1+SUMIF($C$5:$M$5,DT$6,Input!$G69:$Q69))^(1/12),1+SUMIF($C$5:$M$5,DT$6,Input!$G69:$Q69))*(1+DT$161)</f>
        <v>1.0024662697723037</v>
      </c>
      <c r="DU159" s="634">
        <f>CHOOSE(MarketRentGrowthType-49,1+SUMIF($C$5:$M$5,DU$6-1,Input!$G69:$Q69)*(MOD(DU$5,12)=1),(1+SUMIF($C$5:$M$5,DU$6,Input!$G69:$Q69))^(1/12),1+SUMIF($C$5:$M$5,DU$6,Input!$G69:$Q69))*(1+DU$161)</f>
        <v>1.0024662697723037</v>
      </c>
      <c r="DV159" s="634">
        <f>CHOOSE(MarketRentGrowthType-49,1+SUMIF($C$5:$M$5,DV$6-1,Input!$G69:$Q69)*(MOD(DV$5,12)=1),(1+SUMIF($C$5:$M$5,DV$6,Input!$G69:$Q69))^(1/12),1+SUMIF($C$5:$M$5,DV$6,Input!$G69:$Q69))*(1+DV$161)</f>
        <v>1.0024662697723037</v>
      </c>
      <c r="DW159" s="634">
        <f>CHOOSE(MarketRentGrowthType-49,1+SUMIF($C$5:$M$5,DW$6-1,Input!$G69:$Q69)*(MOD(DW$5,12)=1),(1+SUMIF($C$5:$M$5,DW$6,Input!$G69:$Q69))^(1/12),1+SUMIF($C$5:$M$5,DW$6,Input!$G69:$Q69))*(1+DW$161)</f>
        <v>1.0024662697723037</v>
      </c>
      <c r="DX159" s="634">
        <f>CHOOSE(MarketRentGrowthType-49,1+SUMIF($C$5:$M$5,DX$6-1,Input!$G69:$Q69)*(MOD(DX$5,12)=1),(1+SUMIF($C$5:$M$5,DX$6,Input!$G69:$Q69))^(1/12),1+SUMIF($C$5:$M$5,DX$6,Input!$G69:$Q69))*(1+DX$161)</f>
        <v>1.0024662697723037</v>
      </c>
      <c r="DY159" s="634">
        <f>CHOOSE(MarketRentGrowthType-49,1+SUMIF($C$5:$M$5,DY$6-1,Input!$G69:$Q69)*(MOD(DY$5,12)=1),(1+SUMIF($C$5:$M$5,DY$6,Input!$G69:$Q69))^(1/12),1+SUMIF($C$5:$M$5,DY$6,Input!$G69:$Q69))*(1+DY$161)</f>
        <v>1.0024662697723037</v>
      </c>
      <c r="DZ159" s="634">
        <f>CHOOSE(MarketRentGrowthType-49,1+SUMIF($C$5:$M$5,DZ$6-1,Input!$G69:$Q69)*(MOD(DZ$5,12)=1),(1+SUMIF($C$5:$M$5,DZ$6,Input!$G69:$Q69))^(1/12),1+SUMIF($C$5:$M$5,DZ$6,Input!$G69:$Q69))*(1+DZ$161)</f>
        <v>1.0024662697723037</v>
      </c>
      <c r="EA159" s="634">
        <f>CHOOSE(MarketRentGrowthType-49,1+SUMIF($C$5:$M$5,EA$6-1,Input!$G69:$Q69)*(MOD(EA$5,12)=1),(1+SUMIF($C$5:$M$5,EA$6,Input!$G69:$Q69))^(1/12),1+SUMIF($C$5:$M$5,EA$6,Input!$G69:$Q69))*(1+EA$161)</f>
        <v>1.0024662697723037</v>
      </c>
      <c r="EB159" s="634">
        <f>CHOOSE(MarketRentGrowthType-49,1+SUMIF($C$5:$M$5,EB$6-1,Input!$G69:$Q69)*(MOD(EB$5,12)=1),(1+SUMIF($C$5:$M$5,EB$6,Input!$G69:$Q69))^(1/12),1+SUMIF($C$5:$M$5,EB$6,Input!$G69:$Q69))*(1+EB$161)</f>
        <v>1.0024662697723037</v>
      </c>
      <c r="EC159" s="634">
        <f>CHOOSE(MarketRentGrowthType-49,1+SUMIF($C$5:$M$5,EC$6-1,Input!$G69:$Q69)*(MOD(EC$5,12)=1),(1+SUMIF($C$5:$M$5,EC$6,Input!$G69:$Q69))^(1/12),1+SUMIF($C$5:$M$5,EC$6,Input!$G69:$Q69))*(1+EC$161)</f>
        <v>1.0024662697723037</v>
      </c>
      <c r="ED159" s="634">
        <f>CHOOSE(MarketRentGrowthType-49,1+SUMIF($C$5:$M$5,ED$6-1,Input!$G69:$Q69)*(MOD(ED$5,12)=1),(1+SUMIF($C$5:$M$5,ED$6,Input!$G69:$Q69))^(1/12),1+SUMIF($C$5:$M$5,ED$6,Input!$G69:$Q69))*(1+ED$161)</f>
        <v>1.0024662697723037</v>
      </c>
      <c r="EE159" s="634">
        <f>CHOOSE(MarketRentGrowthType-49,1+SUMIF($C$5:$M$5,EE$6-1,Input!$G69:$Q69)*(MOD(EE$5,12)=1),(1+SUMIF($C$5:$M$5,EE$6,Input!$G69:$Q69))^(1/12),1+SUMIF($C$5:$M$5,EE$6,Input!$G69:$Q69))*(1+EE$161)</f>
        <v>1.0024662697723037</v>
      </c>
      <c r="EF159" s="634">
        <f>CHOOSE(MarketRentGrowthType-49,1+SUMIF($C$5:$M$5,EF$6-1,Input!$G69:$Q69)*(MOD(EF$5,12)=1),(1+SUMIF($C$5:$M$5,EF$6,Input!$G69:$Q69))^(1/12),1+SUMIF($C$5:$M$5,EF$6,Input!$G69:$Q69))*(1+EF$161)</f>
        <v>1.0024662697723037</v>
      </c>
      <c r="EG159" s="634">
        <f>CHOOSE(MarketRentGrowthType-49,1+SUMIF($C$5:$M$5,EG$6-1,Input!$G69:$Q69)*(MOD(EG$5,12)=1),(1+SUMIF($C$5:$M$5,EG$6,Input!$G69:$Q69))^(1/12),1+SUMIF($C$5:$M$5,EG$6,Input!$G69:$Q69))*(1+EG$161)</f>
        <v>1.0024662697723037</v>
      </c>
      <c r="EH159" s="634">
        <f>CHOOSE(MarketRentGrowthType-49,1+SUMIF($C$5:$M$5,EH$6-1,Input!$G69:$Q69)*(MOD(EH$5,12)=1),(1+SUMIF($C$5:$M$5,EH$6,Input!$G69:$Q69))^(1/12),1+SUMIF($C$5:$M$5,EH$6,Input!$G69:$Q69))*(1+EH$161)</f>
        <v>1.0024662697723037</v>
      </c>
      <c r="EI159" s="634">
        <f>CHOOSE(MarketRentGrowthType-49,1+SUMIF($C$5:$M$5,EI$6-1,Input!$G69:$Q69)*(MOD(EI$5,12)=1),(1+SUMIF($C$5:$M$5,EI$6,Input!$G69:$Q69))^(1/12),1+SUMIF($C$5:$M$5,EI$6,Input!$G69:$Q69))*(1+EI$161)</f>
        <v>1.0024662697723037</v>
      </c>
      <c r="EJ159" s="634">
        <f>CHOOSE(MarketRentGrowthType-49,1+SUMIF($C$5:$M$5,EJ$6-1,Input!$G69:$Q69)*(MOD(EJ$5,12)=1),(1+SUMIF($C$5:$M$5,EJ$6,Input!$G69:$Q69))^(1/12),1+SUMIF($C$5:$M$5,EJ$6,Input!$G69:$Q69))*(1+EJ$161)</f>
        <v>1.0024662697723037</v>
      </c>
      <c r="EK159" s="634">
        <f>CHOOSE(MarketRentGrowthType-49,1+SUMIF($C$5:$M$5,EK$6-1,Input!$G69:$Q69)*(MOD(EK$5,12)=1),(1+SUMIF($C$5:$M$5,EK$6,Input!$G69:$Q69))^(1/12),1+SUMIF($C$5:$M$5,EK$6,Input!$G69:$Q69))*(1+EK$161)</f>
        <v>1.0024662697723037</v>
      </c>
      <c r="EL159" s="634">
        <f>CHOOSE(MarketRentGrowthType-49,1+SUMIF($C$5:$M$5,EL$6-1,Input!$G69:$Q69)*(MOD(EL$5,12)=1),(1+SUMIF($C$5:$M$5,EL$6,Input!$G69:$Q69))^(1/12),1+SUMIF($C$5:$M$5,EL$6,Input!$G69:$Q69))*(1+EL$161)</f>
        <v>1.0024662697723037</v>
      </c>
      <c r="EM159" s="634">
        <f>CHOOSE(MarketRentGrowthType-49,1+SUMIF($C$5:$M$5,EM$6-1,Input!$G69:$Q69)*(MOD(EM$5,12)=1),(1+SUMIF($C$5:$M$5,EM$6,Input!$G69:$Q69))^(1/12),1+SUMIF($C$5:$M$5,EM$6,Input!$G69:$Q69))*(1+EM$161)</f>
        <v>1.0024662697723037</v>
      </c>
      <c r="EN159" s="634">
        <f>CHOOSE(MarketRentGrowthType-49,1+SUMIF($C$5:$M$5,EN$6-1,Input!$G69:$Q69)*(MOD(EN$5,12)=1),(1+SUMIF($C$5:$M$5,EN$6,Input!$G69:$Q69))^(1/12),1+SUMIF($C$5:$M$5,EN$6,Input!$G69:$Q69))*(1+EN$161)</f>
        <v>1.0024662697723037</v>
      </c>
      <c r="EO159" s="634">
        <f>CHOOSE(MarketRentGrowthType-49,1+SUMIF($C$5:$M$5,EO$6-1,Input!$G69:$Q69)*(MOD(EO$5,12)=1),(1+SUMIF($C$5:$M$5,EO$6,Input!$G69:$Q69))^(1/12),1+SUMIF($C$5:$M$5,EO$6,Input!$G69:$Q69))*(1+EO$161)</f>
        <v>1.0024662697723037</v>
      </c>
      <c r="EP159" s="634">
        <f>CHOOSE(MarketRentGrowthType-49,1+SUMIF($C$5:$M$5,EP$6-1,Input!$G69:$Q69)*(MOD(EP$5,12)=1),(1+SUMIF($C$5:$M$5,EP$6,Input!$G69:$Q69))^(1/12),1+SUMIF($C$5:$M$5,EP$6,Input!$G69:$Q69))*(1+EP$161)</f>
        <v>1.0024662697723037</v>
      </c>
      <c r="EQ159" s="634">
        <f>CHOOSE(MarketRentGrowthType-49,1+SUMIF($C$5:$M$5,EQ$6-1,Input!$G69:$Q69)*(MOD(EQ$5,12)=1),(1+SUMIF($C$5:$M$5,EQ$6,Input!$G69:$Q69))^(1/12),1+SUMIF($C$5:$M$5,EQ$6,Input!$G69:$Q69))*(1+EQ$161)</f>
        <v>1.0024662697723037</v>
      </c>
      <c r="ER159" s="634">
        <f>CHOOSE(MarketRentGrowthType-49,1+SUMIF($C$5:$M$5,ER$6-1,Input!$G69:$Q69)*(MOD(ER$5,12)=1),(1+SUMIF($C$5:$M$5,ER$6,Input!$G69:$Q69))^(1/12),1+SUMIF($C$5:$M$5,ER$6,Input!$G69:$Q69))*(1+ER$161)</f>
        <v>1.0024662697723037</v>
      </c>
      <c r="ES159" s="634">
        <f>CHOOSE(MarketRentGrowthType-49,1+SUMIF($C$5:$M$5,ES$6-1,Input!$G69:$Q69)*(MOD(ES$5,12)=1),(1+SUMIF($C$5:$M$5,ES$6,Input!$G69:$Q69))^(1/12),1+SUMIF($C$5:$M$5,ES$6,Input!$G69:$Q69))*(1+ES$161)</f>
        <v>1.0024662697723037</v>
      </c>
      <c r="ET159" s="192"/>
    </row>
    <row r="160" spans="1:150" hidden="1" outlineLevel="1">
      <c r="A160" s="192"/>
      <c r="B160" s="36" t="s">
        <v>579</v>
      </c>
      <c r="C160" s="37"/>
      <c r="D160" s="37"/>
      <c r="E160" s="37"/>
      <c r="F160" s="37"/>
      <c r="G160" s="37"/>
      <c r="H160" s="37"/>
      <c r="I160" s="37"/>
      <c r="J160" s="37"/>
      <c r="K160" s="37"/>
      <c r="L160" s="37"/>
      <c r="M160" s="37"/>
      <c r="N160" s="37"/>
      <c r="O160" s="37"/>
      <c r="Q160" s="37"/>
      <c r="R160" s="634">
        <f>(1+Input!S70)*(1+R$161)</f>
        <v>1</v>
      </c>
      <c r="S160" s="634">
        <f>(1+Input!T70)*(1+S$161)</f>
        <v>1</v>
      </c>
      <c r="T160" s="634">
        <f>(1+Input!U70)*(1+T$161)</f>
        <v>1</v>
      </c>
      <c r="U160" s="634">
        <f>(1+Input!V70)*(1+U$161)</f>
        <v>1</v>
      </c>
      <c r="V160" s="634">
        <f>(1+Input!W70)*(1+V$161)</f>
        <v>1</v>
      </c>
      <c r="W160" s="634">
        <f>(1+Input!X70)*(1+W$161)</f>
        <v>1</v>
      </c>
      <c r="X160" s="634">
        <f>(1+Input!Y70)*(1+X$161)</f>
        <v>1</v>
      </c>
      <c r="Y160" s="634">
        <f>(1+Input!Z70)*(1+Y$161)</f>
        <v>1</v>
      </c>
      <c r="Z160" s="634">
        <f>(1+Input!AA70)*(1+Z$161)</f>
        <v>1</v>
      </c>
      <c r="AA160" s="634">
        <f>(1+Input!AB70)*(1+AA$161)</f>
        <v>1</v>
      </c>
      <c r="AB160" s="634">
        <f>(1+Input!AC70)*(1+AB$161)</f>
        <v>1</v>
      </c>
      <c r="AC160" s="634">
        <f>(1+Input!AD70)*(1+AC$161)</f>
        <v>1</v>
      </c>
      <c r="AD160" s="634">
        <f>(1+Input!AE70)*(1+AD$161)</f>
        <v>1</v>
      </c>
      <c r="AE160" s="634">
        <f>(1+Input!AF70)*(1+AE$161)</f>
        <v>1</v>
      </c>
      <c r="AF160" s="634">
        <f>(1+Input!AG70)*(1+AF$161)</f>
        <v>1</v>
      </c>
      <c r="AG160" s="634">
        <f>(1+Input!AH70)*(1+AG$161)</f>
        <v>1</v>
      </c>
      <c r="AH160" s="634">
        <f>(1+Input!AI70)*(1+AH$161)</f>
        <v>1</v>
      </c>
      <c r="AI160" s="634">
        <f>(1+Input!AJ70)*(1+AI$161)</f>
        <v>1</v>
      </c>
      <c r="AJ160" s="634">
        <f>(1+Input!AK70)*(1+AJ$161)</f>
        <v>1</v>
      </c>
      <c r="AK160" s="634">
        <f>(1+Input!AL70)*(1+AK$161)</f>
        <v>1</v>
      </c>
      <c r="AL160" s="634">
        <f>(1+Input!AM70)*(1+AL$161)</f>
        <v>1</v>
      </c>
      <c r="AM160" s="634">
        <f>(1+Input!AN70)*(1+AM$161)</f>
        <v>1</v>
      </c>
      <c r="AN160" s="634">
        <f>(1+Input!AO70)*(1+AN$161)</f>
        <v>1</v>
      </c>
      <c r="AO160" s="634">
        <f>(1+Input!AP70)*(1+AO$161)</f>
        <v>1</v>
      </c>
      <c r="AP160" s="634">
        <f>(1+Input!AQ70)*(1+AP$161)</f>
        <v>1.02</v>
      </c>
      <c r="AQ160" s="634">
        <f>(1+Input!AR70)*(1+AQ$161)</f>
        <v>1</v>
      </c>
      <c r="AR160" s="634">
        <f>(1+Input!AS70)*(1+AR$161)</f>
        <v>1</v>
      </c>
      <c r="AS160" s="634">
        <f>(1+Input!AT70)*(1+AS$161)</f>
        <v>1</v>
      </c>
      <c r="AT160" s="634">
        <f>(1+Input!AU70)*(1+AT$161)</f>
        <v>1</v>
      </c>
      <c r="AU160" s="634">
        <f>(1+Input!AV70)*(1+AU$161)</f>
        <v>1</v>
      </c>
      <c r="AV160" s="634">
        <f>(1+Input!AW70)*(1+AV$161)</f>
        <v>1</v>
      </c>
      <c r="AW160" s="634">
        <f>(1+Input!AX70)*(1+AW$161)</f>
        <v>1</v>
      </c>
      <c r="AX160" s="634">
        <f>(1+Input!AY70)*(1+AX$161)</f>
        <v>1</v>
      </c>
      <c r="AY160" s="634">
        <f>(1+Input!AZ70)*(1+AY$161)</f>
        <v>1</v>
      </c>
      <c r="AZ160" s="634">
        <f>(1+Input!BA70)*(1+AZ$161)</f>
        <v>1</v>
      </c>
      <c r="BA160" s="634">
        <f>(1+Input!BB70)*(1+BA$161)</f>
        <v>1</v>
      </c>
      <c r="BB160" s="634">
        <f>CHOOSE(OtherRentGrowthType-49,1+SUMIF($C$5:$M$5,BB$6-1,Input!$G70:$Q70)*(MOD(BB$5,12)=1),(1+SUMIF($C$5:$M$5,BB$6,Input!$G70:$Q70))^(1/12),1+SUMIF($C$5:$M$5,BB$6,Input!$G70:$Q70))*(1+BB$161)</f>
        <v>1.03</v>
      </c>
      <c r="BC160" s="634">
        <f>CHOOSE(OtherRentGrowthType-49,1+SUMIF($C$5:$M$5,BC$6-1,Input!$G70:$Q70)*(MOD(BC$5,12)=1),(1+SUMIF($C$5:$M$5,BC$6,Input!$G70:$Q70))^(1/12),1+SUMIF($C$5:$M$5,BC$6,Input!$G70:$Q70))*(1+BC$161)</f>
        <v>1</v>
      </c>
      <c r="BD160" s="634">
        <f>CHOOSE(OtherRentGrowthType-49,1+SUMIF($C$5:$M$5,BD$6-1,Input!$G70:$Q70)*(MOD(BD$5,12)=1),(1+SUMIF($C$5:$M$5,BD$6,Input!$G70:$Q70))^(1/12),1+SUMIF($C$5:$M$5,BD$6,Input!$G70:$Q70))*(1+BD$161)</f>
        <v>1</v>
      </c>
      <c r="BE160" s="634">
        <f>CHOOSE(OtherRentGrowthType-49,1+SUMIF($C$5:$M$5,BE$6-1,Input!$G70:$Q70)*(MOD(BE$5,12)=1),(1+SUMIF($C$5:$M$5,BE$6,Input!$G70:$Q70))^(1/12),1+SUMIF($C$5:$M$5,BE$6,Input!$G70:$Q70))*(1+BE$161)</f>
        <v>1</v>
      </c>
      <c r="BF160" s="634">
        <f>CHOOSE(OtherRentGrowthType-49,1+SUMIF($C$5:$M$5,BF$6-1,Input!$G70:$Q70)*(MOD(BF$5,12)=1),(1+SUMIF($C$5:$M$5,BF$6,Input!$G70:$Q70))^(1/12),1+SUMIF($C$5:$M$5,BF$6,Input!$G70:$Q70))*(1+BF$161)</f>
        <v>1</v>
      </c>
      <c r="BG160" s="634">
        <f>CHOOSE(OtherRentGrowthType-49,1+SUMIF($C$5:$M$5,BG$6-1,Input!$G70:$Q70)*(MOD(BG$5,12)=1),(1+SUMIF($C$5:$M$5,BG$6,Input!$G70:$Q70))^(1/12),1+SUMIF($C$5:$M$5,BG$6,Input!$G70:$Q70))*(1+BG$161)</f>
        <v>1</v>
      </c>
      <c r="BH160" s="634">
        <f>CHOOSE(OtherRentGrowthType-49,1+SUMIF($C$5:$M$5,BH$6-1,Input!$G70:$Q70)*(MOD(BH$5,12)=1),(1+SUMIF($C$5:$M$5,BH$6,Input!$G70:$Q70))^(1/12),1+SUMIF($C$5:$M$5,BH$6,Input!$G70:$Q70))*(1+BH$161)</f>
        <v>1</v>
      </c>
      <c r="BI160" s="634">
        <f>CHOOSE(OtherRentGrowthType-49,1+SUMIF($C$5:$M$5,BI$6-1,Input!$G70:$Q70)*(MOD(BI$5,12)=1),(1+SUMIF($C$5:$M$5,BI$6,Input!$G70:$Q70))^(1/12),1+SUMIF($C$5:$M$5,BI$6,Input!$G70:$Q70))*(1+BI$161)</f>
        <v>1</v>
      </c>
      <c r="BJ160" s="634">
        <f>CHOOSE(OtherRentGrowthType-49,1+SUMIF($C$5:$M$5,BJ$6-1,Input!$G70:$Q70)*(MOD(BJ$5,12)=1),(1+SUMIF($C$5:$M$5,BJ$6,Input!$G70:$Q70))^(1/12),1+SUMIF($C$5:$M$5,BJ$6,Input!$G70:$Q70))*(1+BJ$161)</f>
        <v>1</v>
      </c>
      <c r="BK160" s="634">
        <f>CHOOSE(OtherRentGrowthType-49,1+SUMIF($C$5:$M$5,BK$6-1,Input!$G70:$Q70)*(MOD(BK$5,12)=1),(1+SUMIF($C$5:$M$5,BK$6,Input!$G70:$Q70))^(1/12),1+SUMIF($C$5:$M$5,BK$6,Input!$G70:$Q70))*(1+BK$161)</f>
        <v>1</v>
      </c>
      <c r="BL160" s="634">
        <f>CHOOSE(OtherRentGrowthType-49,1+SUMIF($C$5:$M$5,BL$6-1,Input!$G70:$Q70)*(MOD(BL$5,12)=1),(1+SUMIF($C$5:$M$5,BL$6,Input!$G70:$Q70))^(1/12),1+SUMIF($C$5:$M$5,BL$6,Input!$G70:$Q70))*(1+BL$161)</f>
        <v>1</v>
      </c>
      <c r="BM160" s="634">
        <f>CHOOSE(OtherRentGrowthType-49,1+SUMIF($C$5:$M$5,BM$6-1,Input!$G70:$Q70)*(MOD(BM$5,12)=1),(1+SUMIF($C$5:$M$5,BM$6,Input!$G70:$Q70))^(1/12),1+SUMIF($C$5:$M$5,BM$6,Input!$G70:$Q70))*(1+BM$161)</f>
        <v>1</v>
      </c>
      <c r="BN160" s="634">
        <f>CHOOSE(OtherRentGrowthType-49,1+SUMIF($C$5:$M$5,BN$6-1,Input!$G70:$Q70)*(MOD(BN$5,12)=1),(1+SUMIF($C$5:$M$5,BN$6,Input!$G70:$Q70))^(1/12),1+SUMIF($C$5:$M$5,BN$6,Input!$G70:$Q70))*(1+BN$161)</f>
        <v>1.03</v>
      </c>
      <c r="BO160" s="634">
        <f>CHOOSE(OtherRentGrowthType-49,1+SUMIF($C$5:$M$5,BO$6-1,Input!$G70:$Q70)*(MOD(BO$5,12)=1),(1+SUMIF($C$5:$M$5,BO$6,Input!$G70:$Q70))^(1/12),1+SUMIF($C$5:$M$5,BO$6,Input!$G70:$Q70))*(1+BO$161)</f>
        <v>1</v>
      </c>
      <c r="BP160" s="634">
        <f>CHOOSE(OtherRentGrowthType-49,1+SUMIF($C$5:$M$5,BP$6-1,Input!$G70:$Q70)*(MOD(BP$5,12)=1),(1+SUMIF($C$5:$M$5,BP$6,Input!$G70:$Q70))^(1/12),1+SUMIF($C$5:$M$5,BP$6,Input!$G70:$Q70))*(1+BP$161)</f>
        <v>1</v>
      </c>
      <c r="BQ160" s="634">
        <f>CHOOSE(OtherRentGrowthType-49,1+SUMIF($C$5:$M$5,BQ$6-1,Input!$G70:$Q70)*(MOD(BQ$5,12)=1),(1+SUMIF($C$5:$M$5,BQ$6,Input!$G70:$Q70))^(1/12),1+SUMIF($C$5:$M$5,BQ$6,Input!$G70:$Q70))*(1+BQ$161)</f>
        <v>1</v>
      </c>
      <c r="BR160" s="634">
        <f>CHOOSE(OtherRentGrowthType-49,1+SUMIF($C$5:$M$5,BR$6-1,Input!$G70:$Q70)*(MOD(BR$5,12)=1),(1+SUMIF($C$5:$M$5,BR$6,Input!$G70:$Q70))^(1/12),1+SUMIF($C$5:$M$5,BR$6,Input!$G70:$Q70))*(1+BR$161)</f>
        <v>1</v>
      </c>
      <c r="BS160" s="634">
        <f>CHOOSE(OtherRentGrowthType-49,1+SUMIF($C$5:$M$5,BS$6-1,Input!$G70:$Q70)*(MOD(BS$5,12)=1),(1+SUMIF($C$5:$M$5,BS$6,Input!$G70:$Q70))^(1/12),1+SUMIF($C$5:$M$5,BS$6,Input!$G70:$Q70))*(1+BS$161)</f>
        <v>1</v>
      </c>
      <c r="BT160" s="634">
        <f>CHOOSE(OtherRentGrowthType-49,1+SUMIF($C$5:$M$5,BT$6-1,Input!$G70:$Q70)*(MOD(BT$5,12)=1),(1+SUMIF($C$5:$M$5,BT$6,Input!$G70:$Q70))^(1/12),1+SUMIF($C$5:$M$5,BT$6,Input!$G70:$Q70))*(1+BT$161)</f>
        <v>1</v>
      </c>
      <c r="BU160" s="634">
        <f>CHOOSE(OtherRentGrowthType-49,1+SUMIF($C$5:$M$5,BU$6-1,Input!$G70:$Q70)*(MOD(BU$5,12)=1),(1+SUMIF($C$5:$M$5,BU$6,Input!$G70:$Q70))^(1/12),1+SUMIF($C$5:$M$5,BU$6,Input!$G70:$Q70))*(1+BU$161)</f>
        <v>1</v>
      </c>
      <c r="BV160" s="634">
        <f>CHOOSE(OtherRentGrowthType-49,1+SUMIF($C$5:$M$5,BV$6-1,Input!$G70:$Q70)*(MOD(BV$5,12)=1),(1+SUMIF($C$5:$M$5,BV$6,Input!$G70:$Q70))^(1/12),1+SUMIF($C$5:$M$5,BV$6,Input!$G70:$Q70))*(1+BV$161)</f>
        <v>1</v>
      </c>
      <c r="BW160" s="634">
        <f>CHOOSE(OtherRentGrowthType-49,1+SUMIF($C$5:$M$5,BW$6-1,Input!$G70:$Q70)*(MOD(BW$5,12)=1),(1+SUMIF($C$5:$M$5,BW$6,Input!$G70:$Q70))^(1/12),1+SUMIF($C$5:$M$5,BW$6,Input!$G70:$Q70))*(1+BW$161)</f>
        <v>1</v>
      </c>
      <c r="BX160" s="634">
        <f>CHOOSE(OtherRentGrowthType-49,1+SUMIF($C$5:$M$5,BX$6-1,Input!$G70:$Q70)*(MOD(BX$5,12)=1),(1+SUMIF($C$5:$M$5,BX$6,Input!$G70:$Q70))^(1/12),1+SUMIF($C$5:$M$5,BX$6,Input!$G70:$Q70))*(1+BX$161)</f>
        <v>1</v>
      </c>
      <c r="BY160" s="634">
        <f>CHOOSE(OtherRentGrowthType-49,1+SUMIF($C$5:$M$5,BY$6-1,Input!$G70:$Q70)*(MOD(BY$5,12)=1),(1+SUMIF($C$5:$M$5,BY$6,Input!$G70:$Q70))^(1/12),1+SUMIF($C$5:$M$5,BY$6,Input!$G70:$Q70))*(1+BY$161)</f>
        <v>1</v>
      </c>
      <c r="BZ160" s="634">
        <f>CHOOSE(OtherRentGrowthType-49,1+SUMIF($C$5:$M$5,BZ$6-1,Input!$G70:$Q70)*(MOD(BZ$5,12)=1),(1+SUMIF($C$5:$M$5,BZ$6,Input!$G70:$Q70))^(1/12),1+SUMIF($C$5:$M$5,BZ$6,Input!$G70:$Q70))*(1+BZ$161)</f>
        <v>1.03</v>
      </c>
      <c r="CA160" s="634">
        <f>CHOOSE(OtherRentGrowthType-49,1+SUMIF($C$5:$M$5,CA$6-1,Input!$G70:$Q70)*(MOD(CA$5,12)=1),(1+SUMIF($C$5:$M$5,CA$6,Input!$G70:$Q70))^(1/12),1+SUMIF($C$5:$M$5,CA$6,Input!$G70:$Q70))*(1+CA$161)</f>
        <v>1</v>
      </c>
      <c r="CB160" s="634">
        <f>CHOOSE(OtherRentGrowthType-49,1+SUMIF($C$5:$M$5,CB$6-1,Input!$G70:$Q70)*(MOD(CB$5,12)=1),(1+SUMIF($C$5:$M$5,CB$6,Input!$G70:$Q70))^(1/12),1+SUMIF($C$5:$M$5,CB$6,Input!$G70:$Q70))*(1+CB$161)</f>
        <v>1</v>
      </c>
      <c r="CC160" s="634">
        <f>CHOOSE(OtherRentGrowthType-49,1+SUMIF($C$5:$M$5,CC$6-1,Input!$G70:$Q70)*(MOD(CC$5,12)=1),(1+SUMIF($C$5:$M$5,CC$6,Input!$G70:$Q70))^(1/12),1+SUMIF($C$5:$M$5,CC$6,Input!$G70:$Q70))*(1+CC$161)</f>
        <v>1</v>
      </c>
      <c r="CD160" s="634">
        <f>CHOOSE(OtherRentGrowthType-49,1+SUMIF($C$5:$M$5,CD$6-1,Input!$G70:$Q70)*(MOD(CD$5,12)=1),(1+SUMIF($C$5:$M$5,CD$6,Input!$G70:$Q70))^(1/12),1+SUMIF($C$5:$M$5,CD$6,Input!$G70:$Q70))*(1+CD$161)</f>
        <v>1</v>
      </c>
      <c r="CE160" s="634">
        <f>CHOOSE(OtherRentGrowthType-49,1+SUMIF($C$5:$M$5,CE$6-1,Input!$G70:$Q70)*(MOD(CE$5,12)=1),(1+SUMIF($C$5:$M$5,CE$6,Input!$G70:$Q70))^(1/12),1+SUMIF($C$5:$M$5,CE$6,Input!$G70:$Q70))*(1+CE$161)</f>
        <v>1</v>
      </c>
      <c r="CF160" s="634">
        <f>CHOOSE(OtherRentGrowthType-49,1+SUMIF($C$5:$M$5,CF$6-1,Input!$G70:$Q70)*(MOD(CF$5,12)=1),(1+SUMIF($C$5:$M$5,CF$6,Input!$G70:$Q70))^(1/12),1+SUMIF($C$5:$M$5,CF$6,Input!$G70:$Q70))*(1+CF$161)</f>
        <v>1</v>
      </c>
      <c r="CG160" s="634">
        <f>CHOOSE(OtherRentGrowthType-49,1+SUMIF($C$5:$M$5,CG$6-1,Input!$G70:$Q70)*(MOD(CG$5,12)=1),(1+SUMIF($C$5:$M$5,CG$6,Input!$G70:$Q70))^(1/12),1+SUMIF($C$5:$M$5,CG$6,Input!$G70:$Q70))*(1+CG$161)</f>
        <v>1</v>
      </c>
      <c r="CH160" s="634">
        <f>CHOOSE(OtherRentGrowthType-49,1+SUMIF($C$5:$M$5,CH$6-1,Input!$G70:$Q70)*(MOD(CH$5,12)=1),(1+SUMIF($C$5:$M$5,CH$6,Input!$G70:$Q70))^(1/12),1+SUMIF($C$5:$M$5,CH$6,Input!$G70:$Q70))*(1+CH$161)</f>
        <v>1</v>
      </c>
      <c r="CI160" s="634">
        <f>CHOOSE(OtherRentGrowthType-49,1+SUMIF($C$5:$M$5,CI$6-1,Input!$G70:$Q70)*(MOD(CI$5,12)=1),(1+SUMIF($C$5:$M$5,CI$6,Input!$G70:$Q70))^(1/12),1+SUMIF($C$5:$M$5,CI$6,Input!$G70:$Q70))*(1+CI$161)</f>
        <v>1</v>
      </c>
      <c r="CJ160" s="634">
        <f>CHOOSE(OtherRentGrowthType-49,1+SUMIF($C$5:$M$5,CJ$6-1,Input!$G70:$Q70)*(MOD(CJ$5,12)=1),(1+SUMIF($C$5:$M$5,CJ$6,Input!$G70:$Q70))^(1/12),1+SUMIF($C$5:$M$5,CJ$6,Input!$G70:$Q70))*(1+CJ$161)</f>
        <v>1</v>
      </c>
      <c r="CK160" s="634">
        <f>CHOOSE(OtherRentGrowthType-49,1+SUMIF($C$5:$M$5,CK$6-1,Input!$G70:$Q70)*(MOD(CK$5,12)=1),(1+SUMIF($C$5:$M$5,CK$6,Input!$G70:$Q70))^(1/12),1+SUMIF($C$5:$M$5,CK$6,Input!$G70:$Q70))*(1+CK$161)</f>
        <v>1</v>
      </c>
      <c r="CL160" s="634">
        <f>CHOOSE(OtherRentGrowthType-49,1+SUMIF($C$5:$M$5,CL$6-1,Input!$G70:$Q70)*(MOD(CL$5,12)=1),(1+SUMIF($C$5:$M$5,CL$6,Input!$G70:$Q70))^(1/12),1+SUMIF($C$5:$M$5,CL$6,Input!$G70:$Q70))*(1+CL$161)</f>
        <v>1.03</v>
      </c>
      <c r="CM160" s="634">
        <f>CHOOSE(OtherRentGrowthType-49,1+SUMIF($C$5:$M$5,CM$6-1,Input!$G70:$Q70)*(MOD(CM$5,12)=1),(1+SUMIF($C$5:$M$5,CM$6,Input!$G70:$Q70))^(1/12),1+SUMIF($C$5:$M$5,CM$6,Input!$G70:$Q70))*(1+CM$161)</f>
        <v>1</v>
      </c>
      <c r="CN160" s="634">
        <f>CHOOSE(OtherRentGrowthType-49,1+SUMIF($C$5:$M$5,CN$6-1,Input!$G70:$Q70)*(MOD(CN$5,12)=1),(1+SUMIF($C$5:$M$5,CN$6,Input!$G70:$Q70))^(1/12),1+SUMIF($C$5:$M$5,CN$6,Input!$G70:$Q70))*(1+CN$161)</f>
        <v>1</v>
      </c>
      <c r="CO160" s="634">
        <f>CHOOSE(OtherRentGrowthType-49,1+SUMIF($C$5:$M$5,CO$6-1,Input!$G70:$Q70)*(MOD(CO$5,12)=1),(1+SUMIF($C$5:$M$5,CO$6,Input!$G70:$Q70))^(1/12),1+SUMIF($C$5:$M$5,CO$6,Input!$G70:$Q70))*(1+CO$161)</f>
        <v>1</v>
      </c>
      <c r="CP160" s="634">
        <f>CHOOSE(OtherRentGrowthType-49,1+SUMIF($C$5:$M$5,CP$6-1,Input!$G70:$Q70)*(MOD(CP$5,12)=1),(1+SUMIF($C$5:$M$5,CP$6,Input!$G70:$Q70))^(1/12),1+SUMIF($C$5:$M$5,CP$6,Input!$G70:$Q70))*(1+CP$161)</f>
        <v>1</v>
      </c>
      <c r="CQ160" s="634">
        <f>CHOOSE(OtherRentGrowthType-49,1+SUMIF($C$5:$M$5,CQ$6-1,Input!$G70:$Q70)*(MOD(CQ$5,12)=1),(1+SUMIF($C$5:$M$5,CQ$6,Input!$G70:$Q70))^(1/12),1+SUMIF($C$5:$M$5,CQ$6,Input!$G70:$Q70))*(1+CQ$161)</f>
        <v>1</v>
      </c>
      <c r="CR160" s="634">
        <f>CHOOSE(OtherRentGrowthType-49,1+SUMIF($C$5:$M$5,CR$6-1,Input!$G70:$Q70)*(MOD(CR$5,12)=1),(1+SUMIF($C$5:$M$5,CR$6,Input!$G70:$Q70))^(1/12),1+SUMIF($C$5:$M$5,CR$6,Input!$G70:$Q70))*(1+CR$161)</f>
        <v>1</v>
      </c>
      <c r="CS160" s="634">
        <f>CHOOSE(OtherRentGrowthType-49,1+SUMIF($C$5:$M$5,CS$6-1,Input!$G70:$Q70)*(MOD(CS$5,12)=1),(1+SUMIF($C$5:$M$5,CS$6,Input!$G70:$Q70))^(1/12),1+SUMIF($C$5:$M$5,CS$6,Input!$G70:$Q70))*(1+CS$161)</f>
        <v>1</v>
      </c>
      <c r="CT160" s="634">
        <f>CHOOSE(OtherRentGrowthType-49,1+SUMIF($C$5:$M$5,CT$6-1,Input!$G70:$Q70)*(MOD(CT$5,12)=1),(1+SUMIF($C$5:$M$5,CT$6,Input!$G70:$Q70))^(1/12),1+SUMIF($C$5:$M$5,CT$6,Input!$G70:$Q70))*(1+CT$161)</f>
        <v>1</v>
      </c>
      <c r="CU160" s="634">
        <f>CHOOSE(OtherRentGrowthType-49,1+SUMIF($C$5:$M$5,CU$6-1,Input!$G70:$Q70)*(MOD(CU$5,12)=1),(1+SUMIF($C$5:$M$5,CU$6,Input!$G70:$Q70))^(1/12),1+SUMIF($C$5:$M$5,CU$6,Input!$G70:$Q70))*(1+CU$161)</f>
        <v>1</v>
      </c>
      <c r="CV160" s="634">
        <f>CHOOSE(OtherRentGrowthType-49,1+SUMIF($C$5:$M$5,CV$6-1,Input!$G70:$Q70)*(MOD(CV$5,12)=1),(1+SUMIF($C$5:$M$5,CV$6,Input!$G70:$Q70))^(1/12),1+SUMIF($C$5:$M$5,CV$6,Input!$G70:$Q70))*(1+CV$161)</f>
        <v>1</v>
      </c>
      <c r="CW160" s="634">
        <f>CHOOSE(OtherRentGrowthType-49,1+SUMIF($C$5:$M$5,CW$6-1,Input!$G70:$Q70)*(MOD(CW$5,12)=1),(1+SUMIF($C$5:$M$5,CW$6,Input!$G70:$Q70))^(1/12),1+SUMIF($C$5:$M$5,CW$6,Input!$G70:$Q70))*(1+CW$161)</f>
        <v>1</v>
      </c>
      <c r="CX160" s="634">
        <f>CHOOSE(OtherRentGrowthType-49,1+SUMIF($C$5:$M$5,CX$6-1,Input!$G70:$Q70)*(MOD(CX$5,12)=1),(1+SUMIF($C$5:$M$5,CX$6,Input!$G70:$Q70))^(1/12),1+SUMIF($C$5:$M$5,CX$6,Input!$G70:$Q70))*(1+CX$161)</f>
        <v>1.03</v>
      </c>
      <c r="CY160" s="634">
        <f>CHOOSE(OtherRentGrowthType-49,1+SUMIF($C$5:$M$5,CY$6-1,Input!$G70:$Q70)*(MOD(CY$5,12)=1),(1+SUMIF($C$5:$M$5,CY$6,Input!$G70:$Q70))^(1/12),1+SUMIF($C$5:$M$5,CY$6,Input!$G70:$Q70))*(1+CY$161)</f>
        <v>1</v>
      </c>
      <c r="CZ160" s="634">
        <f>CHOOSE(OtherRentGrowthType-49,1+SUMIF($C$5:$M$5,CZ$6-1,Input!$G70:$Q70)*(MOD(CZ$5,12)=1),(1+SUMIF($C$5:$M$5,CZ$6,Input!$G70:$Q70))^(1/12),1+SUMIF($C$5:$M$5,CZ$6,Input!$G70:$Q70))*(1+CZ$161)</f>
        <v>1</v>
      </c>
      <c r="DA160" s="634">
        <f>CHOOSE(OtherRentGrowthType-49,1+SUMIF($C$5:$M$5,DA$6-1,Input!$G70:$Q70)*(MOD(DA$5,12)=1),(1+SUMIF($C$5:$M$5,DA$6,Input!$G70:$Q70))^(1/12),1+SUMIF($C$5:$M$5,DA$6,Input!$G70:$Q70))*(1+DA$161)</f>
        <v>1</v>
      </c>
      <c r="DB160" s="634">
        <f>CHOOSE(OtherRentGrowthType-49,1+SUMIF($C$5:$M$5,DB$6-1,Input!$G70:$Q70)*(MOD(DB$5,12)=1),(1+SUMIF($C$5:$M$5,DB$6,Input!$G70:$Q70))^(1/12),1+SUMIF($C$5:$M$5,DB$6,Input!$G70:$Q70))*(1+DB$161)</f>
        <v>1</v>
      </c>
      <c r="DC160" s="634">
        <f>CHOOSE(OtherRentGrowthType-49,1+SUMIF($C$5:$M$5,DC$6-1,Input!$G70:$Q70)*(MOD(DC$5,12)=1),(1+SUMIF($C$5:$M$5,DC$6,Input!$G70:$Q70))^(1/12),1+SUMIF($C$5:$M$5,DC$6,Input!$G70:$Q70))*(1+DC$161)</f>
        <v>1</v>
      </c>
      <c r="DD160" s="634">
        <f>CHOOSE(OtherRentGrowthType-49,1+SUMIF($C$5:$M$5,DD$6-1,Input!$G70:$Q70)*(MOD(DD$5,12)=1),(1+SUMIF($C$5:$M$5,DD$6,Input!$G70:$Q70))^(1/12),1+SUMIF($C$5:$M$5,DD$6,Input!$G70:$Q70))*(1+DD$161)</f>
        <v>1</v>
      </c>
      <c r="DE160" s="634">
        <f>CHOOSE(OtherRentGrowthType-49,1+SUMIF($C$5:$M$5,DE$6-1,Input!$G70:$Q70)*(MOD(DE$5,12)=1),(1+SUMIF($C$5:$M$5,DE$6,Input!$G70:$Q70))^(1/12),1+SUMIF($C$5:$M$5,DE$6,Input!$G70:$Q70))*(1+DE$161)</f>
        <v>1</v>
      </c>
      <c r="DF160" s="634">
        <f>CHOOSE(OtherRentGrowthType-49,1+SUMIF($C$5:$M$5,DF$6-1,Input!$G70:$Q70)*(MOD(DF$5,12)=1),(1+SUMIF($C$5:$M$5,DF$6,Input!$G70:$Q70))^(1/12),1+SUMIF($C$5:$M$5,DF$6,Input!$G70:$Q70))*(1+DF$161)</f>
        <v>1</v>
      </c>
      <c r="DG160" s="634">
        <f>CHOOSE(OtherRentGrowthType-49,1+SUMIF($C$5:$M$5,DG$6-1,Input!$G70:$Q70)*(MOD(DG$5,12)=1),(1+SUMIF($C$5:$M$5,DG$6,Input!$G70:$Q70))^(1/12),1+SUMIF($C$5:$M$5,DG$6,Input!$G70:$Q70))*(1+DG$161)</f>
        <v>1</v>
      </c>
      <c r="DH160" s="634">
        <f>CHOOSE(OtherRentGrowthType-49,1+SUMIF($C$5:$M$5,DH$6-1,Input!$G70:$Q70)*(MOD(DH$5,12)=1),(1+SUMIF($C$5:$M$5,DH$6,Input!$G70:$Q70))^(1/12),1+SUMIF($C$5:$M$5,DH$6,Input!$G70:$Q70))*(1+DH$161)</f>
        <v>1</v>
      </c>
      <c r="DI160" s="634">
        <f>CHOOSE(OtherRentGrowthType-49,1+SUMIF($C$5:$M$5,DI$6-1,Input!$G70:$Q70)*(MOD(DI$5,12)=1),(1+SUMIF($C$5:$M$5,DI$6,Input!$G70:$Q70))^(1/12),1+SUMIF($C$5:$M$5,DI$6,Input!$G70:$Q70))*(1+DI$161)</f>
        <v>1</v>
      </c>
      <c r="DJ160" s="634">
        <f>CHOOSE(OtherRentGrowthType-49,1+SUMIF($C$5:$M$5,DJ$6-1,Input!$G70:$Q70)*(MOD(DJ$5,12)=1),(1+SUMIF($C$5:$M$5,DJ$6,Input!$G70:$Q70))^(1/12),1+SUMIF($C$5:$M$5,DJ$6,Input!$G70:$Q70))*(1+DJ$161)</f>
        <v>1.03</v>
      </c>
      <c r="DK160" s="634">
        <f>CHOOSE(OtherRentGrowthType-49,1+SUMIF($C$5:$M$5,DK$6-1,Input!$G70:$Q70)*(MOD(DK$5,12)=1),(1+SUMIF($C$5:$M$5,DK$6,Input!$G70:$Q70))^(1/12),1+SUMIF($C$5:$M$5,DK$6,Input!$G70:$Q70))*(1+DK$161)</f>
        <v>1</v>
      </c>
      <c r="DL160" s="634">
        <f>CHOOSE(OtherRentGrowthType-49,1+SUMIF($C$5:$M$5,DL$6-1,Input!$G70:$Q70)*(MOD(DL$5,12)=1),(1+SUMIF($C$5:$M$5,DL$6,Input!$G70:$Q70))^(1/12),1+SUMIF($C$5:$M$5,DL$6,Input!$G70:$Q70))*(1+DL$161)</f>
        <v>1</v>
      </c>
      <c r="DM160" s="634">
        <f>CHOOSE(OtherRentGrowthType-49,1+SUMIF($C$5:$M$5,DM$6-1,Input!$G70:$Q70)*(MOD(DM$5,12)=1),(1+SUMIF($C$5:$M$5,DM$6,Input!$G70:$Q70))^(1/12),1+SUMIF($C$5:$M$5,DM$6,Input!$G70:$Q70))*(1+DM$161)</f>
        <v>1</v>
      </c>
      <c r="DN160" s="634">
        <f>CHOOSE(OtherRentGrowthType-49,1+SUMIF($C$5:$M$5,DN$6-1,Input!$G70:$Q70)*(MOD(DN$5,12)=1),(1+SUMIF($C$5:$M$5,DN$6,Input!$G70:$Q70))^(1/12),1+SUMIF($C$5:$M$5,DN$6,Input!$G70:$Q70))*(1+DN$161)</f>
        <v>1</v>
      </c>
      <c r="DO160" s="634">
        <f>CHOOSE(OtherRentGrowthType-49,1+SUMIF($C$5:$M$5,DO$6-1,Input!$G70:$Q70)*(MOD(DO$5,12)=1),(1+SUMIF($C$5:$M$5,DO$6,Input!$G70:$Q70))^(1/12),1+SUMIF($C$5:$M$5,DO$6,Input!$G70:$Q70))*(1+DO$161)</f>
        <v>1</v>
      </c>
      <c r="DP160" s="634">
        <f>CHOOSE(OtherRentGrowthType-49,1+SUMIF($C$5:$M$5,DP$6-1,Input!$G70:$Q70)*(MOD(DP$5,12)=1),(1+SUMIF($C$5:$M$5,DP$6,Input!$G70:$Q70))^(1/12),1+SUMIF($C$5:$M$5,DP$6,Input!$G70:$Q70))*(1+DP$161)</f>
        <v>1</v>
      </c>
      <c r="DQ160" s="634">
        <f>CHOOSE(OtherRentGrowthType-49,1+SUMIF($C$5:$M$5,DQ$6-1,Input!$G70:$Q70)*(MOD(DQ$5,12)=1),(1+SUMIF($C$5:$M$5,DQ$6,Input!$G70:$Q70))^(1/12),1+SUMIF($C$5:$M$5,DQ$6,Input!$G70:$Q70))*(1+DQ$161)</f>
        <v>1</v>
      </c>
      <c r="DR160" s="634">
        <f>CHOOSE(OtherRentGrowthType-49,1+SUMIF($C$5:$M$5,DR$6-1,Input!$G70:$Q70)*(MOD(DR$5,12)=1),(1+SUMIF($C$5:$M$5,DR$6,Input!$G70:$Q70))^(1/12),1+SUMIF($C$5:$M$5,DR$6,Input!$G70:$Q70))*(1+DR$161)</f>
        <v>1</v>
      </c>
      <c r="DS160" s="634">
        <f>CHOOSE(OtherRentGrowthType-49,1+SUMIF($C$5:$M$5,DS$6-1,Input!$G70:$Q70)*(MOD(DS$5,12)=1),(1+SUMIF($C$5:$M$5,DS$6,Input!$G70:$Q70))^(1/12),1+SUMIF($C$5:$M$5,DS$6,Input!$G70:$Q70))*(1+DS$161)</f>
        <v>1</v>
      </c>
      <c r="DT160" s="634">
        <f>CHOOSE(OtherRentGrowthType-49,1+SUMIF($C$5:$M$5,DT$6-1,Input!$G70:$Q70)*(MOD(DT$5,12)=1),(1+SUMIF($C$5:$M$5,DT$6,Input!$G70:$Q70))^(1/12),1+SUMIF($C$5:$M$5,DT$6,Input!$G70:$Q70))*(1+DT$161)</f>
        <v>1</v>
      </c>
      <c r="DU160" s="634">
        <f>CHOOSE(OtherRentGrowthType-49,1+SUMIF($C$5:$M$5,DU$6-1,Input!$G70:$Q70)*(MOD(DU$5,12)=1),(1+SUMIF($C$5:$M$5,DU$6,Input!$G70:$Q70))^(1/12),1+SUMIF($C$5:$M$5,DU$6,Input!$G70:$Q70))*(1+DU$161)</f>
        <v>1</v>
      </c>
      <c r="DV160" s="634">
        <f>CHOOSE(OtherRentGrowthType-49,1+SUMIF($C$5:$M$5,DV$6-1,Input!$G70:$Q70)*(MOD(DV$5,12)=1),(1+SUMIF($C$5:$M$5,DV$6,Input!$G70:$Q70))^(1/12),1+SUMIF($C$5:$M$5,DV$6,Input!$G70:$Q70))*(1+DV$161)</f>
        <v>1.03</v>
      </c>
      <c r="DW160" s="634">
        <f>CHOOSE(OtherRentGrowthType-49,1+SUMIF($C$5:$M$5,DW$6-1,Input!$G70:$Q70)*(MOD(DW$5,12)=1),(1+SUMIF($C$5:$M$5,DW$6,Input!$G70:$Q70))^(1/12),1+SUMIF($C$5:$M$5,DW$6,Input!$G70:$Q70))*(1+DW$161)</f>
        <v>1</v>
      </c>
      <c r="DX160" s="634">
        <f>CHOOSE(OtherRentGrowthType-49,1+SUMIF($C$5:$M$5,DX$6-1,Input!$G70:$Q70)*(MOD(DX$5,12)=1),(1+SUMIF($C$5:$M$5,DX$6,Input!$G70:$Q70))^(1/12),1+SUMIF($C$5:$M$5,DX$6,Input!$G70:$Q70))*(1+DX$161)</f>
        <v>1</v>
      </c>
      <c r="DY160" s="634">
        <f>CHOOSE(OtherRentGrowthType-49,1+SUMIF($C$5:$M$5,DY$6-1,Input!$G70:$Q70)*(MOD(DY$5,12)=1),(1+SUMIF($C$5:$M$5,DY$6,Input!$G70:$Q70))^(1/12),1+SUMIF($C$5:$M$5,DY$6,Input!$G70:$Q70))*(1+DY$161)</f>
        <v>1</v>
      </c>
      <c r="DZ160" s="634">
        <f>CHOOSE(OtherRentGrowthType-49,1+SUMIF($C$5:$M$5,DZ$6-1,Input!$G70:$Q70)*(MOD(DZ$5,12)=1),(1+SUMIF($C$5:$M$5,DZ$6,Input!$G70:$Q70))^(1/12),1+SUMIF($C$5:$M$5,DZ$6,Input!$G70:$Q70))*(1+DZ$161)</f>
        <v>1</v>
      </c>
      <c r="EA160" s="634">
        <f>CHOOSE(OtherRentGrowthType-49,1+SUMIF($C$5:$M$5,EA$6-1,Input!$G70:$Q70)*(MOD(EA$5,12)=1),(1+SUMIF($C$5:$M$5,EA$6,Input!$G70:$Q70))^(1/12),1+SUMIF($C$5:$M$5,EA$6,Input!$G70:$Q70))*(1+EA$161)</f>
        <v>1</v>
      </c>
      <c r="EB160" s="634">
        <f>CHOOSE(OtherRentGrowthType-49,1+SUMIF($C$5:$M$5,EB$6-1,Input!$G70:$Q70)*(MOD(EB$5,12)=1),(1+SUMIF($C$5:$M$5,EB$6,Input!$G70:$Q70))^(1/12),1+SUMIF($C$5:$M$5,EB$6,Input!$G70:$Q70))*(1+EB$161)</f>
        <v>1</v>
      </c>
      <c r="EC160" s="634">
        <f>CHOOSE(OtherRentGrowthType-49,1+SUMIF($C$5:$M$5,EC$6-1,Input!$G70:$Q70)*(MOD(EC$5,12)=1),(1+SUMIF($C$5:$M$5,EC$6,Input!$G70:$Q70))^(1/12),1+SUMIF($C$5:$M$5,EC$6,Input!$G70:$Q70))*(1+EC$161)</f>
        <v>1</v>
      </c>
      <c r="ED160" s="634">
        <f>CHOOSE(OtherRentGrowthType-49,1+SUMIF($C$5:$M$5,ED$6-1,Input!$G70:$Q70)*(MOD(ED$5,12)=1),(1+SUMIF($C$5:$M$5,ED$6,Input!$G70:$Q70))^(1/12),1+SUMIF($C$5:$M$5,ED$6,Input!$G70:$Q70))*(1+ED$161)</f>
        <v>1</v>
      </c>
      <c r="EE160" s="634">
        <f>CHOOSE(OtherRentGrowthType-49,1+SUMIF($C$5:$M$5,EE$6-1,Input!$G70:$Q70)*(MOD(EE$5,12)=1),(1+SUMIF($C$5:$M$5,EE$6,Input!$G70:$Q70))^(1/12),1+SUMIF($C$5:$M$5,EE$6,Input!$G70:$Q70))*(1+EE$161)</f>
        <v>1</v>
      </c>
      <c r="EF160" s="634">
        <f>CHOOSE(OtherRentGrowthType-49,1+SUMIF($C$5:$M$5,EF$6-1,Input!$G70:$Q70)*(MOD(EF$5,12)=1),(1+SUMIF($C$5:$M$5,EF$6,Input!$G70:$Q70))^(1/12),1+SUMIF($C$5:$M$5,EF$6,Input!$G70:$Q70))*(1+EF$161)</f>
        <v>1</v>
      </c>
      <c r="EG160" s="634">
        <f>CHOOSE(OtherRentGrowthType-49,1+SUMIF($C$5:$M$5,EG$6-1,Input!$G70:$Q70)*(MOD(EG$5,12)=1),(1+SUMIF($C$5:$M$5,EG$6,Input!$G70:$Q70))^(1/12),1+SUMIF($C$5:$M$5,EG$6,Input!$G70:$Q70))*(1+EG$161)</f>
        <v>1</v>
      </c>
      <c r="EH160" s="634">
        <f>CHOOSE(OtherRentGrowthType-49,1+SUMIF($C$5:$M$5,EH$6-1,Input!$G70:$Q70)*(MOD(EH$5,12)=1),(1+SUMIF($C$5:$M$5,EH$6,Input!$G70:$Q70))^(1/12),1+SUMIF($C$5:$M$5,EH$6,Input!$G70:$Q70))*(1+EH$161)</f>
        <v>1.03</v>
      </c>
      <c r="EI160" s="634">
        <f>CHOOSE(OtherRentGrowthType-49,1+SUMIF($C$5:$M$5,EI$6-1,Input!$G70:$Q70)*(MOD(EI$5,12)=1),(1+SUMIF($C$5:$M$5,EI$6,Input!$G70:$Q70))^(1/12),1+SUMIF($C$5:$M$5,EI$6,Input!$G70:$Q70))*(1+EI$161)</f>
        <v>1</v>
      </c>
      <c r="EJ160" s="634">
        <f>CHOOSE(OtherRentGrowthType-49,1+SUMIF($C$5:$M$5,EJ$6-1,Input!$G70:$Q70)*(MOD(EJ$5,12)=1),(1+SUMIF($C$5:$M$5,EJ$6,Input!$G70:$Q70))^(1/12),1+SUMIF($C$5:$M$5,EJ$6,Input!$G70:$Q70))*(1+EJ$161)</f>
        <v>1</v>
      </c>
      <c r="EK160" s="634">
        <f>CHOOSE(OtherRentGrowthType-49,1+SUMIF($C$5:$M$5,EK$6-1,Input!$G70:$Q70)*(MOD(EK$5,12)=1),(1+SUMIF($C$5:$M$5,EK$6,Input!$G70:$Q70))^(1/12),1+SUMIF($C$5:$M$5,EK$6,Input!$G70:$Q70))*(1+EK$161)</f>
        <v>1</v>
      </c>
      <c r="EL160" s="634">
        <f>CHOOSE(OtherRentGrowthType-49,1+SUMIF($C$5:$M$5,EL$6-1,Input!$G70:$Q70)*(MOD(EL$5,12)=1),(1+SUMIF($C$5:$M$5,EL$6,Input!$G70:$Q70))^(1/12),1+SUMIF($C$5:$M$5,EL$6,Input!$G70:$Q70))*(1+EL$161)</f>
        <v>1</v>
      </c>
      <c r="EM160" s="634">
        <f>CHOOSE(OtherRentGrowthType-49,1+SUMIF($C$5:$M$5,EM$6-1,Input!$G70:$Q70)*(MOD(EM$5,12)=1),(1+SUMIF($C$5:$M$5,EM$6,Input!$G70:$Q70))^(1/12),1+SUMIF($C$5:$M$5,EM$6,Input!$G70:$Q70))*(1+EM$161)</f>
        <v>1</v>
      </c>
      <c r="EN160" s="634">
        <f>CHOOSE(OtherRentGrowthType-49,1+SUMIF($C$5:$M$5,EN$6-1,Input!$G70:$Q70)*(MOD(EN$5,12)=1),(1+SUMIF($C$5:$M$5,EN$6,Input!$G70:$Q70))^(1/12),1+SUMIF($C$5:$M$5,EN$6,Input!$G70:$Q70))*(1+EN$161)</f>
        <v>1</v>
      </c>
      <c r="EO160" s="634">
        <f>CHOOSE(OtherRentGrowthType-49,1+SUMIF($C$5:$M$5,EO$6-1,Input!$G70:$Q70)*(MOD(EO$5,12)=1),(1+SUMIF($C$5:$M$5,EO$6,Input!$G70:$Q70))^(1/12),1+SUMIF($C$5:$M$5,EO$6,Input!$G70:$Q70))*(1+EO$161)</f>
        <v>1</v>
      </c>
      <c r="EP160" s="634">
        <f>CHOOSE(OtherRentGrowthType-49,1+SUMIF($C$5:$M$5,EP$6-1,Input!$G70:$Q70)*(MOD(EP$5,12)=1),(1+SUMIF($C$5:$M$5,EP$6,Input!$G70:$Q70))^(1/12),1+SUMIF($C$5:$M$5,EP$6,Input!$G70:$Q70))*(1+EP$161)</f>
        <v>1</v>
      </c>
      <c r="EQ160" s="634">
        <f>CHOOSE(OtherRentGrowthType-49,1+SUMIF($C$5:$M$5,EQ$6-1,Input!$G70:$Q70)*(MOD(EQ$5,12)=1),(1+SUMIF($C$5:$M$5,EQ$6,Input!$G70:$Q70))^(1/12),1+SUMIF($C$5:$M$5,EQ$6,Input!$G70:$Q70))*(1+EQ$161)</f>
        <v>1</v>
      </c>
      <c r="ER160" s="634">
        <f>CHOOSE(OtherRentGrowthType-49,1+SUMIF($C$5:$M$5,ER$6-1,Input!$G70:$Q70)*(MOD(ER$5,12)=1),(1+SUMIF($C$5:$M$5,ER$6,Input!$G70:$Q70))^(1/12),1+SUMIF($C$5:$M$5,ER$6,Input!$G70:$Q70))*(1+ER$161)</f>
        <v>1</v>
      </c>
      <c r="ES160" s="634">
        <f>CHOOSE(OtherRentGrowthType-49,1+SUMIF($C$5:$M$5,ES$6-1,Input!$G70:$Q70)*(MOD(ES$5,12)=1),(1+SUMIF($C$5:$M$5,ES$6,Input!$G70:$Q70))^(1/12),1+SUMIF($C$5:$M$5,ES$6,Input!$G70:$Q70))*(1+ES$161)</f>
        <v>1</v>
      </c>
      <c r="ET160" s="192"/>
    </row>
    <row r="161" spans="1:150" hidden="1" outlineLevel="1">
      <c r="A161" s="192"/>
      <c r="B161" s="36" t="s">
        <v>580</v>
      </c>
      <c r="C161" s="37"/>
      <c r="D161" s="37"/>
      <c r="E161" s="37"/>
      <c r="F161" s="37"/>
      <c r="G161" s="37"/>
      <c r="H161" s="37"/>
      <c r="I161" s="37"/>
      <c r="J161" s="37"/>
      <c r="K161" s="37"/>
      <c r="L161" s="37"/>
      <c r="M161" s="37"/>
      <c r="N161" s="37"/>
      <c r="O161" s="37"/>
      <c r="Q161" s="37"/>
      <c r="R161" s="634">
        <f>SUMPRODUCT(Input!$F$180:$F$187*(Input!$Q$180:$Q$187=R$5))</f>
        <v>0</v>
      </c>
      <c r="S161" s="634">
        <f>SUMPRODUCT(Input!$F$180:$F$187*(Input!$Q$180:$Q$187=S$5))</f>
        <v>0</v>
      </c>
      <c r="T161" s="634">
        <f>SUMPRODUCT(Input!$F$180:$F$187*(Input!$Q$180:$Q$187=T$5))</f>
        <v>0</v>
      </c>
      <c r="U161" s="634">
        <f>SUMPRODUCT(Input!$F$180:$F$187*(Input!$Q$180:$Q$187=U$5))</f>
        <v>0</v>
      </c>
      <c r="V161" s="634">
        <f>SUMPRODUCT(Input!$F$180:$F$187*(Input!$Q$180:$Q$187=V$5))</f>
        <v>0</v>
      </c>
      <c r="W161" s="634">
        <f>SUMPRODUCT(Input!$F$180:$F$187*(Input!$Q$180:$Q$187=W$5))</f>
        <v>0</v>
      </c>
      <c r="X161" s="634">
        <f>SUMPRODUCT(Input!$F$180:$F$187*(Input!$Q$180:$Q$187=X$5))</f>
        <v>0</v>
      </c>
      <c r="Y161" s="634">
        <f>SUMPRODUCT(Input!$F$180:$F$187*(Input!$Q$180:$Q$187=Y$5))</f>
        <v>0</v>
      </c>
      <c r="Z161" s="634">
        <f>SUMPRODUCT(Input!$F$180:$F$187*(Input!$Q$180:$Q$187=Z$5))</f>
        <v>0</v>
      </c>
      <c r="AA161" s="634">
        <f>SUMPRODUCT(Input!$F$180:$F$187*(Input!$Q$180:$Q$187=AA$5))</f>
        <v>0</v>
      </c>
      <c r="AB161" s="634">
        <f>SUMPRODUCT(Input!$F$180:$F$187*(Input!$Q$180:$Q$187=AB$5))</f>
        <v>0</v>
      </c>
      <c r="AC161" s="634">
        <f>SUMPRODUCT(Input!$F$180:$F$187*(Input!$Q$180:$Q$187=AC$5))</f>
        <v>0</v>
      </c>
      <c r="AD161" s="634">
        <f>SUMPRODUCT(Input!$F$180:$F$187*(Input!$Q$180:$Q$187=AD$5))</f>
        <v>0</v>
      </c>
      <c r="AE161" s="634">
        <f>SUMPRODUCT(Input!$F$180:$F$187*(Input!$Q$180:$Q$187=AE$5))</f>
        <v>0</v>
      </c>
      <c r="AF161" s="634">
        <f>SUMPRODUCT(Input!$F$180:$F$187*(Input!$Q$180:$Q$187=AF$5))</f>
        <v>0</v>
      </c>
      <c r="AG161" s="634">
        <f>SUMPRODUCT(Input!$F$180:$F$187*(Input!$Q$180:$Q$187=AG$5))</f>
        <v>0</v>
      </c>
      <c r="AH161" s="634">
        <f>SUMPRODUCT(Input!$F$180:$F$187*(Input!$Q$180:$Q$187=AH$5))</f>
        <v>0</v>
      </c>
      <c r="AI161" s="634">
        <f>SUMPRODUCT(Input!$F$180:$F$187*(Input!$Q$180:$Q$187=AI$5))</f>
        <v>0</v>
      </c>
      <c r="AJ161" s="634">
        <f>SUMPRODUCT(Input!$F$180:$F$187*(Input!$Q$180:$Q$187=AJ$5))</f>
        <v>0</v>
      </c>
      <c r="AK161" s="634">
        <f>SUMPRODUCT(Input!$F$180:$F$187*(Input!$Q$180:$Q$187=AK$5))</f>
        <v>0</v>
      </c>
      <c r="AL161" s="634">
        <f>SUMPRODUCT(Input!$F$180:$F$187*(Input!$Q$180:$Q$187=AL$5))</f>
        <v>0</v>
      </c>
      <c r="AM161" s="634">
        <f>SUMPRODUCT(Input!$F$180:$F$187*(Input!$Q$180:$Q$187=AM$5))</f>
        <v>0</v>
      </c>
      <c r="AN161" s="634">
        <f>SUMPRODUCT(Input!$F$180:$F$187*(Input!$Q$180:$Q$187=AN$5))</f>
        <v>0</v>
      </c>
      <c r="AO161" s="634">
        <f>SUMPRODUCT(Input!$F$180:$F$187*(Input!$Q$180:$Q$187=AO$5))</f>
        <v>0</v>
      </c>
      <c r="AP161" s="634">
        <f>SUMPRODUCT(Input!$F$180:$F$187*(Input!$Q$180:$Q$187=AP$5))</f>
        <v>0</v>
      </c>
      <c r="AQ161" s="634">
        <f>SUMPRODUCT(Input!$F$180:$F$187*(Input!$Q$180:$Q$187=AQ$5))</f>
        <v>0</v>
      </c>
      <c r="AR161" s="634">
        <f>SUMPRODUCT(Input!$F$180:$F$187*(Input!$Q$180:$Q$187=AR$5))</f>
        <v>0</v>
      </c>
      <c r="AS161" s="634">
        <f>SUMPRODUCT(Input!$F$180:$F$187*(Input!$Q$180:$Q$187=AS$5))</f>
        <v>0</v>
      </c>
      <c r="AT161" s="634">
        <f>SUMPRODUCT(Input!$F$180:$F$187*(Input!$Q$180:$Q$187=AT$5))</f>
        <v>0</v>
      </c>
      <c r="AU161" s="634">
        <f>SUMPRODUCT(Input!$F$180:$F$187*(Input!$Q$180:$Q$187=AU$5))</f>
        <v>0</v>
      </c>
      <c r="AV161" s="634">
        <f>SUMPRODUCT(Input!$F$180:$F$187*(Input!$Q$180:$Q$187=AV$5))</f>
        <v>0</v>
      </c>
      <c r="AW161" s="634">
        <f>SUMPRODUCT(Input!$F$180:$F$187*(Input!$Q$180:$Q$187=AW$5))</f>
        <v>0</v>
      </c>
      <c r="AX161" s="634">
        <f>SUMPRODUCT(Input!$F$180:$F$187*(Input!$Q$180:$Q$187=AX$5))</f>
        <v>0</v>
      </c>
      <c r="AY161" s="634">
        <f>SUMPRODUCT(Input!$F$180:$F$187*(Input!$Q$180:$Q$187=AY$5))</f>
        <v>0</v>
      </c>
      <c r="AZ161" s="634">
        <f>SUMPRODUCT(Input!$F$180:$F$187*(Input!$Q$180:$Q$187=AZ$5))</f>
        <v>0</v>
      </c>
      <c r="BA161" s="634">
        <f>SUMPRODUCT(Input!$F$180:$F$187*(Input!$Q$180:$Q$187=BA$5))</f>
        <v>0</v>
      </c>
      <c r="BB161" s="634">
        <f>SUMPRODUCT(Input!$F$180:$F$187*(Input!$Q$180:$Q$187=BB$5))</f>
        <v>0</v>
      </c>
      <c r="BC161" s="634">
        <f>SUMPRODUCT(Input!$F$180:$F$187*(Input!$Q$180:$Q$187=BC$5))</f>
        <v>0</v>
      </c>
      <c r="BD161" s="634">
        <f>SUMPRODUCT(Input!$F$180:$F$187*(Input!$Q$180:$Q$187=BD$5))</f>
        <v>0</v>
      </c>
      <c r="BE161" s="634">
        <f>SUMPRODUCT(Input!$F$180:$F$187*(Input!$Q$180:$Q$187=BE$5))</f>
        <v>0</v>
      </c>
      <c r="BF161" s="634">
        <f>SUMPRODUCT(Input!$F$180:$F$187*(Input!$Q$180:$Q$187=BF$5))</f>
        <v>0</v>
      </c>
      <c r="BG161" s="634">
        <f>SUMPRODUCT(Input!$F$180:$F$187*(Input!$Q$180:$Q$187=BG$5))</f>
        <v>0</v>
      </c>
      <c r="BH161" s="634">
        <f>SUMPRODUCT(Input!$F$180:$F$187*(Input!$Q$180:$Q$187=BH$5))</f>
        <v>0</v>
      </c>
      <c r="BI161" s="634">
        <f>SUMPRODUCT(Input!$F$180:$F$187*(Input!$Q$180:$Q$187=BI$5))</f>
        <v>0</v>
      </c>
      <c r="BJ161" s="634">
        <f>SUMPRODUCT(Input!$F$180:$F$187*(Input!$Q$180:$Q$187=BJ$5))</f>
        <v>0</v>
      </c>
      <c r="BK161" s="634">
        <f>SUMPRODUCT(Input!$F$180:$F$187*(Input!$Q$180:$Q$187=BK$5))</f>
        <v>0</v>
      </c>
      <c r="BL161" s="634">
        <f>SUMPRODUCT(Input!$F$180:$F$187*(Input!$Q$180:$Q$187=BL$5))</f>
        <v>0</v>
      </c>
      <c r="BM161" s="634">
        <f>SUMPRODUCT(Input!$F$180:$F$187*(Input!$Q$180:$Q$187=BM$5))</f>
        <v>0</v>
      </c>
      <c r="BN161" s="634">
        <f>SUMPRODUCT(Input!$F$180:$F$187*(Input!$Q$180:$Q$187=BN$5))</f>
        <v>0</v>
      </c>
      <c r="BO161" s="634">
        <f>SUMPRODUCT(Input!$F$180:$F$187*(Input!$Q$180:$Q$187=BO$5))</f>
        <v>0</v>
      </c>
      <c r="BP161" s="634">
        <f>SUMPRODUCT(Input!$F$180:$F$187*(Input!$Q$180:$Q$187=BP$5))</f>
        <v>0</v>
      </c>
      <c r="BQ161" s="634">
        <f>SUMPRODUCT(Input!$F$180:$F$187*(Input!$Q$180:$Q$187=BQ$5))</f>
        <v>0</v>
      </c>
      <c r="BR161" s="634">
        <f>SUMPRODUCT(Input!$F$180:$F$187*(Input!$Q$180:$Q$187=BR$5))</f>
        <v>0</v>
      </c>
      <c r="BS161" s="634">
        <f>SUMPRODUCT(Input!$F$180:$F$187*(Input!$Q$180:$Q$187=BS$5))</f>
        <v>0</v>
      </c>
      <c r="BT161" s="634">
        <f>SUMPRODUCT(Input!$F$180:$F$187*(Input!$Q$180:$Q$187=BT$5))</f>
        <v>0</v>
      </c>
      <c r="BU161" s="634">
        <f>SUMPRODUCT(Input!$F$180:$F$187*(Input!$Q$180:$Q$187=BU$5))</f>
        <v>0</v>
      </c>
      <c r="BV161" s="634">
        <f>SUMPRODUCT(Input!$F$180:$F$187*(Input!$Q$180:$Q$187=BV$5))</f>
        <v>0</v>
      </c>
      <c r="BW161" s="634">
        <f>SUMPRODUCT(Input!$F$180:$F$187*(Input!$Q$180:$Q$187=BW$5))</f>
        <v>0</v>
      </c>
      <c r="BX161" s="634">
        <f>SUMPRODUCT(Input!$F$180:$F$187*(Input!$Q$180:$Q$187=BX$5))</f>
        <v>0</v>
      </c>
      <c r="BY161" s="634">
        <f>SUMPRODUCT(Input!$F$180:$F$187*(Input!$Q$180:$Q$187=BY$5))</f>
        <v>0</v>
      </c>
      <c r="BZ161" s="634">
        <f>SUMPRODUCT(Input!$F$180:$F$187*(Input!$Q$180:$Q$187=BZ$5))</f>
        <v>0</v>
      </c>
      <c r="CA161" s="634">
        <f>SUMPRODUCT(Input!$F$180:$F$187*(Input!$Q$180:$Q$187=CA$5))</f>
        <v>0</v>
      </c>
      <c r="CB161" s="634">
        <f>SUMPRODUCT(Input!$F$180:$F$187*(Input!$Q$180:$Q$187=CB$5))</f>
        <v>0</v>
      </c>
      <c r="CC161" s="634">
        <f>SUMPRODUCT(Input!$F$180:$F$187*(Input!$Q$180:$Q$187=CC$5))</f>
        <v>0</v>
      </c>
      <c r="CD161" s="634">
        <f>SUMPRODUCT(Input!$F$180:$F$187*(Input!$Q$180:$Q$187=CD$5))</f>
        <v>0</v>
      </c>
      <c r="CE161" s="634">
        <f>SUMPRODUCT(Input!$F$180:$F$187*(Input!$Q$180:$Q$187=CE$5))</f>
        <v>0</v>
      </c>
      <c r="CF161" s="634">
        <f>SUMPRODUCT(Input!$F$180:$F$187*(Input!$Q$180:$Q$187=CF$5))</f>
        <v>0</v>
      </c>
      <c r="CG161" s="634">
        <f>SUMPRODUCT(Input!$F$180:$F$187*(Input!$Q$180:$Q$187=CG$5))</f>
        <v>0</v>
      </c>
      <c r="CH161" s="634">
        <f>SUMPRODUCT(Input!$F$180:$F$187*(Input!$Q$180:$Q$187=CH$5))</f>
        <v>0</v>
      </c>
      <c r="CI161" s="634">
        <f>SUMPRODUCT(Input!$F$180:$F$187*(Input!$Q$180:$Q$187=CI$5))</f>
        <v>0</v>
      </c>
      <c r="CJ161" s="634">
        <f>SUMPRODUCT(Input!$F$180:$F$187*(Input!$Q$180:$Q$187=CJ$5))</f>
        <v>0</v>
      </c>
      <c r="CK161" s="634">
        <f>SUMPRODUCT(Input!$F$180:$F$187*(Input!$Q$180:$Q$187=CK$5))</f>
        <v>0</v>
      </c>
      <c r="CL161" s="634">
        <f>SUMPRODUCT(Input!$F$180:$F$187*(Input!$Q$180:$Q$187=CL$5))</f>
        <v>0</v>
      </c>
      <c r="CM161" s="634">
        <f>SUMPRODUCT(Input!$F$180:$F$187*(Input!$Q$180:$Q$187=CM$5))</f>
        <v>0</v>
      </c>
      <c r="CN161" s="634">
        <f>SUMPRODUCT(Input!$F$180:$F$187*(Input!$Q$180:$Q$187=CN$5))</f>
        <v>0</v>
      </c>
      <c r="CO161" s="634">
        <f>SUMPRODUCT(Input!$F$180:$F$187*(Input!$Q$180:$Q$187=CO$5))</f>
        <v>0</v>
      </c>
      <c r="CP161" s="634">
        <f>SUMPRODUCT(Input!$F$180:$F$187*(Input!$Q$180:$Q$187=CP$5))</f>
        <v>0</v>
      </c>
      <c r="CQ161" s="634">
        <f>SUMPRODUCT(Input!$F$180:$F$187*(Input!$Q$180:$Q$187=CQ$5))</f>
        <v>0</v>
      </c>
      <c r="CR161" s="634">
        <f>SUMPRODUCT(Input!$F$180:$F$187*(Input!$Q$180:$Q$187=CR$5))</f>
        <v>0</v>
      </c>
      <c r="CS161" s="634">
        <f>SUMPRODUCT(Input!$F$180:$F$187*(Input!$Q$180:$Q$187=CS$5))</f>
        <v>0</v>
      </c>
      <c r="CT161" s="634">
        <f>SUMPRODUCT(Input!$F$180:$F$187*(Input!$Q$180:$Q$187=CT$5))</f>
        <v>0</v>
      </c>
      <c r="CU161" s="634">
        <f>SUMPRODUCT(Input!$F$180:$F$187*(Input!$Q$180:$Q$187=CU$5))</f>
        <v>0</v>
      </c>
      <c r="CV161" s="634">
        <f>SUMPRODUCT(Input!$F$180:$F$187*(Input!$Q$180:$Q$187=CV$5))</f>
        <v>0</v>
      </c>
      <c r="CW161" s="634">
        <f>SUMPRODUCT(Input!$F$180:$F$187*(Input!$Q$180:$Q$187=CW$5))</f>
        <v>0</v>
      </c>
      <c r="CX161" s="634">
        <f>SUMPRODUCT(Input!$F$180:$F$187*(Input!$Q$180:$Q$187=CX$5))</f>
        <v>0</v>
      </c>
      <c r="CY161" s="634">
        <f>SUMPRODUCT(Input!$F$180:$F$187*(Input!$Q$180:$Q$187=CY$5))</f>
        <v>0</v>
      </c>
      <c r="CZ161" s="634">
        <f>SUMPRODUCT(Input!$F$180:$F$187*(Input!$Q$180:$Q$187=CZ$5))</f>
        <v>0</v>
      </c>
      <c r="DA161" s="634">
        <f>SUMPRODUCT(Input!$F$180:$F$187*(Input!$Q$180:$Q$187=DA$5))</f>
        <v>0</v>
      </c>
      <c r="DB161" s="634">
        <f>SUMPRODUCT(Input!$F$180:$F$187*(Input!$Q$180:$Q$187=DB$5))</f>
        <v>0</v>
      </c>
      <c r="DC161" s="634">
        <f>SUMPRODUCT(Input!$F$180:$F$187*(Input!$Q$180:$Q$187=DC$5))</f>
        <v>0</v>
      </c>
      <c r="DD161" s="634">
        <f>SUMPRODUCT(Input!$F$180:$F$187*(Input!$Q$180:$Q$187=DD$5))</f>
        <v>0</v>
      </c>
      <c r="DE161" s="634">
        <f>SUMPRODUCT(Input!$F$180:$F$187*(Input!$Q$180:$Q$187=DE$5))</f>
        <v>0</v>
      </c>
      <c r="DF161" s="634">
        <f>SUMPRODUCT(Input!$F$180:$F$187*(Input!$Q$180:$Q$187=DF$5))</f>
        <v>0</v>
      </c>
      <c r="DG161" s="634">
        <f>SUMPRODUCT(Input!$F$180:$F$187*(Input!$Q$180:$Q$187=DG$5))</f>
        <v>0</v>
      </c>
      <c r="DH161" s="634">
        <f>SUMPRODUCT(Input!$F$180:$F$187*(Input!$Q$180:$Q$187=DH$5))</f>
        <v>0</v>
      </c>
      <c r="DI161" s="634">
        <f>SUMPRODUCT(Input!$F$180:$F$187*(Input!$Q$180:$Q$187=DI$5))</f>
        <v>0</v>
      </c>
      <c r="DJ161" s="634">
        <f>SUMPRODUCT(Input!$F$180:$F$187*(Input!$Q$180:$Q$187=DJ$5))</f>
        <v>0</v>
      </c>
      <c r="DK161" s="634">
        <f>SUMPRODUCT(Input!$F$180:$F$187*(Input!$Q$180:$Q$187=DK$5))</f>
        <v>0</v>
      </c>
      <c r="DL161" s="634">
        <f>SUMPRODUCT(Input!$F$180:$F$187*(Input!$Q$180:$Q$187=DL$5))</f>
        <v>0</v>
      </c>
      <c r="DM161" s="634">
        <f>SUMPRODUCT(Input!$F$180:$F$187*(Input!$Q$180:$Q$187=DM$5))</f>
        <v>0</v>
      </c>
      <c r="DN161" s="634">
        <f>SUMPRODUCT(Input!$F$180:$F$187*(Input!$Q$180:$Q$187=DN$5))</f>
        <v>0</v>
      </c>
      <c r="DO161" s="634">
        <f>SUMPRODUCT(Input!$F$180:$F$187*(Input!$Q$180:$Q$187=DO$5))</f>
        <v>0</v>
      </c>
      <c r="DP161" s="634">
        <f>SUMPRODUCT(Input!$F$180:$F$187*(Input!$Q$180:$Q$187=DP$5))</f>
        <v>0</v>
      </c>
      <c r="DQ161" s="634">
        <f>SUMPRODUCT(Input!$F$180:$F$187*(Input!$Q$180:$Q$187=DQ$5))</f>
        <v>0</v>
      </c>
      <c r="DR161" s="634">
        <f>SUMPRODUCT(Input!$F$180:$F$187*(Input!$Q$180:$Q$187=DR$5))</f>
        <v>0</v>
      </c>
      <c r="DS161" s="634">
        <f>SUMPRODUCT(Input!$F$180:$F$187*(Input!$Q$180:$Q$187=DS$5))</f>
        <v>0</v>
      </c>
      <c r="DT161" s="634">
        <f>SUMPRODUCT(Input!$F$180:$F$187*(Input!$Q$180:$Q$187=DT$5))</f>
        <v>0</v>
      </c>
      <c r="DU161" s="634">
        <f>SUMPRODUCT(Input!$F$180:$F$187*(Input!$Q$180:$Q$187=DU$5))</f>
        <v>0</v>
      </c>
      <c r="DV161" s="634">
        <f>SUMPRODUCT(Input!$F$180:$F$187*(Input!$Q$180:$Q$187=DV$5))</f>
        <v>0</v>
      </c>
      <c r="DW161" s="634">
        <f>SUMPRODUCT(Input!$F$180:$F$187*(Input!$Q$180:$Q$187=DW$5))</f>
        <v>0</v>
      </c>
      <c r="DX161" s="634">
        <f>SUMPRODUCT(Input!$F$180:$F$187*(Input!$Q$180:$Q$187=DX$5))</f>
        <v>0</v>
      </c>
      <c r="DY161" s="634">
        <f>SUMPRODUCT(Input!$F$180:$F$187*(Input!$Q$180:$Q$187=DY$5))</f>
        <v>0</v>
      </c>
      <c r="DZ161" s="634">
        <f>SUMPRODUCT(Input!$F$180:$F$187*(Input!$Q$180:$Q$187=DZ$5))</f>
        <v>0</v>
      </c>
      <c r="EA161" s="634">
        <f>SUMPRODUCT(Input!$F$180:$F$187*(Input!$Q$180:$Q$187=EA$5))</f>
        <v>0</v>
      </c>
      <c r="EB161" s="634">
        <f>SUMPRODUCT(Input!$F$180:$F$187*(Input!$Q$180:$Q$187=EB$5))</f>
        <v>0</v>
      </c>
      <c r="EC161" s="634">
        <f>SUMPRODUCT(Input!$F$180:$F$187*(Input!$Q$180:$Q$187=EC$5))</f>
        <v>0</v>
      </c>
      <c r="ED161" s="634">
        <f>SUMPRODUCT(Input!$F$180:$F$187*(Input!$Q$180:$Q$187=ED$5))</f>
        <v>0</v>
      </c>
      <c r="EE161" s="634">
        <f>SUMPRODUCT(Input!$F$180:$F$187*(Input!$Q$180:$Q$187=EE$5))</f>
        <v>0</v>
      </c>
      <c r="EF161" s="634">
        <f>SUMPRODUCT(Input!$F$180:$F$187*(Input!$Q$180:$Q$187=EF$5))</f>
        <v>0</v>
      </c>
      <c r="EG161" s="634">
        <f>SUMPRODUCT(Input!$F$180:$F$187*(Input!$Q$180:$Q$187=EG$5))</f>
        <v>0</v>
      </c>
      <c r="EH161" s="634">
        <f>SUMPRODUCT(Input!$F$180:$F$187*(Input!$Q$180:$Q$187=EH$5))</f>
        <v>0</v>
      </c>
      <c r="EI161" s="634">
        <f>SUMPRODUCT(Input!$F$180:$F$187*(Input!$Q$180:$Q$187=EI$5))</f>
        <v>0</v>
      </c>
      <c r="EJ161" s="634">
        <f>SUMPRODUCT(Input!$F$180:$F$187*(Input!$Q$180:$Q$187=EJ$5))</f>
        <v>0</v>
      </c>
      <c r="EK161" s="634">
        <f>SUMPRODUCT(Input!$F$180:$F$187*(Input!$Q$180:$Q$187=EK$5))</f>
        <v>0</v>
      </c>
      <c r="EL161" s="634">
        <f>SUMPRODUCT(Input!$F$180:$F$187*(Input!$Q$180:$Q$187=EL$5))</f>
        <v>0</v>
      </c>
      <c r="EM161" s="634">
        <f>SUMPRODUCT(Input!$F$180:$F$187*(Input!$Q$180:$Q$187=EM$5))</f>
        <v>0</v>
      </c>
      <c r="EN161" s="634">
        <f>SUMPRODUCT(Input!$F$180:$F$187*(Input!$Q$180:$Q$187=EN$5))</f>
        <v>0</v>
      </c>
      <c r="EO161" s="634">
        <f>SUMPRODUCT(Input!$F$180:$F$187*(Input!$Q$180:$Q$187=EO$5))</f>
        <v>0</v>
      </c>
      <c r="EP161" s="634">
        <f>SUMPRODUCT(Input!$F$180:$F$187*(Input!$Q$180:$Q$187=EP$5))</f>
        <v>0</v>
      </c>
      <c r="EQ161" s="634">
        <f>SUMPRODUCT(Input!$F$180:$F$187*(Input!$Q$180:$Q$187=EQ$5))</f>
        <v>0</v>
      </c>
      <c r="ER161" s="634">
        <f>SUMPRODUCT(Input!$F$180:$F$187*(Input!$Q$180:$Q$187=ER$5))</f>
        <v>0</v>
      </c>
      <c r="ES161" s="634">
        <f>SUMPRODUCT(Input!$F$180:$F$187*(Input!$Q$180:$Q$187=ES$5))</f>
        <v>0</v>
      </c>
      <c r="ET161" s="192"/>
    </row>
    <row r="162" spans="1:150" hidden="1" outlineLevel="1">
      <c r="A162" s="192"/>
      <c r="B162" s="36"/>
      <c r="C162" s="37"/>
      <c r="D162" s="37"/>
      <c r="E162" s="37"/>
      <c r="F162" s="37"/>
      <c r="G162" s="37"/>
      <c r="H162" s="37"/>
      <c r="I162" s="37"/>
      <c r="J162" s="37"/>
      <c r="K162" s="37"/>
      <c r="L162" s="37"/>
      <c r="M162" s="37"/>
      <c r="N162" s="37"/>
      <c r="O162" s="37"/>
      <c r="Q162" s="37"/>
      <c r="R162" s="634"/>
      <c r="S162" s="634"/>
      <c r="T162" s="634"/>
      <c r="U162" s="634"/>
      <c r="V162" s="634"/>
      <c r="W162" s="634"/>
      <c r="X162" s="634"/>
      <c r="Y162" s="634"/>
      <c r="Z162" s="634"/>
      <c r="AA162" s="634"/>
      <c r="AB162" s="634"/>
      <c r="AC162" s="634"/>
      <c r="AD162" s="634"/>
      <c r="AE162" s="634"/>
      <c r="AF162" s="634"/>
      <c r="AG162" s="634"/>
      <c r="AH162" s="634"/>
      <c r="AI162" s="634"/>
      <c r="AJ162" s="634"/>
      <c r="AK162" s="634"/>
      <c r="AL162" s="634"/>
      <c r="AM162" s="634"/>
      <c r="AN162" s="634"/>
      <c r="AO162" s="634"/>
      <c r="AP162" s="634"/>
      <c r="AQ162" s="634"/>
      <c r="AR162" s="634"/>
      <c r="AS162" s="634"/>
      <c r="AT162" s="634"/>
      <c r="AU162" s="634"/>
      <c r="AV162" s="634"/>
      <c r="AW162" s="634"/>
      <c r="AX162" s="634"/>
      <c r="AY162" s="634"/>
      <c r="AZ162" s="634"/>
      <c r="BA162" s="634"/>
      <c r="BB162" s="634"/>
      <c r="BC162" s="634"/>
      <c r="BD162" s="634"/>
      <c r="BE162" s="634"/>
      <c r="BF162" s="634"/>
      <c r="BG162" s="634"/>
      <c r="BH162" s="634"/>
      <c r="BI162" s="634"/>
      <c r="BJ162" s="634"/>
      <c r="BK162" s="634"/>
      <c r="BL162" s="634"/>
      <c r="BM162" s="634"/>
      <c r="BN162" s="634"/>
      <c r="BO162" s="634"/>
      <c r="BP162" s="634"/>
      <c r="BQ162" s="634"/>
      <c r="BR162" s="634"/>
      <c r="BS162" s="634"/>
      <c r="BT162" s="634"/>
      <c r="BU162" s="634"/>
      <c r="BV162" s="634"/>
      <c r="BW162" s="634"/>
      <c r="BX162" s="634"/>
      <c r="BY162" s="634"/>
      <c r="BZ162" s="634"/>
      <c r="CA162" s="634"/>
      <c r="CB162" s="634"/>
      <c r="CC162" s="634"/>
      <c r="CD162" s="634"/>
      <c r="CE162" s="634"/>
      <c r="CF162" s="634"/>
      <c r="CG162" s="634"/>
      <c r="CH162" s="634"/>
      <c r="CI162" s="634"/>
      <c r="CJ162" s="634"/>
      <c r="CK162" s="634"/>
      <c r="CL162" s="634"/>
      <c r="CM162" s="634"/>
      <c r="CN162" s="634"/>
      <c r="CO162" s="634"/>
      <c r="CP162" s="634"/>
      <c r="CQ162" s="634"/>
      <c r="CR162" s="634"/>
      <c r="CS162" s="634"/>
      <c r="CT162" s="634"/>
      <c r="CU162" s="634"/>
      <c r="CV162" s="634"/>
      <c r="CW162" s="634"/>
      <c r="CX162" s="634"/>
      <c r="CY162" s="634"/>
      <c r="CZ162" s="634"/>
      <c r="DA162" s="634"/>
      <c r="DB162" s="634"/>
      <c r="DC162" s="634"/>
      <c r="DD162" s="634"/>
      <c r="DE162" s="634"/>
      <c r="DF162" s="634"/>
      <c r="DG162" s="634"/>
      <c r="DH162" s="634"/>
      <c r="DI162" s="634"/>
      <c r="DJ162" s="634"/>
      <c r="DK162" s="634"/>
      <c r="DL162" s="634"/>
      <c r="DM162" s="634"/>
      <c r="DN162" s="634"/>
      <c r="DO162" s="634"/>
      <c r="DP162" s="634"/>
      <c r="DQ162" s="634"/>
      <c r="DR162" s="634"/>
      <c r="DS162" s="634"/>
      <c r="DT162" s="634"/>
      <c r="DU162" s="634"/>
      <c r="DV162" s="634"/>
      <c r="DW162" s="634"/>
      <c r="DX162" s="634"/>
      <c r="DY162" s="634"/>
      <c r="DZ162" s="634"/>
      <c r="EA162" s="634"/>
      <c r="EB162" s="634"/>
      <c r="EC162" s="634"/>
      <c r="ED162" s="634"/>
      <c r="EE162" s="634"/>
      <c r="EF162" s="634"/>
      <c r="EG162" s="634"/>
      <c r="EH162" s="634"/>
      <c r="EI162" s="634"/>
      <c r="EJ162" s="634"/>
      <c r="EK162" s="634"/>
      <c r="EL162" s="634"/>
      <c r="EM162" s="634"/>
      <c r="EN162" s="634"/>
      <c r="EO162" s="634"/>
      <c r="EP162" s="634"/>
      <c r="EQ162" s="634"/>
      <c r="ER162" s="634"/>
      <c r="ES162" s="634"/>
      <c r="ET162" s="192"/>
    </row>
    <row r="163" spans="1:150" collapsed="1"/>
  </sheetData>
  <sheetProtection algorithmName="SHA-512" hashValue="7OlN7zQVDTlTF08CS2OpylMNHUyUd9XaFMy4RHawl/WJ12M33EW4dBqIYSaMqgUryyUEbJci7x5cREpWgGg5KQ==" saltValue="Q+xm3pSKkplTxxFEl8vgEQ==" spinCount="100000" sheet="1" scenarios="1" formatCells="0" formatColumns="0" formatRows="0" insertRows="0" deleteRows="0" sort="0" autoFilter="0" pivotTables="0"/>
  <conditionalFormatting sqref="C71:ES71">
    <cfRule type="expression" dxfId="1" priority="2">
      <formula>IsRenov</formula>
    </cfRule>
  </conditionalFormatting>
  <conditionalFormatting sqref="B71">
    <cfRule type="expression" dxfId="0" priority="1">
      <formula>IsRenov</formula>
    </cfRule>
  </conditionalFormatting>
  <pageMargins left="0.35" right="0.35" top="0.65" bottom="0.37" header="0.25" footer="0.2"/>
  <pageSetup scale="65" orientation="portrait" r:id="rId1"/>
  <headerFooter scaleWithDoc="0">
    <oddHeader>&amp;C&amp;"+,Regular"&amp;9&amp;KFF0000STRICTLY CONFIDENTIAL&amp;R&amp;G</oddHeader>
    <oddFooter>&amp;L&amp;8&amp;F&amp;C&amp;8Page &amp;P of &amp;N&amp;R&amp;8&amp;D  &amp;T</oddFooter>
  </headerFooter>
  <rowBreaks count="4" manualBreakCount="4">
    <brk id="41" max="16383" man="1"/>
    <brk id="65" max="16383" man="1"/>
    <brk id="109" max="16383" man="1"/>
    <brk id="115" max="16383" man="1"/>
  </rowBreaks>
  <legacyDrawingHF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7F1FBA-43D9-42CE-BD2B-52C7E285BC68}">
  <sheetPr codeName="CalcLeveredCF"/>
  <dimension ref="B1:EJ446"/>
  <sheetViews>
    <sheetView showGridLines="0" zoomScale="90" zoomScaleNormal="90" zoomScaleSheetLayoutView="100" workbookViewId="0">
      <pane xSplit="2" ySplit="6" topLeftCell="C7" activePane="bottomRight" state="frozen"/>
      <selection activeCell="L26" sqref="L26"/>
      <selection pane="topRight" activeCell="L26" sqref="L26"/>
      <selection pane="bottomLeft" activeCell="L26" sqref="L26"/>
      <selection pane="bottomRight" activeCell="E2" sqref="E2"/>
    </sheetView>
  </sheetViews>
  <sheetFormatPr defaultColWidth="9.140625" defaultRowHeight="12.75" outlineLevelRow="1" outlineLevelCol="1"/>
  <cols>
    <col min="1" max="1" width="1.7109375" customWidth="1"/>
    <col min="2" max="2" width="36.5703125" customWidth="1"/>
    <col min="3" max="3" width="8.7109375" customWidth="1"/>
    <col min="4" max="9" width="14.42578125" customWidth="1"/>
    <col min="10" max="14" width="14.42578125" hidden="1" customWidth="1" outlineLevel="1"/>
    <col min="15" max="15" width="14.42578125" customWidth="1" collapsed="1"/>
    <col min="16" max="16" width="2" hidden="1" customWidth="1" outlineLevel="1"/>
    <col min="17" max="17" width="14.42578125" hidden="1" customWidth="1" outlineLevel="1"/>
    <col min="18" max="18" width="13.5703125" bestFit="1" customWidth="1" collapsed="1"/>
    <col min="19" max="139" width="14.42578125" customWidth="1"/>
  </cols>
  <sheetData>
    <row r="1" spans="2:139">
      <c r="B1" s="130" t="s">
        <v>0</v>
      </c>
    </row>
    <row r="2" spans="2:139" s="192" customFormat="1" ht="18.75">
      <c r="B2" s="1041" t="str">
        <f>Input!$E$10</f>
        <v>Chaney Place Townhomes</v>
      </c>
      <c r="C2" s="189"/>
      <c r="D2" s="190"/>
      <c r="E2" s="1004" t="s">
        <v>581</v>
      </c>
      <c r="F2" s="208"/>
      <c r="G2" s="190"/>
      <c r="H2" s="190"/>
      <c r="I2" s="190"/>
      <c r="J2" s="190"/>
      <c r="K2" s="190"/>
      <c r="L2" s="190"/>
      <c r="M2" s="190"/>
      <c r="N2" s="190"/>
      <c r="O2" s="1042" t="str">
        <f>Input!$M$4</f>
        <v>Huntsville, AL</v>
      </c>
      <c r="P2" s="191"/>
      <c r="Q2" s="191"/>
      <c r="R2"/>
    </row>
    <row r="4" spans="2:139" ht="14.25" customHeight="1">
      <c r="D4" s="194"/>
      <c r="E4" s="194">
        <f>EOMONTH(ClosingDate,12)</f>
        <v>46477</v>
      </c>
      <c r="F4" s="194">
        <f t="shared" ref="F4:N4" si="0">EOMONTH(E4,12)</f>
        <v>46843</v>
      </c>
      <c r="G4" s="194">
        <f t="shared" si="0"/>
        <v>47208</v>
      </c>
      <c r="H4" s="194">
        <f t="shared" si="0"/>
        <v>47573</v>
      </c>
      <c r="I4" s="194">
        <f t="shared" si="0"/>
        <v>47938</v>
      </c>
      <c r="J4" s="194">
        <f t="shared" si="0"/>
        <v>48304</v>
      </c>
      <c r="K4" s="194">
        <f t="shared" si="0"/>
        <v>48669</v>
      </c>
      <c r="L4" s="194">
        <f t="shared" si="0"/>
        <v>49034</v>
      </c>
      <c r="M4" s="194">
        <f t="shared" si="0"/>
        <v>49399</v>
      </c>
      <c r="N4" s="194">
        <f t="shared" si="0"/>
        <v>49765</v>
      </c>
      <c r="O4" s="194"/>
      <c r="Q4" s="1046" t="s">
        <v>139</v>
      </c>
      <c r="S4" s="838">
        <f>ClosingDate</f>
        <v>46112</v>
      </c>
      <c r="T4" s="194">
        <f t="shared" ref="T4:AY4" si="1">EOMONTH(S4,1)</f>
        <v>46142</v>
      </c>
      <c r="U4" s="194">
        <f t="shared" si="1"/>
        <v>46173</v>
      </c>
      <c r="V4" s="194">
        <f t="shared" si="1"/>
        <v>46203</v>
      </c>
      <c r="W4" s="194">
        <f t="shared" si="1"/>
        <v>46234</v>
      </c>
      <c r="X4" s="194">
        <f t="shared" si="1"/>
        <v>46265</v>
      </c>
      <c r="Y4" s="194">
        <f t="shared" si="1"/>
        <v>46295</v>
      </c>
      <c r="Z4" s="194">
        <f t="shared" si="1"/>
        <v>46326</v>
      </c>
      <c r="AA4" s="194">
        <f t="shared" si="1"/>
        <v>46356</v>
      </c>
      <c r="AB4" s="194">
        <f t="shared" si="1"/>
        <v>46387</v>
      </c>
      <c r="AC4" s="194">
        <f t="shared" si="1"/>
        <v>46418</v>
      </c>
      <c r="AD4" s="194">
        <f t="shared" si="1"/>
        <v>46446</v>
      </c>
      <c r="AE4" s="194">
        <f t="shared" si="1"/>
        <v>46477</v>
      </c>
      <c r="AF4" s="194">
        <f t="shared" si="1"/>
        <v>46507</v>
      </c>
      <c r="AG4" s="194">
        <f t="shared" si="1"/>
        <v>46538</v>
      </c>
      <c r="AH4" s="194">
        <f t="shared" si="1"/>
        <v>46568</v>
      </c>
      <c r="AI4" s="194">
        <f t="shared" si="1"/>
        <v>46599</v>
      </c>
      <c r="AJ4" s="194">
        <f t="shared" si="1"/>
        <v>46630</v>
      </c>
      <c r="AK4" s="194">
        <f t="shared" si="1"/>
        <v>46660</v>
      </c>
      <c r="AL4" s="194">
        <f t="shared" si="1"/>
        <v>46691</v>
      </c>
      <c r="AM4" s="194">
        <f t="shared" si="1"/>
        <v>46721</v>
      </c>
      <c r="AN4" s="194">
        <f t="shared" si="1"/>
        <v>46752</v>
      </c>
      <c r="AO4" s="194">
        <f t="shared" si="1"/>
        <v>46783</v>
      </c>
      <c r="AP4" s="194">
        <f t="shared" si="1"/>
        <v>46812</v>
      </c>
      <c r="AQ4" s="194">
        <f t="shared" si="1"/>
        <v>46843</v>
      </c>
      <c r="AR4" s="194">
        <f t="shared" si="1"/>
        <v>46873</v>
      </c>
      <c r="AS4" s="194">
        <f t="shared" si="1"/>
        <v>46904</v>
      </c>
      <c r="AT4" s="194">
        <f t="shared" si="1"/>
        <v>46934</v>
      </c>
      <c r="AU4" s="194">
        <f t="shared" si="1"/>
        <v>46965</v>
      </c>
      <c r="AV4" s="194">
        <f t="shared" si="1"/>
        <v>46996</v>
      </c>
      <c r="AW4" s="194">
        <f t="shared" si="1"/>
        <v>47026</v>
      </c>
      <c r="AX4" s="194">
        <f t="shared" si="1"/>
        <v>47057</v>
      </c>
      <c r="AY4" s="194">
        <f t="shared" si="1"/>
        <v>47087</v>
      </c>
      <c r="AZ4" s="194">
        <f t="shared" ref="AZ4:CE4" si="2">EOMONTH(AY4,1)</f>
        <v>47118</v>
      </c>
      <c r="BA4" s="194">
        <f t="shared" si="2"/>
        <v>47149</v>
      </c>
      <c r="BB4" s="194">
        <f t="shared" si="2"/>
        <v>47177</v>
      </c>
      <c r="BC4" s="194">
        <f t="shared" si="2"/>
        <v>47208</v>
      </c>
      <c r="BD4" s="194">
        <f t="shared" si="2"/>
        <v>47238</v>
      </c>
      <c r="BE4" s="194">
        <f t="shared" si="2"/>
        <v>47269</v>
      </c>
      <c r="BF4" s="194">
        <f t="shared" si="2"/>
        <v>47299</v>
      </c>
      <c r="BG4" s="194">
        <f t="shared" si="2"/>
        <v>47330</v>
      </c>
      <c r="BH4" s="194">
        <f t="shared" si="2"/>
        <v>47361</v>
      </c>
      <c r="BI4" s="194">
        <f t="shared" si="2"/>
        <v>47391</v>
      </c>
      <c r="BJ4" s="194">
        <f t="shared" si="2"/>
        <v>47422</v>
      </c>
      <c r="BK4" s="194">
        <f t="shared" si="2"/>
        <v>47452</v>
      </c>
      <c r="BL4" s="194">
        <f t="shared" si="2"/>
        <v>47483</v>
      </c>
      <c r="BM4" s="194">
        <f t="shared" si="2"/>
        <v>47514</v>
      </c>
      <c r="BN4" s="194">
        <f t="shared" si="2"/>
        <v>47542</v>
      </c>
      <c r="BO4" s="194">
        <f t="shared" si="2"/>
        <v>47573</v>
      </c>
      <c r="BP4" s="194">
        <f t="shared" si="2"/>
        <v>47603</v>
      </c>
      <c r="BQ4" s="194">
        <f t="shared" si="2"/>
        <v>47634</v>
      </c>
      <c r="BR4" s="194">
        <f t="shared" si="2"/>
        <v>47664</v>
      </c>
      <c r="BS4" s="194">
        <f t="shared" si="2"/>
        <v>47695</v>
      </c>
      <c r="BT4" s="194">
        <f t="shared" si="2"/>
        <v>47726</v>
      </c>
      <c r="BU4" s="194">
        <f t="shared" si="2"/>
        <v>47756</v>
      </c>
      <c r="BV4" s="194">
        <f t="shared" si="2"/>
        <v>47787</v>
      </c>
      <c r="BW4" s="194">
        <f t="shared" si="2"/>
        <v>47817</v>
      </c>
      <c r="BX4" s="194">
        <f t="shared" si="2"/>
        <v>47848</v>
      </c>
      <c r="BY4" s="194">
        <f t="shared" si="2"/>
        <v>47879</v>
      </c>
      <c r="BZ4" s="194">
        <f t="shared" si="2"/>
        <v>47907</v>
      </c>
      <c r="CA4" s="194">
        <f t="shared" si="2"/>
        <v>47938</v>
      </c>
      <c r="CB4" s="194">
        <f t="shared" si="2"/>
        <v>47968</v>
      </c>
      <c r="CC4" s="194">
        <f t="shared" si="2"/>
        <v>47999</v>
      </c>
      <c r="CD4" s="194">
        <f t="shared" si="2"/>
        <v>48029</v>
      </c>
      <c r="CE4" s="194">
        <f t="shared" si="2"/>
        <v>48060</v>
      </c>
      <c r="CF4" s="194">
        <f t="shared" ref="CF4:DK4" si="3">EOMONTH(CE4,1)</f>
        <v>48091</v>
      </c>
      <c r="CG4" s="194">
        <f t="shared" si="3"/>
        <v>48121</v>
      </c>
      <c r="CH4" s="194">
        <f t="shared" si="3"/>
        <v>48152</v>
      </c>
      <c r="CI4" s="194">
        <f t="shared" si="3"/>
        <v>48182</v>
      </c>
      <c r="CJ4" s="194">
        <f t="shared" si="3"/>
        <v>48213</v>
      </c>
      <c r="CK4" s="194">
        <f t="shared" si="3"/>
        <v>48244</v>
      </c>
      <c r="CL4" s="194">
        <f t="shared" si="3"/>
        <v>48273</v>
      </c>
      <c r="CM4" s="194">
        <f t="shared" si="3"/>
        <v>48304</v>
      </c>
      <c r="CN4" s="194">
        <f t="shared" si="3"/>
        <v>48334</v>
      </c>
      <c r="CO4" s="194">
        <f t="shared" si="3"/>
        <v>48365</v>
      </c>
      <c r="CP4" s="194">
        <f t="shared" si="3"/>
        <v>48395</v>
      </c>
      <c r="CQ4" s="194">
        <f t="shared" si="3"/>
        <v>48426</v>
      </c>
      <c r="CR4" s="194">
        <f t="shared" si="3"/>
        <v>48457</v>
      </c>
      <c r="CS4" s="194">
        <f t="shared" si="3"/>
        <v>48487</v>
      </c>
      <c r="CT4" s="194">
        <f t="shared" si="3"/>
        <v>48518</v>
      </c>
      <c r="CU4" s="194">
        <f t="shared" si="3"/>
        <v>48548</v>
      </c>
      <c r="CV4" s="194">
        <f t="shared" si="3"/>
        <v>48579</v>
      </c>
      <c r="CW4" s="194">
        <f t="shared" si="3"/>
        <v>48610</v>
      </c>
      <c r="CX4" s="194">
        <f t="shared" si="3"/>
        <v>48638</v>
      </c>
      <c r="CY4" s="194">
        <f t="shared" si="3"/>
        <v>48669</v>
      </c>
      <c r="CZ4" s="194">
        <f t="shared" si="3"/>
        <v>48699</v>
      </c>
      <c r="DA4" s="194">
        <f t="shared" si="3"/>
        <v>48730</v>
      </c>
      <c r="DB4" s="194">
        <f t="shared" si="3"/>
        <v>48760</v>
      </c>
      <c r="DC4" s="194">
        <f t="shared" si="3"/>
        <v>48791</v>
      </c>
      <c r="DD4" s="194">
        <f t="shared" si="3"/>
        <v>48822</v>
      </c>
      <c r="DE4" s="194">
        <f t="shared" si="3"/>
        <v>48852</v>
      </c>
      <c r="DF4" s="194">
        <f t="shared" si="3"/>
        <v>48883</v>
      </c>
      <c r="DG4" s="194">
        <f t="shared" si="3"/>
        <v>48913</v>
      </c>
      <c r="DH4" s="194">
        <f t="shared" si="3"/>
        <v>48944</v>
      </c>
      <c r="DI4" s="194">
        <f t="shared" si="3"/>
        <v>48975</v>
      </c>
      <c r="DJ4" s="194">
        <f t="shared" si="3"/>
        <v>49003</v>
      </c>
      <c r="DK4" s="194">
        <f t="shared" si="3"/>
        <v>49034</v>
      </c>
      <c r="DL4" s="194">
        <f t="shared" ref="DL4:EI4" si="4">EOMONTH(DK4,1)</f>
        <v>49064</v>
      </c>
      <c r="DM4" s="194">
        <f t="shared" si="4"/>
        <v>49095</v>
      </c>
      <c r="DN4" s="194">
        <f t="shared" si="4"/>
        <v>49125</v>
      </c>
      <c r="DO4" s="194">
        <f t="shared" si="4"/>
        <v>49156</v>
      </c>
      <c r="DP4" s="194">
        <f t="shared" si="4"/>
        <v>49187</v>
      </c>
      <c r="DQ4" s="194">
        <f t="shared" si="4"/>
        <v>49217</v>
      </c>
      <c r="DR4" s="194">
        <f t="shared" si="4"/>
        <v>49248</v>
      </c>
      <c r="DS4" s="194">
        <f t="shared" si="4"/>
        <v>49278</v>
      </c>
      <c r="DT4" s="194">
        <f t="shared" si="4"/>
        <v>49309</v>
      </c>
      <c r="DU4" s="194">
        <f t="shared" si="4"/>
        <v>49340</v>
      </c>
      <c r="DV4" s="194">
        <f t="shared" si="4"/>
        <v>49368</v>
      </c>
      <c r="DW4" s="194">
        <f t="shared" si="4"/>
        <v>49399</v>
      </c>
      <c r="DX4" s="194">
        <f t="shared" si="4"/>
        <v>49429</v>
      </c>
      <c r="DY4" s="194">
        <f t="shared" si="4"/>
        <v>49460</v>
      </c>
      <c r="DZ4" s="194">
        <f t="shared" si="4"/>
        <v>49490</v>
      </c>
      <c r="EA4" s="194">
        <f t="shared" si="4"/>
        <v>49521</v>
      </c>
      <c r="EB4" s="194">
        <f t="shared" si="4"/>
        <v>49552</v>
      </c>
      <c r="EC4" s="194">
        <f t="shared" si="4"/>
        <v>49582</v>
      </c>
      <c r="ED4" s="194">
        <f t="shared" si="4"/>
        <v>49613</v>
      </c>
      <c r="EE4" s="194">
        <f t="shared" si="4"/>
        <v>49643</v>
      </c>
      <c r="EF4" s="194">
        <f t="shared" si="4"/>
        <v>49674</v>
      </c>
      <c r="EG4" s="194">
        <f t="shared" si="4"/>
        <v>49705</v>
      </c>
      <c r="EH4" s="194">
        <f t="shared" si="4"/>
        <v>49734</v>
      </c>
      <c r="EI4" s="194">
        <f t="shared" si="4"/>
        <v>49765</v>
      </c>
    </row>
    <row r="5" spans="2:139">
      <c r="C5" s="1048" t="s">
        <v>165</v>
      </c>
      <c r="D5" s="1049">
        <v>0</v>
      </c>
      <c r="E5" s="1049">
        <f t="shared" ref="E5:N5" si="5">D5+1</f>
        <v>1</v>
      </c>
      <c r="F5" s="1049">
        <f t="shared" si="5"/>
        <v>2</v>
      </c>
      <c r="G5" s="1049">
        <f t="shared" si="5"/>
        <v>3</v>
      </c>
      <c r="H5" s="1049">
        <f t="shared" si="5"/>
        <v>4</v>
      </c>
      <c r="I5" s="1049">
        <f t="shared" si="5"/>
        <v>5</v>
      </c>
      <c r="J5" s="1049">
        <f t="shared" si="5"/>
        <v>6</v>
      </c>
      <c r="K5" s="1049">
        <f t="shared" si="5"/>
        <v>7</v>
      </c>
      <c r="L5" s="1049">
        <f t="shared" si="5"/>
        <v>8</v>
      </c>
      <c r="M5" s="1049">
        <f t="shared" si="5"/>
        <v>9</v>
      </c>
      <c r="N5" s="1049">
        <f t="shared" si="5"/>
        <v>10</v>
      </c>
      <c r="O5" s="1048" t="s">
        <v>166</v>
      </c>
      <c r="Q5" s="1047">
        <f>ReversionYear</f>
        <v>8</v>
      </c>
      <c r="S5" s="1050">
        <v>0</v>
      </c>
      <c r="T5" s="1050">
        <f t="shared" ref="T5:AY5" si="6">S5+1</f>
        <v>1</v>
      </c>
      <c r="U5" s="1050">
        <f t="shared" si="6"/>
        <v>2</v>
      </c>
      <c r="V5" s="1050">
        <f t="shared" si="6"/>
        <v>3</v>
      </c>
      <c r="W5" s="1050">
        <f t="shared" si="6"/>
        <v>4</v>
      </c>
      <c r="X5" s="1050">
        <f t="shared" si="6"/>
        <v>5</v>
      </c>
      <c r="Y5" s="1050">
        <f t="shared" si="6"/>
        <v>6</v>
      </c>
      <c r="Z5" s="1050">
        <f t="shared" si="6"/>
        <v>7</v>
      </c>
      <c r="AA5" s="1050">
        <f t="shared" si="6"/>
        <v>8</v>
      </c>
      <c r="AB5" s="1050">
        <f t="shared" si="6"/>
        <v>9</v>
      </c>
      <c r="AC5" s="1050">
        <f t="shared" si="6"/>
        <v>10</v>
      </c>
      <c r="AD5" s="1050">
        <f t="shared" si="6"/>
        <v>11</v>
      </c>
      <c r="AE5" s="1050">
        <f t="shared" si="6"/>
        <v>12</v>
      </c>
      <c r="AF5" s="1050">
        <f t="shared" si="6"/>
        <v>13</v>
      </c>
      <c r="AG5" s="1050">
        <f t="shared" si="6"/>
        <v>14</v>
      </c>
      <c r="AH5" s="1050">
        <f t="shared" si="6"/>
        <v>15</v>
      </c>
      <c r="AI5" s="1050">
        <f t="shared" si="6"/>
        <v>16</v>
      </c>
      <c r="AJ5" s="1050">
        <f t="shared" si="6"/>
        <v>17</v>
      </c>
      <c r="AK5" s="1050">
        <f t="shared" si="6"/>
        <v>18</v>
      </c>
      <c r="AL5" s="1050">
        <f t="shared" si="6"/>
        <v>19</v>
      </c>
      <c r="AM5" s="1050">
        <f t="shared" si="6"/>
        <v>20</v>
      </c>
      <c r="AN5" s="1050">
        <f t="shared" si="6"/>
        <v>21</v>
      </c>
      <c r="AO5" s="1050">
        <f t="shared" si="6"/>
        <v>22</v>
      </c>
      <c r="AP5" s="1050">
        <f t="shared" si="6"/>
        <v>23</v>
      </c>
      <c r="AQ5" s="1050">
        <f t="shared" si="6"/>
        <v>24</v>
      </c>
      <c r="AR5" s="1050">
        <f t="shared" si="6"/>
        <v>25</v>
      </c>
      <c r="AS5" s="1050">
        <f t="shared" si="6"/>
        <v>26</v>
      </c>
      <c r="AT5" s="1050">
        <f t="shared" si="6"/>
        <v>27</v>
      </c>
      <c r="AU5" s="1050">
        <f t="shared" si="6"/>
        <v>28</v>
      </c>
      <c r="AV5" s="1050">
        <f t="shared" si="6"/>
        <v>29</v>
      </c>
      <c r="AW5" s="1050">
        <f t="shared" si="6"/>
        <v>30</v>
      </c>
      <c r="AX5" s="1050">
        <f t="shared" si="6"/>
        <v>31</v>
      </c>
      <c r="AY5" s="1050">
        <f t="shared" si="6"/>
        <v>32</v>
      </c>
      <c r="AZ5" s="1050">
        <f t="shared" ref="AZ5:CE5" si="7">AY5+1</f>
        <v>33</v>
      </c>
      <c r="BA5" s="1050">
        <f t="shared" si="7"/>
        <v>34</v>
      </c>
      <c r="BB5" s="1050">
        <f t="shared" si="7"/>
        <v>35</v>
      </c>
      <c r="BC5" s="1050">
        <f t="shared" si="7"/>
        <v>36</v>
      </c>
      <c r="BD5" s="1050">
        <f t="shared" si="7"/>
        <v>37</v>
      </c>
      <c r="BE5" s="1050">
        <f t="shared" si="7"/>
        <v>38</v>
      </c>
      <c r="BF5" s="1050">
        <f t="shared" si="7"/>
        <v>39</v>
      </c>
      <c r="BG5" s="1050">
        <f t="shared" si="7"/>
        <v>40</v>
      </c>
      <c r="BH5" s="1050">
        <f t="shared" si="7"/>
        <v>41</v>
      </c>
      <c r="BI5" s="1050">
        <f t="shared" si="7"/>
        <v>42</v>
      </c>
      <c r="BJ5" s="1050">
        <f t="shared" si="7"/>
        <v>43</v>
      </c>
      <c r="BK5" s="1050">
        <f t="shared" si="7"/>
        <v>44</v>
      </c>
      <c r="BL5" s="1050">
        <f t="shared" si="7"/>
        <v>45</v>
      </c>
      <c r="BM5" s="1050">
        <f t="shared" si="7"/>
        <v>46</v>
      </c>
      <c r="BN5" s="1050">
        <f t="shared" si="7"/>
        <v>47</v>
      </c>
      <c r="BO5" s="1050">
        <f t="shared" si="7"/>
        <v>48</v>
      </c>
      <c r="BP5" s="1050">
        <f t="shared" si="7"/>
        <v>49</v>
      </c>
      <c r="BQ5" s="1050">
        <f t="shared" si="7"/>
        <v>50</v>
      </c>
      <c r="BR5" s="1050">
        <f t="shared" si="7"/>
        <v>51</v>
      </c>
      <c r="BS5" s="1050">
        <f t="shared" si="7"/>
        <v>52</v>
      </c>
      <c r="BT5" s="1050">
        <f t="shared" si="7"/>
        <v>53</v>
      </c>
      <c r="BU5" s="1050">
        <f t="shared" si="7"/>
        <v>54</v>
      </c>
      <c r="BV5" s="1050">
        <f t="shared" si="7"/>
        <v>55</v>
      </c>
      <c r="BW5" s="1050">
        <f t="shared" si="7"/>
        <v>56</v>
      </c>
      <c r="BX5" s="1050">
        <f t="shared" si="7"/>
        <v>57</v>
      </c>
      <c r="BY5" s="1050">
        <f t="shared" si="7"/>
        <v>58</v>
      </c>
      <c r="BZ5" s="1050">
        <f t="shared" si="7"/>
        <v>59</v>
      </c>
      <c r="CA5" s="1050">
        <f t="shared" si="7"/>
        <v>60</v>
      </c>
      <c r="CB5" s="1050">
        <f t="shared" si="7"/>
        <v>61</v>
      </c>
      <c r="CC5" s="1050">
        <f t="shared" si="7"/>
        <v>62</v>
      </c>
      <c r="CD5" s="1050">
        <f t="shared" si="7"/>
        <v>63</v>
      </c>
      <c r="CE5" s="1050">
        <f t="shared" si="7"/>
        <v>64</v>
      </c>
      <c r="CF5" s="1050">
        <f t="shared" ref="CF5:DK5" si="8">CE5+1</f>
        <v>65</v>
      </c>
      <c r="CG5" s="1050">
        <f t="shared" si="8"/>
        <v>66</v>
      </c>
      <c r="CH5" s="1050">
        <f t="shared" si="8"/>
        <v>67</v>
      </c>
      <c r="CI5" s="1050">
        <f t="shared" si="8"/>
        <v>68</v>
      </c>
      <c r="CJ5" s="1050">
        <f t="shared" si="8"/>
        <v>69</v>
      </c>
      <c r="CK5" s="1050">
        <f t="shared" si="8"/>
        <v>70</v>
      </c>
      <c r="CL5" s="1050">
        <f t="shared" si="8"/>
        <v>71</v>
      </c>
      <c r="CM5" s="1050">
        <f t="shared" si="8"/>
        <v>72</v>
      </c>
      <c r="CN5" s="1050">
        <f t="shared" si="8"/>
        <v>73</v>
      </c>
      <c r="CO5" s="1050">
        <f t="shared" si="8"/>
        <v>74</v>
      </c>
      <c r="CP5" s="1050">
        <f t="shared" si="8"/>
        <v>75</v>
      </c>
      <c r="CQ5" s="1050">
        <f t="shared" si="8"/>
        <v>76</v>
      </c>
      <c r="CR5" s="1050">
        <f t="shared" si="8"/>
        <v>77</v>
      </c>
      <c r="CS5" s="1050">
        <f t="shared" si="8"/>
        <v>78</v>
      </c>
      <c r="CT5" s="1050">
        <f t="shared" si="8"/>
        <v>79</v>
      </c>
      <c r="CU5" s="1050">
        <f t="shared" si="8"/>
        <v>80</v>
      </c>
      <c r="CV5" s="1050">
        <f t="shared" si="8"/>
        <v>81</v>
      </c>
      <c r="CW5" s="1050">
        <f t="shared" si="8"/>
        <v>82</v>
      </c>
      <c r="CX5" s="1050">
        <f t="shared" si="8"/>
        <v>83</v>
      </c>
      <c r="CY5" s="1050">
        <f t="shared" si="8"/>
        <v>84</v>
      </c>
      <c r="CZ5" s="1050">
        <f t="shared" si="8"/>
        <v>85</v>
      </c>
      <c r="DA5" s="1050">
        <f t="shared" si="8"/>
        <v>86</v>
      </c>
      <c r="DB5" s="1050">
        <f t="shared" si="8"/>
        <v>87</v>
      </c>
      <c r="DC5" s="1050">
        <f t="shared" si="8"/>
        <v>88</v>
      </c>
      <c r="DD5" s="1050">
        <f t="shared" si="8"/>
        <v>89</v>
      </c>
      <c r="DE5" s="1050">
        <f t="shared" si="8"/>
        <v>90</v>
      </c>
      <c r="DF5" s="1050">
        <f t="shared" si="8"/>
        <v>91</v>
      </c>
      <c r="DG5" s="1050">
        <f t="shared" si="8"/>
        <v>92</v>
      </c>
      <c r="DH5" s="1050">
        <f t="shared" si="8"/>
        <v>93</v>
      </c>
      <c r="DI5" s="1050">
        <f t="shared" si="8"/>
        <v>94</v>
      </c>
      <c r="DJ5" s="1050">
        <f t="shared" si="8"/>
        <v>95</v>
      </c>
      <c r="DK5" s="1050">
        <f t="shared" si="8"/>
        <v>96</v>
      </c>
      <c r="DL5" s="1050">
        <f t="shared" ref="DL5:EI5" si="9">DK5+1</f>
        <v>97</v>
      </c>
      <c r="DM5" s="1050">
        <f t="shared" si="9"/>
        <v>98</v>
      </c>
      <c r="DN5" s="1050">
        <f t="shared" si="9"/>
        <v>99</v>
      </c>
      <c r="DO5" s="1050">
        <f t="shared" si="9"/>
        <v>100</v>
      </c>
      <c r="DP5" s="1050">
        <f t="shared" si="9"/>
        <v>101</v>
      </c>
      <c r="DQ5" s="1050">
        <f t="shared" si="9"/>
        <v>102</v>
      </c>
      <c r="DR5" s="1050">
        <f t="shared" si="9"/>
        <v>103</v>
      </c>
      <c r="DS5" s="1050">
        <f t="shared" si="9"/>
        <v>104</v>
      </c>
      <c r="DT5" s="1050">
        <f t="shared" si="9"/>
        <v>105</v>
      </c>
      <c r="DU5" s="1050">
        <f t="shared" si="9"/>
        <v>106</v>
      </c>
      <c r="DV5" s="1050">
        <f t="shared" si="9"/>
        <v>107</v>
      </c>
      <c r="DW5" s="1050">
        <f t="shared" si="9"/>
        <v>108</v>
      </c>
      <c r="DX5" s="1050">
        <f t="shared" si="9"/>
        <v>109</v>
      </c>
      <c r="DY5" s="1050">
        <f t="shared" si="9"/>
        <v>110</v>
      </c>
      <c r="DZ5" s="1050">
        <f t="shared" si="9"/>
        <v>111</v>
      </c>
      <c r="EA5" s="1050">
        <f t="shared" si="9"/>
        <v>112</v>
      </c>
      <c r="EB5" s="1050">
        <f t="shared" si="9"/>
        <v>113</v>
      </c>
      <c r="EC5" s="1050">
        <f t="shared" si="9"/>
        <v>114</v>
      </c>
      <c r="ED5" s="1050">
        <f t="shared" si="9"/>
        <v>115</v>
      </c>
      <c r="EE5" s="1050">
        <f t="shared" si="9"/>
        <v>116</v>
      </c>
      <c r="EF5" s="1050">
        <f t="shared" si="9"/>
        <v>117</v>
      </c>
      <c r="EG5" s="1050">
        <f t="shared" si="9"/>
        <v>118</v>
      </c>
      <c r="EH5" s="1050">
        <f t="shared" si="9"/>
        <v>119</v>
      </c>
      <c r="EI5" s="1050">
        <f t="shared" si="9"/>
        <v>120</v>
      </c>
    </row>
    <row r="6" spans="2:139" ht="12.75" hidden="1" customHeight="1" outlineLevel="1">
      <c r="S6" s="839">
        <f t="shared" ref="S6:AX6" si="10">ROUNDUP(S5/12,0)</f>
        <v>0</v>
      </c>
      <c r="T6" s="839">
        <f t="shared" si="10"/>
        <v>1</v>
      </c>
      <c r="U6" s="839">
        <f t="shared" si="10"/>
        <v>1</v>
      </c>
      <c r="V6" s="839">
        <f t="shared" si="10"/>
        <v>1</v>
      </c>
      <c r="W6" s="839">
        <f t="shared" si="10"/>
        <v>1</v>
      </c>
      <c r="X6" s="839">
        <f t="shared" si="10"/>
        <v>1</v>
      </c>
      <c r="Y6" s="839">
        <f t="shared" si="10"/>
        <v>1</v>
      </c>
      <c r="Z6" s="839">
        <f t="shared" si="10"/>
        <v>1</v>
      </c>
      <c r="AA6" s="839">
        <f t="shared" si="10"/>
        <v>1</v>
      </c>
      <c r="AB6" s="839">
        <f t="shared" si="10"/>
        <v>1</v>
      </c>
      <c r="AC6" s="839">
        <f t="shared" si="10"/>
        <v>1</v>
      </c>
      <c r="AD6" s="839">
        <f t="shared" si="10"/>
        <v>1</v>
      </c>
      <c r="AE6" s="839">
        <f t="shared" si="10"/>
        <v>1</v>
      </c>
      <c r="AF6" s="839">
        <f t="shared" si="10"/>
        <v>2</v>
      </c>
      <c r="AG6" s="839">
        <f t="shared" si="10"/>
        <v>2</v>
      </c>
      <c r="AH6" s="839">
        <f t="shared" si="10"/>
        <v>2</v>
      </c>
      <c r="AI6" s="839">
        <f t="shared" si="10"/>
        <v>2</v>
      </c>
      <c r="AJ6" s="839">
        <f t="shared" si="10"/>
        <v>2</v>
      </c>
      <c r="AK6" s="839">
        <f t="shared" si="10"/>
        <v>2</v>
      </c>
      <c r="AL6" s="839">
        <f t="shared" si="10"/>
        <v>2</v>
      </c>
      <c r="AM6" s="839">
        <f t="shared" si="10"/>
        <v>2</v>
      </c>
      <c r="AN6" s="839">
        <f t="shared" si="10"/>
        <v>2</v>
      </c>
      <c r="AO6" s="839">
        <f t="shared" si="10"/>
        <v>2</v>
      </c>
      <c r="AP6" s="839">
        <f t="shared" si="10"/>
        <v>2</v>
      </c>
      <c r="AQ6" s="839">
        <f t="shared" si="10"/>
        <v>2</v>
      </c>
      <c r="AR6" s="839">
        <f t="shared" si="10"/>
        <v>3</v>
      </c>
      <c r="AS6" s="839">
        <f t="shared" si="10"/>
        <v>3</v>
      </c>
      <c r="AT6" s="839">
        <f t="shared" si="10"/>
        <v>3</v>
      </c>
      <c r="AU6" s="839">
        <f t="shared" si="10"/>
        <v>3</v>
      </c>
      <c r="AV6" s="839">
        <f t="shared" si="10"/>
        <v>3</v>
      </c>
      <c r="AW6" s="839">
        <f t="shared" si="10"/>
        <v>3</v>
      </c>
      <c r="AX6" s="839">
        <f t="shared" si="10"/>
        <v>3</v>
      </c>
      <c r="AY6" s="839">
        <f t="shared" ref="AY6:CD6" si="11">ROUNDUP(AY5/12,0)</f>
        <v>3</v>
      </c>
      <c r="AZ6" s="839">
        <f t="shared" si="11"/>
        <v>3</v>
      </c>
      <c r="BA6" s="839">
        <f t="shared" si="11"/>
        <v>3</v>
      </c>
      <c r="BB6" s="839">
        <f t="shared" si="11"/>
        <v>3</v>
      </c>
      <c r="BC6" s="839">
        <f t="shared" si="11"/>
        <v>3</v>
      </c>
      <c r="BD6" s="839">
        <f t="shared" si="11"/>
        <v>4</v>
      </c>
      <c r="BE6" s="839">
        <f t="shared" si="11"/>
        <v>4</v>
      </c>
      <c r="BF6" s="839">
        <f t="shared" si="11"/>
        <v>4</v>
      </c>
      <c r="BG6" s="839">
        <f t="shared" si="11"/>
        <v>4</v>
      </c>
      <c r="BH6" s="839">
        <f t="shared" si="11"/>
        <v>4</v>
      </c>
      <c r="BI6" s="839">
        <f t="shared" si="11"/>
        <v>4</v>
      </c>
      <c r="BJ6" s="839">
        <f t="shared" si="11"/>
        <v>4</v>
      </c>
      <c r="BK6" s="839">
        <f t="shared" si="11"/>
        <v>4</v>
      </c>
      <c r="BL6" s="839">
        <f t="shared" si="11"/>
        <v>4</v>
      </c>
      <c r="BM6" s="839">
        <f t="shared" si="11"/>
        <v>4</v>
      </c>
      <c r="BN6" s="839">
        <f t="shared" si="11"/>
        <v>4</v>
      </c>
      <c r="BO6" s="839">
        <f t="shared" si="11"/>
        <v>4</v>
      </c>
      <c r="BP6" s="839">
        <f t="shared" si="11"/>
        <v>5</v>
      </c>
      <c r="BQ6" s="839">
        <f t="shared" si="11"/>
        <v>5</v>
      </c>
      <c r="BR6" s="839">
        <f t="shared" si="11"/>
        <v>5</v>
      </c>
      <c r="BS6" s="839">
        <f t="shared" si="11"/>
        <v>5</v>
      </c>
      <c r="BT6" s="839">
        <f t="shared" si="11"/>
        <v>5</v>
      </c>
      <c r="BU6" s="839">
        <f t="shared" si="11"/>
        <v>5</v>
      </c>
      <c r="BV6" s="839">
        <f t="shared" si="11"/>
        <v>5</v>
      </c>
      <c r="BW6" s="839">
        <f t="shared" si="11"/>
        <v>5</v>
      </c>
      <c r="BX6" s="839">
        <f t="shared" si="11"/>
        <v>5</v>
      </c>
      <c r="BY6" s="839">
        <f t="shared" si="11"/>
        <v>5</v>
      </c>
      <c r="BZ6" s="839">
        <f t="shared" si="11"/>
        <v>5</v>
      </c>
      <c r="CA6" s="839">
        <f t="shared" si="11"/>
        <v>5</v>
      </c>
      <c r="CB6" s="839">
        <f t="shared" si="11"/>
        <v>6</v>
      </c>
      <c r="CC6" s="839">
        <f t="shared" si="11"/>
        <v>6</v>
      </c>
      <c r="CD6" s="839">
        <f t="shared" si="11"/>
        <v>6</v>
      </c>
      <c r="CE6" s="839">
        <f t="shared" ref="CE6:DJ6" si="12">ROUNDUP(CE5/12,0)</f>
        <v>6</v>
      </c>
      <c r="CF6" s="839">
        <f t="shared" si="12"/>
        <v>6</v>
      </c>
      <c r="CG6" s="839">
        <f t="shared" si="12"/>
        <v>6</v>
      </c>
      <c r="CH6" s="839">
        <f t="shared" si="12"/>
        <v>6</v>
      </c>
      <c r="CI6" s="839">
        <f t="shared" si="12"/>
        <v>6</v>
      </c>
      <c r="CJ6" s="839">
        <f t="shared" si="12"/>
        <v>6</v>
      </c>
      <c r="CK6" s="839">
        <f t="shared" si="12"/>
        <v>6</v>
      </c>
      <c r="CL6" s="839">
        <f t="shared" si="12"/>
        <v>6</v>
      </c>
      <c r="CM6" s="839">
        <f t="shared" si="12"/>
        <v>6</v>
      </c>
      <c r="CN6" s="839">
        <f t="shared" si="12"/>
        <v>7</v>
      </c>
      <c r="CO6" s="839">
        <f t="shared" si="12"/>
        <v>7</v>
      </c>
      <c r="CP6" s="839">
        <f t="shared" si="12"/>
        <v>7</v>
      </c>
      <c r="CQ6" s="839">
        <f t="shared" si="12"/>
        <v>7</v>
      </c>
      <c r="CR6" s="839">
        <f t="shared" si="12"/>
        <v>7</v>
      </c>
      <c r="CS6" s="839">
        <f t="shared" si="12"/>
        <v>7</v>
      </c>
      <c r="CT6" s="839">
        <f t="shared" si="12"/>
        <v>7</v>
      </c>
      <c r="CU6" s="839">
        <f t="shared" si="12"/>
        <v>7</v>
      </c>
      <c r="CV6" s="839">
        <f t="shared" si="12"/>
        <v>7</v>
      </c>
      <c r="CW6" s="839">
        <f t="shared" si="12"/>
        <v>7</v>
      </c>
      <c r="CX6" s="839">
        <f t="shared" si="12"/>
        <v>7</v>
      </c>
      <c r="CY6" s="839">
        <f t="shared" si="12"/>
        <v>7</v>
      </c>
      <c r="CZ6" s="839">
        <f t="shared" si="12"/>
        <v>8</v>
      </c>
      <c r="DA6" s="839">
        <f t="shared" si="12"/>
        <v>8</v>
      </c>
      <c r="DB6" s="839">
        <f t="shared" si="12"/>
        <v>8</v>
      </c>
      <c r="DC6" s="839">
        <f t="shared" si="12"/>
        <v>8</v>
      </c>
      <c r="DD6" s="839">
        <f t="shared" si="12"/>
        <v>8</v>
      </c>
      <c r="DE6" s="839">
        <f t="shared" si="12"/>
        <v>8</v>
      </c>
      <c r="DF6" s="839">
        <f t="shared" si="12"/>
        <v>8</v>
      </c>
      <c r="DG6" s="839">
        <f t="shared" si="12"/>
        <v>8</v>
      </c>
      <c r="DH6" s="839">
        <f t="shared" si="12"/>
        <v>8</v>
      </c>
      <c r="DI6" s="839">
        <f t="shared" si="12"/>
        <v>8</v>
      </c>
      <c r="DJ6" s="839">
        <f t="shared" si="12"/>
        <v>8</v>
      </c>
      <c r="DK6" s="839">
        <f t="shared" ref="DK6:EP6" si="13">ROUNDUP(DK5/12,0)</f>
        <v>8</v>
      </c>
      <c r="DL6" s="839">
        <f t="shared" si="13"/>
        <v>9</v>
      </c>
      <c r="DM6" s="839">
        <f t="shared" si="13"/>
        <v>9</v>
      </c>
      <c r="DN6" s="839">
        <f t="shared" si="13"/>
        <v>9</v>
      </c>
      <c r="DO6" s="839">
        <f t="shared" si="13"/>
        <v>9</v>
      </c>
      <c r="DP6" s="839">
        <f t="shared" si="13"/>
        <v>9</v>
      </c>
      <c r="DQ6" s="839">
        <f t="shared" si="13"/>
        <v>9</v>
      </c>
      <c r="DR6" s="839">
        <f t="shared" si="13"/>
        <v>9</v>
      </c>
      <c r="DS6" s="839">
        <f t="shared" si="13"/>
        <v>9</v>
      </c>
      <c r="DT6" s="839">
        <f t="shared" si="13"/>
        <v>9</v>
      </c>
      <c r="DU6" s="839">
        <f t="shared" si="13"/>
        <v>9</v>
      </c>
      <c r="DV6" s="839">
        <f t="shared" si="13"/>
        <v>9</v>
      </c>
      <c r="DW6" s="839">
        <f t="shared" si="13"/>
        <v>9</v>
      </c>
      <c r="DX6" s="839">
        <f t="shared" si="13"/>
        <v>10</v>
      </c>
      <c r="DY6" s="839">
        <f t="shared" si="13"/>
        <v>10</v>
      </c>
      <c r="DZ6" s="839">
        <f t="shared" si="13"/>
        <v>10</v>
      </c>
      <c r="EA6" s="839">
        <f t="shared" si="13"/>
        <v>10</v>
      </c>
      <c r="EB6" s="839">
        <f t="shared" si="13"/>
        <v>10</v>
      </c>
      <c r="EC6" s="839">
        <f t="shared" si="13"/>
        <v>10</v>
      </c>
      <c r="ED6" s="839">
        <f t="shared" si="13"/>
        <v>10</v>
      </c>
      <c r="EE6" s="839">
        <f t="shared" si="13"/>
        <v>10</v>
      </c>
      <c r="EF6" s="839">
        <f t="shared" si="13"/>
        <v>10</v>
      </c>
      <c r="EG6" s="839">
        <f t="shared" si="13"/>
        <v>10</v>
      </c>
      <c r="EH6" s="839">
        <f t="shared" si="13"/>
        <v>10</v>
      </c>
      <c r="EI6" s="839">
        <f t="shared" si="13"/>
        <v>10</v>
      </c>
    </row>
    <row r="7" spans="2:139" s="192" customFormat="1" ht="15.75" customHeight="1" collapsed="1">
      <c r="B7" s="1034" t="s">
        <v>167</v>
      </c>
      <c r="C7" s="1018"/>
      <c r="D7" s="1019"/>
      <c r="E7" s="1019"/>
      <c r="F7" s="1019"/>
      <c r="G7" s="1019"/>
      <c r="H7" s="1019"/>
      <c r="I7" s="1019"/>
      <c r="J7" s="1019"/>
      <c r="K7" s="1019"/>
      <c r="L7" s="1019"/>
      <c r="M7" s="1019"/>
      <c r="N7" s="1019"/>
      <c r="O7" s="1019"/>
      <c r="P7"/>
      <c r="Q7" s="1019"/>
      <c r="R7"/>
      <c r="S7" s="1034" t="s">
        <v>582</v>
      </c>
      <c r="T7" s="1020"/>
      <c r="U7" s="1021"/>
      <c r="V7" s="1019"/>
      <c r="W7" s="1019"/>
      <c r="X7" s="1019"/>
      <c r="Y7" s="1019"/>
      <c r="Z7" s="1019"/>
      <c r="AA7" s="1019"/>
      <c r="AB7" s="1019"/>
      <c r="AC7" s="1019"/>
      <c r="AD7" s="1019"/>
      <c r="AE7" s="1019"/>
      <c r="AF7" s="1019"/>
      <c r="AG7" s="1019"/>
      <c r="AH7" s="1019"/>
      <c r="AI7" s="1019"/>
      <c r="AJ7" s="1019"/>
      <c r="AK7" s="1019"/>
      <c r="AL7" s="1019"/>
      <c r="AM7" s="1019"/>
      <c r="AN7" s="1019"/>
      <c r="AO7" s="1019"/>
      <c r="AP7" s="1019"/>
      <c r="AQ7" s="1019"/>
      <c r="AR7" s="1019"/>
      <c r="AS7" s="1019"/>
      <c r="AT7" s="1019"/>
      <c r="AU7" s="1019"/>
      <c r="AV7" s="1019"/>
      <c r="AW7" s="1019"/>
      <c r="AX7" s="1019"/>
      <c r="AY7" s="1019"/>
      <c r="AZ7" s="1019"/>
      <c r="BA7" s="1019"/>
      <c r="BB7" s="1019"/>
      <c r="BC7" s="1019"/>
      <c r="BD7" s="1019"/>
      <c r="BE7" s="1019"/>
      <c r="BF7" s="1019"/>
      <c r="BG7" s="1019"/>
      <c r="BH7" s="1019"/>
      <c r="BI7" s="1019"/>
      <c r="BJ7" s="1019"/>
      <c r="BK7" s="1019"/>
      <c r="BL7" s="1019"/>
      <c r="BM7" s="1019"/>
      <c r="BN7" s="1019"/>
      <c r="BO7" s="1019"/>
      <c r="BP7" s="1019"/>
      <c r="BQ7" s="1019"/>
      <c r="BR7" s="1019"/>
      <c r="BS7" s="1019"/>
      <c r="BT7" s="1019"/>
      <c r="BU7" s="1019"/>
      <c r="BV7" s="1019"/>
      <c r="BW7" s="1019"/>
      <c r="BX7" s="1019"/>
      <c r="BY7" s="1019"/>
      <c r="BZ7" s="1019"/>
      <c r="CA7" s="1019"/>
      <c r="CB7" s="1019"/>
      <c r="CC7" s="1019"/>
      <c r="CD7" s="1019"/>
      <c r="CE7" s="1019"/>
      <c r="CF7" s="1019"/>
      <c r="CG7" s="1019"/>
      <c r="CH7" s="1019"/>
      <c r="CI7" s="1019"/>
      <c r="CJ7" s="1019"/>
      <c r="CK7" s="1019"/>
      <c r="CL7" s="1019"/>
      <c r="CM7" s="1019"/>
      <c r="CN7" s="1019"/>
      <c r="CO7" s="1019"/>
      <c r="CP7" s="1019"/>
      <c r="CQ7" s="1019"/>
      <c r="CR7" s="1019"/>
      <c r="CS7" s="1019"/>
      <c r="CT7" s="1019"/>
      <c r="CU7" s="1019"/>
      <c r="CV7" s="1019"/>
      <c r="CW7" s="1019"/>
      <c r="CX7" s="1019"/>
      <c r="CY7" s="1019"/>
      <c r="CZ7" s="1019"/>
      <c r="DA7" s="1019"/>
      <c r="DB7" s="1019"/>
      <c r="DC7" s="1019"/>
      <c r="DD7" s="1019"/>
      <c r="DE7" s="1019"/>
      <c r="DF7" s="1019"/>
      <c r="DG7" s="1019"/>
      <c r="DH7" s="1019"/>
      <c r="DI7" s="1019"/>
      <c r="DJ7" s="1019"/>
      <c r="DK7" s="1019"/>
      <c r="DL7" s="1019"/>
      <c r="DM7" s="1019"/>
      <c r="DN7" s="1019"/>
      <c r="DO7" s="1019"/>
      <c r="DP7" s="1019"/>
      <c r="DQ7" s="1019"/>
      <c r="DR7" s="1019"/>
      <c r="DS7" s="1019"/>
      <c r="DT7" s="1019"/>
      <c r="DU7" s="1019"/>
      <c r="DV7" s="1019"/>
      <c r="DW7" s="1019"/>
      <c r="DX7" s="1019"/>
      <c r="DY7" s="1019"/>
      <c r="DZ7" s="1019"/>
      <c r="EA7" s="1019"/>
      <c r="EB7" s="1019"/>
      <c r="EC7" s="1019"/>
      <c r="ED7" s="1019"/>
      <c r="EE7" s="1019"/>
      <c r="EF7" s="1019"/>
      <c r="EG7" s="1019"/>
      <c r="EH7" s="1019"/>
      <c r="EI7" s="1019"/>
    </row>
    <row r="9" spans="2:139" s="192" customFormat="1" ht="14.25" customHeight="1">
      <c r="B9" s="1043" t="s">
        <v>168</v>
      </c>
      <c r="C9" s="196"/>
      <c r="D9" s="196"/>
      <c r="E9" s="196"/>
      <c r="F9" s="197"/>
      <c r="G9" s="197"/>
      <c r="H9" s="197"/>
      <c r="I9" s="197"/>
      <c r="J9" s="197"/>
      <c r="K9" s="197"/>
      <c r="L9" s="197"/>
      <c r="M9" s="197"/>
      <c r="N9" s="197"/>
      <c r="O9" s="197"/>
      <c r="P9"/>
      <c r="Q9"/>
      <c r="R9"/>
      <c r="S9" s="840"/>
      <c r="T9" s="197"/>
      <c r="U9" s="197"/>
      <c r="V9" s="197"/>
      <c r="W9" s="197"/>
      <c r="X9" s="197"/>
      <c r="Y9" s="197"/>
      <c r="Z9" s="197"/>
      <c r="AA9" s="197"/>
      <c r="AB9" s="197"/>
      <c r="AC9" s="197"/>
      <c r="AD9" s="197"/>
      <c r="AE9" s="197"/>
      <c r="AF9" s="197"/>
      <c r="AG9" s="197"/>
      <c r="AH9" s="197"/>
      <c r="AI9" s="197"/>
      <c r="AJ9" s="197"/>
      <c r="AK9" s="197"/>
      <c r="AL9" s="197"/>
      <c r="AM9" s="197"/>
      <c r="AN9" s="197"/>
      <c r="AO9" s="197"/>
      <c r="AP9" s="197"/>
      <c r="AQ9" s="197"/>
      <c r="AR9" s="197"/>
      <c r="AS9" s="197"/>
      <c r="AT9" s="197"/>
      <c r="AU9" s="197"/>
      <c r="AV9" s="197"/>
      <c r="AW9" s="197"/>
      <c r="AX9" s="197"/>
      <c r="AY9" s="197"/>
      <c r="AZ9" s="197"/>
      <c r="BA9" s="197"/>
      <c r="BB9" s="197"/>
      <c r="BC9" s="197"/>
      <c r="BD9" s="197"/>
      <c r="BE9" s="197"/>
      <c r="BF9" s="197"/>
      <c r="BG9" s="197"/>
      <c r="BH9" s="197"/>
      <c r="BI9" s="197"/>
      <c r="BJ9" s="197"/>
      <c r="BK9" s="197"/>
      <c r="BL9" s="197"/>
      <c r="BM9" s="197"/>
      <c r="BN9" s="197"/>
      <c r="BO9" s="197"/>
      <c r="BP9" s="197"/>
      <c r="BQ9" s="197"/>
      <c r="BR9" s="197"/>
      <c r="BS9" s="197"/>
      <c r="BT9" s="197"/>
      <c r="BU9" s="197"/>
      <c r="BV9" s="197"/>
      <c r="BW9" s="197"/>
      <c r="BX9" s="197"/>
      <c r="BY9" s="197"/>
      <c r="BZ9" s="197"/>
      <c r="CA9" s="197"/>
      <c r="CB9" s="197"/>
      <c r="CC9" s="197"/>
      <c r="CD9" s="197"/>
      <c r="CE9" s="197"/>
      <c r="CF9" s="197"/>
      <c r="CG9" s="197"/>
      <c r="CH9" s="197"/>
      <c r="CI9" s="197"/>
      <c r="CJ9" s="197"/>
      <c r="CK9" s="197"/>
      <c r="CL9" s="197"/>
      <c r="CM9" s="197"/>
      <c r="CN9" s="197"/>
      <c r="CO9" s="197"/>
      <c r="CP9" s="197"/>
      <c r="CQ9" s="197"/>
      <c r="CR9" s="197"/>
      <c r="CS9" s="197"/>
      <c r="CT9" s="197"/>
      <c r="CU9" s="197"/>
      <c r="CV9" s="197"/>
      <c r="CW9" s="197"/>
      <c r="CX9" s="197"/>
      <c r="CY9" s="197"/>
      <c r="CZ9" s="197"/>
      <c r="DA9" s="197"/>
      <c r="DB9" s="197"/>
      <c r="DC9" s="197"/>
      <c r="DD9" s="197"/>
      <c r="DE9" s="197"/>
      <c r="DF9" s="197"/>
      <c r="DG9" s="197"/>
      <c r="DH9" s="197"/>
      <c r="DI9" s="197"/>
      <c r="DJ9" s="197"/>
      <c r="DK9" s="197"/>
      <c r="DL9" s="197"/>
      <c r="DM9" s="197"/>
      <c r="DN9" s="197"/>
      <c r="DO9" s="197"/>
      <c r="DP9" s="197"/>
      <c r="DQ9" s="197"/>
      <c r="DR9" s="197"/>
      <c r="DS9" s="197"/>
      <c r="DT9" s="197"/>
      <c r="DU9" s="197"/>
      <c r="DV9" s="197"/>
      <c r="DW9" s="197"/>
      <c r="DX9" s="197"/>
      <c r="DY9" s="197"/>
      <c r="DZ9" s="197"/>
      <c r="EA9" s="197"/>
      <c r="EB9" s="197"/>
      <c r="EC9" s="197"/>
      <c r="ED9" s="197"/>
      <c r="EE9" s="197"/>
      <c r="EF9" s="197"/>
      <c r="EG9" s="197"/>
      <c r="EH9" s="197"/>
      <c r="EI9" s="197"/>
    </row>
    <row r="10" spans="2:139" ht="12.75" customHeight="1">
      <c r="B10" s="32" t="s">
        <v>16</v>
      </c>
      <c r="C10" s="27"/>
      <c r="D10" s="78">
        <f>SUMIF($S$6:$EI$6,D$5,$S10:$EI10)</f>
        <v>-13009400</v>
      </c>
      <c r="E10" s="78"/>
      <c r="F10" s="78"/>
      <c r="G10" s="78"/>
      <c r="H10" s="78"/>
      <c r="I10" s="78"/>
      <c r="J10" s="78"/>
      <c r="K10" s="78"/>
      <c r="L10" s="78"/>
      <c r="M10" s="78"/>
      <c r="N10" s="78"/>
      <c r="O10" s="145">
        <f>SUM(D10:N10)</f>
        <v>-13009400</v>
      </c>
      <c r="S10" s="78">
        <f>-Input!F32</f>
        <v>-13009400</v>
      </c>
      <c r="T10" s="78"/>
      <c r="U10" s="78"/>
      <c r="V10" s="78"/>
      <c r="W10" s="78"/>
      <c r="X10" s="78"/>
      <c r="Y10" s="78"/>
      <c r="Z10" s="78"/>
      <c r="AA10" s="78"/>
      <c r="AB10" s="78"/>
      <c r="AC10" s="78"/>
      <c r="AD10" s="78"/>
      <c r="AE10" s="78"/>
      <c r="AF10" s="78"/>
      <c r="AG10" s="78"/>
      <c r="AH10" s="78"/>
      <c r="AI10" s="78"/>
      <c r="AJ10" s="78"/>
      <c r="AK10" s="78"/>
      <c r="AL10" s="78"/>
      <c r="AM10" s="78"/>
      <c r="AN10" s="78"/>
      <c r="AO10" s="78"/>
      <c r="AP10" s="78"/>
      <c r="AQ10" s="78"/>
      <c r="AR10" s="78"/>
      <c r="AS10" s="78"/>
      <c r="AT10" s="78"/>
      <c r="AU10" s="78"/>
      <c r="AV10" s="78"/>
      <c r="AW10" s="78"/>
      <c r="AX10" s="78"/>
      <c r="AY10" s="78"/>
      <c r="AZ10" s="78"/>
      <c r="BA10" s="78"/>
      <c r="BB10" s="78"/>
      <c r="BC10" s="78"/>
      <c r="BD10" s="78"/>
      <c r="BE10" s="78"/>
      <c r="BF10" s="78"/>
      <c r="BG10" s="78"/>
      <c r="BH10" s="78"/>
      <c r="BI10" s="78"/>
      <c r="BJ10" s="78"/>
      <c r="BK10" s="78"/>
      <c r="BL10" s="78"/>
      <c r="BM10" s="78"/>
      <c r="BN10" s="78"/>
      <c r="BO10" s="78"/>
      <c r="BP10" s="78"/>
      <c r="BQ10" s="78"/>
      <c r="BR10" s="78"/>
      <c r="BS10" s="78"/>
      <c r="BT10" s="78"/>
      <c r="BU10" s="78"/>
      <c r="BV10" s="78"/>
      <c r="BW10" s="78"/>
      <c r="BX10" s="78"/>
      <c r="BY10" s="78"/>
      <c r="BZ10" s="78"/>
      <c r="CA10" s="78"/>
      <c r="CB10" s="78"/>
      <c r="CC10" s="78"/>
      <c r="CD10" s="78"/>
      <c r="CE10" s="78"/>
      <c r="CF10" s="78"/>
      <c r="CG10" s="78"/>
      <c r="CH10" s="78"/>
      <c r="CI10" s="78"/>
      <c r="CJ10" s="78"/>
      <c r="CK10" s="78"/>
      <c r="CL10" s="78"/>
      <c r="CM10" s="78"/>
      <c r="CN10" s="78"/>
      <c r="CO10" s="78"/>
      <c r="CP10" s="78"/>
      <c r="CQ10" s="78"/>
      <c r="CR10" s="78"/>
      <c r="CS10" s="78"/>
      <c r="CT10" s="78"/>
      <c r="CU10" s="78"/>
      <c r="CV10" s="78"/>
      <c r="CW10" s="78"/>
      <c r="CX10" s="78"/>
      <c r="CY10" s="78"/>
      <c r="CZ10" s="78"/>
      <c r="DA10" s="78"/>
      <c r="DB10" s="78"/>
      <c r="DC10" s="78"/>
      <c r="DD10" s="78"/>
      <c r="DE10" s="78"/>
      <c r="DF10" s="78"/>
      <c r="DG10" s="78"/>
      <c r="DH10" s="78"/>
      <c r="DI10" s="78"/>
      <c r="DJ10" s="78"/>
      <c r="DK10" s="78"/>
      <c r="DL10" s="78"/>
      <c r="DM10" s="78"/>
      <c r="DN10" s="78"/>
      <c r="DO10" s="78"/>
      <c r="DP10" s="78"/>
      <c r="DQ10" s="78"/>
      <c r="DR10" s="78"/>
      <c r="DS10" s="78"/>
      <c r="DT10" s="78"/>
      <c r="DU10" s="78"/>
      <c r="DV10" s="78"/>
      <c r="DW10" s="78"/>
      <c r="DX10" s="78"/>
      <c r="DY10" s="78"/>
      <c r="DZ10" s="78"/>
      <c r="EA10" s="78"/>
      <c r="EB10" s="78"/>
      <c r="EC10" s="78"/>
      <c r="ED10" s="78"/>
      <c r="EE10" s="78"/>
      <c r="EF10" s="78"/>
      <c r="EG10" s="78"/>
      <c r="EH10" s="78"/>
      <c r="EI10" s="78"/>
    </row>
    <row r="11" spans="2:139" ht="12.75" customHeight="1">
      <c r="B11" s="32" t="s">
        <v>169</v>
      </c>
      <c r="C11" s="27"/>
      <c r="D11" s="78">
        <f>SUMIF($S$6:$EI$6,D$5,$S11:$EI11)</f>
        <v>0</v>
      </c>
      <c r="E11" s="78"/>
      <c r="F11" s="78"/>
      <c r="G11" s="78"/>
      <c r="H11" s="78"/>
      <c r="I11" s="78"/>
      <c r="J11" s="78"/>
      <c r="K11" s="78"/>
      <c r="L11" s="78"/>
      <c r="M11" s="78"/>
      <c r="N11" s="78"/>
      <c r="O11" s="145">
        <f>SUM(D11:N11)</f>
        <v>0</v>
      </c>
      <c r="S11" s="78">
        <f>-Input!F39</f>
        <v>0</v>
      </c>
      <c r="T11" s="78"/>
      <c r="U11" s="78"/>
      <c r="V11" s="78"/>
      <c r="W11" s="78"/>
      <c r="X11" s="78"/>
      <c r="Y11" s="78"/>
      <c r="Z11" s="78"/>
      <c r="AA11" s="78"/>
      <c r="AB11" s="78"/>
      <c r="AC11" s="78"/>
      <c r="AD11" s="78"/>
      <c r="AE11" s="78"/>
      <c r="AF11" s="78"/>
      <c r="AG11" s="78"/>
      <c r="AH11" s="78"/>
      <c r="AI11" s="78"/>
      <c r="AJ11" s="78"/>
      <c r="AK11" s="78"/>
      <c r="AL11" s="78"/>
      <c r="AM11" s="78"/>
      <c r="AN11" s="78"/>
      <c r="AO11" s="78"/>
      <c r="AP11" s="78"/>
      <c r="AQ11" s="78"/>
      <c r="AR11" s="78"/>
      <c r="AS11" s="78"/>
      <c r="AT11" s="78"/>
      <c r="AU11" s="78"/>
      <c r="AV11" s="78"/>
      <c r="AW11" s="78"/>
      <c r="AX11" s="78"/>
      <c r="AY11" s="78"/>
      <c r="AZ11" s="78"/>
      <c r="BA11" s="78"/>
      <c r="BB11" s="78"/>
      <c r="BC11" s="78"/>
      <c r="BD11" s="78"/>
      <c r="BE11" s="78"/>
      <c r="BF11" s="78"/>
      <c r="BG11" s="78"/>
      <c r="BH11" s="78"/>
      <c r="BI11" s="78"/>
      <c r="BJ11" s="78"/>
      <c r="BK11" s="78"/>
      <c r="BL11" s="78"/>
      <c r="BM11" s="78"/>
      <c r="BN11" s="78"/>
      <c r="BO11" s="78"/>
      <c r="BP11" s="78"/>
      <c r="BQ11" s="78"/>
      <c r="BR11" s="78"/>
      <c r="BS11" s="78"/>
      <c r="BT11" s="78"/>
      <c r="BU11" s="78"/>
      <c r="BV11" s="78"/>
      <c r="BW11" s="78"/>
      <c r="BX11" s="78"/>
      <c r="BY11" s="78"/>
      <c r="BZ11" s="78"/>
      <c r="CA11" s="78"/>
      <c r="CB11" s="78"/>
      <c r="CC11" s="78"/>
      <c r="CD11" s="78"/>
      <c r="CE11" s="78"/>
      <c r="CF11" s="78"/>
      <c r="CG11" s="78"/>
      <c r="CH11" s="78"/>
      <c r="CI11" s="78"/>
      <c r="CJ11" s="78"/>
      <c r="CK11" s="78"/>
      <c r="CL11" s="78"/>
      <c r="CM11" s="78"/>
      <c r="CN11" s="78"/>
      <c r="CO11" s="78"/>
      <c r="CP11" s="78"/>
      <c r="CQ11" s="78"/>
      <c r="CR11" s="78"/>
      <c r="CS11" s="78"/>
      <c r="CT11" s="78"/>
      <c r="CU11" s="78"/>
      <c r="CV11" s="78"/>
      <c r="CW11" s="78"/>
      <c r="CX11" s="78"/>
      <c r="CY11" s="78"/>
      <c r="CZ11" s="78"/>
      <c r="DA11" s="78"/>
      <c r="DB11" s="78"/>
      <c r="DC11" s="78"/>
      <c r="DD11" s="78"/>
      <c r="DE11" s="78"/>
      <c r="DF11" s="78"/>
      <c r="DG11" s="78"/>
      <c r="DH11" s="78"/>
      <c r="DI11" s="78"/>
      <c r="DJ11" s="78"/>
      <c r="DK11" s="78"/>
      <c r="DL11" s="78"/>
      <c r="DM11" s="78"/>
      <c r="DN11" s="78"/>
      <c r="DO11" s="78"/>
      <c r="DP11" s="78"/>
      <c r="DQ11" s="78"/>
      <c r="DR11" s="78"/>
      <c r="DS11" s="78"/>
      <c r="DT11" s="78"/>
      <c r="DU11" s="78"/>
      <c r="DV11" s="78"/>
      <c r="DW11" s="78"/>
      <c r="DX11" s="78"/>
      <c r="DY11" s="78"/>
      <c r="DZ11" s="78"/>
      <c r="EA11" s="78"/>
      <c r="EB11" s="78"/>
      <c r="EC11" s="78"/>
      <c r="ED11" s="78"/>
      <c r="EE11" s="78"/>
      <c r="EF11" s="78"/>
      <c r="EG11" s="78"/>
      <c r="EH11" s="78"/>
      <c r="EI11" s="78"/>
    </row>
    <row r="12" spans="2:139" ht="12.75" customHeight="1">
      <c r="B12" s="32" t="s">
        <v>170</v>
      </c>
      <c r="C12" s="27"/>
      <c r="D12" s="841">
        <f>SUMIF($S$6:$EI$6,D$5,$S12:$EI12)</f>
        <v>0</v>
      </c>
      <c r="E12" s="841"/>
      <c r="F12" s="841"/>
      <c r="G12" s="841"/>
      <c r="H12" s="841"/>
      <c r="I12" s="841"/>
      <c r="J12" s="841"/>
      <c r="K12" s="841"/>
      <c r="L12" s="841"/>
      <c r="M12" s="841"/>
      <c r="N12" s="841"/>
      <c r="O12" s="842">
        <f>SUM(D12:N12)</f>
        <v>0</v>
      </c>
      <c r="S12" s="841">
        <f>IF(Input!G41=SelectionIsYes,O71,)</f>
        <v>0</v>
      </c>
      <c r="T12" s="841"/>
      <c r="U12" s="841"/>
      <c r="V12" s="841"/>
      <c r="W12" s="841"/>
      <c r="X12" s="841"/>
      <c r="Y12" s="841"/>
      <c r="Z12" s="841"/>
      <c r="AA12" s="841"/>
      <c r="AB12" s="841"/>
      <c r="AC12" s="841"/>
      <c r="AD12" s="841"/>
      <c r="AE12" s="841"/>
      <c r="AF12" s="841"/>
      <c r="AG12" s="841"/>
      <c r="AH12" s="841"/>
      <c r="AI12" s="841"/>
      <c r="AJ12" s="841"/>
      <c r="AK12" s="841"/>
      <c r="AL12" s="841"/>
      <c r="AM12" s="841"/>
      <c r="AN12" s="841"/>
      <c r="AO12" s="841"/>
      <c r="AP12" s="841"/>
      <c r="AQ12" s="841"/>
      <c r="AR12" s="841"/>
      <c r="AS12" s="841"/>
      <c r="AT12" s="841"/>
      <c r="AU12" s="841"/>
      <c r="AV12" s="841"/>
      <c r="AW12" s="841"/>
      <c r="AX12" s="841"/>
      <c r="AY12" s="841"/>
      <c r="AZ12" s="841"/>
      <c r="BA12" s="841"/>
      <c r="BB12" s="841"/>
      <c r="BC12" s="841"/>
      <c r="BD12" s="841"/>
      <c r="BE12" s="841"/>
      <c r="BF12" s="841"/>
      <c r="BG12" s="841"/>
      <c r="BH12" s="841"/>
      <c r="BI12" s="841"/>
      <c r="BJ12" s="841"/>
      <c r="BK12" s="841"/>
      <c r="BL12" s="841"/>
      <c r="BM12" s="841"/>
      <c r="BN12" s="841"/>
      <c r="BO12" s="841"/>
      <c r="BP12" s="841"/>
      <c r="BQ12" s="841"/>
      <c r="BR12" s="841"/>
      <c r="BS12" s="841"/>
      <c r="BT12" s="841"/>
      <c r="BU12" s="841"/>
      <c r="BV12" s="841"/>
      <c r="BW12" s="841"/>
      <c r="BX12" s="841"/>
      <c r="BY12" s="841"/>
      <c r="BZ12" s="841"/>
      <c r="CA12" s="841"/>
      <c r="CB12" s="841"/>
      <c r="CC12" s="841"/>
      <c r="CD12" s="841"/>
      <c r="CE12" s="841"/>
      <c r="CF12" s="841"/>
      <c r="CG12" s="841"/>
      <c r="CH12" s="841"/>
      <c r="CI12" s="841"/>
      <c r="CJ12" s="841"/>
      <c r="CK12" s="841"/>
      <c r="CL12" s="841"/>
      <c r="CM12" s="841"/>
      <c r="CN12" s="841"/>
      <c r="CO12" s="841"/>
      <c r="CP12" s="841"/>
      <c r="CQ12" s="841"/>
      <c r="CR12" s="841"/>
      <c r="CS12" s="841"/>
      <c r="CT12" s="841"/>
      <c r="CU12" s="841"/>
      <c r="CV12" s="841"/>
      <c r="CW12" s="841"/>
      <c r="CX12" s="841"/>
      <c r="CY12" s="841"/>
      <c r="CZ12" s="841"/>
      <c r="DA12" s="841"/>
      <c r="DB12" s="841"/>
      <c r="DC12" s="841"/>
      <c r="DD12" s="841"/>
      <c r="DE12" s="841"/>
      <c r="DF12" s="841"/>
      <c r="DG12" s="841"/>
      <c r="DH12" s="841"/>
      <c r="DI12" s="841"/>
      <c r="DJ12" s="841"/>
      <c r="DK12" s="841"/>
      <c r="DL12" s="841"/>
      <c r="DM12" s="841"/>
      <c r="DN12" s="841"/>
      <c r="DO12" s="841"/>
      <c r="DP12" s="841"/>
      <c r="DQ12" s="841"/>
      <c r="DR12" s="841"/>
      <c r="DS12" s="841"/>
      <c r="DT12" s="841"/>
      <c r="DU12" s="841"/>
      <c r="DV12" s="841"/>
      <c r="DW12" s="841"/>
      <c r="DX12" s="841"/>
      <c r="DY12" s="841"/>
      <c r="DZ12" s="841"/>
      <c r="EA12" s="841"/>
      <c r="EB12" s="841"/>
      <c r="EC12" s="841"/>
      <c r="ED12" s="841"/>
      <c r="EE12" s="841"/>
      <c r="EF12" s="841"/>
      <c r="EG12" s="841"/>
      <c r="EH12" s="841"/>
      <c r="EI12" s="841"/>
    </row>
    <row r="13" spans="2:139" collapsed="1">
      <c r="B13" s="198" t="s">
        <v>168</v>
      </c>
      <c r="C13" s="209"/>
      <c r="D13" s="169">
        <f t="shared" ref="D13:O13" si="14">SUBTOTAL(9,D10:D12)</f>
        <v>-13009400</v>
      </c>
      <c r="E13" s="169">
        <f t="shared" si="14"/>
        <v>0</v>
      </c>
      <c r="F13" s="169">
        <f t="shared" si="14"/>
        <v>0</v>
      </c>
      <c r="G13" s="169">
        <f t="shared" si="14"/>
        <v>0</v>
      </c>
      <c r="H13" s="169">
        <f t="shared" si="14"/>
        <v>0</v>
      </c>
      <c r="I13" s="169">
        <f t="shared" si="14"/>
        <v>0</v>
      </c>
      <c r="J13" s="169">
        <f t="shared" si="14"/>
        <v>0</v>
      </c>
      <c r="K13" s="169">
        <f t="shared" si="14"/>
        <v>0</v>
      </c>
      <c r="L13" s="169">
        <f t="shared" si="14"/>
        <v>0</v>
      </c>
      <c r="M13" s="169">
        <f t="shared" si="14"/>
        <v>0</v>
      </c>
      <c r="N13" s="169">
        <f t="shared" si="14"/>
        <v>0</v>
      </c>
      <c r="O13" s="91">
        <f t="shared" si="14"/>
        <v>-13009400</v>
      </c>
      <c r="S13" s="169">
        <f>SUBTOTAL(9,S10:S12)</f>
        <v>-13009400</v>
      </c>
      <c r="T13" s="169"/>
      <c r="U13" s="169"/>
      <c r="V13" s="169"/>
      <c r="W13" s="169"/>
      <c r="X13" s="169"/>
      <c r="Y13" s="169"/>
      <c r="Z13" s="169"/>
      <c r="AA13" s="169"/>
      <c r="AB13" s="169"/>
      <c r="AC13" s="169"/>
      <c r="AD13" s="169"/>
      <c r="AE13" s="169"/>
      <c r="AF13" s="169"/>
      <c r="AG13" s="169"/>
      <c r="AH13" s="169"/>
      <c r="AI13" s="169"/>
      <c r="AJ13" s="169"/>
      <c r="AK13" s="169"/>
      <c r="AL13" s="169"/>
      <c r="AM13" s="169"/>
      <c r="AN13" s="169"/>
      <c r="AO13" s="169"/>
      <c r="AP13" s="169"/>
      <c r="AQ13" s="169"/>
      <c r="AR13" s="169"/>
      <c r="AS13" s="169"/>
      <c r="AT13" s="169"/>
      <c r="AU13" s="169"/>
      <c r="AV13" s="169"/>
      <c r="AW13" s="169"/>
      <c r="AX13" s="169"/>
      <c r="AY13" s="169"/>
      <c r="AZ13" s="169"/>
      <c r="BA13" s="169"/>
      <c r="BB13" s="169"/>
      <c r="BC13" s="169"/>
      <c r="BD13" s="169"/>
      <c r="BE13" s="169"/>
      <c r="BF13" s="169"/>
      <c r="BG13" s="169"/>
      <c r="BH13" s="169"/>
      <c r="BI13" s="169"/>
      <c r="BJ13" s="169"/>
      <c r="BK13" s="169"/>
      <c r="BL13" s="169"/>
      <c r="BM13" s="169"/>
      <c r="BN13" s="169"/>
      <c r="BO13" s="169"/>
      <c r="BP13" s="169"/>
      <c r="BQ13" s="169"/>
      <c r="BR13" s="169"/>
      <c r="BS13" s="169"/>
      <c r="BT13" s="169"/>
      <c r="BU13" s="169"/>
      <c r="BV13" s="169"/>
      <c r="BW13" s="169"/>
      <c r="BX13" s="169"/>
      <c r="BY13" s="169"/>
      <c r="BZ13" s="169"/>
      <c r="CA13" s="169"/>
      <c r="CB13" s="169"/>
      <c r="CC13" s="169"/>
      <c r="CD13" s="169"/>
      <c r="CE13" s="169"/>
      <c r="CF13" s="169"/>
      <c r="CG13" s="169"/>
      <c r="CH13" s="169"/>
      <c r="CI13" s="169"/>
      <c r="CJ13" s="169"/>
      <c r="CK13" s="169"/>
      <c r="CL13" s="169"/>
      <c r="CM13" s="169"/>
      <c r="CN13" s="169"/>
      <c r="CO13" s="169"/>
      <c r="CP13" s="169"/>
      <c r="CQ13" s="169"/>
      <c r="CR13" s="169"/>
      <c r="CS13" s="169"/>
      <c r="CT13" s="169"/>
      <c r="CU13" s="169"/>
      <c r="CV13" s="169"/>
      <c r="CW13" s="169"/>
      <c r="CX13" s="169"/>
      <c r="CY13" s="169"/>
      <c r="CZ13" s="169"/>
      <c r="DA13" s="169"/>
      <c r="DB13" s="169"/>
      <c r="DC13" s="169"/>
      <c r="DD13" s="169"/>
      <c r="DE13" s="169"/>
      <c r="DF13" s="169"/>
      <c r="DG13" s="169"/>
      <c r="DH13" s="169"/>
      <c r="DI13" s="169"/>
      <c r="DJ13" s="169"/>
      <c r="DK13" s="169"/>
      <c r="DL13" s="169"/>
      <c r="DM13" s="169"/>
      <c r="DN13" s="169"/>
      <c r="DO13" s="169"/>
      <c r="DP13" s="169"/>
      <c r="DQ13" s="169"/>
      <c r="DR13" s="169"/>
      <c r="DS13" s="169"/>
      <c r="DT13" s="169"/>
      <c r="DU13" s="169"/>
      <c r="DV13" s="169"/>
      <c r="DW13" s="169"/>
      <c r="DX13" s="169"/>
      <c r="DY13" s="169"/>
      <c r="DZ13" s="169"/>
      <c r="EA13" s="169"/>
      <c r="EB13" s="169"/>
      <c r="EC13" s="169"/>
      <c r="ED13" s="169"/>
      <c r="EE13" s="169"/>
      <c r="EF13" s="169"/>
      <c r="EG13" s="169"/>
      <c r="EH13" s="169"/>
      <c r="EI13" s="169"/>
    </row>
    <row r="14" spans="2:139">
      <c r="B14" s="27"/>
      <c r="C14" s="27"/>
      <c r="D14" s="78"/>
      <c r="E14" s="78"/>
      <c r="F14" s="78"/>
      <c r="G14" s="78"/>
      <c r="H14" s="78"/>
      <c r="I14" s="78"/>
      <c r="J14" s="78"/>
      <c r="K14" s="78"/>
      <c r="L14" s="78"/>
      <c r="M14" s="78"/>
      <c r="N14" s="78"/>
      <c r="O14" s="145"/>
      <c r="S14" s="78"/>
      <c r="T14" s="78"/>
      <c r="U14" s="78"/>
      <c r="V14" s="78"/>
      <c r="W14" s="78"/>
      <c r="X14" s="78"/>
      <c r="Y14" s="78"/>
      <c r="Z14" s="78"/>
      <c r="AA14" s="78"/>
      <c r="AB14" s="78"/>
      <c r="AC14" s="78"/>
      <c r="AD14" s="78"/>
      <c r="AE14" s="78"/>
      <c r="AF14" s="78"/>
      <c r="AG14" s="78"/>
      <c r="AH14" s="78"/>
      <c r="AI14" s="78"/>
      <c r="AJ14" s="78"/>
      <c r="AK14" s="78"/>
      <c r="AL14" s="78"/>
      <c r="AM14" s="78"/>
      <c r="AN14" s="78"/>
      <c r="AO14" s="78"/>
      <c r="AP14" s="78"/>
      <c r="AQ14" s="78"/>
      <c r="AR14" s="78"/>
      <c r="AS14" s="78"/>
      <c r="AT14" s="78"/>
      <c r="AU14" s="78"/>
      <c r="AV14" s="78"/>
      <c r="AW14" s="78"/>
      <c r="AX14" s="78"/>
      <c r="AY14" s="78"/>
      <c r="AZ14" s="78"/>
      <c r="BA14" s="78"/>
      <c r="BB14" s="78"/>
      <c r="BC14" s="78"/>
      <c r="BD14" s="27"/>
      <c r="BE14" s="27"/>
      <c r="BF14" s="27"/>
      <c r="BG14" s="27"/>
      <c r="BH14" s="27"/>
      <c r="BI14" s="27"/>
      <c r="BJ14" s="27"/>
      <c r="BK14" s="27"/>
      <c r="BL14" s="27"/>
      <c r="BM14" s="27"/>
      <c r="BN14" s="27"/>
      <c r="BO14" s="27"/>
      <c r="BP14" s="27"/>
      <c r="BQ14" s="27"/>
      <c r="BR14" s="27"/>
      <c r="BS14" s="27"/>
      <c r="BT14" s="27"/>
      <c r="BU14" s="27"/>
      <c r="BV14" s="27"/>
      <c r="BW14" s="27"/>
      <c r="BX14" s="27"/>
      <c r="BY14" s="27"/>
      <c r="BZ14" s="27"/>
      <c r="CA14" s="27"/>
      <c r="CB14" s="27"/>
      <c r="CC14" s="27"/>
      <c r="CD14" s="27"/>
      <c r="CE14" s="27"/>
      <c r="CF14" s="27"/>
      <c r="CG14" s="27"/>
      <c r="CH14" s="27"/>
      <c r="CI14" s="27"/>
      <c r="CJ14" s="27"/>
      <c r="CK14" s="27"/>
      <c r="CL14" s="27"/>
      <c r="CM14" s="27"/>
      <c r="CN14" s="27"/>
      <c r="CO14" s="27"/>
      <c r="CP14" s="27"/>
      <c r="CQ14" s="27"/>
      <c r="CR14" s="27"/>
      <c r="CS14" s="27"/>
      <c r="CT14" s="27"/>
      <c r="CU14" s="27"/>
      <c r="CV14" s="27"/>
      <c r="CW14" s="27"/>
      <c r="CX14" s="27"/>
      <c r="CY14" s="27"/>
      <c r="CZ14" s="27"/>
      <c r="DA14" s="27"/>
      <c r="DB14" s="27"/>
      <c r="DC14" s="27"/>
      <c r="DD14" s="27"/>
      <c r="DE14" s="27"/>
      <c r="DF14" s="27"/>
      <c r="DG14" s="27"/>
      <c r="DH14" s="27"/>
      <c r="DI14" s="27"/>
      <c r="DJ14" s="27"/>
      <c r="DK14" s="27"/>
      <c r="DL14" s="27"/>
      <c r="DM14" s="27"/>
      <c r="DN14" s="27"/>
      <c r="DO14" s="27"/>
      <c r="DP14" s="27"/>
      <c r="DQ14" s="27"/>
      <c r="DR14" s="27"/>
      <c r="DS14" s="27"/>
      <c r="DT14" s="27"/>
      <c r="DU14" s="27"/>
      <c r="DV14" s="27"/>
      <c r="DW14" s="27"/>
      <c r="DX14" s="27"/>
      <c r="DY14" s="27"/>
      <c r="DZ14" s="27"/>
      <c r="EA14" s="27"/>
      <c r="EB14" s="27"/>
      <c r="EC14" s="27"/>
      <c r="ED14" s="27"/>
      <c r="EE14" s="27"/>
      <c r="EF14" s="27"/>
      <c r="EG14" s="27"/>
      <c r="EH14" s="27"/>
      <c r="EI14" s="27"/>
    </row>
    <row r="17" spans="2:139" s="192" customFormat="1" ht="14.25" customHeight="1">
      <c r="B17" s="1043" t="s">
        <v>115</v>
      </c>
      <c r="C17" s="196"/>
      <c r="D17" s="196"/>
      <c r="E17" s="196"/>
      <c r="F17" s="197"/>
      <c r="G17" s="197"/>
      <c r="H17" s="197"/>
      <c r="I17" s="197"/>
      <c r="J17" s="197"/>
      <c r="K17" s="197"/>
      <c r="L17" s="197"/>
      <c r="M17" s="197"/>
      <c r="N17" s="197"/>
      <c r="O17" s="197"/>
      <c r="P17"/>
      <c r="Q17" s="197"/>
      <c r="R17"/>
      <c r="S17" s="197"/>
      <c r="T17" s="197"/>
      <c r="U17" s="197"/>
      <c r="V17" s="197"/>
      <c r="W17" s="197"/>
      <c r="X17" s="197"/>
      <c r="Y17" s="197"/>
      <c r="Z17" s="197"/>
      <c r="AA17" s="197"/>
      <c r="AB17" s="197"/>
      <c r="AC17" s="197"/>
      <c r="AD17" s="197"/>
      <c r="AE17" s="197"/>
      <c r="AF17" s="197"/>
      <c r="AG17" s="197"/>
      <c r="AH17" s="197"/>
      <c r="AI17" s="197"/>
      <c r="AJ17" s="197"/>
      <c r="AK17" s="197"/>
      <c r="AL17" s="197"/>
      <c r="AM17" s="197"/>
      <c r="AN17" s="197"/>
      <c r="AO17" s="197"/>
      <c r="AP17" s="197"/>
      <c r="AQ17" s="197"/>
      <c r="AR17" s="197"/>
      <c r="AS17" s="197"/>
      <c r="AT17" s="197"/>
      <c r="AU17" s="197"/>
      <c r="AV17" s="197"/>
      <c r="AW17" s="197"/>
      <c r="AX17" s="197"/>
      <c r="AY17" s="197"/>
      <c r="AZ17" s="197"/>
      <c r="BA17" s="197"/>
      <c r="BB17" s="197"/>
      <c r="BC17" s="197"/>
      <c r="BD17" s="197"/>
      <c r="BE17" s="197"/>
      <c r="BF17" s="197"/>
      <c r="BG17" s="197"/>
      <c r="BH17" s="197"/>
      <c r="BI17" s="197"/>
      <c r="BJ17" s="197"/>
      <c r="BK17" s="197"/>
      <c r="BL17" s="197"/>
      <c r="BM17" s="197"/>
      <c r="BN17" s="197"/>
      <c r="BO17" s="197"/>
      <c r="BP17" s="197"/>
      <c r="BQ17" s="197"/>
      <c r="BR17" s="197"/>
      <c r="BS17" s="197"/>
      <c r="BT17" s="197"/>
      <c r="BU17" s="197"/>
      <c r="BV17" s="197"/>
      <c r="BW17" s="197"/>
      <c r="BX17" s="197"/>
      <c r="BY17" s="197"/>
      <c r="BZ17" s="197"/>
      <c r="CA17" s="197"/>
      <c r="CB17" s="197"/>
      <c r="CC17" s="197"/>
      <c r="CD17" s="197"/>
      <c r="CE17" s="197"/>
      <c r="CF17" s="197"/>
      <c r="CG17" s="197"/>
      <c r="CH17" s="197"/>
      <c r="CI17" s="197"/>
      <c r="CJ17" s="197"/>
      <c r="CK17" s="197"/>
      <c r="CL17" s="197"/>
      <c r="CM17" s="197"/>
      <c r="CN17" s="197"/>
      <c r="CO17" s="197"/>
      <c r="CP17" s="197"/>
      <c r="CQ17" s="197"/>
      <c r="CR17" s="197"/>
      <c r="CS17" s="197"/>
      <c r="CT17" s="197"/>
      <c r="CU17" s="197"/>
      <c r="CV17" s="197"/>
      <c r="CW17" s="197"/>
      <c r="CX17" s="197"/>
      <c r="CY17" s="197"/>
      <c r="CZ17" s="197"/>
      <c r="DA17" s="197"/>
      <c r="DB17" s="197"/>
      <c r="DC17" s="197"/>
      <c r="DD17" s="197"/>
      <c r="DE17" s="197"/>
      <c r="DF17" s="197"/>
      <c r="DG17" s="197"/>
      <c r="DH17" s="197"/>
      <c r="DI17" s="197"/>
      <c r="DJ17" s="197"/>
      <c r="DK17" s="197"/>
      <c r="DL17" s="197"/>
      <c r="DM17" s="197"/>
      <c r="DN17" s="197"/>
      <c r="DO17" s="197"/>
      <c r="DP17" s="197"/>
      <c r="DQ17" s="197"/>
      <c r="DR17" s="197"/>
      <c r="DS17" s="197"/>
      <c r="DT17" s="197"/>
      <c r="DU17" s="197"/>
      <c r="DV17" s="197"/>
      <c r="DW17" s="197"/>
      <c r="DX17" s="197"/>
      <c r="DY17" s="197"/>
      <c r="DZ17" s="197"/>
      <c r="EA17" s="197"/>
      <c r="EB17" s="197"/>
      <c r="EC17" s="197"/>
      <c r="ED17" s="197"/>
      <c r="EE17" s="197"/>
      <c r="EF17" s="197"/>
      <c r="EG17" s="197"/>
      <c r="EH17" s="197"/>
      <c r="EI17" s="197"/>
    </row>
    <row r="18" spans="2:139">
      <c r="B18" s="32" t="s">
        <v>117</v>
      </c>
      <c r="C18" s="32"/>
      <c r="D18" s="78"/>
      <c r="E18" s="78">
        <f t="shared" ref="E18:N19" si="15">SUMIF($T$6:$EI$6,E$5,$T18:$EI18)</f>
        <v>1603464.0000000002</v>
      </c>
      <c r="F18" s="78">
        <f t="shared" si="15"/>
        <v>1620782.3065218285</v>
      </c>
      <c r="G18" s="78">
        <f t="shared" si="15"/>
        <v>1661990.6758604911</v>
      </c>
      <c r="H18" s="78">
        <f t="shared" si="15"/>
        <v>1711850.3961363076</v>
      </c>
      <c r="I18" s="78">
        <f t="shared" si="15"/>
        <v>1763205.9080203988</v>
      </c>
      <c r="J18" s="78">
        <f t="shared" si="15"/>
        <v>1816102.0852610124</v>
      </c>
      <c r="K18" s="78">
        <f t="shared" si="15"/>
        <v>1870585.1478188443</v>
      </c>
      <c r="L18" s="78">
        <f t="shared" si="15"/>
        <v>0</v>
      </c>
      <c r="M18" s="78">
        <f t="shared" si="15"/>
        <v>0</v>
      </c>
      <c r="N18" s="78">
        <f t="shared" si="15"/>
        <v>0</v>
      </c>
      <c r="O18" s="145">
        <f>SUM(D18:N18)</f>
        <v>12047980.519618884</v>
      </c>
      <c r="Q18" s="78">
        <f>'Operating Calculations'!O71</f>
        <v>1926702.7022534118</v>
      </c>
      <c r="S18" s="78"/>
      <c r="T18" s="78">
        <f>'Operating Calculations'!R71*(T$6&lt;=MAX(YrOfExit,1))</f>
        <v>133622.00000000006</v>
      </c>
      <c r="U18" s="78">
        <f>'Operating Calculations'!S71*(U$6&lt;=MAX(YrOfExit,1))</f>
        <v>133622.00000000006</v>
      </c>
      <c r="V18" s="78">
        <f>'Operating Calculations'!T71*(V$6&lt;=MAX(YrOfExit,1))</f>
        <v>133622.00000000006</v>
      </c>
      <c r="W18" s="78">
        <f>'Operating Calculations'!U71*(W$6&lt;=MAX(YrOfExit,1))</f>
        <v>133622.00000000006</v>
      </c>
      <c r="X18" s="78">
        <f>'Operating Calculations'!V71*(X$6&lt;=MAX(YrOfExit,1))</f>
        <v>133622.00000000006</v>
      </c>
      <c r="Y18" s="78">
        <f>'Operating Calculations'!W71*(Y$6&lt;=MAX(YrOfExit,1))</f>
        <v>133622.00000000006</v>
      </c>
      <c r="Z18" s="78">
        <f>'Operating Calculations'!X71*(Z$6&lt;=MAX(YrOfExit,1))</f>
        <v>133622.00000000006</v>
      </c>
      <c r="AA18" s="78">
        <f>'Operating Calculations'!Y71*(AA$6&lt;=MAX(YrOfExit,1))</f>
        <v>133622.00000000006</v>
      </c>
      <c r="AB18" s="78">
        <f>'Operating Calculations'!Z71*(AB$6&lt;=MAX(YrOfExit,1))</f>
        <v>133622.00000000006</v>
      </c>
      <c r="AC18" s="78">
        <f>'Operating Calculations'!AA71*(AC$6&lt;=MAX(YrOfExit,1))</f>
        <v>133622.00000000006</v>
      </c>
      <c r="AD18" s="78">
        <f>'Operating Calculations'!AB71*(AD$6&lt;=MAX(YrOfExit,1))</f>
        <v>133622.00000000006</v>
      </c>
      <c r="AE18" s="78">
        <f>'Operating Calculations'!AC71*(AE$6&lt;=MAX(YrOfExit,1))</f>
        <v>133622.00000000006</v>
      </c>
      <c r="AF18" s="78">
        <f>'Operating Calculations'!AD71*(AF$6&lt;=MAX(YrOfExit,1))</f>
        <v>133842.68759672524</v>
      </c>
      <c r="AG18" s="78">
        <f>'Operating Calculations'!AE71*(AG$6&lt;=MAX(YrOfExit,1))</f>
        <v>134063.73967695874</v>
      </c>
      <c r="AH18" s="78">
        <f>'Operating Calculations'!AF71*(AH$6&lt;=MAX(YrOfExit,1))</f>
        <v>134285.15684267471</v>
      </c>
      <c r="AI18" s="78">
        <f>'Operating Calculations'!AG71*(AI$6&lt;=MAX(YrOfExit,1))</f>
        <v>134506.93969684149</v>
      </c>
      <c r="AJ18" s="78">
        <f>'Operating Calculations'!AH71*(AJ$6&lt;=MAX(YrOfExit,1))</f>
        <v>134729.08884342332</v>
      </c>
      <c r="AK18" s="78">
        <f>'Operating Calculations'!AI71*(AK$6&lt;=MAX(YrOfExit,1))</f>
        <v>134951.60488738184</v>
      </c>
      <c r="AL18" s="78">
        <f>'Operating Calculations'!AJ71*(AL$6&lt;=MAX(YrOfExit,1))</f>
        <v>135174.488434678</v>
      </c>
      <c r="AM18" s="78">
        <f>'Operating Calculations'!AK71*(AM$6&lt;=MAX(YrOfExit,1))</f>
        <v>135397.74009227334</v>
      </c>
      <c r="AN18" s="78">
        <f>'Operating Calculations'!AL71*(AN$6&lt;=MAX(YrOfExit,1))</f>
        <v>135621.36046813201</v>
      </c>
      <c r="AO18" s="78">
        <f>'Operating Calculations'!AM71*(AO$6&lt;=MAX(YrOfExit,1))</f>
        <v>135845.35017122215</v>
      </c>
      <c r="AP18" s="78">
        <f>'Operating Calculations'!AN71*(AP$6&lt;=MAX(YrOfExit,1))</f>
        <v>136069.70981151774</v>
      </c>
      <c r="AQ18" s="78">
        <f>'Operating Calculations'!AO71*(AQ$6&lt;=MAX(YrOfExit,1))</f>
        <v>136294.44000000018</v>
      </c>
      <c r="AR18" s="78">
        <f>'Operating Calculations'!AP71*(AR$6&lt;=MAX(YrOfExit,1))</f>
        <v>136630.57885750523</v>
      </c>
      <c r="AS18" s="78">
        <f>'Operating Calculations'!AQ71*(AS$6&lt;=MAX(YrOfExit,1))</f>
        <v>136967.54672411387</v>
      </c>
      <c r="AT18" s="78">
        <f>'Operating Calculations'!AR71*(AT$6&lt;=MAX(YrOfExit,1))</f>
        <v>137305.34564438614</v>
      </c>
      <c r="AU18" s="78">
        <f>'Operating Calculations'!AS71*(AU$6&lt;=MAX(YrOfExit,1))</f>
        <v>137643.9776679246</v>
      </c>
      <c r="AV18" s="78">
        <f>'Operating Calculations'!AT71*(AV$6&lt;=MAX(YrOfExit,1))</f>
        <v>137983.44484938664</v>
      </c>
      <c r="AW18" s="78">
        <f>'Operating Calculations'!AU71*(AW$6&lt;=MAX(YrOfExit,1))</f>
        <v>138323.74924849701</v>
      </c>
      <c r="AX18" s="78">
        <f>'Operating Calculations'!AV71*(AX$6&lt;=MAX(YrOfExit,1))</f>
        <v>138664.8929300603</v>
      </c>
      <c r="AY18" s="78">
        <f>'Operating Calculations'!AW71*(AY$6&lt;=MAX(YrOfExit,1))</f>
        <v>139006.87796397344</v>
      </c>
      <c r="AZ18" s="78">
        <f>'Operating Calculations'!AX71*(AZ$6&lt;=MAX(YrOfExit,1))</f>
        <v>139349.70642523831</v>
      </c>
      <c r="BA18" s="78">
        <f>'Operating Calculations'!AY71*(BA$6&lt;=MAX(YrOfExit,1))</f>
        <v>139693.38039397425</v>
      </c>
      <c r="BB18" s="78">
        <f>'Operating Calculations'!AZ71*(BB$6&lt;=MAX(YrOfExit,1))</f>
        <v>140037.90195543083</v>
      </c>
      <c r="BC18" s="78">
        <f>'Operating Calculations'!BA71*(BC$6&lt;=MAX(YrOfExit,1))</f>
        <v>140383.27320000035</v>
      </c>
      <c r="BD18" s="78">
        <f>'Operating Calculations'!BB71*(BD$6&lt;=MAX(YrOfExit,1))</f>
        <v>140729.49622323056</v>
      </c>
      <c r="BE18" s="78">
        <f>'Operating Calculations'!BC71*(BE$6&lt;=MAX(YrOfExit,1))</f>
        <v>141076.57312583746</v>
      </c>
      <c r="BF18" s="78">
        <f>'Operating Calculations'!BD71*(BF$6&lt;=MAX(YrOfExit,1))</f>
        <v>141424.50601371788</v>
      </c>
      <c r="BG18" s="78">
        <f>'Operating Calculations'!BE71*(BG$6&lt;=MAX(YrOfExit,1))</f>
        <v>141773.29699796249</v>
      </c>
      <c r="BH18" s="78">
        <f>'Operating Calculations'!BF71*(BH$6&lt;=MAX(YrOfExit,1))</f>
        <v>142122.94819486843</v>
      </c>
      <c r="BI18" s="78">
        <f>'Operating Calculations'!BG71*(BI$6&lt;=MAX(YrOfExit,1))</f>
        <v>142473.4617259521</v>
      </c>
      <c r="BJ18" s="78">
        <f>'Operating Calculations'!BH71*(BJ$6&lt;=MAX(YrOfExit,1))</f>
        <v>142824.83971796226</v>
      </c>
      <c r="BK18" s="78">
        <f>'Operating Calculations'!BI71*(BK$6&lt;=MAX(YrOfExit,1))</f>
        <v>143177.08430289279</v>
      </c>
      <c r="BL18" s="78">
        <f>'Operating Calculations'!BJ71*(BL$6&lt;=MAX(YrOfExit,1))</f>
        <v>143530.19761799561</v>
      </c>
      <c r="BM18" s="78">
        <f>'Operating Calculations'!BK71*(BM$6&lt;=MAX(YrOfExit,1))</f>
        <v>143884.18180579366</v>
      </c>
      <c r="BN18" s="78">
        <f>'Operating Calculations'!BL71*(BN$6&lt;=MAX(YrOfExit,1))</f>
        <v>144239.03901409393</v>
      </c>
      <c r="BO18" s="78">
        <f>'Operating Calculations'!BM71*(BO$6&lt;=MAX(YrOfExit,1))</f>
        <v>144594.77139600052</v>
      </c>
      <c r="BP18" s="78">
        <f>'Operating Calculations'!BN71*(BP$6&lt;=MAX(YrOfExit,1))</f>
        <v>144951.38110992764</v>
      </c>
      <c r="BQ18" s="78">
        <f>'Operating Calculations'!BO71*(BQ$6&lt;=MAX(YrOfExit,1))</f>
        <v>145308.87031961273</v>
      </c>
      <c r="BR18" s="78">
        <f>'Operating Calculations'!BP71*(BR$6&lt;=MAX(YrOfExit,1))</f>
        <v>145667.24119412957</v>
      </c>
      <c r="BS18" s="78">
        <f>'Operating Calculations'!BQ71*(BS$6&lt;=MAX(YrOfExit,1))</f>
        <v>146026.49590790152</v>
      </c>
      <c r="BT18" s="78">
        <f>'Operating Calculations'!BR71*(BT$6&lt;=MAX(YrOfExit,1))</f>
        <v>146386.6366407146</v>
      </c>
      <c r="BU18" s="78">
        <f>'Operating Calculations'!BS71*(BU$6&lt;=MAX(YrOfExit,1))</f>
        <v>146747.6655777308</v>
      </c>
      <c r="BV18" s="78">
        <f>'Operating Calculations'!BT71*(BV$6&lt;=MAX(YrOfExit,1))</f>
        <v>147109.58490950131</v>
      </c>
      <c r="BW18" s="78">
        <f>'Operating Calculations'!BU71*(BW$6&lt;=MAX(YrOfExit,1))</f>
        <v>147472.39683197974</v>
      </c>
      <c r="BX18" s="78">
        <f>'Operating Calculations'!BV71*(BX$6&lt;=MAX(YrOfExit,1))</f>
        <v>147836.10354653563</v>
      </c>
      <c r="BY18" s="78">
        <f>'Operating Calculations'!BW71*(BY$6&lt;=MAX(YrOfExit,1))</f>
        <v>148200.7072599676</v>
      </c>
      <c r="BZ18" s="78">
        <f>'Operating Calculations'!BX71*(BZ$6&lt;=MAX(YrOfExit,1))</f>
        <v>148566.21018451691</v>
      </c>
      <c r="CA18" s="78">
        <f>'Operating Calculations'!BY71*(CA$6&lt;=MAX(YrOfExit,1))</f>
        <v>148932.61453788067</v>
      </c>
      <c r="CB18" s="78">
        <f>'Operating Calculations'!BZ71*(CB$6&lt;=MAX(YrOfExit,1))</f>
        <v>149299.92254322561</v>
      </c>
      <c r="CC18" s="78">
        <f>'Operating Calculations'!CA71*(CC$6&lt;=MAX(YrOfExit,1))</f>
        <v>149668.13642920123</v>
      </c>
      <c r="CD18" s="78">
        <f>'Operating Calculations'!CB71*(CD$6&lt;=MAX(YrOfExit,1))</f>
        <v>150037.2584299536</v>
      </c>
      <c r="CE18" s="78">
        <f>'Operating Calculations'!CC71*(CE$6&lt;=MAX(YrOfExit,1))</f>
        <v>150407.2907851387</v>
      </c>
      <c r="CF18" s="78">
        <f>'Operating Calculations'!CD71*(CF$6&lt;=MAX(YrOfExit,1))</f>
        <v>150778.23573993618</v>
      </c>
      <c r="CG18" s="78">
        <f>'Operating Calculations'!CE71*(CG$6&lt;=MAX(YrOfExit,1))</f>
        <v>151150.09554506285</v>
      </c>
      <c r="CH18" s="78">
        <f>'Operating Calculations'!CF71*(CH$6&lt;=MAX(YrOfExit,1))</f>
        <v>151522.87245678646</v>
      </c>
      <c r="CI18" s="78">
        <f>'Operating Calculations'!CG71*(CI$6&lt;=MAX(YrOfExit,1))</f>
        <v>151896.56873693925</v>
      </c>
      <c r="CJ18" s="78">
        <f>'Operating Calculations'!CH71*(CJ$6&lt;=MAX(YrOfExit,1))</f>
        <v>152271.18665293182</v>
      </c>
      <c r="CK18" s="78">
        <f>'Operating Calculations'!CI71*(CK$6&lt;=MAX(YrOfExit,1))</f>
        <v>152646.72847776677</v>
      </c>
      <c r="CL18" s="78">
        <f>'Operating Calculations'!CJ71*(CL$6&lt;=MAX(YrOfExit,1))</f>
        <v>153023.19649005253</v>
      </c>
      <c r="CM18" s="78">
        <f>'Operating Calculations'!CK71*(CM$6&lt;=MAX(YrOfExit,1))</f>
        <v>153400.59297401726</v>
      </c>
      <c r="CN18" s="78">
        <f>'Operating Calculations'!CL71*(CN$6&lt;=MAX(YrOfExit,1))</f>
        <v>153778.92021952252</v>
      </c>
      <c r="CO18" s="78">
        <f>'Operating Calculations'!CM71*(CO$6&lt;=MAX(YrOfExit,1))</f>
        <v>154158.18052207743</v>
      </c>
      <c r="CP18" s="78">
        <f>'Operating Calculations'!CN71*(CP$6&lt;=MAX(YrOfExit,1))</f>
        <v>154538.37618285237</v>
      </c>
      <c r="CQ18" s="78">
        <f>'Operating Calculations'!CO71*(CQ$6&lt;=MAX(YrOfExit,1))</f>
        <v>154919.50950869304</v>
      </c>
      <c r="CR18" s="78">
        <f>'Operating Calculations'!CP71*(CR$6&lt;=MAX(YrOfExit,1))</f>
        <v>155301.58281213444</v>
      </c>
      <c r="CS18" s="78">
        <f>'Operating Calculations'!CQ71*(CS$6&lt;=MAX(YrOfExit,1))</f>
        <v>155684.59841141492</v>
      </c>
      <c r="CT18" s="78">
        <f>'Operating Calculations'!CR71*(CT$6&lt;=MAX(YrOfExit,1))</f>
        <v>156068.55863049021</v>
      </c>
      <c r="CU18" s="78">
        <f>'Operating Calculations'!CS71*(CU$6&lt;=MAX(YrOfExit,1))</f>
        <v>156453.46579904761</v>
      </c>
      <c r="CV18" s="78">
        <f>'Operating Calculations'!CT71*(CV$6&lt;=MAX(YrOfExit,1))</f>
        <v>156839.32225251995</v>
      </c>
      <c r="CW18" s="78">
        <f>'Operating Calculations'!CU71*(CW$6&lt;=MAX(YrOfExit,1))</f>
        <v>157226.13033209991</v>
      </c>
      <c r="CX18" s="78">
        <f>'Operating Calculations'!CV71*(CX$6&lt;=MAX(YrOfExit,1))</f>
        <v>157613.89238475426</v>
      </c>
      <c r="CY18" s="78">
        <f>'Operating Calculations'!CW71*(CY$6&lt;=MAX(YrOfExit,1))</f>
        <v>158002.6107632379</v>
      </c>
      <c r="CZ18" s="78">
        <f>'Operating Calculations'!CX71*(CZ$6&lt;=MAX(YrOfExit,1))</f>
        <v>0</v>
      </c>
      <c r="DA18" s="78">
        <f>'Operating Calculations'!CY71*(DA$6&lt;=MAX(YrOfExit,1))</f>
        <v>0</v>
      </c>
      <c r="DB18" s="78">
        <f>'Operating Calculations'!CZ71*(DB$6&lt;=MAX(YrOfExit,1))</f>
        <v>0</v>
      </c>
      <c r="DC18" s="78">
        <f>'Operating Calculations'!DA71*(DC$6&lt;=MAX(YrOfExit,1))</f>
        <v>0</v>
      </c>
      <c r="DD18" s="78">
        <f>'Operating Calculations'!DB71*(DD$6&lt;=MAX(YrOfExit,1))</f>
        <v>0</v>
      </c>
      <c r="DE18" s="78">
        <f>'Operating Calculations'!DC71*(DE$6&lt;=MAX(YrOfExit,1))</f>
        <v>0</v>
      </c>
      <c r="DF18" s="78">
        <f>'Operating Calculations'!DD71*(DF$6&lt;=MAX(YrOfExit,1))</f>
        <v>0</v>
      </c>
      <c r="DG18" s="78">
        <f>'Operating Calculations'!DE71*(DG$6&lt;=MAX(YrOfExit,1))</f>
        <v>0</v>
      </c>
      <c r="DH18" s="78">
        <f>'Operating Calculations'!DF71*(DH$6&lt;=MAX(YrOfExit,1))</f>
        <v>0</v>
      </c>
      <c r="DI18" s="78">
        <f>'Operating Calculations'!DG71*(DI$6&lt;=MAX(YrOfExit,1))</f>
        <v>0</v>
      </c>
      <c r="DJ18" s="78">
        <f>'Operating Calculations'!DH71*(DJ$6&lt;=MAX(YrOfExit,1))</f>
        <v>0</v>
      </c>
      <c r="DK18" s="78">
        <f>'Operating Calculations'!DI71*(DK$6&lt;=MAX(YrOfExit,1))</f>
        <v>0</v>
      </c>
      <c r="DL18" s="78">
        <f>'Operating Calculations'!DJ71*(DL$6&lt;=MAX(YrOfExit,1))</f>
        <v>0</v>
      </c>
      <c r="DM18" s="78">
        <f>'Operating Calculations'!DK71*(DM$6&lt;=MAX(YrOfExit,1))</f>
        <v>0</v>
      </c>
      <c r="DN18" s="78">
        <f>'Operating Calculations'!DL71*(DN$6&lt;=MAX(YrOfExit,1))</f>
        <v>0</v>
      </c>
      <c r="DO18" s="78">
        <f>'Operating Calculations'!DM71*(DO$6&lt;=MAX(YrOfExit,1))</f>
        <v>0</v>
      </c>
      <c r="DP18" s="78">
        <f>'Operating Calculations'!DN71*(DP$6&lt;=MAX(YrOfExit,1))</f>
        <v>0</v>
      </c>
      <c r="DQ18" s="78">
        <f>'Operating Calculations'!DO71*(DQ$6&lt;=MAX(YrOfExit,1))</f>
        <v>0</v>
      </c>
      <c r="DR18" s="78">
        <f>'Operating Calculations'!DP71*(DR$6&lt;=MAX(YrOfExit,1))</f>
        <v>0</v>
      </c>
      <c r="DS18" s="78">
        <f>'Operating Calculations'!DQ71*(DS$6&lt;=MAX(YrOfExit,1))</f>
        <v>0</v>
      </c>
      <c r="DT18" s="78">
        <f>'Operating Calculations'!DR71*(DT$6&lt;=MAX(YrOfExit,1))</f>
        <v>0</v>
      </c>
      <c r="DU18" s="78">
        <f>'Operating Calculations'!DS71*(DU$6&lt;=MAX(YrOfExit,1))</f>
        <v>0</v>
      </c>
      <c r="DV18" s="78">
        <f>'Operating Calculations'!DT71*(DV$6&lt;=MAX(YrOfExit,1))</f>
        <v>0</v>
      </c>
      <c r="DW18" s="78">
        <f>'Operating Calculations'!DU71*(DW$6&lt;=MAX(YrOfExit,1))</f>
        <v>0</v>
      </c>
      <c r="DX18" s="78">
        <f>'Operating Calculations'!DV71*(DX$6&lt;=MAX(YrOfExit,1))</f>
        <v>0</v>
      </c>
      <c r="DY18" s="78">
        <f>'Operating Calculations'!DW71*(DY$6&lt;=MAX(YrOfExit,1))</f>
        <v>0</v>
      </c>
      <c r="DZ18" s="78">
        <f>'Operating Calculations'!DX71*(DZ$6&lt;=MAX(YrOfExit,1))</f>
        <v>0</v>
      </c>
      <c r="EA18" s="78">
        <f>'Operating Calculations'!DY71*(EA$6&lt;=MAX(YrOfExit,1))</f>
        <v>0</v>
      </c>
      <c r="EB18" s="78">
        <f>'Operating Calculations'!DZ71*(EB$6&lt;=MAX(YrOfExit,1))</f>
        <v>0</v>
      </c>
      <c r="EC18" s="78">
        <f>'Operating Calculations'!EA71*(EC$6&lt;=MAX(YrOfExit,1))</f>
        <v>0</v>
      </c>
      <c r="ED18" s="78">
        <f>'Operating Calculations'!EB71*(ED$6&lt;=MAX(YrOfExit,1))</f>
        <v>0</v>
      </c>
      <c r="EE18" s="78">
        <f>'Operating Calculations'!EC71*(EE$6&lt;=MAX(YrOfExit,1))</f>
        <v>0</v>
      </c>
      <c r="EF18" s="78">
        <f>'Operating Calculations'!ED71*(EF$6&lt;=MAX(YrOfExit,1))</f>
        <v>0</v>
      </c>
      <c r="EG18" s="78">
        <f>'Operating Calculations'!EE71*(EG$6&lt;=MAX(YrOfExit,1))</f>
        <v>0</v>
      </c>
      <c r="EH18" s="78">
        <f>'Operating Calculations'!EF71*(EH$6&lt;=MAX(YrOfExit,1))</f>
        <v>0</v>
      </c>
      <c r="EI18" s="78">
        <f>'Operating Calculations'!EG71*(EI$6&lt;=MAX(YrOfExit,1))</f>
        <v>0</v>
      </c>
    </row>
    <row r="19" spans="2:139">
      <c r="B19" s="32" t="s">
        <v>118</v>
      </c>
      <c r="C19" s="32"/>
      <c r="D19" s="78"/>
      <c r="E19" s="78">
        <f t="shared" si="15"/>
        <v>-88190.520000000062</v>
      </c>
      <c r="F19" s="78">
        <f t="shared" si="15"/>
        <v>-56727.380728264012</v>
      </c>
      <c r="G19" s="78">
        <f t="shared" si="15"/>
        <v>-24929.860137907366</v>
      </c>
      <c r="H19" s="78">
        <f t="shared" si="15"/>
        <v>-17118.50396136308</v>
      </c>
      <c r="I19" s="78">
        <f t="shared" si="15"/>
        <v>-8816.0295401019921</v>
      </c>
      <c r="J19" s="78">
        <f t="shared" si="15"/>
        <v>-9080.5104263050598</v>
      </c>
      <c r="K19" s="78">
        <f t="shared" si="15"/>
        <v>-9352.9257390942239</v>
      </c>
      <c r="L19" s="78">
        <f t="shared" si="15"/>
        <v>0</v>
      </c>
      <c r="M19" s="78">
        <f t="shared" si="15"/>
        <v>0</v>
      </c>
      <c r="N19" s="78">
        <f t="shared" si="15"/>
        <v>0</v>
      </c>
      <c r="O19" s="842">
        <f>SUM(D19:N19)</f>
        <v>-214215.73053303582</v>
      </c>
      <c r="Q19" s="78">
        <f>'Operating Calculations'!O75</f>
        <v>-9633.5135112670596</v>
      </c>
      <c r="S19" s="78"/>
      <c r="T19" s="78">
        <f>'Operating Calculations'!R75*(T$6&lt;=MAX(YrOfExit,1))</f>
        <v>-7349.2100000000037</v>
      </c>
      <c r="U19" s="78">
        <f>'Operating Calculations'!S75*(U$6&lt;=MAX(YrOfExit,1))</f>
        <v>-7349.2100000000037</v>
      </c>
      <c r="V19" s="78">
        <f>'Operating Calculations'!T75*(V$6&lt;=MAX(YrOfExit,1))</f>
        <v>-7349.2100000000037</v>
      </c>
      <c r="W19" s="78">
        <f>'Operating Calculations'!U75*(W$6&lt;=MAX(YrOfExit,1))</f>
        <v>-7349.2100000000037</v>
      </c>
      <c r="X19" s="78">
        <f>'Operating Calculations'!V75*(X$6&lt;=MAX(YrOfExit,1))</f>
        <v>-7349.2100000000037</v>
      </c>
      <c r="Y19" s="78">
        <f>'Operating Calculations'!W75*(Y$6&lt;=MAX(YrOfExit,1))</f>
        <v>-7349.2100000000037</v>
      </c>
      <c r="Z19" s="78">
        <f>'Operating Calculations'!X75*(Z$6&lt;=MAX(YrOfExit,1))</f>
        <v>-7349.2100000000037</v>
      </c>
      <c r="AA19" s="78">
        <f>'Operating Calculations'!Y75*(AA$6&lt;=MAX(YrOfExit,1))</f>
        <v>-7349.2100000000037</v>
      </c>
      <c r="AB19" s="78">
        <f>'Operating Calculations'!Z75*(AB$6&lt;=MAX(YrOfExit,1))</f>
        <v>-7349.2100000000037</v>
      </c>
      <c r="AC19" s="78">
        <f>'Operating Calculations'!AA75*(AC$6&lt;=MAX(YrOfExit,1))</f>
        <v>-7349.2100000000037</v>
      </c>
      <c r="AD19" s="78">
        <f>'Operating Calculations'!AB75*(AD$6&lt;=MAX(YrOfExit,1))</f>
        <v>-7349.2100000000037</v>
      </c>
      <c r="AE19" s="78">
        <f>'Operating Calculations'!AC75*(AE$6&lt;=MAX(YrOfExit,1))</f>
        <v>-7349.2100000000037</v>
      </c>
      <c r="AF19" s="78">
        <f>'Operating Calculations'!AD75*(AF$6&lt;=MAX(YrOfExit,1))</f>
        <v>-4684.4940658853839</v>
      </c>
      <c r="AG19" s="78">
        <f>'Operating Calculations'!AE75*(AG$6&lt;=MAX(YrOfExit,1))</f>
        <v>-4692.2308886935562</v>
      </c>
      <c r="AH19" s="78">
        <f>'Operating Calculations'!AF75*(AH$6&lt;=MAX(YrOfExit,1))</f>
        <v>-4699.9804894936151</v>
      </c>
      <c r="AI19" s="78">
        <f>'Operating Calculations'!AG75*(AI$6&lt;=MAX(YrOfExit,1))</f>
        <v>-4707.742889389453</v>
      </c>
      <c r="AJ19" s="78">
        <f>'Operating Calculations'!AH75*(AJ$6&lt;=MAX(YrOfExit,1))</f>
        <v>-4715.5181095198168</v>
      </c>
      <c r="AK19" s="78">
        <f>'Operating Calculations'!AI75*(AK$6&lt;=MAX(YrOfExit,1))</f>
        <v>-4723.3061710583643</v>
      </c>
      <c r="AL19" s="78">
        <f>'Operating Calculations'!AJ75*(AL$6&lt;=MAX(YrOfExit,1))</f>
        <v>-4731.1070952137306</v>
      </c>
      <c r="AM19" s="78">
        <f>'Operating Calculations'!AK75*(AM$6&lt;=MAX(YrOfExit,1))</f>
        <v>-4738.9209032295676</v>
      </c>
      <c r="AN19" s="78">
        <f>'Operating Calculations'!AL75*(AN$6&lt;=MAX(YrOfExit,1))</f>
        <v>-4746.7476163846213</v>
      </c>
      <c r="AO19" s="78">
        <f>'Operating Calculations'!AM75*(AO$6&lt;=MAX(YrOfExit,1))</f>
        <v>-4754.5872559927757</v>
      </c>
      <c r="AP19" s="78">
        <f>'Operating Calculations'!AN75*(AP$6&lt;=MAX(YrOfExit,1))</f>
        <v>-4762.4398434031209</v>
      </c>
      <c r="AQ19" s="78">
        <f>'Operating Calculations'!AO75*(AQ$6&lt;=MAX(YrOfExit,1))</f>
        <v>-4770.3054000000066</v>
      </c>
      <c r="AR19" s="78">
        <f>'Operating Calculations'!AP75*(AR$6&lt;=MAX(YrOfExit,1))</f>
        <v>-2049.4586828625784</v>
      </c>
      <c r="AS19" s="78">
        <f>'Operating Calculations'!AQ75*(AS$6&lt;=MAX(YrOfExit,1))</f>
        <v>-2054.5132008617079</v>
      </c>
      <c r="AT19" s="78">
        <f>'Operating Calculations'!AR75*(AT$6&lt;=MAX(YrOfExit,1))</f>
        <v>-2059.5801846657919</v>
      </c>
      <c r="AU19" s="78">
        <f>'Operating Calculations'!AS75*(AU$6&lt;=MAX(YrOfExit,1))</f>
        <v>-2064.659665018869</v>
      </c>
      <c r="AV19" s="78">
        <f>'Operating Calculations'!AT75*(AV$6&lt;=MAX(YrOfExit,1))</f>
        <v>-2069.7516727407997</v>
      </c>
      <c r="AW19" s="78">
        <f>'Operating Calculations'!AU75*(AW$6&lt;=MAX(YrOfExit,1))</f>
        <v>-2074.8562387274551</v>
      </c>
      <c r="AX19" s="78">
        <f>'Operating Calculations'!AV75*(AX$6&lt;=MAX(YrOfExit,1))</f>
        <v>-2079.9733939509047</v>
      </c>
      <c r="AY19" s="78">
        <f>'Operating Calculations'!AW75*(AY$6&lt;=MAX(YrOfExit,1))</f>
        <v>-2085.1031694596018</v>
      </c>
      <c r="AZ19" s="78">
        <f>'Operating Calculations'!AX75*(AZ$6&lt;=MAX(YrOfExit,1))</f>
        <v>-2090.2455963785746</v>
      </c>
      <c r="BA19" s="78">
        <f>'Operating Calculations'!AY75*(BA$6&lt;=MAX(YrOfExit,1))</f>
        <v>-2095.4007059096139</v>
      </c>
      <c r="BB19" s="78">
        <f>'Operating Calculations'!AZ75*(BB$6&lt;=MAX(YrOfExit,1))</f>
        <v>-2100.5685293314623</v>
      </c>
      <c r="BC19" s="78">
        <f>'Operating Calculations'!BA75*(BC$6&lt;=MAX(YrOfExit,1))</f>
        <v>-2105.7490980000052</v>
      </c>
      <c r="BD19" s="78">
        <f>'Operating Calculations'!BB75*(BD$6&lt;=MAX(YrOfExit,1))</f>
        <v>-1407.2949622323056</v>
      </c>
      <c r="BE19" s="78">
        <f>'Operating Calculations'!BC75*(BE$6&lt;=MAX(YrOfExit,1))</f>
        <v>-1410.7657312583747</v>
      </c>
      <c r="BF19" s="78">
        <f>'Operating Calculations'!BD75*(BF$6&lt;=MAX(YrOfExit,1))</f>
        <v>-1414.2450601371788</v>
      </c>
      <c r="BG19" s="78">
        <f>'Operating Calculations'!BE75*(BG$6&lt;=MAX(YrOfExit,1))</f>
        <v>-1417.7329699796248</v>
      </c>
      <c r="BH19" s="78">
        <f>'Operating Calculations'!BF75*(BH$6&lt;=MAX(YrOfExit,1))</f>
        <v>-1421.2294819486842</v>
      </c>
      <c r="BI19" s="78">
        <f>'Operating Calculations'!BG75*(BI$6&lt;=MAX(YrOfExit,1))</f>
        <v>-1424.734617259521</v>
      </c>
      <c r="BJ19" s="78">
        <f>'Operating Calculations'!BH75*(BJ$6&lt;=MAX(YrOfExit,1))</f>
        <v>-1428.2483971796225</v>
      </c>
      <c r="BK19" s="78">
        <f>'Operating Calculations'!BI75*(BK$6&lt;=MAX(YrOfExit,1))</f>
        <v>-1431.7708430289279</v>
      </c>
      <c r="BL19" s="78">
        <f>'Operating Calculations'!BJ75*(BL$6&lt;=MAX(YrOfExit,1))</f>
        <v>-1435.3019761799562</v>
      </c>
      <c r="BM19" s="78">
        <f>'Operating Calculations'!BK75*(BM$6&lt;=MAX(YrOfExit,1))</f>
        <v>-1438.8418180579367</v>
      </c>
      <c r="BN19" s="78">
        <f>'Operating Calculations'!BL75*(BN$6&lt;=MAX(YrOfExit,1))</f>
        <v>-1442.3903901409392</v>
      </c>
      <c r="BO19" s="78">
        <f>'Operating Calculations'!BM75*(BO$6&lt;=MAX(YrOfExit,1))</f>
        <v>-1445.9477139600053</v>
      </c>
      <c r="BP19" s="78">
        <f>'Operating Calculations'!BN75*(BP$6&lt;=MAX(YrOfExit,1))</f>
        <v>-724.75690554963819</v>
      </c>
      <c r="BQ19" s="78">
        <f>'Operating Calculations'!BO75*(BQ$6&lt;=MAX(YrOfExit,1))</f>
        <v>-726.54435159806371</v>
      </c>
      <c r="BR19" s="78">
        <f>'Operating Calculations'!BP75*(BR$6&lt;=MAX(YrOfExit,1))</f>
        <v>-728.33620597064782</v>
      </c>
      <c r="BS19" s="78">
        <f>'Operating Calculations'!BQ75*(BS$6&lt;=MAX(YrOfExit,1))</f>
        <v>-730.13247953950759</v>
      </c>
      <c r="BT19" s="78">
        <f>'Operating Calculations'!BR75*(BT$6&lt;=MAX(YrOfExit,1))</f>
        <v>-731.93318320357298</v>
      </c>
      <c r="BU19" s="78">
        <f>'Operating Calculations'!BS75*(BU$6&lt;=MAX(YrOfExit,1))</f>
        <v>-733.738327888654</v>
      </c>
      <c r="BV19" s="78">
        <f>'Operating Calculations'!BT75*(BV$6&lt;=MAX(YrOfExit,1))</f>
        <v>-735.54792454750657</v>
      </c>
      <c r="BW19" s="78">
        <f>'Operating Calculations'!BU75*(BW$6&lt;=MAX(YrOfExit,1))</f>
        <v>-737.36198415989873</v>
      </c>
      <c r="BX19" s="78">
        <f>'Operating Calculations'!BV75*(BX$6&lt;=MAX(YrOfExit,1))</f>
        <v>-739.18051773267814</v>
      </c>
      <c r="BY19" s="78">
        <f>'Operating Calculations'!BW75*(BY$6&lt;=MAX(YrOfExit,1))</f>
        <v>-741.00353629983806</v>
      </c>
      <c r="BZ19" s="78">
        <f>'Operating Calculations'!BX75*(BZ$6&lt;=MAX(YrOfExit,1))</f>
        <v>-742.83105092258461</v>
      </c>
      <c r="CA19" s="78">
        <f>'Operating Calculations'!BY75*(CA$6&lt;=MAX(YrOfExit,1))</f>
        <v>-744.66307268940341</v>
      </c>
      <c r="CB19" s="78">
        <f>'Operating Calculations'!BZ75*(CB$6&lt;=MAX(YrOfExit,1))</f>
        <v>-746.49961271612801</v>
      </c>
      <c r="CC19" s="78">
        <f>'Operating Calculations'!CA75*(CC$6&lt;=MAX(YrOfExit,1))</f>
        <v>-748.3406821460062</v>
      </c>
      <c r="CD19" s="78">
        <f>'Operating Calculations'!CB75*(CD$6&lt;=MAX(YrOfExit,1))</f>
        <v>-750.18629214976795</v>
      </c>
      <c r="CE19" s="78">
        <f>'Operating Calculations'!CC75*(CE$6&lt;=MAX(YrOfExit,1))</f>
        <v>-752.03645392569354</v>
      </c>
      <c r="CF19" s="78">
        <f>'Operating Calculations'!CD75*(CF$6&lt;=MAX(YrOfExit,1))</f>
        <v>-753.89117869968095</v>
      </c>
      <c r="CG19" s="78">
        <f>'Operating Calculations'!CE75*(CG$6&lt;=MAX(YrOfExit,1))</f>
        <v>-755.75047772531423</v>
      </c>
      <c r="CH19" s="78">
        <f>'Operating Calculations'!CF75*(CH$6&lt;=MAX(YrOfExit,1))</f>
        <v>-757.61436228393234</v>
      </c>
      <c r="CI19" s="78">
        <f>'Operating Calculations'!CG75*(CI$6&lt;=MAX(YrOfExit,1))</f>
        <v>-759.48284368469626</v>
      </c>
      <c r="CJ19" s="78">
        <f>'Operating Calculations'!CH75*(CJ$6&lt;=MAX(YrOfExit,1))</f>
        <v>-761.35593326465914</v>
      </c>
      <c r="CK19" s="78">
        <f>'Operating Calculations'!CI75*(CK$6&lt;=MAX(YrOfExit,1))</f>
        <v>-763.2336423888338</v>
      </c>
      <c r="CL19" s="78">
        <f>'Operating Calculations'!CJ75*(CL$6&lt;=MAX(YrOfExit,1))</f>
        <v>-765.11598245026266</v>
      </c>
      <c r="CM19" s="78">
        <f>'Operating Calculations'!CK75*(CM$6&lt;=MAX(YrOfExit,1))</f>
        <v>-767.00296487008632</v>
      </c>
      <c r="CN19" s="78">
        <f>'Operating Calculations'!CL75*(CN$6&lt;=MAX(YrOfExit,1))</f>
        <v>-768.89460109761262</v>
      </c>
      <c r="CO19" s="78">
        <f>'Operating Calculations'!CM75*(CO$6&lt;=MAX(YrOfExit,1))</f>
        <v>-770.79090261038709</v>
      </c>
      <c r="CP19" s="78">
        <f>'Operating Calculations'!CN75*(CP$6&lt;=MAX(YrOfExit,1))</f>
        <v>-772.6918809142619</v>
      </c>
      <c r="CQ19" s="78">
        <f>'Operating Calculations'!CO75*(CQ$6&lt;=MAX(YrOfExit,1))</f>
        <v>-774.59754754346523</v>
      </c>
      <c r="CR19" s="78">
        <f>'Operating Calculations'!CP75*(CR$6&lt;=MAX(YrOfExit,1))</f>
        <v>-776.50791406067219</v>
      </c>
      <c r="CS19" s="78">
        <f>'Operating Calculations'!CQ75*(CS$6&lt;=MAX(YrOfExit,1))</f>
        <v>-778.42299205707457</v>
      </c>
      <c r="CT19" s="78">
        <f>'Operating Calculations'!CR75*(CT$6&lt;=MAX(YrOfExit,1))</f>
        <v>-780.34279315245112</v>
      </c>
      <c r="CU19" s="78">
        <f>'Operating Calculations'!CS75*(CU$6&lt;=MAX(YrOfExit,1))</f>
        <v>-782.26732899523813</v>
      </c>
      <c r="CV19" s="78">
        <f>'Operating Calculations'!CT75*(CV$6&lt;=MAX(YrOfExit,1))</f>
        <v>-784.19661126259973</v>
      </c>
      <c r="CW19" s="78">
        <f>'Operating Calculations'!CU75*(CW$6&lt;=MAX(YrOfExit,1))</f>
        <v>-786.13065166049955</v>
      </c>
      <c r="CX19" s="78">
        <f>'Operating Calculations'!CV75*(CX$6&lt;=MAX(YrOfExit,1))</f>
        <v>-788.06946192377131</v>
      </c>
      <c r="CY19" s="78">
        <f>'Operating Calculations'!CW75*(CY$6&lt;=MAX(YrOfExit,1))</f>
        <v>-790.01305381618954</v>
      </c>
      <c r="CZ19" s="78">
        <f>'Operating Calculations'!CX75*(CZ$6&lt;=MAX(YrOfExit,1))</f>
        <v>0</v>
      </c>
      <c r="DA19" s="78">
        <f>'Operating Calculations'!CY75*(DA$6&lt;=MAX(YrOfExit,1))</f>
        <v>0</v>
      </c>
      <c r="DB19" s="78">
        <f>'Operating Calculations'!CZ75*(DB$6&lt;=MAX(YrOfExit,1))</f>
        <v>0</v>
      </c>
      <c r="DC19" s="78">
        <f>'Operating Calculations'!DA75*(DC$6&lt;=MAX(YrOfExit,1))</f>
        <v>0</v>
      </c>
      <c r="DD19" s="78">
        <f>'Operating Calculations'!DB75*(DD$6&lt;=MAX(YrOfExit,1))</f>
        <v>0</v>
      </c>
      <c r="DE19" s="78">
        <f>'Operating Calculations'!DC75*(DE$6&lt;=MAX(YrOfExit,1))</f>
        <v>0</v>
      </c>
      <c r="DF19" s="78">
        <f>'Operating Calculations'!DD75*(DF$6&lt;=MAX(YrOfExit,1))</f>
        <v>0</v>
      </c>
      <c r="DG19" s="78">
        <f>'Operating Calculations'!DE75*(DG$6&lt;=MAX(YrOfExit,1))</f>
        <v>0</v>
      </c>
      <c r="DH19" s="78">
        <f>'Operating Calculations'!DF75*(DH$6&lt;=MAX(YrOfExit,1))</f>
        <v>0</v>
      </c>
      <c r="DI19" s="78">
        <f>'Operating Calculations'!DG75*(DI$6&lt;=MAX(YrOfExit,1))</f>
        <v>0</v>
      </c>
      <c r="DJ19" s="78">
        <f>'Operating Calculations'!DH75*(DJ$6&lt;=MAX(YrOfExit,1))</f>
        <v>0</v>
      </c>
      <c r="DK19" s="78">
        <f>'Operating Calculations'!DI75*(DK$6&lt;=MAX(YrOfExit,1))</f>
        <v>0</v>
      </c>
      <c r="DL19" s="78">
        <f>'Operating Calculations'!DJ75*(DL$6&lt;=MAX(YrOfExit,1))</f>
        <v>0</v>
      </c>
      <c r="DM19" s="78">
        <f>'Operating Calculations'!DK75*(DM$6&lt;=MAX(YrOfExit,1))</f>
        <v>0</v>
      </c>
      <c r="DN19" s="78">
        <f>'Operating Calculations'!DL75*(DN$6&lt;=MAX(YrOfExit,1))</f>
        <v>0</v>
      </c>
      <c r="DO19" s="78">
        <f>'Operating Calculations'!DM75*(DO$6&lt;=MAX(YrOfExit,1))</f>
        <v>0</v>
      </c>
      <c r="DP19" s="78">
        <f>'Operating Calculations'!DN75*(DP$6&lt;=MAX(YrOfExit,1))</f>
        <v>0</v>
      </c>
      <c r="DQ19" s="78">
        <f>'Operating Calculations'!DO75*(DQ$6&lt;=MAX(YrOfExit,1))</f>
        <v>0</v>
      </c>
      <c r="DR19" s="78">
        <f>'Operating Calculations'!DP75*(DR$6&lt;=MAX(YrOfExit,1))</f>
        <v>0</v>
      </c>
      <c r="DS19" s="78">
        <f>'Operating Calculations'!DQ75*(DS$6&lt;=MAX(YrOfExit,1))</f>
        <v>0</v>
      </c>
      <c r="DT19" s="78">
        <f>'Operating Calculations'!DR75*(DT$6&lt;=MAX(YrOfExit,1))</f>
        <v>0</v>
      </c>
      <c r="DU19" s="78">
        <f>'Operating Calculations'!DS75*(DU$6&lt;=MAX(YrOfExit,1))</f>
        <v>0</v>
      </c>
      <c r="DV19" s="78">
        <f>'Operating Calculations'!DT75*(DV$6&lt;=MAX(YrOfExit,1))</f>
        <v>0</v>
      </c>
      <c r="DW19" s="78">
        <f>'Operating Calculations'!DU75*(DW$6&lt;=MAX(YrOfExit,1))</f>
        <v>0</v>
      </c>
      <c r="DX19" s="78">
        <f>'Operating Calculations'!DV75*(DX$6&lt;=MAX(YrOfExit,1))</f>
        <v>0</v>
      </c>
      <c r="DY19" s="78">
        <f>'Operating Calculations'!DW75*(DY$6&lt;=MAX(YrOfExit,1))</f>
        <v>0</v>
      </c>
      <c r="DZ19" s="78">
        <f>'Operating Calculations'!DX75*(DZ$6&lt;=MAX(YrOfExit,1))</f>
        <v>0</v>
      </c>
      <c r="EA19" s="78">
        <f>'Operating Calculations'!DY75*(EA$6&lt;=MAX(YrOfExit,1))</f>
        <v>0</v>
      </c>
      <c r="EB19" s="78">
        <f>'Operating Calculations'!DZ75*(EB$6&lt;=MAX(YrOfExit,1))</f>
        <v>0</v>
      </c>
      <c r="EC19" s="78">
        <f>'Operating Calculations'!EA75*(EC$6&lt;=MAX(YrOfExit,1))</f>
        <v>0</v>
      </c>
      <c r="ED19" s="78">
        <f>'Operating Calculations'!EB75*(ED$6&lt;=MAX(YrOfExit,1))</f>
        <v>0</v>
      </c>
      <c r="EE19" s="78">
        <f>'Operating Calculations'!EC75*(EE$6&lt;=MAX(YrOfExit,1))</f>
        <v>0</v>
      </c>
      <c r="EF19" s="78">
        <f>'Operating Calculations'!ED75*(EF$6&lt;=MAX(YrOfExit,1))</f>
        <v>0</v>
      </c>
      <c r="EG19" s="78">
        <f>'Operating Calculations'!EE75*(EG$6&lt;=MAX(YrOfExit,1))</f>
        <v>0</v>
      </c>
      <c r="EH19" s="78">
        <f>'Operating Calculations'!EF75*(EH$6&lt;=MAX(YrOfExit,1))</f>
        <v>0</v>
      </c>
      <c r="EI19" s="78">
        <f>'Operating Calculations'!EG75*(EI$6&lt;=MAX(YrOfExit,1))</f>
        <v>0</v>
      </c>
    </row>
    <row r="20" spans="2:139">
      <c r="B20" s="46" t="s">
        <v>119</v>
      </c>
      <c r="C20" s="46"/>
      <c r="D20" s="169"/>
      <c r="E20" s="694">
        <f t="shared" ref="E20:O20" si="16">SUBTOTAL(9,E18:E19)</f>
        <v>1515273.4800000002</v>
      </c>
      <c r="F20" s="694">
        <f t="shared" si="16"/>
        <v>1564054.9257935644</v>
      </c>
      <c r="G20" s="694">
        <f t="shared" si="16"/>
        <v>1637060.8157225838</v>
      </c>
      <c r="H20" s="694">
        <f t="shared" si="16"/>
        <v>1694731.8921749445</v>
      </c>
      <c r="I20" s="694">
        <f t="shared" si="16"/>
        <v>1754389.8784802968</v>
      </c>
      <c r="J20" s="694">
        <f t="shared" si="16"/>
        <v>1807021.5748347074</v>
      </c>
      <c r="K20" s="694">
        <f t="shared" si="16"/>
        <v>1861232.2220797502</v>
      </c>
      <c r="L20" s="694">
        <f t="shared" si="16"/>
        <v>0</v>
      </c>
      <c r="M20" s="694">
        <f t="shared" si="16"/>
        <v>0</v>
      </c>
      <c r="N20" s="694">
        <f t="shared" si="16"/>
        <v>0</v>
      </c>
      <c r="O20" s="91">
        <f t="shared" si="16"/>
        <v>11833764.789085848</v>
      </c>
      <c r="Q20" s="694">
        <f>SUBTOTAL(9,Q18:Q19)</f>
        <v>1917069.1887421447</v>
      </c>
      <c r="S20" s="694"/>
      <c r="T20" s="694">
        <f t="shared" ref="T20:AY20" si="17">SUBTOTAL(9,T18:T19)</f>
        <v>126272.79000000005</v>
      </c>
      <c r="U20" s="694">
        <f t="shared" si="17"/>
        <v>126272.79000000005</v>
      </c>
      <c r="V20" s="694">
        <f t="shared" si="17"/>
        <v>126272.79000000005</v>
      </c>
      <c r="W20" s="694">
        <f t="shared" si="17"/>
        <v>126272.79000000005</v>
      </c>
      <c r="X20" s="694">
        <f t="shared" si="17"/>
        <v>126272.79000000005</v>
      </c>
      <c r="Y20" s="694">
        <f t="shared" si="17"/>
        <v>126272.79000000005</v>
      </c>
      <c r="Z20" s="694">
        <f t="shared" si="17"/>
        <v>126272.79000000005</v>
      </c>
      <c r="AA20" s="694">
        <f t="shared" si="17"/>
        <v>126272.79000000005</v>
      </c>
      <c r="AB20" s="694">
        <f t="shared" si="17"/>
        <v>126272.79000000005</v>
      </c>
      <c r="AC20" s="694">
        <f t="shared" si="17"/>
        <v>126272.79000000005</v>
      </c>
      <c r="AD20" s="694">
        <f t="shared" si="17"/>
        <v>126272.79000000005</v>
      </c>
      <c r="AE20" s="694">
        <f t="shared" si="17"/>
        <v>126272.79000000005</v>
      </c>
      <c r="AF20" s="694">
        <f t="shared" si="17"/>
        <v>129158.19353083985</v>
      </c>
      <c r="AG20" s="694">
        <f t="shared" si="17"/>
        <v>129371.50878826519</v>
      </c>
      <c r="AH20" s="694">
        <f t="shared" si="17"/>
        <v>129585.1763531811</v>
      </c>
      <c r="AI20" s="694">
        <f t="shared" si="17"/>
        <v>129799.19680745204</v>
      </c>
      <c r="AJ20" s="694">
        <f t="shared" si="17"/>
        <v>130013.5707339035</v>
      </c>
      <c r="AK20" s="694">
        <f t="shared" si="17"/>
        <v>130228.29871632348</v>
      </c>
      <c r="AL20" s="694">
        <f t="shared" si="17"/>
        <v>130443.38133946428</v>
      </c>
      <c r="AM20" s="694">
        <f t="shared" si="17"/>
        <v>130658.81918904377</v>
      </c>
      <c r="AN20" s="694">
        <f t="shared" si="17"/>
        <v>130874.6128517474</v>
      </c>
      <c r="AO20" s="694">
        <f t="shared" si="17"/>
        <v>131090.76291522937</v>
      </c>
      <c r="AP20" s="694">
        <f t="shared" si="17"/>
        <v>131307.26996811462</v>
      </c>
      <c r="AQ20" s="694">
        <f t="shared" si="17"/>
        <v>131524.13460000016</v>
      </c>
      <c r="AR20" s="694">
        <f t="shared" si="17"/>
        <v>134581.12017464265</v>
      </c>
      <c r="AS20" s="694">
        <f t="shared" si="17"/>
        <v>134913.03352325215</v>
      </c>
      <c r="AT20" s="694">
        <f t="shared" si="17"/>
        <v>135245.76545972034</v>
      </c>
      <c r="AU20" s="694">
        <f t="shared" si="17"/>
        <v>135579.31800290573</v>
      </c>
      <c r="AV20" s="694">
        <f t="shared" si="17"/>
        <v>135913.69317664584</v>
      </c>
      <c r="AW20" s="694">
        <f t="shared" si="17"/>
        <v>136248.89300976956</v>
      </c>
      <c r="AX20" s="694">
        <f t="shared" si="17"/>
        <v>136584.9195361094</v>
      </c>
      <c r="AY20" s="694">
        <f t="shared" si="17"/>
        <v>136921.77479451385</v>
      </c>
      <c r="AZ20" s="694">
        <f t="shared" ref="AZ20:CE20" si="18">SUBTOTAL(9,AZ18:AZ19)</f>
        <v>137259.46082885974</v>
      </c>
      <c r="BA20" s="694">
        <f t="shared" si="18"/>
        <v>137597.97968806463</v>
      </c>
      <c r="BB20" s="694">
        <f t="shared" si="18"/>
        <v>137937.33342609936</v>
      </c>
      <c r="BC20" s="694">
        <f t="shared" si="18"/>
        <v>138277.52410200035</v>
      </c>
      <c r="BD20" s="694">
        <f t="shared" si="18"/>
        <v>139322.20126099826</v>
      </c>
      <c r="BE20" s="694">
        <f t="shared" si="18"/>
        <v>139665.80739457908</v>
      </c>
      <c r="BF20" s="694">
        <f t="shared" si="18"/>
        <v>140010.2609535807</v>
      </c>
      <c r="BG20" s="694">
        <f t="shared" si="18"/>
        <v>140355.56402798285</v>
      </c>
      <c r="BH20" s="694">
        <f t="shared" si="18"/>
        <v>140701.71871291974</v>
      </c>
      <c r="BI20" s="694">
        <f t="shared" si="18"/>
        <v>141048.72710869258</v>
      </c>
      <c r="BJ20" s="694">
        <f t="shared" si="18"/>
        <v>141396.59132078264</v>
      </c>
      <c r="BK20" s="694">
        <f t="shared" si="18"/>
        <v>141745.31345986386</v>
      </c>
      <c r="BL20" s="694">
        <f t="shared" si="18"/>
        <v>142094.89564181564</v>
      </c>
      <c r="BM20" s="694">
        <f t="shared" si="18"/>
        <v>142445.33998773573</v>
      </c>
      <c r="BN20" s="694">
        <f t="shared" si="18"/>
        <v>142796.64862395299</v>
      </c>
      <c r="BO20" s="694">
        <f t="shared" si="18"/>
        <v>143148.82368204053</v>
      </c>
      <c r="BP20" s="694">
        <f t="shared" si="18"/>
        <v>144226.62420437799</v>
      </c>
      <c r="BQ20" s="694">
        <f t="shared" si="18"/>
        <v>144582.32596801466</v>
      </c>
      <c r="BR20" s="694">
        <f t="shared" si="18"/>
        <v>144938.90498815893</v>
      </c>
      <c r="BS20" s="694">
        <f t="shared" si="18"/>
        <v>145296.363428362</v>
      </c>
      <c r="BT20" s="694">
        <f t="shared" si="18"/>
        <v>145654.70345751103</v>
      </c>
      <c r="BU20" s="694">
        <f t="shared" si="18"/>
        <v>146013.92724984215</v>
      </c>
      <c r="BV20" s="694">
        <f t="shared" si="18"/>
        <v>146374.0369849538</v>
      </c>
      <c r="BW20" s="694">
        <f t="shared" si="18"/>
        <v>146735.03484781986</v>
      </c>
      <c r="BX20" s="694">
        <f t="shared" si="18"/>
        <v>147096.92302880294</v>
      </c>
      <c r="BY20" s="694">
        <f t="shared" si="18"/>
        <v>147459.70372366777</v>
      </c>
      <c r="BZ20" s="694">
        <f t="shared" si="18"/>
        <v>147823.37913359434</v>
      </c>
      <c r="CA20" s="694">
        <f t="shared" si="18"/>
        <v>148187.95146519126</v>
      </c>
      <c r="CB20" s="694">
        <f t="shared" si="18"/>
        <v>148553.42293050949</v>
      </c>
      <c r="CC20" s="694">
        <f t="shared" si="18"/>
        <v>148919.79574705524</v>
      </c>
      <c r="CD20" s="694">
        <f t="shared" si="18"/>
        <v>149287.07213780383</v>
      </c>
      <c r="CE20" s="694">
        <f t="shared" si="18"/>
        <v>149655.25433121301</v>
      </c>
      <c r="CF20" s="694">
        <f t="shared" ref="CF20:DK20" si="19">SUBTOTAL(9,CF18:CF19)</f>
        <v>150024.3445612365</v>
      </c>
      <c r="CG20" s="694">
        <f t="shared" si="19"/>
        <v>150394.34506733753</v>
      </c>
      <c r="CH20" s="694">
        <f t="shared" si="19"/>
        <v>150765.25809450253</v>
      </c>
      <c r="CI20" s="694">
        <f t="shared" si="19"/>
        <v>151137.08589325455</v>
      </c>
      <c r="CJ20" s="694">
        <f t="shared" si="19"/>
        <v>151509.83071966717</v>
      </c>
      <c r="CK20" s="694">
        <f t="shared" si="19"/>
        <v>151883.49483537793</v>
      </c>
      <c r="CL20" s="694">
        <f t="shared" si="19"/>
        <v>152258.08050760228</v>
      </c>
      <c r="CM20" s="694">
        <f t="shared" si="19"/>
        <v>152633.59000914718</v>
      </c>
      <c r="CN20" s="694">
        <f t="shared" si="19"/>
        <v>153010.0256184249</v>
      </c>
      <c r="CO20" s="694">
        <f t="shared" si="19"/>
        <v>153387.38961946705</v>
      </c>
      <c r="CP20" s="694">
        <f t="shared" si="19"/>
        <v>153765.6843019381</v>
      </c>
      <c r="CQ20" s="694">
        <f t="shared" si="19"/>
        <v>154144.91196114957</v>
      </c>
      <c r="CR20" s="694">
        <f t="shared" si="19"/>
        <v>154525.07489807377</v>
      </c>
      <c r="CS20" s="694">
        <f t="shared" si="19"/>
        <v>154906.17541935784</v>
      </c>
      <c r="CT20" s="694">
        <f t="shared" si="19"/>
        <v>155288.21583733775</v>
      </c>
      <c r="CU20" s="694">
        <f t="shared" si="19"/>
        <v>155671.19847005236</v>
      </c>
      <c r="CV20" s="694">
        <f t="shared" si="19"/>
        <v>156055.12564125736</v>
      </c>
      <c r="CW20" s="694">
        <f t="shared" si="19"/>
        <v>156439.99968043942</v>
      </c>
      <c r="CX20" s="694">
        <f t="shared" si="19"/>
        <v>156825.8229228305</v>
      </c>
      <c r="CY20" s="694">
        <f t="shared" si="19"/>
        <v>157212.59770942171</v>
      </c>
      <c r="CZ20" s="694">
        <f t="shared" si="19"/>
        <v>0</v>
      </c>
      <c r="DA20" s="694">
        <f t="shared" si="19"/>
        <v>0</v>
      </c>
      <c r="DB20" s="694">
        <f t="shared" si="19"/>
        <v>0</v>
      </c>
      <c r="DC20" s="694">
        <f t="shared" si="19"/>
        <v>0</v>
      </c>
      <c r="DD20" s="694">
        <f t="shared" si="19"/>
        <v>0</v>
      </c>
      <c r="DE20" s="694">
        <f t="shared" si="19"/>
        <v>0</v>
      </c>
      <c r="DF20" s="694">
        <f t="shared" si="19"/>
        <v>0</v>
      </c>
      <c r="DG20" s="694">
        <f t="shared" si="19"/>
        <v>0</v>
      </c>
      <c r="DH20" s="694">
        <f t="shared" si="19"/>
        <v>0</v>
      </c>
      <c r="DI20" s="694">
        <f t="shared" si="19"/>
        <v>0</v>
      </c>
      <c r="DJ20" s="694">
        <f t="shared" si="19"/>
        <v>0</v>
      </c>
      <c r="DK20" s="694">
        <f t="shared" si="19"/>
        <v>0</v>
      </c>
      <c r="DL20" s="694">
        <f t="shared" ref="DL20:EQ20" si="20">SUBTOTAL(9,DL18:DL19)</f>
        <v>0</v>
      </c>
      <c r="DM20" s="694">
        <f t="shared" si="20"/>
        <v>0</v>
      </c>
      <c r="DN20" s="694">
        <f t="shared" si="20"/>
        <v>0</v>
      </c>
      <c r="DO20" s="694">
        <f t="shared" si="20"/>
        <v>0</v>
      </c>
      <c r="DP20" s="694">
        <f t="shared" si="20"/>
        <v>0</v>
      </c>
      <c r="DQ20" s="694">
        <f t="shared" si="20"/>
        <v>0</v>
      </c>
      <c r="DR20" s="694">
        <f t="shared" si="20"/>
        <v>0</v>
      </c>
      <c r="DS20" s="694">
        <f t="shared" si="20"/>
        <v>0</v>
      </c>
      <c r="DT20" s="694">
        <f t="shared" si="20"/>
        <v>0</v>
      </c>
      <c r="DU20" s="694">
        <f t="shared" si="20"/>
        <v>0</v>
      </c>
      <c r="DV20" s="694">
        <f t="shared" si="20"/>
        <v>0</v>
      </c>
      <c r="DW20" s="694">
        <f t="shared" si="20"/>
        <v>0</v>
      </c>
      <c r="DX20" s="694">
        <f t="shared" si="20"/>
        <v>0</v>
      </c>
      <c r="DY20" s="694">
        <f t="shared" si="20"/>
        <v>0</v>
      </c>
      <c r="DZ20" s="694">
        <f t="shared" si="20"/>
        <v>0</v>
      </c>
      <c r="EA20" s="694">
        <f t="shared" si="20"/>
        <v>0</v>
      </c>
      <c r="EB20" s="694">
        <f t="shared" si="20"/>
        <v>0</v>
      </c>
      <c r="EC20" s="694">
        <f t="shared" si="20"/>
        <v>0</v>
      </c>
      <c r="ED20" s="694">
        <f t="shared" si="20"/>
        <v>0</v>
      </c>
      <c r="EE20" s="694">
        <f t="shared" si="20"/>
        <v>0</v>
      </c>
      <c r="EF20" s="694">
        <f t="shared" si="20"/>
        <v>0</v>
      </c>
      <c r="EG20" s="694">
        <f t="shared" si="20"/>
        <v>0</v>
      </c>
      <c r="EH20" s="694">
        <f t="shared" si="20"/>
        <v>0</v>
      </c>
      <c r="EI20" s="694">
        <f t="shared" si="20"/>
        <v>0</v>
      </c>
    </row>
    <row r="21" spans="2:139">
      <c r="B21" s="32"/>
      <c r="C21" s="32"/>
      <c r="D21" s="78"/>
      <c r="E21" s="78"/>
      <c r="F21" s="78"/>
      <c r="G21" s="78"/>
      <c r="H21" s="78"/>
      <c r="I21" s="78"/>
      <c r="J21" s="78"/>
      <c r="K21" s="78"/>
      <c r="L21" s="78"/>
      <c r="M21" s="78"/>
      <c r="N21" s="78"/>
      <c r="O21" s="145"/>
      <c r="Q21" s="78"/>
      <c r="S21" s="78"/>
      <c r="T21" s="78"/>
      <c r="U21" s="78"/>
      <c r="V21" s="78"/>
      <c r="W21" s="78"/>
      <c r="X21" s="78"/>
      <c r="Y21" s="78"/>
      <c r="Z21" s="78"/>
      <c r="AA21" s="78"/>
      <c r="AB21" s="78"/>
      <c r="AC21" s="78"/>
      <c r="AD21" s="78"/>
      <c r="AE21" s="78"/>
      <c r="AF21" s="78"/>
      <c r="AG21" s="78"/>
      <c r="AH21" s="78"/>
      <c r="AI21" s="78"/>
      <c r="AJ21" s="78"/>
      <c r="AK21" s="78"/>
      <c r="AL21" s="78"/>
      <c r="AM21" s="78"/>
      <c r="AN21" s="78"/>
      <c r="AO21" s="78"/>
      <c r="AP21" s="78"/>
      <c r="AQ21" s="78"/>
      <c r="AR21" s="78"/>
      <c r="AS21" s="78"/>
      <c r="AT21" s="78"/>
      <c r="AU21" s="78"/>
      <c r="AV21" s="78"/>
      <c r="AW21" s="78"/>
      <c r="AX21" s="78"/>
      <c r="AY21" s="78"/>
      <c r="AZ21" s="78"/>
      <c r="BA21" s="78"/>
      <c r="BB21" s="78"/>
      <c r="BC21" s="78"/>
      <c r="BD21" s="78"/>
      <c r="BE21" s="78"/>
      <c r="BF21" s="78"/>
      <c r="BG21" s="78"/>
      <c r="BH21" s="78"/>
      <c r="BI21" s="78"/>
      <c r="BJ21" s="78"/>
      <c r="BK21" s="78"/>
      <c r="BL21" s="78"/>
      <c r="BM21" s="78"/>
      <c r="BN21" s="78"/>
      <c r="BO21" s="78"/>
      <c r="BP21" s="78"/>
      <c r="BQ21" s="78"/>
      <c r="BR21" s="78"/>
      <c r="BS21" s="78"/>
      <c r="BT21" s="78"/>
      <c r="BU21" s="78"/>
      <c r="BV21" s="78"/>
      <c r="BW21" s="78"/>
      <c r="BX21" s="78"/>
      <c r="BY21" s="78"/>
      <c r="BZ21" s="78"/>
      <c r="CA21" s="78"/>
      <c r="CB21" s="78"/>
      <c r="CC21" s="78"/>
      <c r="CD21" s="78"/>
      <c r="CE21" s="78"/>
      <c r="CF21" s="78"/>
      <c r="CG21" s="78"/>
      <c r="CH21" s="78"/>
      <c r="CI21" s="78"/>
      <c r="CJ21" s="78"/>
      <c r="CK21" s="78"/>
      <c r="CL21" s="78"/>
      <c r="CM21" s="78"/>
      <c r="CN21" s="78"/>
      <c r="CO21" s="78"/>
      <c r="CP21" s="78"/>
      <c r="CQ21" s="78"/>
      <c r="CR21" s="78"/>
      <c r="CS21" s="78"/>
      <c r="CT21" s="78"/>
      <c r="CU21" s="78"/>
      <c r="CV21" s="78"/>
      <c r="CW21" s="78"/>
      <c r="CX21" s="78"/>
      <c r="CY21" s="78"/>
      <c r="CZ21" s="78"/>
      <c r="DA21" s="78"/>
      <c r="DB21" s="78"/>
      <c r="DC21" s="78"/>
      <c r="DD21" s="78"/>
      <c r="DE21" s="78"/>
      <c r="DF21" s="78"/>
      <c r="DG21" s="78"/>
      <c r="DH21" s="78"/>
      <c r="DI21" s="78"/>
      <c r="DJ21" s="78"/>
      <c r="DK21" s="78"/>
      <c r="DL21" s="78"/>
      <c r="DM21" s="78"/>
      <c r="DN21" s="78"/>
      <c r="DO21" s="78"/>
      <c r="DP21" s="78"/>
      <c r="DQ21" s="78"/>
      <c r="DR21" s="78"/>
      <c r="DS21" s="78"/>
      <c r="DT21" s="78"/>
      <c r="DU21" s="78"/>
      <c r="DV21" s="78"/>
      <c r="DW21" s="78"/>
      <c r="DX21" s="78"/>
      <c r="DY21" s="78"/>
      <c r="DZ21" s="78"/>
      <c r="EA21" s="78"/>
      <c r="EB21" s="78"/>
      <c r="EC21" s="78"/>
      <c r="ED21" s="78"/>
      <c r="EE21" s="78"/>
      <c r="EF21" s="78"/>
      <c r="EG21" s="78"/>
      <c r="EH21" s="78"/>
      <c r="EI21" s="78"/>
    </row>
    <row r="22" spans="2:139">
      <c r="B22" s="41" t="s">
        <v>141</v>
      </c>
      <c r="C22" s="41"/>
      <c r="D22" s="78"/>
      <c r="E22" s="78">
        <f t="shared" ref="E22:N26" si="21">SUMIF($T$6:$EI$6,E$5,$T22:$EI22)</f>
        <v>-80173.200000000055</v>
      </c>
      <c r="F22" s="78">
        <f t="shared" si="21"/>
        <v>-81039.115326091443</v>
      </c>
      <c r="G22" s="78">
        <f t="shared" si="21"/>
        <v>-83099.533793024559</v>
      </c>
      <c r="H22" s="78">
        <f t="shared" si="21"/>
        <v>-85592.519806815384</v>
      </c>
      <c r="I22" s="78">
        <f t="shared" si="21"/>
        <v>-88160.295401019946</v>
      </c>
      <c r="J22" s="78">
        <f t="shared" si="21"/>
        <v>-90805.104263050613</v>
      </c>
      <c r="K22" s="78">
        <f t="shared" si="21"/>
        <v>-93529.257390942221</v>
      </c>
      <c r="L22" s="78">
        <f t="shared" si="21"/>
        <v>0</v>
      </c>
      <c r="M22" s="78">
        <f t="shared" si="21"/>
        <v>0</v>
      </c>
      <c r="N22" s="78">
        <f t="shared" si="21"/>
        <v>0</v>
      </c>
      <c r="O22" s="145">
        <f>SUM(D22:N22)</f>
        <v>-602399.02598094416</v>
      </c>
      <c r="Q22" s="78">
        <f>'Operating Calculations'!O73</f>
        <v>-96335.135112670599</v>
      </c>
      <c r="S22" s="78"/>
      <c r="T22" s="78">
        <f>'Operating Calculations'!R73*(T$6&lt;=MAX(YrOfExit,1))</f>
        <v>-6681.1000000000022</v>
      </c>
      <c r="U22" s="78">
        <f>'Operating Calculations'!S73*(U$6&lt;=MAX(YrOfExit,1))</f>
        <v>-6681.1000000000022</v>
      </c>
      <c r="V22" s="78">
        <f>'Operating Calculations'!T73*(V$6&lt;=MAX(YrOfExit,1))</f>
        <v>-6681.1000000000022</v>
      </c>
      <c r="W22" s="78">
        <f>'Operating Calculations'!U73*(W$6&lt;=MAX(YrOfExit,1))</f>
        <v>-6681.1000000000022</v>
      </c>
      <c r="X22" s="78">
        <f>'Operating Calculations'!V73*(X$6&lt;=MAX(YrOfExit,1))</f>
        <v>-6681.1000000000022</v>
      </c>
      <c r="Y22" s="78">
        <f>'Operating Calculations'!W73*(Y$6&lt;=MAX(YrOfExit,1))</f>
        <v>-6681.1000000000022</v>
      </c>
      <c r="Z22" s="78">
        <f>'Operating Calculations'!X73*(Z$6&lt;=MAX(YrOfExit,1))</f>
        <v>-6681.1000000000022</v>
      </c>
      <c r="AA22" s="78">
        <f>'Operating Calculations'!Y73*(AA$6&lt;=MAX(YrOfExit,1))</f>
        <v>-6681.1000000000022</v>
      </c>
      <c r="AB22" s="78">
        <f>'Operating Calculations'!Z73*(AB$6&lt;=MAX(YrOfExit,1))</f>
        <v>-6681.1000000000022</v>
      </c>
      <c r="AC22" s="78">
        <f>'Operating Calculations'!AA73*(AC$6&lt;=MAX(YrOfExit,1))</f>
        <v>-6681.1000000000022</v>
      </c>
      <c r="AD22" s="78">
        <f>'Operating Calculations'!AB73*(AD$6&lt;=MAX(YrOfExit,1))</f>
        <v>-6681.1000000000022</v>
      </c>
      <c r="AE22" s="78">
        <f>'Operating Calculations'!AC73*(AE$6&lt;=MAX(YrOfExit,1))</f>
        <v>-6681.1000000000022</v>
      </c>
      <c r="AF22" s="78">
        <f>'Operating Calculations'!AD73*(AF$6&lt;=MAX(YrOfExit,1))</f>
        <v>-6692.1343798362623</v>
      </c>
      <c r="AG22" s="78">
        <f>'Operating Calculations'!AE73*(AG$6&lt;=MAX(YrOfExit,1))</f>
        <v>-6703.1869838479379</v>
      </c>
      <c r="AH22" s="78">
        <f>'Operating Calculations'!AF73*(AH$6&lt;=MAX(YrOfExit,1))</f>
        <v>-6714.2578421337357</v>
      </c>
      <c r="AI22" s="78">
        <f>'Operating Calculations'!AG73*(AI$6&lt;=MAX(YrOfExit,1))</f>
        <v>-6725.3469848420746</v>
      </c>
      <c r="AJ22" s="78">
        <f>'Operating Calculations'!AH73*(AJ$6&lt;=MAX(YrOfExit,1))</f>
        <v>-6736.4544421711671</v>
      </c>
      <c r="AK22" s="78">
        <f>'Operating Calculations'!AI73*(AK$6&lt;=MAX(YrOfExit,1))</f>
        <v>-6747.5802443690918</v>
      </c>
      <c r="AL22" s="78">
        <f>'Operating Calculations'!AJ73*(AL$6&lt;=MAX(YrOfExit,1))</f>
        <v>-6758.7244217339003</v>
      </c>
      <c r="AM22" s="78">
        <f>'Operating Calculations'!AK73*(AM$6&lt;=MAX(YrOfExit,1))</f>
        <v>-6769.8870046136672</v>
      </c>
      <c r="AN22" s="78">
        <f>'Operating Calculations'!AL73*(AN$6&lt;=MAX(YrOfExit,1))</f>
        <v>-6781.0680234066012</v>
      </c>
      <c r="AO22" s="78">
        <f>'Operating Calculations'!AM73*(AO$6&lt;=MAX(YrOfExit,1))</f>
        <v>-6792.2675085611081</v>
      </c>
      <c r="AP22" s="78">
        <f>'Operating Calculations'!AN73*(AP$6&lt;=MAX(YrOfExit,1))</f>
        <v>-6803.4854905758875</v>
      </c>
      <c r="AQ22" s="78">
        <f>'Operating Calculations'!AO73*(AQ$6&lt;=MAX(YrOfExit,1))</f>
        <v>-6814.7220000000088</v>
      </c>
      <c r="AR22" s="78">
        <f>'Operating Calculations'!AP73*(AR$6&lt;=MAX(YrOfExit,1))</f>
        <v>-6831.5289428752612</v>
      </c>
      <c r="AS22" s="78">
        <f>'Operating Calculations'!AQ73*(AS$6&lt;=MAX(YrOfExit,1))</f>
        <v>-6848.3773362056936</v>
      </c>
      <c r="AT22" s="78">
        <f>'Operating Calculations'!AR73*(AT$6&lt;=MAX(YrOfExit,1))</f>
        <v>-6865.2672822193072</v>
      </c>
      <c r="AU22" s="78">
        <f>'Operating Calculations'!AS73*(AU$6&lt;=MAX(YrOfExit,1))</f>
        <v>-6882.1988833962305</v>
      </c>
      <c r="AV22" s="78">
        <f>'Operating Calculations'!AT73*(AV$6&lt;=MAX(YrOfExit,1))</f>
        <v>-6899.1722424693326</v>
      </c>
      <c r="AW22" s="78">
        <f>'Operating Calculations'!AU73*(AW$6&lt;=MAX(YrOfExit,1))</f>
        <v>-6916.1874624248512</v>
      </c>
      <c r="AX22" s="78">
        <f>'Operating Calculations'!AV73*(AX$6&lt;=MAX(YrOfExit,1))</f>
        <v>-6933.2446465030152</v>
      </c>
      <c r="AY22" s="78">
        <f>'Operating Calculations'!AW73*(AY$6&lt;=MAX(YrOfExit,1))</f>
        <v>-6950.3438981986719</v>
      </c>
      <c r="AZ22" s="78">
        <f>'Operating Calculations'!AX73*(AZ$6&lt;=MAX(YrOfExit,1))</f>
        <v>-6967.4853212619164</v>
      </c>
      <c r="BA22" s="78">
        <f>'Operating Calculations'!AY73*(BA$6&lt;=MAX(YrOfExit,1))</f>
        <v>-6984.6690196987129</v>
      </c>
      <c r="BB22" s="78">
        <f>'Operating Calculations'!AZ73*(BB$6&lt;=MAX(YrOfExit,1))</f>
        <v>-7001.8950977715422</v>
      </c>
      <c r="BC22" s="78">
        <f>'Operating Calculations'!BA73*(BC$6&lt;=MAX(YrOfExit,1))</f>
        <v>-7019.1636600000174</v>
      </c>
      <c r="BD22" s="78">
        <f>'Operating Calculations'!BB73*(BD$6&lt;=MAX(YrOfExit,1))</f>
        <v>-7036.4748111615281</v>
      </c>
      <c r="BE22" s="78">
        <f>'Operating Calculations'!BC73*(BE$6&lt;=MAX(YrOfExit,1))</f>
        <v>-7053.8286562918738</v>
      </c>
      <c r="BF22" s="78">
        <f>'Operating Calculations'!BD73*(BF$6&lt;=MAX(YrOfExit,1))</f>
        <v>-7071.2253006858946</v>
      </c>
      <c r="BG22" s="78">
        <f>'Operating Calculations'!BE73*(BG$6&lt;=MAX(YrOfExit,1))</f>
        <v>-7088.664849898124</v>
      </c>
      <c r="BH22" s="78">
        <f>'Operating Calculations'!BF73*(BH$6&lt;=MAX(YrOfExit,1))</f>
        <v>-7106.1474097434211</v>
      </c>
      <c r="BI22" s="78">
        <f>'Operating Calculations'!BG73*(BI$6&lt;=MAX(YrOfExit,1))</f>
        <v>-7123.6730862976056</v>
      </c>
      <c r="BJ22" s="78">
        <f>'Operating Calculations'!BH73*(BJ$6&lt;=MAX(YrOfExit,1))</f>
        <v>-7141.2419858981129</v>
      </c>
      <c r="BK22" s="78">
        <f>'Operating Calculations'!BI73*(BK$6&lt;=MAX(YrOfExit,1))</f>
        <v>-7158.85421514464</v>
      </c>
      <c r="BL22" s="78">
        <f>'Operating Calculations'!BJ73*(BL$6&lt;=MAX(YrOfExit,1))</f>
        <v>-7176.5098808997809</v>
      </c>
      <c r="BM22" s="78">
        <f>'Operating Calculations'!BK73*(BM$6&lt;=MAX(YrOfExit,1))</f>
        <v>-7194.2090902896834</v>
      </c>
      <c r="BN22" s="78">
        <f>'Operating Calculations'!BL73*(BN$6&lt;=MAX(YrOfExit,1))</f>
        <v>-7211.9519507046962</v>
      </c>
      <c r="BO22" s="78">
        <f>'Operating Calculations'!BM73*(BO$6&lt;=MAX(YrOfExit,1))</f>
        <v>-7229.7385698000253</v>
      </c>
      <c r="BP22" s="78">
        <f>'Operating Calculations'!BN73*(BP$6&lt;=MAX(YrOfExit,1))</f>
        <v>-7247.5690554963821</v>
      </c>
      <c r="BQ22" s="78">
        <f>'Operating Calculations'!BO73*(BQ$6&lt;=MAX(YrOfExit,1))</f>
        <v>-7265.4435159806371</v>
      </c>
      <c r="BR22" s="78">
        <f>'Operating Calculations'!BP73*(BR$6&lt;=MAX(YrOfExit,1))</f>
        <v>-7283.3620597064792</v>
      </c>
      <c r="BS22" s="78">
        <f>'Operating Calculations'!BQ73*(BS$6&lt;=MAX(YrOfExit,1))</f>
        <v>-7301.3247953950768</v>
      </c>
      <c r="BT22" s="78">
        <f>'Operating Calculations'!BR73*(BT$6&lt;=MAX(YrOfExit,1))</f>
        <v>-7319.3318320357303</v>
      </c>
      <c r="BU22" s="78">
        <f>'Operating Calculations'!BS73*(BU$6&lt;=MAX(YrOfExit,1))</f>
        <v>-7337.3832788865411</v>
      </c>
      <c r="BV22" s="78">
        <f>'Operating Calculations'!BT73*(BV$6&lt;=MAX(YrOfExit,1))</f>
        <v>-7355.4792454750659</v>
      </c>
      <c r="BW22" s="78">
        <f>'Operating Calculations'!BU73*(BW$6&lt;=MAX(YrOfExit,1))</f>
        <v>-7373.6198415989875</v>
      </c>
      <c r="BX22" s="78">
        <f>'Operating Calculations'!BV73*(BX$6&lt;=MAX(YrOfExit,1))</f>
        <v>-7391.8051773267816</v>
      </c>
      <c r="BY22" s="78">
        <f>'Operating Calculations'!BW73*(BY$6&lt;=MAX(YrOfExit,1))</f>
        <v>-7410.0353629983811</v>
      </c>
      <c r="BZ22" s="78">
        <f>'Operating Calculations'!BX73*(BZ$6&lt;=MAX(YrOfExit,1))</f>
        <v>-7428.3105092258456</v>
      </c>
      <c r="CA22" s="78">
        <f>'Operating Calculations'!BY73*(CA$6&lt;=MAX(YrOfExit,1))</f>
        <v>-7446.6307268940345</v>
      </c>
      <c r="CB22" s="78">
        <f>'Operating Calculations'!BZ73*(CB$6&lt;=MAX(YrOfExit,1))</f>
        <v>-7464.9961271612801</v>
      </c>
      <c r="CC22" s="78">
        <f>'Operating Calculations'!CA73*(CC$6&lt;=MAX(YrOfExit,1))</f>
        <v>-7483.406821460062</v>
      </c>
      <c r="CD22" s="78">
        <f>'Operating Calculations'!CB73*(CD$6&lt;=MAX(YrOfExit,1))</f>
        <v>-7501.86292149768</v>
      </c>
      <c r="CE22" s="78">
        <f>'Operating Calculations'!CC73*(CE$6&lt;=MAX(YrOfExit,1))</f>
        <v>-7520.364539256936</v>
      </c>
      <c r="CF22" s="78">
        <f>'Operating Calculations'!CD73*(CF$6&lt;=MAX(YrOfExit,1))</f>
        <v>-7538.9117869968095</v>
      </c>
      <c r="CG22" s="78">
        <f>'Operating Calculations'!CE73*(CG$6&lt;=MAX(YrOfExit,1))</f>
        <v>-7557.5047772531434</v>
      </c>
      <c r="CH22" s="78">
        <f>'Operating Calculations'!CF73*(CH$6&lt;=MAX(YrOfExit,1))</f>
        <v>-7576.1436228393241</v>
      </c>
      <c r="CI22" s="78">
        <f>'Operating Calculations'!CG73*(CI$6&lt;=MAX(YrOfExit,1))</f>
        <v>-7594.8284368469631</v>
      </c>
      <c r="CJ22" s="78">
        <f>'Operating Calculations'!CH73*(CJ$6&lt;=MAX(YrOfExit,1))</f>
        <v>-7613.5593326465923</v>
      </c>
      <c r="CK22" s="78">
        <f>'Operating Calculations'!CI73*(CK$6&lt;=MAX(YrOfExit,1))</f>
        <v>-7632.3364238883387</v>
      </c>
      <c r="CL22" s="78">
        <f>'Operating Calculations'!CJ73*(CL$6&lt;=MAX(YrOfExit,1))</f>
        <v>-7651.159824502628</v>
      </c>
      <c r="CM22" s="78">
        <f>'Operating Calculations'!CK73*(CM$6&lt;=MAX(YrOfExit,1))</f>
        <v>-7670.0296487008636</v>
      </c>
      <c r="CN22" s="78">
        <f>'Operating Calculations'!CL73*(CN$6&lt;=MAX(YrOfExit,1))</f>
        <v>-7688.9460109761267</v>
      </c>
      <c r="CO22" s="78">
        <f>'Operating Calculations'!CM73*(CO$6&lt;=MAX(YrOfExit,1))</f>
        <v>-7707.9090261038718</v>
      </c>
      <c r="CP22" s="78">
        <f>'Operating Calculations'!CN73*(CP$6&lt;=MAX(YrOfExit,1))</f>
        <v>-7726.9188091426186</v>
      </c>
      <c r="CQ22" s="78">
        <f>'Operating Calculations'!CO73*(CQ$6&lt;=MAX(YrOfExit,1))</f>
        <v>-7745.9754754346523</v>
      </c>
      <c r="CR22" s="78">
        <f>'Operating Calculations'!CP73*(CR$6&lt;=MAX(YrOfExit,1))</f>
        <v>-7765.0791406067228</v>
      </c>
      <c r="CS22" s="78">
        <f>'Operating Calculations'!CQ73*(CS$6&lt;=MAX(YrOfExit,1))</f>
        <v>-7784.2299205707459</v>
      </c>
      <c r="CT22" s="78">
        <f>'Operating Calculations'!CR73*(CT$6&lt;=MAX(YrOfExit,1))</f>
        <v>-7803.4279315245103</v>
      </c>
      <c r="CU22" s="78">
        <f>'Operating Calculations'!CS73*(CU$6&lt;=MAX(YrOfExit,1))</f>
        <v>-7822.6732899523804</v>
      </c>
      <c r="CV22" s="78">
        <f>'Operating Calculations'!CT73*(CV$6&lt;=MAX(YrOfExit,1))</f>
        <v>-7841.966112625998</v>
      </c>
      <c r="CW22" s="78">
        <f>'Operating Calculations'!CU73*(CW$6&lt;=MAX(YrOfExit,1))</f>
        <v>-7861.3065166049955</v>
      </c>
      <c r="CX22" s="78">
        <f>'Operating Calculations'!CV73*(CX$6&lt;=MAX(YrOfExit,1))</f>
        <v>-7880.6946192377136</v>
      </c>
      <c r="CY22" s="78">
        <f>'Operating Calculations'!CW73*(CY$6&lt;=MAX(YrOfExit,1))</f>
        <v>-7900.1305381618959</v>
      </c>
      <c r="CZ22" s="78">
        <f>'Operating Calculations'!CX73*(CZ$6&lt;=MAX(YrOfExit,1))</f>
        <v>0</v>
      </c>
      <c r="DA22" s="78">
        <f>'Operating Calculations'!CY73*(DA$6&lt;=MAX(YrOfExit,1))</f>
        <v>0</v>
      </c>
      <c r="DB22" s="78">
        <f>'Operating Calculations'!CZ73*(DB$6&lt;=MAX(YrOfExit,1))</f>
        <v>0</v>
      </c>
      <c r="DC22" s="78">
        <f>'Operating Calculations'!DA73*(DC$6&lt;=MAX(YrOfExit,1))</f>
        <v>0</v>
      </c>
      <c r="DD22" s="78">
        <f>'Operating Calculations'!DB73*(DD$6&lt;=MAX(YrOfExit,1))</f>
        <v>0</v>
      </c>
      <c r="DE22" s="78">
        <f>'Operating Calculations'!DC73*(DE$6&lt;=MAX(YrOfExit,1))</f>
        <v>0</v>
      </c>
      <c r="DF22" s="78">
        <f>'Operating Calculations'!DD73*(DF$6&lt;=MAX(YrOfExit,1))</f>
        <v>0</v>
      </c>
      <c r="DG22" s="78">
        <f>'Operating Calculations'!DE73*(DG$6&lt;=MAX(YrOfExit,1))</f>
        <v>0</v>
      </c>
      <c r="DH22" s="78">
        <f>'Operating Calculations'!DF73*(DH$6&lt;=MAX(YrOfExit,1))</f>
        <v>0</v>
      </c>
      <c r="DI22" s="78">
        <f>'Operating Calculations'!DG73*(DI$6&lt;=MAX(YrOfExit,1))</f>
        <v>0</v>
      </c>
      <c r="DJ22" s="78">
        <f>'Operating Calculations'!DH73*(DJ$6&lt;=MAX(YrOfExit,1))</f>
        <v>0</v>
      </c>
      <c r="DK22" s="78">
        <f>'Operating Calculations'!DI73*(DK$6&lt;=MAX(YrOfExit,1))</f>
        <v>0</v>
      </c>
      <c r="DL22" s="78">
        <f>'Operating Calculations'!DJ73*(DL$6&lt;=MAX(YrOfExit,1))</f>
        <v>0</v>
      </c>
      <c r="DM22" s="78">
        <f>'Operating Calculations'!DK73*(DM$6&lt;=MAX(YrOfExit,1))</f>
        <v>0</v>
      </c>
      <c r="DN22" s="78">
        <f>'Operating Calculations'!DL73*(DN$6&lt;=MAX(YrOfExit,1))</f>
        <v>0</v>
      </c>
      <c r="DO22" s="78">
        <f>'Operating Calculations'!DM73*(DO$6&lt;=MAX(YrOfExit,1))</f>
        <v>0</v>
      </c>
      <c r="DP22" s="78">
        <f>'Operating Calculations'!DN73*(DP$6&lt;=MAX(YrOfExit,1))</f>
        <v>0</v>
      </c>
      <c r="DQ22" s="78">
        <f>'Operating Calculations'!DO73*(DQ$6&lt;=MAX(YrOfExit,1))</f>
        <v>0</v>
      </c>
      <c r="DR22" s="78">
        <f>'Operating Calculations'!DP73*(DR$6&lt;=MAX(YrOfExit,1))</f>
        <v>0</v>
      </c>
      <c r="DS22" s="78">
        <f>'Operating Calculations'!DQ73*(DS$6&lt;=MAX(YrOfExit,1))</f>
        <v>0</v>
      </c>
      <c r="DT22" s="78">
        <f>'Operating Calculations'!DR73*(DT$6&lt;=MAX(YrOfExit,1))</f>
        <v>0</v>
      </c>
      <c r="DU22" s="78">
        <f>'Operating Calculations'!DS73*(DU$6&lt;=MAX(YrOfExit,1))</f>
        <v>0</v>
      </c>
      <c r="DV22" s="78">
        <f>'Operating Calculations'!DT73*(DV$6&lt;=MAX(YrOfExit,1))</f>
        <v>0</v>
      </c>
      <c r="DW22" s="78">
        <f>'Operating Calculations'!DU73*(DW$6&lt;=MAX(YrOfExit,1))</f>
        <v>0</v>
      </c>
      <c r="DX22" s="78">
        <f>'Operating Calculations'!DV73*(DX$6&lt;=MAX(YrOfExit,1))</f>
        <v>0</v>
      </c>
      <c r="DY22" s="78">
        <f>'Operating Calculations'!DW73*(DY$6&lt;=MAX(YrOfExit,1))</f>
        <v>0</v>
      </c>
      <c r="DZ22" s="78">
        <f>'Operating Calculations'!DX73*(DZ$6&lt;=MAX(YrOfExit,1))</f>
        <v>0</v>
      </c>
      <c r="EA22" s="78">
        <f>'Operating Calculations'!DY73*(EA$6&lt;=MAX(YrOfExit,1))</f>
        <v>0</v>
      </c>
      <c r="EB22" s="78">
        <f>'Operating Calculations'!DZ73*(EB$6&lt;=MAX(YrOfExit,1))</f>
        <v>0</v>
      </c>
      <c r="EC22" s="78">
        <f>'Operating Calculations'!EA73*(EC$6&lt;=MAX(YrOfExit,1))</f>
        <v>0</v>
      </c>
      <c r="ED22" s="78">
        <f>'Operating Calculations'!EB73*(ED$6&lt;=MAX(YrOfExit,1))</f>
        <v>0</v>
      </c>
      <c r="EE22" s="78">
        <f>'Operating Calculations'!EC73*(EE$6&lt;=MAX(YrOfExit,1))</f>
        <v>0</v>
      </c>
      <c r="EF22" s="78">
        <f>'Operating Calculations'!ED73*(EF$6&lt;=MAX(YrOfExit,1))</f>
        <v>0</v>
      </c>
      <c r="EG22" s="78">
        <f>'Operating Calculations'!EE73*(EG$6&lt;=MAX(YrOfExit,1))</f>
        <v>0</v>
      </c>
      <c r="EH22" s="78">
        <f>'Operating Calculations'!EF73*(EH$6&lt;=MAX(YrOfExit,1))</f>
        <v>0</v>
      </c>
      <c r="EI22" s="78">
        <f>'Operating Calculations'!EG73*(EI$6&lt;=MAX(YrOfExit,1))</f>
        <v>0</v>
      </c>
    </row>
    <row r="23" spans="2:139" hidden="1">
      <c r="B23" s="41" t="s">
        <v>84</v>
      </c>
      <c r="C23" s="41"/>
      <c r="D23" s="78"/>
      <c r="E23" s="78">
        <f t="shared" si="21"/>
        <v>0</v>
      </c>
      <c r="F23" s="78">
        <f t="shared" si="21"/>
        <v>0</v>
      </c>
      <c r="G23" s="78">
        <f t="shared" si="21"/>
        <v>0</v>
      </c>
      <c r="H23" s="78">
        <f t="shared" si="21"/>
        <v>0</v>
      </c>
      <c r="I23" s="78">
        <f t="shared" si="21"/>
        <v>0</v>
      </c>
      <c r="J23" s="78">
        <f t="shared" si="21"/>
        <v>0</v>
      </c>
      <c r="K23" s="78">
        <f t="shared" si="21"/>
        <v>0</v>
      </c>
      <c r="L23" s="78">
        <f t="shared" si="21"/>
        <v>0</v>
      </c>
      <c r="M23" s="78">
        <f t="shared" si="21"/>
        <v>0</v>
      </c>
      <c r="N23" s="78">
        <f t="shared" si="21"/>
        <v>0</v>
      </c>
      <c r="O23" s="145">
        <f>SUM(D23:N23)</f>
        <v>0</v>
      </c>
      <c r="Q23" s="78">
        <f>'Operating Calculations'!O72</f>
        <v>0</v>
      </c>
      <c r="S23" s="78"/>
      <c r="T23" s="78">
        <f>'Operating Calculations'!R72*(T$6&lt;=MAX(YrOfExit,1))</f>
        <v>0</v>
      </c>
      <c r="U23" s="78">
        <f>'Operating Calculations'!S72*(U$6&lt;=MAX(YrOfExit,1))</f>
        <v>0</v>
      </c>
      <c r="V23" s="78">
        <f>'Operating Calculations'!T72*(V$6&lt;=MAX(YrOfExit,1))</f>
        <v>0</v>
      </c>
      <c r="W23" s="78">
        <f>'Operating Calculations'!U72*(W$6&lt;=MAX(YrOfExit,1))</f>
        <v>0</v>
      </c>
      <c r="X23" s="78">
        <f>'Operating Calculations'!V72*(X$6&lt;=MAX(YrOfExit,1))</f>
        <v>0</v>
      </c>
      <c r="Y23" s="78">
        <f>'Operating Calculations'!W72*(Y$6&lt;=MAX(YrOfExit,1))</f>
        <v>0</v>
      </c>
      <c r="Z23" s="78">
        <f>'Operating Calculations'!X72*(Z$6&lt;=MAX(YrOfExit,1))</f>
        <v>0</v>
      </c>
      <c r="AA23" s="78">
        <f>'Operating Calculations'!Y72*(AA$6&lt;=MAX(YrOfExit,1))</f>
        <v>0</v>
      </c>
      <c r="AB23" s="78">
        <f>'Operating Calculations'!Z72*(AB$6&lt;=MAX(YrOfExit,1))</f>
        <v>0</v>
      </c>
      <c r="AC23" s="78">
        <f>'Operating Calculations'!AA72*(AC$6&lt;=MAX(YrOfExit,1))</f>
        <v>0</v>
      </c>
      <c r="AD23" s="78">
        <f>'Operating Calculations'!AB72*(AD$6&lt;=MAX(YrOfExit,1))</f>
        <v>0</v>
      </c>
      <c r="AE23" s="78">
        <f>'Operating Calculations'!AC72*(AE$6&lt;=MAX(YrOfExit,1))</f>
        <v>0</v>
      </c>
      <c r="AF23" s="78">
        <f>'Operating Calculations'!AD72*(AF$6&lt;=MAX(YrOfExit,1))</f>
        <v>0</v>
      </c>
      <c r="AG23" s="78">
        <f>'Operating Calculations'!AE72*(AG$6&lt;=MAX(YrOfExit,1))</f>
        <v>0</v>
      </c>
      <c r="AH23" s="78">
        <f>'Operating Calculations'!AF72*(AH$6&lt;=MAX(YrOfExit,1))</f>
        <v>0</v>
      </c>
      <c r="AI23" s="78">
        <f>'Operating Calculations'!AG72*(AI$6&lt;=MAX(YrOfExit,1))</f>
        <v>0</v>
      </c>
      <c r="AJ23" s="78">
        <f>'Operating Calculations'!AH72*(AJ$6&lt;=MAX(YrOfExit,1))</f>
        <v>0</v>
      </c>
      <c r="AK23" s="78">
        <f>'Operating Calculations'!AI72*(AK$6&lt;=MAX(YrOfExit,1))</f>
        <v>0</v>
      </c>
      <c r="AL23" s="78">
        <f>'Operating Calculations'!AJ72*(AL$6&lt;=MAX(YrOfExit,1))</f>
        <v>0</v>
      </c>
      <c r="AM23" s="78">
        <f>'Operating Calculations'!AK72*(AM$6&lt;=MAX(YrOfExit,1))</f>
        <v>0</v>
      </c>
      <c r="AN23" s="78">
        <f>'Operating Calculations'!AL72*(AN$6&lt;=MAX(YrOfExit,1))</f>
        <v>0</v>
      </c>
      <c r="AO23" s="78">
        <f>'Operating Calculations'!AM72*(AO$6&lt;=MAX(YrOfExit,1))</f>
        <v>0</v>
      </c>
      <c r="AP23" s="78">
        <f>'Operating Calculations'!AN72*(AP$6&lt;=MAX(YrOfExit,1))</f>
        <v>0</v>
      </c>
      <c r="AQ23" s="78">
        <f>'Operating Calculations'!AO72*(AQ$6&lt;=MAX(YrOfExit,1))</f>
        <v>0</v>
      </c>
      <c r="AR23" s="78">
        <f>'Operating Calculations'!AP72*(AR$6&lt;=MAX(YrOfExit,1))</f>
        <v>0</v>
      </c>
      <c r="AS23" s="78">
        <f>'Operating Calculations'!AQ72*(AS$6&lt;=MAX(YrOfExit,1))</f>
        <v>0</v>
      </c>
      <c r="AT23" s="78">
        <f>'Operating Calculations'!AR72*(AT$6&lt;=MAX(YrOfExit,1))</f>
        <v>0</v>
      </c>
      <c r="AU23" s="78">
        <f>'Operating Calculations'!AS72*(AU$6&lt;=MAX(YrOfExit,1))</f>
        <v>0</v>
      </c>
      <c r="AV23" s="78">
        <f>'Operating Calculations'!AT72*(AV$6&lt;=MAX(YrOfExit,1))</f>
        <v>0</v>
      </c>
      <c r="AW23" s="78">
        <f>'Operating Calculations'!AU72*(AW$6&lt;=MAX(YrOfExit,1))</f>
        <v>0</v>
      </c>
      <c r="AX23" s="78">
        <f>'Operating Calculations'!AV72*(AX$6&lt;=MAX(YrOfExit,1))</f>
        <v>0</v>
      </c>
      <c r="AY23" s="78">
        <f>'Operating Calculations'!AW72*(AY$6&lt;=MAX(YrOfExit,1))</f>
        <v>0</v>
      </c>
      <c r="AZ23" s="78">
        <f>'Operating Calculations'!AX72*(AZ$6&lt;=MAX(YrOfExit,1))</f>
        <v>0</v>
      </c>
      <c r="BA23" s="78">
        <f>'Operating Calculations'!AY72*(BA$6&lt;=MAX(YrOfExit,1))</f>
        <v>0</v>
      </c>
      <c r="BB23" s="78">
        <f>'Operating Calculations'!AZ72*(BB$6&lt;=MAX(YrOfExit,1))</f>
        <v>0</v>
      </c>
      <c r="BC23" s="78">
        <f>'Operating Calculations'!BA72*(BC$6&lt;=MAX(YrOfExit,1))</f>
        <v>0</v>
      </c>
      <c r="BD23" s="78">
        <f>'Operating Calculations'!BB72*(BD$6&lt;=MAX(YrOfExit,1))</f>
        <v>0</v>
      </c>
      <c r="BE23" s="78">
        <f>'Operating Calculations'!BC72*(BE$6&lt;=MAX(YrOfExit,1))</f>
        <v>0</v>
      </c>
      <c r="BF23" s="78">
        <f>'Operating Calculations'!BD72*(BF$6&lt;=MAX(YrOfExit,1))</f>
        <v>0</v>
      </c>
      <c r="BG23" s="78">
        <f>'Operating Calculations'!BE72*(BG$6&lt;=MAX(YrOfExit,1))</f>
        <v>0</v>
      </c>
      <c r="BH23" s="78">
        <f>'Operating Calculations'!BF72*(BH$6&lt;=MAX(YrOfExit,1))</f>
        <v>0</v>
      </c>
      <c r="BI23" s="78">
        <f>'Operating Calculations'!BG72*(BI$6&lt;=MAX(YrOfExit,1))</f>
        <v>0</v>
      </c>
      <c r="BJ23" s="78">
        <f>'Operating Calculations'!BH72*(BJ$6&lt;=MAX(YrOfExit,1))</f>
        <v>0</v>
      </c>
      <c r="BK23" s="78">
        <f>'Operating Calculations'!BI72*(BK$6&lt;=MAX(YrOfExit,1))</f>
        <v>0</v>
      </c>
      <c r="BL23" s="78">
        <f>'Operating Calculations'!BJ72*(BL$6&lt;=MAX(YrOfExit,1))</f>
        <v>0</v>
      </c>
      <c r="BM23" s="78">
        <f>'Operating Calculations'!BK72*(BM$6&lt;=MAX(YrOfExit,1))</f>
        <v>0</v>
      </c>
      <c r="BN23" s="78">
        <f>'Operating Calculations'!BL72*(BN$6&lt;=MAX(YrOfExit,1))</f>
        <v>0</v>
      </c>
      <c r="BO23" s="78">
        <f>'Operating Calculations'!BM72*(BO$6&lt;=MAX(YrOfExit,1))</f>
        <v>0</v>
      </c>
      <c r="BP23" s="78">
        <f>'Operating Calculations'!BN72*(BP$6&lt;=MAX(YrOfExit,1))</f>
        <v>0</v>
      </c>
      <c r="BQ23" s="78">
        <f>'Operating Calculations'!BO72*(BQ$6&lt;=MAX(YrOfExit,1))</f>
        <v>0</v>
      </c>
      <c r="BR23" s="78">
        <f>'Operating Calculations'!BP72*(BR$6&lt;=MAX(YrOfExit,1))</f>
        <v>0</v>
      </c>
      <c r="BS23" s="78">
        <f>'Operating Calculations'!BQ72*(BS$6&lt;=MAX(YrOfExit,1))</f>
        <v>0</v>
      </c>
      <c r="BT23" s="78">
        <f>'Operating Calculations'!BR72*(BT$6&lt;=MAX(YrOfExit,1))</f>
        <v>0</v>
      </c>
      <c r="BU23" s="78">
        <f>'Operating Calculations'!BS72*(BU$6&lt;=MAX(YrOfExit,1))</f>
        <v>0</v>
      </c>
      <c r="BV23" s="78">
        <f>'Operating Calculations'!BT72*(BV$6&lt;=MAX(YrOfExit,1))</f>
        <v>0</v>
      </c>
      <c r="BW23" s="78">
        <f>'Operating Calculations'!BU72*(BW$6&lt;=MAX(YrOfExit,1))</f>
        <v>0</v>
      </c>
      <c r="BX23" s="78">
        <f>'Operating Calculations'!BV72*(BX$6&lt;=MAX(YrOfExit,1))</f>
        <v>0</v>
      </c>
      <c r="BY23" s="78">
        <f>'Operating Calculations'!BW72*(BY$6&lt;=MAX(YrOfExit,1))</f>
        <v>0</v>
      </c>
      <c r="BZ23" s="78">
        <f>'Operating Calculations'!BX72*(BZ$6&lt;=MAX(YrOfExit,1))</f>
        <v>0</v>
      </c>
      <c r="CA23" s="78">
        <f>'Operating Calculations'!BY72*(CA$6&lt;=MAX(YrOfExit,1))</f>
        <v>0</v>
      </c>
      <c r="CB23" s="78">
        <f>'Operating Calculations'!BZ72*(CB$6&lt;=MAX(YrOfExit,1))</f>
        <v>0</v>
      </c>
      <c r="CC23" s="78">
        <f>'Operating Calculations'!CA72*(CC$6&lt;=MAX(YrOfExit,1))</f>
        <v>0</v>
      </c>
      <c r="CD23" s="78">
        <f>'Operating Calculations'!CB72*(CD$6&lt;=MAX(YrOfExit,1))</f>
        <v>0</v>
      </c>
      <c r="CE23" s="78">
        <f>'Operating Calculations'!CC72*(CE$6&lt;=MAX(YrOfExit,1))</f>
        <v>0</v>
      </c>
      <c r="CF23" s="78">
        <f>'Operating Calculations'!CD72*(CF$6&lt;=MAX(YrOfExit,1))</f>
        <v>0</v>
      </c>
      <c r="CG23" s="78">
        <f>'Operating Calculations'!CE72*(CG$6&lt;=MAX(YrOfExit,1))</f>
        <v>0</v>
      </c>
      <c r="CH23" s="78">
        <f>'Operating Calculations'!CF72*(CH$6&lt;=MAX(YrOfExit,1))</f>
        <v>0</v>
      </c>
      <c r="CI23" s="78">
        <f>'Operating Calculations'!CG72*(CI$6&lt;=MAX(YrOfExit,1))</f>
        <v>0</v>
      </c>
      <c r="CJ23" s="78">
        <f>'Operating Calculations'!CH72*(CJ$6&lt;=MAX(YrOfExit,1))</f>
        <v>0</v>
      </c>
      <c r="CK23" s="78">
        <f>'Operating Calculations'!CI72*(CK$6&lt;=MAX(YrOfExit,1))</f>
        <v>0</v>
      </c>
      <c r="CL23" s="78">
        <f>'Operating Calculations'!CJ72*(CL$6&lt;=MAX(YrOfExit,1))</f>
        <v>0</v>
      </c>
      <c r="CM23" s="78">
        <f>'Operating Calculations'!CK72*(CM$6&lt;=MAX(YrOfExit,1))</f>
        <v>0</v>
      </c>
      <c r="CN23" s="78">
        <f>'Operating Calculations'!CL72*(CN$6&lt;=MAX(YrOfExit,1))</f>
        <v>0</v>
      </c>
      <c r="CO23" s="78">
        <f>'Operating Calculations'!CM72*(CO$6&lt;=MAX(YrOfExit,1))</f>
        <v>0</v>
      </c>
      <c r="CP23" s="78">
        <f>'Operating Calculations'!CN72*(CP$6&lt;=MAX(YrOfExit,1))</f>
        <v>0</v>
      </c>
      <c r="CQ23" s="78">
        <f>'Operating Calculations'!CO72*(CQ$6&lt;=MAX(YrOfExit,1))</f>
        <v>0</v>
      </c>
      <c r="CR23" s="78">
        <f>'Operating Calculations'!CP72*(CR$6&lt;=MAX(YrOfExit,1))</f>
        <v>0</v>
      </c>
      <c r="CS23" s="78">
        <f>'Operating Calculations'!CQ72*(CS$6&lt;=MAX(YrOfExit,1))</f>
        <v>0</v>
      </c>
      <c r="CT23" s="78">
        <f>'Operating Calculations'!CR72*(CT$6&lt;=MAX(YrOfExit,1))</f>
        <v>0</v>
      </c>
      <c r="CU23" s="78">
        <f>'Operating Calculations'!CS72*(CU$6&lt;=MAX(YrOfExit,1))</f>
        <v>0</v>
      </c>
      <c r="CV23" s="78">
        <f>'Operating Calculations'!CT72*(CV$6&lt;=MAX(YrOfExit,1))</f>
        <v>0</v>
      </c>
      <c r="CW23" s="78">
        <f>'Operating Calculations'!CU72*(CW$6&lt;=MAX(YrOfExit,1))</f>
        <v>0</v>
      </c>
      <c r="CX23" s="78">
        <f>'Operating Calculations'!CV72*(CX$6&lt;=MAX(YrOfExit,1))</f>
        <v>0</v>
      </c>
      <c r="CY23" s="78">
        <f>'Operating Calculations'!CW72*(CY$6&lt;=MAX(YrOfExit,1))</f>
        <v>0</v>
      </c>
      <c r="CZ23" s="78">
        <f>'Operating Calculations'!CX72*(CZ$6&lt;=MAX(YrOfExit,1))</f>
        <v>0</v>
      </c>
      <c r="DA23" s="78">
        <f>'Operating Calculations'!CY72*(DA$6&lt;=MAX(YrOfExit,1))</f>
        <v>0</v>
      </c>
      <c r="DB23" s="78">
        <f>'Operating Calculations'!CZ72*(DB$6&lt;=MAX(YrOfExit,1))</f>
        <v>0</v>
      </c>
      <c r="DC23" s="78">
        <f>'Operating Calculations'!DA72*(DC$6&lt;=MAX(YrOfExit,1))</f>
        <v>0</v>
      </c>
      <c r="DD23" s="78">
        <f>'Operating Calculations'!DB72*(DD$6&lt;=MAX(YrOfExit,1))</f>
        <v>0</v>
      </c>
      <c r="DE23" s="78">
        <f>'Operating Calculations'!DC72*(DE$6&lt;=MAX(YrOfExit,1))</f>
        <v>0</v>
      </c>
      <c r="DF23" s="78">
        <f>'Operating Calculations'!DD72*(DF$6&lt;=MAX(YrOfExit,1))</f>
        <v>0</v>
      </c>
      <c r="DG23" s="78">
        <f>'Operating Calculations'!DE72*(DG$6&lt;=MAX(YrOfExit,1))</f>
        <v>0</v>
      </c>
      <c r="DH23" s="78">
        <f>'Operating Calculations'!DF72*(DH$6&lt;=MAX(YrOfExit,1))</f>
        <v>0</v>
      </c>
      <c r="DI23" s="78">
        <f>'Operating Calculations'!DG72*(DI$6&lt;=MAX(YrOfExit,1))</f>
        <v>0</v>
      </c>
      <c r="DJ23" s="78">
        <f>'Operating Calculations'!DH72*(DJ$6&lt;=MAX(YrOfExit,1))</f>
        <v>0</v>
      </c>
      <c r="DK23" s="78">
        <f>'Operating Calculations'!DI72*(DK$6&lt;=MAX(YrOfExit,1))</f>
        <v>0</v>
      </c>
      <c r="DL23" s="78">
        <f>'Operating Calculations'!DJ72*(DL$6&lt;=MAX(YrOfExit,1))</f>
        <v>0</v>
      </c>
      <c r="DM23" s="78">
        <f>'Operating Calculations'!DK72*(DM$6&lt;=MAX(YrOfExit,1))</f>
        <v>0</v>
      </c>
      <c r="DN23" s="78">
        <f>'Operating Calculations'!DL72*(DN$6&lt;=MAX(YrOfExit,1))</f>
        <v>0</v>
      </c>
      <c r="DO23" s="78">
        <f>'Operating Calculations'!DM72*(DO$6&lt;=MAX(YrOfExit,1))</f>
        <v>0</v>
      </c>
      <c r="DP23" s="78">
        <f>'Operating Calculations'!DN72*(DP$6&lt;=MAX(YrOfExit,1))</f>
        <v>0</v>
      </c>
      <c r="DQ23" s="78">
        <f>'Operating Calculations'!DO72*(DQ$6&lt;=MAX(YrOfExit,1))</f>
        <v>0</v>
      </c>
      <c r="DR23" s="78">
        <f>'Operating Calculations'!DP72*(DR$6&lt;=MAX(YrOfExit,1))</f>
        <v>0</v>
      </c>
      <c r="DS23" s="78">
        <f>'Operating Calculations'!DQ72*(DS$6&lt;=MAX(YrOfExit,1))</f>
        <v>0</v>
      </c>
      <c r="DT23" s="78">
        <f>'Operating Calculations'!DR72*(DT$6&lt;=MAX(YrOfExit,1))</f>
        <v>0</v>
      </c>
      <c r="DU23" s="78">
        <f>'Operating Calculations'!DS72*(DU$6&lt;=MAX(YrOfExit,1))</f>
        <v>0</v>
      </c>
      <c r="DV23" s="78">
        <f>'Operating Calculations'!DT72*(DV$6&lt;=MAX(YrOfExit,1))</f>
        <v>0</v>
      </c>
      <c r="DW23" s="78">
        <f>'Operating Calculations'!DU72*(DW$6&lt;=MAX(YrOfExit,1))</f>
        <v>0</v>
      </c>
      <c r="DX23" s="78">
        <f>'Operating Calculations'!DV72*(DX$6&lt;=MAX(YrOfExit,1))</f>
        <v>0</v>
      </c>
      <c r="DY23" s="78">
        <f>'Operating Calculations'!DW72*(DY$6&lt;=MAX(YrOfExit,1))</f>
        <v>0</v>
      </c>
      <c r="DZ23" s="78">
        <f>'Operating Calculations'!DX72*(DZ$6&lt;=MAX(YrOfExit,1))</f>
        <v>0</v>
      </c>
      <c r="EA23" s="78">
        <f>'Operating Calculations'!DY72*(EA$6&lt;=MAX(YrOfExit,1))</f>
        <v>0</v>
      </c>
      <c r="EB23" s="78">
        <f>'Operating Calculations'!DZ72*(EB$6&lt;=MAX(YrOfExit,1))</f>
        <v>0</v>
      </c>
      <c r="EC23" s="78">
        <f>'Operating Calculations'!EA72*(EC$6&lt;=MAX(YrOfExit,1))</f>
        <v>0</v>
      </c>
      <c r="ED23" s="78">
        <f>'Operating Calculations'!EB72*(ED$6&lt;=MAX(YrOfExit,1))</f>
        <v>0</v>
      </c>
      <c r="EE23" s="78">
        <f>'Operating Calculations'!EC72*(EE$6&lt;=MAX(YrOfExit,1))</f>
        <v>0</v>
      </c>
      <c r="EF23" s="78">
        <f>'Operating Calculations'!ED72*(EF$6&lt;=MAX(YrOfExit,1))</f>
        <v>0</v>
      </c>
      <c r="EG23" s="78">
        <f>'Operating Calculations'!EE72*(EG$6&lt;=MAX(YrOfExit,1))</f>
        <v>0</v>
      </c>
      <c r="EH23" s="78">
        <f>'Operating Calculations'!EF72*(EH$6&lt;=MAX(YrOfExit,1))</f>
        <v>0</v>
      </c>
      <c r="EI23" s="78">
        <f>'Operating Calculations'!EG72*(EI$6&lt;=MAX(YrOfExit,1))</f>
        <v>0</v>
      </c>
    </row>
    <row r="24" spans="2:139">
      <c r="B24" s="32" t="s">
        <v>120</v>
      </c>
      <c r="C24" s="32"/>
      <c r="D24" s="78"/>
      <c r="E24" s="78">
        <f t="shared" si="21"/>
        <v>0</v>
      </c>
      <c r="F24" s="78">
        <f t="shared" si="21"/>
        <v>0</v>
      </c>
      <c r="G24" s="78">
        <f t="shared" si="21"/>
        <v>0</v>
      </c>
      <c r="H24" s="78">
        <f t="shared" si="21"/>
        <v>0</v>
      </c>
      <c r="I24" s="78">
        <f t="shared" si="21"/>
        <v>0</v>
      </c>
      <c r="J24" s="78">
        <f t="shared" si="21"/>
        <v>0</v>
      </c>
      <c r="K24" s="78">
        <f t="shared" si="21"/>
        <v>0</v>
      </c>
      <c r="L24" s="78">
        <f t="shared" si="21"/>
        <v>0</v>
      </c>
      <c r="M24" s="78">
        <f t="shared" si="21"/>
        <v>0</v>
      </c>
      <c r="N24" s="78">
        <f t="shared" si="21"/>
        <v>0</v>
      </c>
      <c r="O24" s="145">
        <f>SUM(D24:N24)</f>
        <v>0</v>
      </c>
      <c r="Q24" s="78">
        <f>'Operating Calculations'!O76</f>
        <v>0</v>
      </c>
      <c r="S24" s="78"/>
      <c r="T24" s="78">
        <f>'Operating Calculations'!R76*(T$6&lt;=MAX(YrOfExit,1))</f>
        <v>0</v>
      </c>
      <c r="U24" s="78">
        <f>'Operating Calculations'!S76*(U$6&lt;=MAX(YrOfExit,1))</f>
        <v>0</v>
      </c>
      <c r="V24" s="78">
        <f>'Operating Calculations'!T76*(V$6&lt;=MAX(YrOfExit,1))</f>
        <v>0</v>
      </c>
      <c r="W24" s="78">
        <f>'Operating Calculations'!U76*(W$6&lt;=MAX(YrOfExit,1))</f>
        <v>0</v>
      </c>
      <c r="X24" s="78">
        <f>'Operating Calculations'!V76*(X$6&lt;=MAX(YrOfExit,1))</f>
        <v>0</v>
      </c>
      <c r="Y24" s="78">
        <f>'Operating Calculations'!W76*(Y$6&lt;=MAX(YrOfExit,1))</f>
        <v>0</v>
      </c>
      <c r="Z24" s="78">
        <f>'Operating Calculations'!X76*(Z$6&lt;=MAX(YrOfExit,1))</f>
        <v>0</v>
      </c>
      <c r="AA24" s="78">
        <f>'Operating Calculations'!Y76*(AA$6&lt;=MAX(YrOfExit,1))</f>
        <v>0</v>
      </c>
      <c r="AB24" s="78">
        <f>'Operating Calculations'!Z76*(AB$6&lt;=MAX(YrOfExit,1))</f>
        <v>0</v>
      </c>
      <c r="AC24" s="78">
        <f>'Operating Calculations'!AA76*(AC$6&lt;=MAX(YrOfExit,1))</f>
        <v>0</v>
      </c>
      <c r="AD24" s="78">
        <f>'Operating Calculations'!AB76*(AD$6&lt;=MAX(YrOfExit,1))</f>
        <v>0</v>
      </c>
      <c r="AE24" s="78">
        <f>'Operating Calculations'!AC76*(AE$6&lt;=MAX(YrOfExit,1))</f>
        <v>0</v>
      </c>
      <c r="AF24" s="78">
        <f>'Operating Calculations'!AD76*(AF$6&lt;=MAX(YrOfExit,1))</f>
        <v>0</v>
      </c>
      <c r="AG24" s="78">
        <f>'Operating Calculations'!AE76*(AG$6&lt;=MAX(YrOfExit,1))</f>
        <v>0</v>
      </c>
      <c r="AH24" s="78">
        <f>'Operating Calculations'!AF76*(AH$6&lt;=MAX(YrOfExit,1))</f>
        <v>0</v>
      </c>
      <c r="AI24" s="78">
        <f>'Operating Calculations'!AG76*(AI$6&lt;=MAX(YrOfExit,1))</f>
        <v>0</v>
      </c>
      <c r="AJ24" s="78">
        <f>'Operating Calculations'!AH76*(AJ$6&lt;=MAX(YrOfExit,1))</f>
        <v>0</v>
      </c>
      <c r="AK24" s="78">
        <f>'Operating Calculations'!AI76*(AK$6&lt;=MAX(YrOfExit,1))</f>
        <v>0</v>
      </c>
      <c r="AL24" s="78">
        <f>'Operating Calculations'!AJ76*(AL$6&lt;=MAX(YrOfExit,1))</f>
        <v>0</v>
      </c>
      <c r="AM24" s="78">
        <f>'Operating Calculations'!AK76*(AM$6&lt;=MAX(YrOfExit,1))</f>
        <v>0</v>
      </c>
      <c r="AN24" s="78">
        <f>'Operating Calculations'!AL76*(AN$6&lt;=MAX(YrOfExit,1))</f>
        <v>0</v>
      </c>
      <c r="AO24" s="78">
        <f>'Operating Calculations'!AM76*(AO$6&lt;=MAX(YrOfExit,1))</f>
        <v>0</v>
      </c>
      <c r="AP24" s="78">
        <f>'Operating Calculations'!AN76*(AP$6&lt;=MAX(YrOfExit,1))</f>
        <v>0</v>
      </c>
      <c r="AQ24" s="78">
        <f>'Operating Calculations'!AO76*(AQ$6&lt;=MAX(YrOfExit,1))</f>
        <v>0</v>
      </c>
      <c r="AR24" s="78">
        <f>'Operating Calculations'!AP76*(AR$6&lt;=MAX(YrOfExit,1))</f>
        <v>0</v>
      </c>
      <c r="AS24" s="78">
        <f>'Operating Calculations'!AQ76*(AS$6&lt;=MAX(YrOfExit,1))</f>
        <v>0</v>
      </c>
      <c r="AT24" s="78">
        <f>'Operating Calculations'!AR76*(AT$6&lt;=MAX(YrOfExit,1))</f>
        <v>0</v>
      </c>
      <c r="AU24" s="78">
        <f>'Operating Calculations'!AS76*(AU$6&lt;=MAX(YrOfExit,1))</f>
        <v>0</v>
      </c>
      <c r="AV24" s="78">
        <f>'Operating Calculations'!AT76*(AV$6&lt;=MAX(YrOfExit,1))</f>
        <v>0</v>
      </c>
      <c r="AW24" s="78">
        <f>'Operating Calculations'!AU76*(AW$6&lt;=MAX(YrOfExit,1))</f>
        <v>0</v>
      </c>
      <c r="AX24" s="78">
        <f>'Operating Calculations'!AV76*(AX$6&lt;=MAX(YrOfExit,1))</f>
        <v>0</v>
      </c>
      <c r="AY24" s="78">
        <f>'Operating Calculations'!AW76*(AY$6&lt;=MAX(YrOfExit,1))</f>
        <v>0</v>
      </c>
      <c r="AZ24" s="78">
        <f>'Operating Calculations'!AX76*(AZ$6&lt;=MAX(YrOfExit,1))</f>
        <v>0</v>
      </c>
      <c r="BA24" s="78">
        <f>'Operating Calculations'!AY76*(BA$6&lt;=MAX(YrOfExit,1))</f>
        <v>0</v>
      </c>
      <c r="BB24" s="78">
        <f>'Operating Calculations'!AZ76*(BB$6&lt;=MAX(YrOfExit,1))</f>
        <v>0</v>
      </c>
      <c r="BC24" s="78">
        <f>'Operating Calculations'!BA76*(BC$6&lt;=MAX(YrOfExit,1))</f>
        <v>0</v>
      </c>
      <c r="BD24" s="78">
        <f>'Operating Calculations'!BB76*(BD$6&lt;=MAX(YrOfExit,1))</f>
        <v>0</v>
      </c>
      <c r="BE24" s="78">
        <f>'Operating Calculations'!BC76*(BE$6&lt;=MAX(YrOfExit,1))</f>
        <v>0</v>
      </c>
      <c r="BF24" s="78">
        <f>'Operating Calculations'!BD76*(BF$6&lt;=MAX(YrOfExit,1))</f>
        <v>0</v>
      </c>
      <c r="BG24" s="78">
        <f>'Operating Calculations'!BE76*(BG$6&lt;=MAX(YrOfExit,1))</f>
        <v>0</v>
      </c>
      <c r="BH24" s="78">
        <f>'Operating Calculations'!BF76*(BH$6&lt;=MAX(YrOfExit,1))</f>
        <v>0</v>
      </c>
      <c r="BI24" s="78">
        <f>'Operating Calculations'!BG76*(BI$6&lt;=MAX(YrOfExit,1))</f>
        <v>0</v>
      </c>
      <c r="BJ24" s="78">
        <f>'Operating Calculations'!BH76*(BJ$6&lt;=MAX(YrOfExit,1))</f>
        <v>0</v>
      </c>
      <c r="BK24" s="78">
        <f>'Operating Calculations'!BI76*(BK$6&lt;=MAX(YrOfExit,1))</f>
        <v>0</v>
      </c>
      <c r="BL24" s="78">
        <f>'Operating Calculations'!BJ76*(BL$6&lt;=MAX(YrOfExit,1))</f>
        <v>0</v>
      </c>
      <c r="BM24" s="78">
        <f>'Operating Calculations'!BK76*(BM$6&lt;=MAX(YrOfExit,1))</f>
        <v>0</v>
      </c>
      <c r="BN24" s="78">
        <f>'Operating Calculations'!BL76*(BN$6&lt;=MAX(YrOfExit,1))</f>
        <v>0</v>
      </c>
      <c r="BO24" s="78">
        <f>'Operating Calculations'!BM76*(BO$6&lt;=MAX(YrOfExit,1))</f>
        <v>0</v>
      </c>
      <c r="BP24" s="78">
        <f>'Operating Calculations'!BN76*(BP$6&lt;=MAX(YrOfExit,1))</f>
        <v>0</v>
      </c>
      <c r="BQ24" s="78">
        <f>'Operating Calculations'!BO76*(BQ$6&lt;=MAX(YrOfExit,1))</f>
        <v>0</v>
      </c>
      <c r="BR24" s="78">
        <f>'Operating Calculations'!BP76*(BR$6&lt;=MAX(YrOfExit,1))</f>
        <v>0</v>
      </c>
      <c r="BS24" s="78">
        <f>'Operating Calculations'!BQ76*(BS$6&lt;=MAX(YrOfExit,1))</f>
        <v>0</v>
      </c>
      <c r="BT24" s="78">
        <f>'Operating Calculations'!BR76*(BT$6&lt;=MAX(YrOfExit,1))</f>
        <v>0</v>
      </c>
      <c r="BU24" s="78">
        <f>'Operating Calculations'!BS76*(BU$6&lt;=MAX(YrOfExit,1))</f>
        <v>0</v>
      </c>
      <c r="BV24" s="78">
        <f>'Operating Calculations'!BT76*(BV$6&lt;=MAX(YrOfExit,1))</f>
        <v>0</v>
      </c>
      <c r="BW24" s="78">
        <f>'Operating Calculations'!BU76*(BW$6&lt;=MAX(YrOfExit,1))</f>
        <v>0</v>
      </c>
      <c r="BX24" s="78">
        <f>'Operating Calculations'!BV76*(BX$6&lt;=MAX(YrOfExit,1))</f>
        <v>0</v>
      </c>
      <c r="BY24" s="78">
        <f>'Operating Calculations'!BW76*(BY$6&lt;=MAX(YrOfExit,1))</f>
        <v>0</v>
      </c>
      <c r="BZ24" s="78">
        <f>'Operating Calculations'!BX76*(BZ$6&lt;=MAX(YrOfExit,1))</f>
        <v>0</v>
      </c>
      <c r="CA24" s="78">
        <f>'Operating Calculations'!BY76*(CA$6&lt;=MAX(YrOfExit,1))</f>
        <v>0</v>
      </c>
      <c r="CB24" s="78">
        <f>'Operating Calculations'!BZ76*(CB$6&lt;=MAX(YrOfExit,1))</f>
        <v>0</v>
      </c>
      <c r="CC24" s="78">
        <f>'Operating Calculations'!CA76*(CC$6&lt;=MAX(YrOfExit,1))</f>
        <v>0</v>
      </c>
      <c r="CD24" s="78">
        <f>'Operating Calculations'!CB76*(CD$6&lt;=MAX(YrOfExit,1))</f>
        <v>0</v>
      </c>
      <c r="CE24" s="78">
        <f>'Operating Calculations'!CC76*(CE$6&lt;=MAX(YrOfExit,1))</f>
        <v>0</v>
      </c>
      <c r="CF24" s="78">
        <f>'Operating Calculations'!CD76*(CF$6&lt;=MAX(YrOfExit,1))</f>
        <v>0</v>
      </c>
      <c r="CG24" s="78">
        <f>'Operating Calculations'!CE76*(CG$6&lt;=MAX(YrOfExit,1))</f>
        <v>0</v>
      </c>
      <c r="CH24" s="78">
        <f>'Operating Calculations'!CF76*(CH$6&lt;=MAX(YrOfExit,1))</f>
        <v>0</v>
      </c>
      <c r="CI24" s="78">
        <f>'Operating Calculations'!CG76*(CI$6&lt;=MAX(YrOfExit,1))</f>
        <v>0</v>
      </c>
      <c r="CJ24" s="78">
        <f>'Operating Calculations'!CH76*(CJ$6&lt;=MAX(YrOfExit,1))</f>
        <v>0</v>
      </c>
      <c r="CK24" s="78">
        <f>'Operating Calculations'!CI76*(CK$6&lt;=MAX(YrOfExit,1))</f>
        <v>0</v>
      </c>
      <c r="CL24" s="78">
        <f>'Operating Calculations'!CJ76*(CL$6&lt;=MAX(YrOfExit,1))</f>
        <v>0</v>
      </c>
      <c r="CM24" s="78">
        <f>'Operating Calculations'!CK76*(CM$6&lt;=MAX(YrOfExit,1))</f>
        <v>0</v>
      </c>
      <c r="CN24" s="78">
        <f>'Operating Calculations'!CL76*(CN$6&lt;=MAX(YrOfExit,1))</f>
        <v>0</v>
      </c>
      <c r="CO24" s="78">
        <f>'Operating Calculations'!CM76*(CO$6&lt;=MAX(YrOfExit,1))</f>
        <v>0</v>
      </c>
      <c r="CP24" s="78">
        <f>'Operating Calculations'!CN76*(CP$6&lt;=MAX(YrOfExit,1))</f>
        <v>0</v>
      </c>
      <c r="CQ24" s="78">
        <f>'Operating Calculations'!CO76*(CQ$6&lt;=MAX(YrOfExit,1))</f>
        <v>0</v>
      </c>
      <c r="CR24" s="78">
        <f>'Operating Calculations'!CP76*(CR$6&lt;=MAX(YrOfExit,1))</f>
        <v>0</v>
      </c>
      <c r="CS24" s="78">
        <f>'Operating Calculations'!CQ76*(CS$6&lt;=MAX(YrOfExit,1))</f>
        <v>0</v>
      </c>
      <c r="CT24" s="78">
        <f>'Operating Calculations'!CR76*(CT$6&lt;=MAX(YrOfExit,1))</f>
        <v>0</v>
      </c>
      <c r="CU24" s="78">
        <f>'Operating Calculations'!CS76*(CU$6&lt;=MAX(YrOfExit,1))</f>
        <v>0</v>
      </c>
      <c r="CV24" s="78">
        <f>'Operating Calculations'!CT76*(CV$6&lt;=MAX(YrOfExit,1))</f>
        <v>0</v>
      </c>
      <c r="CW24" s="78">
        <f>'Operating Calculations'!CU76*(CW$6&lt;=MAX(YrOfExit,1))</f>
        <v>0</v>
      </c>
      <c r="CX24" s="78">
        <f>'Operating Calculations'!CV76*(CX$6&lt;=MAX(YrOfExit,1))</f>
        <v>0</v>
      </c>
      <c r="CY24" s="78">
        <f>'Operating Calculations'!CW76*(CY$6&lt;=MAX(YrOfExit,1))</f>
        <v>0</v>
      </c>
      <c r="CZ24" s="78">
        <f>'Operating Calculations'!CX76*(CZ$6&lt;=MAX(YrOfExit,1))</f>
        <v>0</v>
      </c>
      <c r="DA24" s="78">
        <f>'Operating Calculations'!CY76*(DA$6&lt;=MAX(YrOfExit,1))</f>
        <v>0</v>
      </c>
      <c r="DB24" s="78">
        <f>'Operating Calculations'!CZ76*(DB$6&lt;=MAX(YrOfExit,1))</f>
        <v>0</v>
      </c>
      <c r="DC24" s="78">
        <f>'Operating Calculations'!DA76*(DC$6&lt;=MAX(YrOfExit,1))</f>
        <v>0</v>
      </c>
      <c r="DD24" s="78">
        <f>'Operating Calculations'!DB76*(DD$6&lt;=MAX(YrOfExit,1))</f>
        <v>0</v>
      </c>
      <c r="DE24" s="78">
        <f>'Operating Calculations'!DC76*(DE$6&lt;=MAX(YrOfExit,1))</f>
        <v>0</v>
      </c>
      <c r="DF24" s="78">
        <f>'Operating Calculations'!DD76*(DF$6&lt;=MAX(YrOfExit,1))</f>
        <v>0</v>
      </c>
      <c r="DG24" s="78">
        <f>'Operating Calculations'!DE76*(DG$6&lt;=MAX(YrOfExit,1))</f>
        <v>0</v>
      </c>
      <c r="DH24" s="78">
        <f>'Operating Calculations'!DF76*(DH$6&lt;=MAX(YrOfExit,1))</f>
        <v>0</v>
      </c>
      <c r="DI24" s="78">
        <f>'Operating Calculations'!DG76*(DI$6&lt;=MAX(YrOfExit,1))</f>
        <v>0</v>
      </c>
      <c r="DJ24" s="78">
        <f>'Operating Calculations'!DH76*(DJ$6&lt;=MAX(YrOfExit,1))</f>
        <v>0</v>
      </c>
      <c r="DK24" s="78">
        <f>'Operating Calculations'!DI76*(DK$6&lt;=MAX(YrOfExit,1))</f>
        <v>0</v>
      </c>
      <c r="DL24" s="78">
        <f>'Operating Calculations'!DJ76*(DL$6&lt;=MAX(YrOfExit,1))</f>
        <v>0</v>
      </c>
      <c r="DM24" s="78">
        <f>'Operating Calculations'!DK76*(DM$6&lt;=MAX(YrOfExit,1))</f>
        <v>0</v>
      </c>
      <c r="DN24" s="78">
        <f>'Operating Calculations'!DL76*(DN$6&lt;=MAX(YrOfExit,1))</f>
        <v>0</v>
      </c>
      <c r="DO24" s="78">
        <f>'Operating Calculations'!DM76*(DO$6&lt;=MAX(YrOfExit,1))</f>
        <v>0</v>
      </c>
      <c r="DP24" s="78">
        <f>'Operating Calculations'!DN76*(DP$6&lt;=MAX(YrOfExit,1))</f>
        <v>0</v>
      </c>
      <c r="DQ24" s="78">
        <f>'Operating Calculations'!DO76*(DQ$6&lt;=MAX(YrOfExit,1))</f>
        <v>0</v>
      </c>
      <c r="DR24" s="78">
        <f>'Operating Calculations'!DP76*(DR$6&lt;=MAX(YrOfExit,1))</f>
        <v>0</v>
      </c>
      <c r="DS24" s="78">
        <f>'Operating Calculations'!DQ76*(DS$6&lt;=MAX(YrOfExit,1))</f>
        <v>0</v>
      </c>
      <c r="DT24" s="78">
        <f>'Operating Calculations'!DR76*(DT$6&lt;=MAX(YrOfExit,1))</f>
        <v>0</v>
      </c>
      <c r="DU24" s="78">
        <f>'Operating Calculations'!DS76*(DU$6&lt;=MAX(YrOfExit,1))</f>
        <v>0</v>
      </c>
      <c r="DV24" s="78">
        <f>'Operating Calculations'!DT76*(DV$6&lt;=MAX(YrOfExit,1))</f>
        <v>0</v>
      </c>
      <c r="DW24" s="78">
        <f>'Operating Calculations'!DU76*(DW$6&lt;=MAX(YrOfExit,1))</f>
        <v>0</v>
      </c>
      <c r="DX24" s="78">
        <f>'Operating Calculations'!DV76*(DX$6&lt;=MAX(YrOfExit,1))</f>
        <v>0</v>
      </c>
      <c r="DY24" s="78">
        <f>'Operating Calculations'!DW76*(DY$6&lt;=MAX(YrOfExit,1))</f>
        <v>0</v>
      </c>
      <c r="DZ24" s="78">
        <f>'Operating Calculations'!DX76*(DZ$6&lt;=MAX(YrOfExit,1))</f>
        <v>0</v>
      </c>
      <c r="EA24" s="78">
        <f>'Operating Calculations'!DY76*(EA$6&lt;=MAX(YrOfExit,1))</f>
        <v>0</v>
      </c>
      <c r="EB24" s="78">
        <f>'Operating Calculations'!DZ76*(EB$6&lt;=MAX(YrOfExit,1))</f>
        <v>0</v>
      </c>
      <c r="EC24" s="78">
        <f>'Operating Calculations'!EA76*(EC$6&lt;=MAX(YrOfExit,1))</f>
        <v>0</v>
      </c>
      <c r="ED24" s="78">
        <f>'Operating Calculations'!EB76*(ED$6&lt;=MAX(YrOfExit,1))</f>
        <v>0</v>
      </c>
      <c r="EE24" s="78">
        <f>'Operating Calculations'!EC76*(EE$6&lt;=MAX(YrOfExit,1))</f>
        <v>0</v>
      </c>
      <c r="EF24" s="78">
        <f>'Operating Calculations'!ED76*(EF$6&lt;=MAX(YrOfExit,1))</f>
        <v>0</v>
      </c>
      <c r="EG24" s="78">
        <f>'Operating Calculations'!EE76*(EG$6&lt;=MAX(YrOfExit,1))</f>
        <v>0</v>
      </c>
      <c r="EH24" s="78">
        <f>'Operating Calculations'!EF76*(EH$6&lt;=MAX(YrOfExit,1))</f>
        <v>0</v>
      </c>
      <c r="EI24" s="78">
        <f>'Operating Calculations'!EG76*(EI$6&lt;=MAX(YrOfExit,1))</f>
        <v>0</v>
      </c>
    </row>
    <row r="25" spans="2:139">
      <c r="B25" s="32" t="s">
        <v>11</v>
      </c>
      <c r="C25" s="32"/>
      <c r="D25" s="78"/>
      <c r="E25" s="78">
        <f t="shared" si="21"/>
        <v>-19789.142857142881</v>
      </c>
      <c r="F25" s="78">
        <f t="shared" si="21"/>
        <v>-20002.87664960984</v>
      </c>
      <c r="G25" s="78">
        <f t="shared" si="21"/>
        <v>-20511.449531665621</v>
      </c>
      <c r="H25" s="78">
        <f t="shared" si="21"/>
        <v>-21126.793017615611</v>
      </c>
      <c r="I25" s="78">
        <f t="shared" si="21"/>
        <v>-21760.596808144102</v>
      </c>
      <c r="J25" s="78">
        <f t="shared" si="21"/>
        <v>-22413.41471238845</v>
      </c>
      <c r="K25" s="78">
        <f t="shared" si="21"/>
        <v>-23085.81715376013</v>
      </c>
      <c r="L25" s="78">
        <f t="shared" si="21"/>
        <v>0</v>
      </c>
      <c r="M25" s="78">
        <f t="shared" si="21"/>
        <v>0</v>
      </c>
      <c r="N25" s="78">
        <f t="shared" si="21"/>
        <v>0</v>
      </c>
      <c r="O25" s="145">
        <f>SUM(D25:N25)</f>
        <v>-148690.09073032666</v>
      </c>
      <c r="Q25" s="78">
        <f>'Operating Calculations'!O74</f>
        <v>-23778.391668372955</v>
      </c>
      <c r="S25" s="78"/>
      <c r="T25" s="78">
        <f>'Operating Calculations'!R74*(T$6&lt;=MAX(YrOfExit,1))</f>
        <v>-1649.0952380952399</v>
      </c>
      <c r="U25" s="78">
        <f>'Operating Calculations'!S74*(U$6&lt;=MAX(YrOfExit,1))</f>
        <v>-1649.0952380952399</v>
      </c>
      <c r="V25" s="78">
        <f>'Operating Calculations'!T74*(V$6&lt;=MAX(YrOfExit,1))</f>
        <v>-1649.0952380952399</v>
      </c>
      <c r="W25" s="78">
        <f>'Operating Calculations'!U74*(W$6&lt;=MAX(YrOfExit,1))</f>
        <v>-1649.0952380952399</v>
      </c>
      <c r="X25" s="78">
        <f>'Operating Calculations'!V74*(X$6&lt;=MAX(YrOfExit,1))</f>
        <v>-1649.0952380952399</v>
      </c>
      <c r="Y25" s="78">
        <f>'Operating Calculations'!W74*(Y$6&lt;=MAX(YrOfExit,1))</f>
        <v>-1649.0952380952399</v>
      </c>
      <c r="Z25" s="78">
        <f>'Operating Calculations'!X74*(Z$6&lt;=MAX(YrOfExit,1))</f>
        <v>-1649.0952380952399</v>
      </c>
      <c r="AA25" s="78">
        <f>'Operating Calculations'!Y74*(AA$6&lt;=MAX(YrOfExit,1))</f>
        <v>-1649.0952380952399</v>
      </c>
      <c r="AB25" s="78">
        <f>'Operating Calculations'!Z74*(AB$6&lt;=MAX(YrOfExit,1))</f>
        <v>-1649.0952380952399</v>
      </c>
      <c r="AC25" s="78">
        <f>'Operating Calculations'!AA74*(AC$6&lt;=MAX(YrOfExit,1))</f>
        <v>-1649.0952380952399</v>
      </c>
      <c r="AD25" s="78">
        <f>'Operating Calculations'!AB74*(AD$6&lt;=MAX(YrOfExit,1))</f>
        <v>-1649.0952380952399</v>
      </c>
      <c r="AE25" s="78">
        <f>'Operating Calculations'!AC74*(AE$6&lt;=MAX(YrOfExit,1))</f>
        <v>-1649.0952380952399</v>
      </c>
      <c r="AF25" s="78">
        <f>'Operating Calculations'!AD74*(AF$6&lt;=MAX(YrOfExit,1))</f>
        <v>-1651.8188529555637</v>
      </c>
      <c r="AG25" s="78">
        <f>'Operating Calculations'!AE74*(AG$6&lt;=MAX(YrOfExit,1))</f>
        <v>-1654.5469660872643</v>
      </c>
      <c r="AH25" s="78">
        <f>'Operating Calculations'!AF74*(AH$6&lt;=MAX(YrOfExit,1))</f>
        <v>-1657.2795849196029</v>
      </c>
      <c r="AI25" s="78">
        <f>'Operating Calculations'!AG74*(AI$6&lt;=MAX(YrOfExit,1))</f>
        <v>-1660.0167168941102</v>
      </c>
      <c r="AJ25" s="78">
        <f>'Operating Calculations'!AH74*(AJ$6&lt;=MAX(YrOfExit,1))</f>
        <v>-1662.7583694646078</v>
      </c>
      <c r="AK25" s="78">
        <f>'Operating Calculations'!AI74*(AK$6&lt;=MAX(YrOfExit,1))</f>
        <v>-1665.5045500972265</v>
      </c>
      <c r="AL25" s="78">
        <f>'Operating Calculations'!AJ74*(AL$6&lt;=MAX(YrOfExit,1))</f>
        <v>-1668.2552662704306</v>
      </c>
      <c r="AM25" s="78">
        <f>'Operating Calculations'!AK74*(AM$6&lt;=MAX(YrOfExit,1))</f>
        <v>-1671.0105254750326</v>
      </c>
      <c r="AN25" s="78">
        <f>'Operating Calculations'!AL74*(AN$6&lt;=MAX(YrOfExit,1))</f>
        <v>-1673.7703352142194</v>
      </c>
      <c r="AO25" s="78">
        <f>'Operating Calculations'!AM74*(AO$6&lt;=MAX(YrOfExit,1))</f>
        <v>-1676.5347030035678</v>
      </c>
      <c r="AP25" s="78">
        <f>'Operating Calculations'!AN74*(AP$6&lt;=MAX(YrOfExit,1))</f>
        <v>-1679.3036363710687</v>
      </c>
      <c r="AQ25" s="78">
        <f>'Operating Calculations'!AO74*(AQ$6&lt;=MAX(YrOfExit,1))</f>
        <v>-1682.0771428571461</v>
      </c>
      <c r="AR25" s="78">
        <f>'Operating Calculations'!AP74*(AR$6&lt;=MAX(YrOfExit,1))</f>
        <v>-1686.2255988692575</v>
      </c>
      <c r="AS25" s="78">
        <f>'Operating Calculations'!AQ74*(AS$6&lt;=MAX(YrOfExit,1))</f>
        <v>-1690.3842860930338</v>
      </c>
      <c r="AT25" s="78">
        <f>'Operating Calculations'!AR74*(AT$6&lt;=MAX(YrOfExit,1))</f>
        <v>-1694.553229761402</v>
      </c>
      <c r="AU25" s="78">
        <f>'Operating Calculations'!AS74*(AU$6&lt;=MAX(YrOfExit,1))</f>
        <v>-1698.7324551695222</v>
      </c>
      <c r="AV25" s="78">
        <f>'Operating Calculations'!AT74*(AV$6&lt;=MAX(YrOfExit,1))</f>
        <v>-1702.921987674938</v>
      </c>
      <c r="AW25" s="78">
        <f>'Operating Calculations'!AU74*(AW$6&lt;=MAX(YrOfExit,1))</f>
        <v>-1707.121852697732</v>
      </c>
      <c r="AX25" s="78">
        <f>'Operating Calculations'!AV74*(AX$6&lt;=MAX(YrOfExit,1))</f>
        <v>-1711.3320757206795</v>
      </c>
      <c r="AY25" s="78">
        <f>'Operating Calculations'!AW74*(AY$6&lt;=MAX(YrOfExit,1))</f>
        <v>-1715.5526822894033</v>
      </c>
      <c r="AZ25" s="78">
        <f>'Operating Calculations'!AX74*(AZ$6&lt;=MAX(YrOfExit,1))</f>
        <v>-1719.7836980125282</v>
      </c>
      <c r="BA25" s="78">
        <f>'Operating Calculations'!AY74*(BA$6&lt;=MAX(YrOfExit,1))</f>
        <v>-1724.0251485618371</v>
      </c>
      <c r="BB25" s="78">
        <f>'Operating Calculations'!AZ74*(BB$6&lt;=MAX(YrOfExit,1))</f>
        <v>-1728.2770596724265</v>
      </c>
      <c r="BC25" s="78">
        <f>'Operating Calculations'!BA74*(BC$6&lt;=MAX(YrOfExit,1))</f>
        <v>-1732.5394571428626</v>
      </c>
      <c r="BD25" s="78">
        <f>'Operating Calculations'!BB74*(BD$6&lt;=MAX(YrOfExit,1))</f>
        <v>-1736.8123668353373</v>
      </c>
      <c r="BE25" s="78">
        <f>'Operating Calculations'!BC74*(BE$6&lt;=MAX(YrOfExit,1))</f>
        <v>-1741.0958146758269</v>
      </c>
      <c r="BF25" s="78">
        <f>'Operating Calculations'!BD74*(BF$6&lt;=MAX(YrOfExit,1))</f>
        <v>-1745.3898266542462</v>
      </c>
      <c r="BG25" s="78">
        <f>'Operating Calculations'!BE74*(BG$6&lt;=MAX(YrOfExit,1))</f>
        <v>-1749.6944288246098</v>
      </c>
      <c r="BH25" s="78">
        <f>'Operating Calculations'!BF74*(BH$6&lt;=MAX(YrOfExit,1))</f>
        <v>-1754.0096473051885</v>
      </c>
      <c r="BI25" s="78">
        <f>'Operating Calculations'!BG74*(BI$6&lt;=MAX(YrOfExit,1))</f>
        <v>-1758.3355082786661</v>
      </c>
      <c r="BJ25" s="78">
        <f>'Operating Calculations'!BH74*(BJ$6&lt;=MAX(YrOfExit,1))</f>
        <v>-1762.6720379923017</v>
      </c>
      <c r="BK25" s="78">
        <f>'Operating Calculations'!BI74*(BK$6&lt;=MAX(YrOfExit,1))</f>
        <v>-1767.0192627580873</v>
      </c>
      <c r="BL25" s="78">
        <f>'Operating Calculations'!BJ74*(BL$6&lt;=MAX(YrOfExit,1))</f>
        <v>-1771.3772089529059</v>
      </c>
      <c r="BM25" s="78">
        <f>'Operating Calculations'!BK74*(BM$6&lt;=MAX(YrOfExit,1))</f>
        <v>-1775.7459030186944</v>
      </c>
      <c r="BN25" s="78">
        <f>'Operating Calculations'!BL74*(BN$6&lt;=MAX(YrOfExit,1))</f>
        <v>-1780.1253714626014</v>
      </c>
      <c r="BO25" s="78">
        <f>'Operating Calculations'!BM74*(BO$6&lt;=MAX(YrOfExit,1))</f>
        <v>-1784.5156408571504</v>
      </c>
      <c r="BP25" s="78">
        <f>'Operating Calculations'!BN74*(BP$6&lt;=MAX(YrOfExit,1))</f>
        <v>-1788.9167378403995</v>
      </c>
      <c r="BQ25" s="78">
        <f>'Operating Calculations'!BO74*(BQ$6&lt;=MAX(YrOfExit,1))</f>
        <v>-1793.3286891161035</v>
      </c>
      <c r="BR25" s="78">
        <f>'Operating Calculations'!BP74*(BR$6&lt;=MAX(YrOfExit,1))</f>
        <v>-1797.7515214538755</v>
      </c>
      <c r="BS25" s="78">
        <f>'Operating Calculations'!BQ74*(BS$6&lt;=MAX(YrOfExit,1))</f>
        <v>-1802.18526168935</v>
      </c>
      <c r="BT25" s="78">
        <f>'Operating Calculations'!BR74*(BT$6&lt;=MAX(YrOfExit,1))</f>
        <v>-1806.6299367243455</v>
      </c>
      <c r="BU25" s="78">
        <f>'Operating Calculations'!BS74*(BU$6&lt;=MAX(YrOfExit,1))</f>
        <v>-1811.0855735270279</v>
      </c>
      <c r="BV25" s="78">
        <f>'Operating Calculations'!BT74*(BV$6&lt;=MAX(YrOfExit,1))</f>
        <v>-1815.5521991320732</v>
      </c>
      <c r="BW25" s="78">
        <f>'Operating Calculations'!BU74*(BW$6&lt;=MAX(YrOfExit,1))</f>
        <v>-1820.0298406408319</v>
      </c>
      <c r="BX25" s="78">
        <f>'Operating Calculations'!BV74*(BX$6&lt;=MAX(YrOfExit,1))</f>
        <v>-1824.5185252214949</v>
      </c>
      <c r="BY25" s="78">
        <f>'Operating Calculations'!BW74*(BY$6&lt;=MAX(YrOfExit,1))</f>
        <v>-1829.0182801092569</v>
      </c>
      <c r="BZ25" s="78">
        <f>'Operating Calculations'!BX74*(BZ$6&lt;=MAX(YrOfExit,1))</f>
        <v>-1833.5291326064814</v>
      </c>
      <c r="CA25" s="78">
        <f>'Operating Calculations'!BY74*(CA$6&lt;=MAX(YrOfExit,1))</f>
        <v>-1838.0511100828667</v>
      </c>
      <c r="CB25" s="78">
        <f>'Operating Calculations'!BZ74*(CB$6&lt;=MAX(YrOfExit,1))</f>
        <v>-1842.5842399756134</v>
      </c>
      <c r="CC25" s="78">
        <f>'Operating Calculations'!CA74*(CC$6&lt;=MAX(YrOfExit,1))</f>
        <v>-1847.1285497895881</v>
      </c>
      <c r="CD25" s="78">
        <f>'Operating Calculations'!CB74*(CD$6&lt;=MAX(YrOfExit,1))</f>
        <v>-1851.6840670974934</v>
      </c>
      <c r="CE25" s="78">
        <f>'Operating Calculations'!CC74*(CE$6&lt;=MAX(YrOfExit,1))</f>
        <v>-1856.2508195400321</v>
      </c>
      <c r="CF25" s="78">
        <f>'Operating Calculations'!CD74*(CF$6&lt;=MAX(YrOfExit,1))</f>
        <v>-1860.8288348260778</v>
      </c>
      <c r="CG25" s="78">
        <f>'Operating Calculations'!CE74*(CG$6&lt;=MAX(YrOfExit,1))</f>
        <v>-1865.4181407328404</v>
      </c>
      <c r="CH25" s="78">
        <f>'Operating Calculations'!CF74*(CH$6&lt;=MAX(YrOfExit,1))</f>
        <v>-1870.0187651060367</v>
      </c>
      <c r="CI25" s="78">
        <f>'Operating Calculations'!CG74*(CI$6&lt;=MAX(YrOfExit,1))</f>
        <v>-1874.6307358600582</v>
      </c>
      <c r="CJ25" s="78">
        <f>'Operating Calculations'!CH74*(CJ$6&lt;=MAX(YrOfExit,1))</f>
        <v>-1879.2540809781415</v>
      </c>
      <c r="CK25" s="78">
        <f>'Operating Calculations'!CI74*(CK$6&lt;=MAX(YrOfExit,1))</f>
        <v>-1883.8888285125363</v>
      </c>
      <c r="CL25" s="78">
        <f>'Operating Calculations'!CJ74*(CL$6&lt;=MAX(YrOfExit,1))</f>
        <v>-1888.5350065846774</v>
      </c>
      <c r="CM25" s="78">
        <f>'Operating Calculations'!CK74*(CM$6&lt;=MAX(YrOfExit,1))</f>
        <v>-1893.1926433853548</v>
      </c>
      <c r="CN25" s="78">
        <f>'Operating Calculations'!CL74*(CN$6&lt;=MAX(YrOfExit,1))</f>
        <v>-1897.8617671748834</v>
      </c>
      <c r="CO25" s="78">
        <f>'Operating Calculations'!CM74*(CO$6&lt;=MAX(YrOfExit,1))</f>
        <v>-1902.5424062832778</v>
      </c>
      <c r="CP25" s="78">
        <f>'Operating Calculations'!CN74*(CP$6&lt;=MAX(YrOfExit,1))</f>
        <v>-1907.2345891104203</v>
      </c>
      <c r="CQ25" s="78">
        <f>'Operating Calculations'!CO74*(CQ$6&lt;=MAX(YrOfExit,1))</f>
        <v>-1911.9383441262353</v>
      </c>
      <c r="CR25" s="78">
        <f>'Operating Calculations'!CP74*(CR$6&lt;=MAX(YrOfExit,1))</f>
        <v>-1916.6536998708623</v>
      </c>
      <c r="CS25" s="78">
        <f>'Operating Calculations'!CQ74*(CS$6&lt;=MAX(YrOfExit,1))</f>
        <v>-1921.3806849548278</v>
      </c>
      <c r="CT25" s="78">
        <f>'Operating Calculations'!CR74*(CT$6&lt;=MAX(YrOfExit,1))</f>
        <v>-1926.1193280592197</v>
      </c>
      <c r="CU25" s="78">
        <f>'Operating Calculations'!CS74*(CU$6&lt;=MAX(YrOfExit,1))</f>
        <v>-1930.8696579358623</v>
      </c>
      <c r="CV25" s="78">
        <f>'Operating Calculations'!CT74*(CV$6&lt;=MAX(YrOfExit,1))</f>
        <v>-1935.6317034074877</v>
      </c>
      <c r="CW25" s="78">
        <f>'Operating Calculations'!CU74*(CW$6&lt;=MAX(YrOfExit,1))</f>
        <v>-1940.405493367914</v>
      </c>
      <c r="CX25" s="78">
        <f>'Operating Calculations'!CV74*(CX$6&lt;=MAX(YrOfExit,1))</f>
        <v>-1945.1910567822194</v>
      </c>
      <c r="CY25" s="78">
        <f>'Operating Calculations'!CW74*(CY$6&lt;=MAX(YrOfExit,1))</f>
        <v>-1949.9884226869169</v>
      </c>
      <c r="CZ25" s="78">
        <f>'Operating Calculations'!CX74*(CZ$6&lt;=MAX(YrOfExit,1))</f>
        <v>0</v>
      </c>
      <c r="DA25" s="78">
        <f>'Operating Calculations'!CY74*(DA$6&lt;=MAX(YrOfExit,1))</f>
        <v>0</v>
      </c>
      <c r="DB25" s="78">
        <f>'Operating Calculations'!CZ74*(DB$6&lt;=MAX(YrOfExit,1))</f>
        <v>0</v>
      </c>
      <c r="DC25" s="78">
        <f>'Operating Calculations'!DA74*(DC$6&lt;=MAX(YrOfExit,1))</f>
        <v>0</v>
      </c>
      <c r="DD25" s="78">
        <f>'Operating Calculations'!DB74*(DD$6&lt;=MAX(YrOfExit,1))</f>
        <v>0</v>
      </c>
      <c r="DE25" s="78">
        <f>'Operating Calculations'!DC74*(DE$6&lt;=MAX(YrOfExit,1))</f>
        <v>0</v>
      </c>
      <c r="DF25" s="78">
        <f>'Operating Calculations'!DD74*(DF$6&lt;=MAX(YrOfExit,1))</f>
        <v>0</v>
      </c>
      <c r="DG25" s="78">
        <f>'Operating Calculations'!DE74*(DG$6&lt;=MAX(YrOfExit,1))</f>
        <v>0</v>
      </c>
      <c r="DH25" s="78">
        <f>'Operating Calculations'!DF74*(DH$6&lt;=MAX(YrOfExit,1))</f>
        <v>0</v>
      </c>
      <c r="DI25" s="78">
        <f>'Operating Calculations'!DG74*(DI$6&lt;=MAX(YrOfExit,1))</f>
        <v>0</v>
      </c>
      <c r="DJ25" s="78">
        <f>'Operating Calculations'!DH74*(DJ$6&lt;=MAX(YrOfExit,1))</f>
        <v>0</v>
      </c>
      <c r="DK25" s="78">
        <f>'Operating Calculations'!DI74*(DK$6&lt;=MAX(YrOfExit,1))</f>
        <v>0</v>
      </c>
      <c r="DL25" s="78">
        <f>'Operating Calculations'!DJ74*(DL$6&lt;=MAX(YrOfExit,1))</f>
        <v>0</v>
      </c>
      <c r="DM25" s="78">
        <f>'Operating Calculations'!DK74*(DM$6&lt;=MAX(YrOfExit,1))</f>
        <v>0</v>
      </c>
      <c r="DN25" s="78">
        <f>'Operating Calculations'!DL74*(DN$6&lt;=MAX(YrOfExit,1))</f>
        <v>0</v>
      </c>
      <c r="DO25" s="78">
        <f>'Operating Calculations'!DM74*(DO$6&lt;=MAX(YrOfExit,1))</f>
        <v>0</v>
      </c>
      <c r="DP25" s="78">
        <f>'Operating Calculations'!DN74*(DP$6&lt;=MAX(YrOfExit,1))</f>
        <v>0</v>
      </c>
      <c r="DQ25" s="78">
        <f>'Operating Calculations'!DO74*(DQ$6&lt;=MAX(YrOfExit,1))</f>
        <v>0</v>
      </c>
      <c r="DR25" s="78">
        <f>'Operating Calculations'!DP74*(DR$6&lt;=MAX(YrOfExit,1))</f>
        <v>0</v>
      </c>
      <c r="DS25" s="78">
        <f>'Operating Calculations'!DQ74*(DS$6&lt;=MAX(YrOfExit,1))</f>
        <v>0</v>
      </c>
      <c r="DT25" s="78">
        <f>'Operating Calculations'!DR74*(DT$6&lt;=MAX(YrOfExit,1))</f>
        <v>0</v>
      </c>
      <c r="DU25" s="78">
        <f>'Operating Calculations'!DS74*(DU$6&lt;=MAX(YrOfExit,1))</f>
        <v>0</v>
      </c>
      <c r="DV25" s="78">
        <f>'Operating Calculations'!DT74*(DV$6&lt;=MAX(YrOfExit,1))</f>
        <v>0</v>
      </c>
      <c r="DW25" s="78">
        <f>'Operating Calculations'!DU74*(DW$6&lt;=MAX(YrOfExit,1))</f>
        <v>0</v>
      </c>
      <c r="DX25" s="78">
        <f>'Operating Calculations'!DV74*(DX$6&lt;=MAX(YrOfExit,1))</f>
        <v>0</v>
      </c>
      <c r="DY25" s="78">
        <f>'Operating Calculations'!DW74*(DY$6&lt;=MAX(YrOfExit,1))</f>
        <v>0</v>
      </c>
      <c r="DZ25" s="78">
        <f>'Operating Calculations'!DX74*(DZ$6&lt;=MAX(YrOfExit,1))</f>
        <v>0</v>
      </c>
      <c r="EA25" s="78">
        <f>'Operating Calculations'!DY74*(EA$6&lt;=MAX(YrOfExit,1))</f>
        <v>0</v>
      </c>
      <c r="EB25" s="78">
        <f>'Operating Calculations'!DZ74*(EB$6&lt;=MAX(YrOfExit,1))</f>
        <v>0</v>
      </c>
      <c r="EC25" s="78">
        <f>'Operating Calculations'!EA74*(EC$6&lt;=MAX(YrOfExit,1))</f>
        <v>0</v>
      </c>
      <c r="ED25" s="78">
        <f>'Operating Calculations'!EB74*(ED$6&lt;=MAX(YrOfExit,1))</f>
        <v>0</v>
      </c>
      <c r="EE25" s="78">
        <f>'Operating Calculations'!EC74*(EE$6&lt;=MAX(YrOfExit,1))</f>
        <v>0</v>
      </c>
      <c r="EF25" s="78">
        <f>'Operating Calculations'!ED74*(EF$6&lt;=MAX(YrOfExit,1))</f>
        <v>0</v>
      </c>
      <c r="EG25" s="78">
        <f>'Operating Calculations'!EE74*(EG$6&lt;=MAX(YrOfExit,1))</f>
        <v>0</v>
      </c>
      <c r="EH25" s="78">
        <f>'Operating Calculations'!EF74*(EH$6&lt;=MAX(YrOfExit,1))</f>
        <v>0</v>
      </c>
      <c r="EI25" s="78">
        <f>'Operating Calculations'!EG74*(EI$6&lt;=MAX(YrOfExit,1))</f>
        <v>0</v>
      </c>
    </row>
    <row r="26" spans="2:139">
      <c r="B26" s="32" t="s">
        <v>121</v>
      </c>
      <c r="C26" s="32"/>
      <c r="D26" s="78"/>
      <c r="E26" s="78">
        <f t="shared" si="21"/>
        <v>-156008.37847179602</v>
      </c>
      <c r="F26" s="78">
        <f t="shared" si="21"/>
        <v>-161266.50140615099</v>
      </c>
      <c r="G26" s="78">
        <f t="shared" si="21"/>
        <v>-169030.69264556724</v>
      </c>
      <c r="H26" s="78">
        <f t="shared" si="21"/>
        <v>-175045.09149657126</v>
      </c>
      <c r="I26" s="78">
        <f t="shared" si="21"/>
        <v>-181268.22665525452</v>
      </c>
      <c r="J26" s="78">
        <f t="shared" si="21"/>
        <v>-186706.27345491233</v>
      </c>
      <c r="K26" s="78">
        <f t="shared" si="21"/>
        <v>-192307.46165855986</v>
      </c>
      <c r="L26" s="78">
        <f t="shared" si="21"/>
        <v>0</v>
      </c>
      <c r="M26" s="78">
        <f t="shared" si="21"/>
        <v>0</v>
      </c>
      <c r="N26" s="78">
        <f t="shared" si="21"/>
        <v>0</v>
      </c>
      <c r="O26" s="842">
        <f>SUM(D26:N26)</f>
        <v>-1221632.6257888121</v>
      </c>
      <c r="Q26" s="78">
        <f>'Operating Calculations'!O77</f>
        <v>-198076.68550831688</v>
      </c>
      <c r="S26" s="78"/>
      <c r="T26" s="78">
        <f>'Operating Calculations'!R77*(T$6&lt;=MAX(YrOfExit,1))</f>
        <v>-13000.698205982999</v>
      </c>
      <c r="U26" s="78">
        <f>'Operating Calculations'!S77*(U$6&lt;=MAX(YrOfExit,1))</f>
        <v>-13000.698205982999</v>
      </c>
      <c r="V26" s="78">
        <f>'Operating Calculations'!T77*(V$6&lt;=MAX(YrOfExit,1))</f>
        <v>-13000.698205982999</v>
      </c>
      <c r="W26" s="78">
        <f>'Operating Calculations'!U77*(W$6&lt;=MAX(YrOfExit,1))</f>
        <v>-13000.698205982999</v>
      </c>
      <c r="X26" s="78">
        <f>'Operating Calculations'!V77*(X$6&lt;=MAX(YrOfExit,1))</f>
        <v>-13000.698205982999</v>
      </c>
      <c r="Y26" s="78">
        <f>'Operating Calculations'!W77*(Y$6&lt;=MAX(YrOfExit,1))</f>
        <v>-13000.698205982999</v>
      </c>
      <c r="Z26" s="78">
        <f>'Operating Calculations'!X77*(Z$6&lt;=MAX(YrOfExit,1))</f>
        <v>-13000.698205982999</v>
      </c>
      <c r="AA26" s="78">
        <f>'Operating Calculations'!Y77*(AA$6&lt;=MAX(YrOfExit,1))</f>
        <v>-13000.698205982999</v>
      </c>
      <c r="AB26" s="78">
        <f>'Operating Calculations'!Z77*(AB$6&lt;=MAX(YrOfExit,1))</f>
        <v>-13000.698205982999</v>
      </c>
      <c r="AC26" s="78">
        <f>'Operating Calculations'!AA77*(AC$6&lt;=MAX(YrOfExit,1))</f>
        <v>-13000.698205982999</v>
      </c>
      <c r="AD26" s="78">
        <f>'Operating Calculations'!AB77*(AD$6&lt;=MAX(YrOfExit,1))</f>
        <v>-13000.698205982999</v>
      </c>
      <c r="AE26" s="78">
        <f>'Operating Calculations'!AC77*(AE$6&lt;=MAX(YrOfExit,1))</f>
        <v>-13000.698205982999</v>
      </c>
      <c r="AF26" s="78">
        <f>'Operating Calculations'!AD77*(AF$6&lt;=MAX(YrOfExit,1))</f>
        <v>-13317.236917424123</v>
      </c>
      <c r="AG26" s="78">
        <f>'Operating Calculations'!AE77*(AG$6&lt;=MAX(YrOfExit,1))</f>
        <v>-13339.231416910185</v>
      </c>
      <c r="AH26" s="78">
        <f>'Operating Calculations'!AF77*(AH$6&lt;=MAX(YrOfExit,1))</f>
        <v>-13361.262242100342</v>
      </c>
      <c r="AI26" s="78">
        <f>'Operating Calculations'!AG77*(AI$6&lt;=MAX(YrOfExit,1))</f>
        <v>-13383.329452989445</v>
      </c>
      <c r="AJ26" s="78">
        <f>'Operating Calculations'!AH77*(AJ$6&lt;=MAX(YrOfExit,1))</f>
        <v>-13405.433109671443</v>
      </c>
      <c r="AK26" s="78">
        <f>'Operating Calculations'!AI77*(AK$6&lt;=MAX(YrOfExit,1))</f>
        <v>-13427.573272339514</v>
      </c>
      <c r="AL26" s="78">
        <f>'Operating Calculations'!AJ77*(AL$6&lt;=MAX(YrOfExit,1))</f>
        <v>-13449.75000128628</v>
      </c>
      <c r="AM26" s="78">
        <f>'Operating Calculations'!AK77*(AM$6&lt;=MAX(YrOfExit,1))</f>
        <v>-13471.963356903902</v>
      </c>
      <c r="AN26" s="78">
        <f>'Operating Calculations'!AL77*(AN$6&lt;=MAX(YrOfExit,1))</f>
        <v>-13494.213399684324</v>
      </c>
      <c r="AO26" s="78">
        <f>'Operating Calculations'!AM77*(AO$6&lt;=MAX(YrOfExit,1))</f>
        <v>-13516.50019021936</v>
      </c>
      <c r="AP26" s="78">
        <f>'Operating Calculations'!AN77*(AP$6&lt;=MAX(YrOfExit,1))</f>
        <v>-13538.823789200927</v>
      </c>
      <c r="AQ26" s="78">
        <f>'Operating Calculations'!AO77*(AQ$6&lt;=MAX(YrOfExit,1))</f>
        <v>-13561.184257421166</v>
      </c>
      <c r="AR26" s="78">
        <f>'Operating Calculations'!AP77*(AR$6&lt;=MAX(YrOfExit,1))</f>
        <v>-13895.842928776758</v>
      </c>
      <c r="AS26" s="78">
        <f>'Operating Calculations'!AQ77*(AS$6&lt;=MAX(YrOfExit,1))</f>
        <v>-13930.113826152681</v>
      </c>
      <c r="AT26" s="78">
        <f>'Operating Calculations'!AR77*(AT$6&lt;=MAX(YrOfExit,1))</f>
        <v>-13964.469244806871</v>
      </c>
      <c r="AU26" s="78">
        <f>'Operating Calculations'!AS77*(AU$6&lt;=MAX(YrOfExit,1))</f>
        <v>-13998.909393191603</v>
      </c>
      <c r="AV26" s="78">
        <f>'Operating Calculations'!AT77*(AV$6&lt;=MAX(YrOfExit,1))</f>
        <v>-14033.434480273248</v>
      </c>
      <c r="AW26" s="78">
        <f>'Operating Calculations'!AU77*(AW$6&lt;=MAX(YrOfExit,1))</f>
        <v>-14068.04471553355</v>
      </c>
      <c r="AX26" s="78">
        <f>'Operating Calculations'!AV77*(AX$6&lt;=MAX(YrOfExit,1))</f>
        <v>-14102.74030897089</v>
      </c>
      <c r="AY26" s="78">
        <f>'Operating Calculations'!AW77*(AY$6&lt;=MAX(YrOfExit,1))</f>
        <v>-14137.521471101551</v>
      </c>
      <c r="AZ26" s="78">
        <f>'Operating Calculations'!AX77*(AZ$6&lt;=MAX(YrOfExit,1))</f>
        <v>-14172.388412961025</v>
      </c>
      <c r="BA26" s="78">
        <f>'Operating Calculations'!AY77*(BA$6&lt;=MAX(YrOfExit,1))</f>
        <v>-14207.341346105255</v>
      </c>
      <c r="BB26" s="78">
        <f>'Operating Calculations'!AZ77*(BB$6&lt;=MAX(YrOfExit,1))</f>
        <v>-14242.380482611956</v>
      </c>
      <c r="BC26" s="78">
        <f>'Operating Calculations'!BA77*(BC$6&lt;=MAX(YrOfExit,1))</f>
        <v>-14277.506035081869</v>
      </c>
      <c r="BD26" s="78">
        <f>'Operating Calculations'!BB77*(BD$6&lt;=MAX(YrOfExit,1))</f>
        <v>-14390.280598270383</v>
      </c>
      <c r="BE26" s="78">
        <f>'Operating Calculations'!BC77*(BE$6&lt;=MAX(YrOfExit,1))</f>
        <v>-14425.770912324866</v>
      </c>
      <c r="BF26" s="78">
        <f>'Operating Calculations'!BD77*(BF$6&lt;=MAX(YrOfExit,1))</f>
        <v>-14461.348755068109</v>
      </c>
      <c r="BG26" s="78">
        <f>'Operating Calculations'!BE77*(BG$6&lt;=MAX(YrOfExit,1))</f>
        <v>-14497.01434236947</v>
      </c>
      <c r="BH26" s="78">
        <f>'Operating Calculations'!BF77*(BH$6&lt;=MAX(YrOfExit,1))</f>
        <v>-14532.767890630716</v>
      </c>
      <c r="BI26" s="78">
        <f>'Operating Calculations'!BG77*(BI$6&lt;=MAX(YrOfExit,1))</f>
        <v>-14568.609616787282</v>
      </c>
      <c r="BJ26" s="78">
        <f>'Operating Calculations'!BH77*(BJ$6&lt;=MAX(YrOfExit,1))</f>
        <v>-14604.539738309655</v>
      </c>
      <c r="BK26" s="78">
        <f>'Operating Calculations'!BI77*(BK$6&lt;=MAX(YrOfExit,1))</f>
        <v>-14640.558473204655</v>
      </c>
      <c r="BL26" s="78">
        <f>'Operating Calculations'!BJ77*(BL$6&lt;=MAX(YrOfExit,1))</f>
        <v>-14676.666040016768</v>
      </c>
      <c r="BM26" s="78">
        <f>'Operating Calculations'!BK77*(BM$6&lt;=MAX(YrOfExit,1))</f>
        <v>-14712.862657829459</v>
      </c>
      <c r="BN26" s="78">
        <f>'Operating Calculations'!BL77*(BN$6&lt;=MAX(YrOfExit,1))</f>
        <v>-14749.148546266517</v>
      </c>
      <c r="BO26" s="78">
        <f>'Operating Calculations'!BM77*(BO$6&lt;=MAX(YrOfExit,1))</f>
        <v>-14785.523925493393</v>
      </c>
      <c r="BP26" s="78">
        <f>'Operating Calculations'!BN77*(BP$6&lt;=MAX(YrOfExit,1))</f>
        <v>-14901.878269297722</v>
      </c>
      <c r="BQ26" s="78">
        <f>'Operating Calculations'!BO77*(BQ$6&lt;=MAX(YrOfExit,1))</f>
        <v>-14938.63032122384</v>
      </c>
      <c r="BR26" s="78">
        <f>'Operating Calculations'!BP77*(BR$6&lt;=MAX(YrOfExit,1))</f>
        <v>-14975.473013624696</v>
      </c>
      <c r="BS26" s="78">
        <f>'Operating Calculations'!BQ77*(BS$6&lt;=MAX(YrOfExit,1))</f>
        <v>-15012.406570044144</v>
      </c>
      <c r="BT26" s="78">
        <f>'Operating Calculations'!BR77*(BT$6&lt;=MAX(YrOfExit,1))</f>
        <v>-15049.431214577378</v>
      </c>
      <c r="BU26" s="78">
        <f>'Operating Calculations'!BS77*(BU$6&lt;=MAX(YrOfExit,1))</f>
        <v>-15086.547171872253</v>
      </c>
      <c r="BV26" s="78">
        <f>'Operating Calculations'!BT77*(BV$6&lt;=MAX(YrOfExit,1))</f>
        <v>-15123.754667130679</v>
      </c>
      <c r="BW26" s="78">
        <f>'Operating Calculations'!BU77*(BW$6&lt;=MAX(YrOfExit,1))</f>
        <v>-15161.053926109958</v>
      </c>
      <c r="BX26" s="78">
        <f>'Operating Calculations'!BV77*(BX$6&lt;=MAX(YrOfExit,1))</f>
        <v>-15198.445175124189</v>
      </c>
      <c r="BY26" s="78">
        <f>'Operating Calculations'!BW77*(BY$6&lt;=MAX(YrOfExit,1))</f>
        <v>-15235.928641045617</v>
      </c>
      <c r="BZ26" s="78">
        <f>'Operating Calculations'!BX77*(BZ$6&lt;=MAX(YrOfExit,1))</f>
        <v>-15273.504551306003</v>
      </c>
      <c r="CA26" s="78">
        <f>'Operating Calculations'!BY77*(CA$6&lt;=MAX(YrOfExit,1))</f>
        <v>-15311.173133898028</v>
      </c>
      <c r="CB26" s="78">
        <f>'Operating Calculations'!BZ77*(CB$6&lt;=MAX(YrOfExit,1))</f>
        <v>-15348.934617376672</v>
      </c>
      <c r="CC26" s="78">
        <f>'Operating Calculations'!CA77*(CC$6&lt;=MAX(YrOfExit,1))</f>
        <v>-15386.78923086057</v>
      </c>
      <c r="CD26" s="78">
        <f>'Operating Calculations'!CB77*(CD$6&lt;=MAX(YrOfExit,1))</f>
        <v>-15424.73720403345</v>
      </c>
      <c r="CE26" s="78">
        <f>'Operating Calculations'!CC77*(CE$6&lt;=MAX(YrOfExit,1))</f>
        <v>-15462.778767145486</v>
      </c>
      <c r="CF26" s="78">
        <f>'Operating Calculations'!CD77*(CF$6&lt;=MAX(YrOfExit,1))</f>
        <v>-15500.914151014715</v>
      </c>
      <c r="CG26" s="78">
        <f>'Operating Calculations'!CE77*(CG$6&lt;=MAX(YrOfExit,1))</f>
        <v>-15539.143587028437</v>
      </c>
      <c r="CH26" s="78">
        <f>'Operating Calculations'!CF77*(CH$6&lt;=MAX(YrOfExit,1))</f>
        <v>-15577.46730714461</v>
      </c>
      <c r="CI26" s="78">
        <f>'Operating Calculations'!CG77*(CI$6&lt;=MAX(YrOfExit,1))</f>
        <v>-15615.88554389327</v>
      </c>
      <c r="CJ26" s="78">
        <f>'Operating Calculations'!CH77*(CJ$6&lt;=MAX(YrOfExit,1))</f>
        <v>-15654.398530377928</v>
      </c>
      <c r="CK26" s="78">
        <f>'Operating Calculations'!CI77*(CK$6&lt;=MAX(YrOfExit,1))</f>
        <v>-15693.006500276995</v>
      </c>
      <c r="CL26" s="78">
        <f>'Operating Calculations'!CJ77*(CL$6&lt;=MAX(YrOfExit,1))</f>
        <v>-15731.709687845194</v>
      </c>
      <c r="CM26" s="78">
        <f>'Operating Calculations'!CK77*(CM$6&lt;=MAX(YrOfExit,1))</f>
        <v>-15770.508327914988</v>
      </c>
      <c r="CN26" s="78">
        <f>'Operating Calculations'!CL77*(CN$6&lt;=MAX(YrOfExit,1))</f>
        <v>-15809.402655897984</v>
      </c>
      <c r="CO26" s="78">
        <f>'Operating Calculations'!CM77*(CO$6&lt;=MAX(YrOfExit,1))</f>
        <v>-15848.392907786403</v>
      </c>
      <c r="CP26" s="78">
        <f>'Operating Calculations'!CN77*(CP$6&lt;=MAX(YrOfExit,1))</f>
        <v>-15887.479320154471</v>
      </c>
      <c r="CQ26" s="78">
        <f>'Operating Calculations'!CO77*(CQ$6&lt;=MAX(YrOfExit,1))</f>
        <v>-15926.662130159866</v>
      </c>
      <c r="CR26" s="78">
        <f>'Operating Calculations'!CP77*(CR$6&lt;=MAX(YrOfExit,1))</f>
        <v>-15965.941575545176</v>
      </c>
      <c r="CS26" s="78">
        <f>'Operating Calculations'!CQ77*(CS$6&lt;=MAX(YrOfExit,1))</f>
        <v>-16005.317894639305</v>
      </c>
      <c r="CT26" s="78">
        <f>'Operating Calculations'!CR77*(CT$6&lt;=MAX(YrOfExit,1))</f>
        <v>-16044.791326358962</v>
      </c>
      <c r="CU26" s="78">
        <f>'Operating Calculations'!CS77*(CU$6&lt;=MAX(YrOfExit,1))</f>
        <v>-16084.362110210084</v>
      </c>
      <c r="CV26" s="78">
        <f>'Operating Calculations'!CT77*(CV$6&lt;=MAX(YrOfExit,1))</f>
        <v>-16124.030486289288</v>
      </c>
      <c r="CW26" s="78">
        <f>'Operating Calculations'!CU77*(CW$6&lt;=MAX(YrOfExit,1))</f>
        <v>-16163.796695285322</v>
      </c>
      <c r="CX26" s="78">
        <f>'Operating Calculations'!CV77*(CX$6&lt;=MAX(YrOfExit,1))</f>
        <v>-16203.66097848057</v>
      </c>
      <c r="CY26" s="78">
        <f>'Operating Calculations'!CW77*(CY$6&lt;=MAX(YrOfExit,1))</f>
        <v>-16243.623577752449</v>
      </c>
      <c r="CZ26" s="78">
        <f>'Operating Calculations'!CX77*(CZ$6&lt;=MAX(YrOfExit,1))</f>
        <v>0</v>
      </c>
      <c r="DA26" s="78">
        <f>'Operating Calculations'!CY77*(DA$6&lt;=MAX(YrOfExit,1))</f>
        <v>0</v>
      </c>
      <c r="DB26" s="78">
        <f>'Operating Calculations'!CZ77*(DB$6&lt;=MAX(YrOfExit,1))</f>
        <v>0</v>
      </c>
      <c r="DC26" s="78">
        <f>'Operating Calculations'!DA77*(DC$6&lt;=MAX(YrOfExit,1))</f>
        <v>0</v>
      </c>
      <c r="DD26" s="78">
        <f>'Operating Calculations'!DB77*(DD$6&lt;=MAX(YrOfExit,1))</f>
        <v>0</v>
      </c>
      <c r="DE26" s="78">
        <f>'Operating Calculations'!DC77*(DE$6&lt;=MAX(YrOfExit,1))</f>
        <v>0</v>
      </c>
      <c r="DF26" s="78">
        <f>'Operating Calculations'!DD77*(DF$6&lt;=MAX(YrOfExit,1))</f>
        <v>0</v>
      </c>
      <c r="DG26" s="78">
        <f>'Operating Calculations'!DE77*(DG$6&lt;=MAX(YrOfExit,1))</f>
        <v>0</v>
      </c>
      <c r="DH26" s="78">
        <f>'Operating Calculations'!DF77*(DH$6&lt;=MAX(YrOfExit,1))</f>
        <v>0</v>
      </c>
      <c r="DI26" s="78">
        <f>'Operating Calculations'!DG77*(DI$6&lt;=MAX(YrOfExit,1))</f>
        <v>0</v>
      </c>
      <c r="DJ26" s="78">
        <f>'Operating Calculations'!DH77*(DJ$6&lt;=MAX(YrOfExit,1))</f>
        <v>0</v>
      </c>
      <c r="DK26" s="78">
        <f>'Operating Calculations'!DI77*(DK$6&lt;=MAX(YrOfExit,1))</f>
        <v>0</v>
      </c>
      <c r="DL26" s="78">
        <f>'Operating Calculations'!DJ77*(DL$6&lt;=MAX(YrOfExit,1))</f>
        <v>0</v>
      </c>
      <c r="DM26" s="78">
        <f>'Operating Calculations'!DK77*(DM$6&lt;=MAX(YrOfExit,1))</f>
        <v>0</v>
      </c>
      <c r="DN26" s="78">
        <f>'Operating Calculations'!DL77*(DN$6&lt;=MAX(YrOfExit,1))</f>
        <v>0</v>
      </c>
      <c r="DO26" s="78">
        <f>'Operating Calculations'!DM77*(DO$6&lt;=MAX(YrOfExit,1))</f>
        <v>0</v>
      </c>
      <c r="DP26" s="78">
        <f>'Operating Calculations'!DN77*(DP$6&lt;=MAX(YrOfExit,1))</f>
        <v>0</v>
      </c>
      <c r="DQ26" s="78">
        <f>'Operating Calculations'!DO77*(DQ$6&lt;=MAX(YrOfExit,1))</f>
        <v>0</v>
      </c>
      <c r="DR26" s="78">
        <f>'Operating Calculations'!DP77*(DR$6&lt;=MAX(YrOfExit,1))</f>
        <v>0</v>
      </c>
      <c r="DS26" s="78">
        <f>'Operating Calculations'!DQ77*(DS$6&lt;=MAX(YrOfExit,1))</f>
        <v>0</v>
      </c>
      <c r="DT26" s="78">
        <f>'Operating Calculations'!DR77*(DT$6&lt;=MAX(YrOfExit,1))</f>
        <v>0</v>
      </c>
      <c r="DU26" s="78">
        <f>'Operating Calculations'!DS77*(DU$6&lt;=MAX(YrOfExit,1))</f>
        <v>0</v>
      </c>
      <c r="DV26" s="78">
        <f>'Operating Calculations'!DT77*(DV$6&lt;=MAX(YrOfExit,1))</f>
        <v>0</v>
      </c>
      <c r="DW26" s="78">
        <f>'Operating Calculations'!DU77*(DW$6&lt;=MAX(YrOfExit,1))</f>
        <v>0</v>
      </c>
      <c r="DX26" s="78">
        <f>'Operating Calculations'!DV77*(DX$6&lt;=MAX(YrOfExit,1))</f>
        <v>0</v>
      </c>
      <c r="DY26" s="78">
        <f>'Operating Calculations'!DW77*(DY$6&lt;=MAX(YrOfExit,1))</f>
        <v>0</v>
      </c>
      <c r="DZ26" s="78">
        <f>'Operating Calculations'!DX77*(DZ$6&lt;=MAX(YrOfExit,1))</f>
        <v>0</v>
      </c>
      <c r="EA26" s="78">
        <f>'Operating Calculations'!DY77*(EA$6&lt;=MAX(YrOfExit,1))</f>
        <v>0</v>
      </c>
      <c r="EB26" s="78">
        <f>'Operating Calculations'!DZ77*(EB$6&lt;=MAX(YrOfExit,1))</f>
        <v>0</v>
      </c>
      <c r="EC26" s="78">
        <f>'Operating Calculations'!EA77*(EC$6&lt;=MAX(YrOfExit,1))</f>
        <v>0</v>
      </c>
      <c r="ED26" s="78">
        <f>'Operating Calculations'!EB77*(ED$6&lt;=MAX(YrOfExit,1))</f>
        <v>0</v>
      </c>
      <c r="EE26" s="78">
        <f>'Operating Calculations'!EC77*(EE$6&lt;=MAX(YrOfExit,1))</f>
        <v>0</v>
      </c>
      <c r="EF26" s="78">
        <f>'Operating Calculations'!ED77*(EF$6&lt;=MAX(YrOfExit,1))</f>
        <v>0</v>
      </c>
      <c r="EG26" s="78">
        <f>'Operating Calculations'!EE77*(EG$6&lt;=MAX(YrOfExit,1))</f>
        <v>0</v>
      </c>
      <c r="EH26" s="78">
        <f>'Operating Calculations'!EF77*(EH$6&lt;=MAX(YrOfExit,1))</f>
        <v>0</v>
      </c>
      <c r="EI26" s="78">
        <f>'Operating Calculations'!EG77*(EI$6&lt;=MAX(YrOfExit,1))</f>
        <v>0</v>
      </c>
    </row>
    <row r="27" spans="2:139">
      <c r="B27" s="46" t="s">
        <v>122</v>
      </c>
      <c r="C27" s="46"/>
      <c r="D27" s="169"/>
      <c r="E27" s="694">
        <f t="shared" ref="E27:O27" si="22">SUBTOTAL(9,E18:E26)</f>
        <v>1259302.7586710614</v>
      </c>
      <c r="F27" s="694">
        <f t="shared" si="22"/>
        <v>1301746.4324117121</v>
      </c>
      <c r="G27" s="694">
        <f t="shared" si="22"/>
        <v>1364419.1397523265</v>
      </c>
      <c r="H27" s="694">
        <f t="shared" si="22"/>
        <v>1412967.4878539424</v>
      </c>
      <c r="I27" s="694">
        <f t="shared" si="22"/>
        <v>1463200.7596158781</v>
      </c>
      <c r="J27" s="694">
        <f t="shared" si="22"/>
        <v>1507096.7824043559</v>
      </c>
      <c r="K27" s="694">
        <f t="shared" si="22"/>
        <v>1552309.6858764878</v>
      </c>
      <c r="L27" s="694">
        <f t="shared" si="22"/>
        <v>0</v>
      </c>
      <c r="M27" s="694">
        <f t="shared" si="22"/>
        <v>0</v>
      </c>
      <c r="N27" s="694">
        <f t="shared" si="22"/>
        <v>0</v>
      </c>
      <c r="O27" s="91">
        <f t="shared" si="22"/>
        <v>9861043.0465857666</v>
      </c>
      <c r="Q27" s="694">
        <f>SUBTOTAL(9,Q18:Q26)</f>
        <v>1598878.9764527844</v>
      </c>
      <c r="S27" s="694"/>
      <c r="T27" s="694">
        <f t="shared" ref="T27:AY27" si="23">SUBTOTAL(9,T18:T26)</f>
        <v>104941.8965559218</v>
      </c>
      <c r="U27" s="694">
        <f t="shared" si="23"/>
        <v>104941.8965559218</v>
      </c>
      <c r="V27" s="694">
        <f t="shared" si="23"/>
        <v>104941.8965559218</v>
      </c>
      <c r="W27" s="694">
        <f t="shared" si="23"/>
        <v>104941.8965559218</v>
      </c>
      <c r="X27" s="694">
        <f t="shared" si="23"/>
        <v>104941.8965559218</v>
      </c>
      <c r="Y27" s="694">
        <f t="shared" si="23"/>
        <v>104941.8965559218</v>
      </c>
      <c r="Z27" s="694">
        <f t="shared" si="23"/>
        <v>104941.8965559218</v>
      </c>
      <c r="AA27" s="694">
        <f t="shared" si="23"/>
        <v>104941.8965559218</v>
      </c>
      <c r="AB27" s="694">
        <f t="shared" si="23"/>
        <v>104941.8965559218</v>
      </c>
      <c r="AC27" s="694">
        <f t="shared" si="23"/>
        <v>104941.8965559218</v>
      </c>
      <c r="AD27" s="694">
        <f t="shared" si="23"/>
        <v>104941.8965559218</v>
      </c>
      <c r="AE27" s="694">
        <f t="shared" si="23"/>
        <v>104941.8965559218</v>
      </c>
      <c r="AF27" s="694">
        <f t="shared" si="23"/>
        <v>107497.00338062391</v>
      </c>
      <c r="AG27" s="694">
        <f t="shared" si="23"/>
        <v>107674.5434214198</v>
      </c>
      <c r="AH27" s="694">
        <f t="shared" si="23"/>
        <v>107852.37668402742</v>
      </c>
      <c r="AI27" s="694">
        <f t="shared" si="23"/>
        <v>108030.5036527264</v>
      </c>
      <c r="AJ27" s="694">
        <f t="shared" si="23"/>
        <v>108208.92481259629</v>
      </c>
      <c r="AK27" s="694">
        <f t="shared" si="23"/>
        <v>108387.64064951763</v>
      </c>
      <c r="AL27" s="694">
        <f t="shared" si="23"/>
        <v>108566.65165017368</v>
      </c>
      <c r="AM27" s="694">
        <f t="shared" si="23"/>
        <v>108745.95830205116</v>
      </c>
      <c r="AN27" s="694">
        <f t="shared" si="23"/>
        <v>108925.56109344227</v>
      </c>
      <c r="AO27" s="694">
        <f t="shared" si="23"/>
        <v>109105.46051344533</v>
      </c>
      <c r="AP27" s="694">
        <f t="shared" si="23"/>
        <v>109285.65705196673</v>
      </c>
      <c r="AQ27" s="694">
        <f t="shared" si="23"/>
        <v>109466.15119972185</v>
      </c>
      <c r="AR27" s="694">
        <f t="shared" si="23"/>
        <v>112167.52270412137</v>
      </c>
      <c r="AS27" s="694">
        <f t="shared" si="23"/>
        <v>112444.15807480074</v>
      </c>
      <c r="AT27" s="694">
        <f t="shared" si="23"/>
        <v>112721.47570293276</v>
      </c>
      <c r="AU27" s="694">
        <f t="shared" si="23"/>
        <v>112999.47727114838</v>
      </c>
      <c r="AV27" s="694">
        <f t="shared" si="23"/>
        <v>113278.16446622832</v>
      </c>
      <c r="AW27" s="694">
        <f t="shared" si="23"/>
        <v>113557.53897911342</v>
      </c>
      <c r="AX27" s="694">
        <f t="shared" si="23"/>
        <v>113837.60250491483</v>
      </c>
      <c r="AY27" s="694">
        <f t="shared" si="23"/>
        <v>114118.35674292422</v>
      </c>
      <c r="AZ27" s="694">
        <f t="shared" ref="AZ27:CE27" si="24">SUBTOTAL(9,AZ18:AZ26)</f>
        <v>114399.80339662427</v>
      </c>
      <c r="BA27" s="694">
        <f t="shared" si="24"/>
        <v>114681.94417369882</v>
      </c>
      <c r="BB27" s="694">
        <f t="shared" si="24"/>
        <v>114964.78078604343</v>
      </c>
      <c r="BC27" s="694">
        <f t="shared" si="24"/>
        <v>115248.31494977559</v>
      </c>
      <c r="BD27" s="694">
        <f t="shared" si="24"/>
        <v>116158.63348473102</v>
      </c>
      <c r="BE27" s="694">
        <f t="shared" si="24"/>
        <v>116445.11201128652</v>
      </c>
      <c r="BF27" s="694">
        <f t="shared" si="24"/>
        <v>116732.29707117245</v>
      </c>
      <c r="BG27" s="694">
        <f t="shared" si="24"/>
        <v>117020.19040689063</v>
      </c>
      <c r="BH27" s="694">
        <f t="shared" si="24"/>
        <v>117308.79376524042</v>
      </c>
      <c r="BI27" s="694">
        <f t="shared" si="24"/>
        <v>117598.10889732902</v>
      </c>
      <c r="BJ27" s="694">
        <f t="shared" si="24"/>
        <v>117888.13755858256</v>
      </c>
      <c r="BK27" s="694">
        <f t="shared" si="24"/>
        <v>118178.88150875647</v>
      </c>
      <c r="BL27" s="694">
        <f t="shared" si="24"/>
        <v>118470.34251194619</v>
      </c>
      <c r="BM27" s="694">
        <f t="shared" si="24"/>
        <v>118762.52233659789</v>
      </c>
      <c r="BN27" s="694">
        <f t="shared" si="24"/>
        <v>119055.42275551916</v>
      </c>
      <c r="BO27" s="694">
        <f t="shared" si="24"/>
        <v>119349.04554588995</v>
      </c>
      <c r="BP27" s="694">
        <f t="shared" si="24"/>
        <v>120288.26014174348</v>
      </c>
      <c r="BQ27" s="694">
        <f t="shared" si="24"/>
        <v>120584.92344169406</v>
      </c>
      <c r="BR27" s="694">
        <f t="shared" si="24"/>
        <v>120882.31839337389</v>
      </c>
      <c r="BS27" s="694">
        <f t="shared" si="24"/>
        <v>121180.44680123343</v>
      </c>
      <c r="BT27" s="694">
        <f t="shared" si="24"/>
        <v>121479.31047417357</v>
      </c>
      <c r="BU27" s="694">
        <f t="shared" si="24"/>
        <v>121778.91122555631</v>
      </c>
      <c r="BV27" s="694">
        <f t="shared" si="24"/>
        <v>122079.25087321599</v>
      </c>
      <c r="BW27" s="694">
        <f t="shared" si="24"/>
        <v>122380.33123947006</v>
      </c>
      <c r="BX27" s="694">
        <f t="shared" si="24"/>
        <v>122682.15415113047</v>
      </c>
      <c r="BY27" s="694">
        <f t="shared" si="24"/>
        <v>122984.72143951454</v>
      </c>
      <c r="BZ27" s="694">
        <f t="shared" si="24"/>
        <v>123288.034940456</v>
      </c>
      <c r="CA27" s="694">
        <f t="shared" si="24"/>
        <v>123592.09649431633</v>
      </c>
      <c r="CB27" s="694">
        <f t="shared" si="24"/>
        <v>123896.90794599593</v>
      </c>
      <c r="CC27" s="694">
        <f t="shared" si="24"/>
        <v>124202.47114494501</v>
      </c>
      <c r="CD27" s="694">
        <f t="shared" si="24"/>
        <v>124508.78794517522</v>
      </c>
      <c r="CE27" s="694">
        <f t="shared" si="24"/>
        <v>124815.86020527057</v>
      </c>
      <c r="CF27" s="694">
        <f t="shared" ref="CF27:DK27" si="25">SUBTOTAL(9,CF18:CF26)</f>
        <v>125123.6897883989</v>
      </c>
      <c r="CG27" s="694">
        <f t="shared" si="25"/>
        <v>125432.27856232313</v>
      </c>
      <c r="CH27" s="694">
        <f t="shared" si="25"/>
        <v>125741.62839941254</v>
      </c>
      <c r="CI27" s="694">
        <f t="shared" si="25"/>
        <v>126051.74117665426</v>
      </c>
      <c r="CJ27" s="694">
        <f t="shared" si="25"/>
        <v>126362.61877566449</v>
      </c>
      <c r="CK27" s="694">
        <f t="shared" si="25"/>
        <v>126674.26308270005</v>
      </c>
      <c r="CL27" s="694">
        <f t="shared" si="25"/>
        <v>126986.67598866977</v>
      </c>
      <c r="CM27" s="694">
        <f t="shared" si="25"/>
        <v>127299.85938914598</v>
      </c>
      <c r="CN27" s="694">
        <f t="shared" si="25"/>
        <v>127613.81518437591</v>
      </c>
      <c r="CO27" s="694">
        <f t="shared" si="25"/>
        <v>127928.54527929348</v>
      </c>
      <c r="CP27" s="694">
        <f t="shared" si="25"/>
        <v>128244.05158353061</v>
      </c>
      <c r="CQ27" s="694">
        <f t="shared" si="25"/>
        <v>128560.33601142881</v>
      </c>
      <c r="CR27" s="694">
        <f t="shared" si="25"/>
        <v>128877.40048205102</v>
      </c>
      <c r="CS27" s="694">
        <f t="shared" si="25"/>
        <v>129195.24691919296</v>
      </c>
      <c r="CT27" s="694">
        <f t="shared" si="25"/>
        <v>129513.87725139504</v>
      </c>
      <c r="CU27" s="694">
        <f t="shared" si="25"/>
        <v>129833.29341195402</v>
      </c>
      <c r="CV27" s="694">
        <f t="shared" si="25"/>
        <v>130153.4973389346</v>
      </c>
      <c r="CW27" s="694">
        <f t="shared" si="25"/>
        <v>130474.49097518121</v>
      </c>
      <c r="CX27" s="694">
        <f t="shared" si="25"/>
        <v>130796.27626833002</v>
      </c>
      <c r="CY27" s="694">
        <f t="shared" si="25"/>
        <v>131118.85517082046</v>
      </c>
      <c r="CZ27" s="694">
        <f t="shared" si="25"/>
        <v>0</v>
      </c>
      <c r="DA27" s="694">
        <f t="shared" si="25"/>
        <v>0</v>
      </c>
      <c r="DB27" s="694">
        <f t="shared" si="25"/>
        <v>0</v>
      </c>
      <c r="DC27" s="694">
        <f t="shared" si="25"/>
        <v>0</v>
      </c>
      <c r="DD27" s="694">
        <f t="shared" si="25"/>
        <v>0</v>
      </c>
      <c r="DE27" s="694">
        <f t="shared" si="25"/>
        <v>0</v>
      </c>
      <c r="DF27" s="694">
        <f t="shared" si="25"/>
        <v>0</v>
      </c>
      <c r="DG27" s="694">
        <f t="shared" si="25"/>
        <v>0</v>
      </c>
      <c r="DH27" s="694">
        <f t="shared" si="25"/>
        <v>0</v>
      </c>
      <c r="DI27" s="694">
        <f t="shared" si="25"/>
        <v>0</v>
      </c>
      <c r="DJ27" s="694">
        <f t="shared" si="25"/>
        <v>0</v>
      </c>
      <c r="DK27" s="694">
        <f t="shared" si="25"/>
        <v>0</v>
      </c>
      <c r="DL27" s="694">
        <f t="shared" ref="DL27:EQ27" si="26">SUBTOTAL(9,DL18:DL26)</f>
        <v>0</v>
      </c>
      <c r="DM27" s="694">
        <f t="shared" si="26"/>
        <v>0</v>
      </c>
      <c r="DN27" s="694">
        <f t="shared" si="26"/>
        <v>0</v>
      </c>
      <c r="DO27" s="694">
        <f t="shared" si="26"/>
        <v>0</v>
      </c>
      <c r="DP27" s="694">
        <f t="shared" si="26"/>
        <v>0</v>
      </c>
      <c r="DQ27" s="694">
        <f t="shared" si="26"/>
        <v>0</v>
      </c>
      <c r="DR27" s="694">
        <f t="shared" si="26"/>
        <v>0</v>
      </c>
      <c r="DS27" s="694">
        <f t="shared" si="26"/>
        <v>0</v>
      </c>
      <c r="DT27" s="694">
        <f t="shared" si="26"/>
        <v>0</v>
      </c>
      <c r="DU27" s="694">
        <f t="shared" si="26"/>
        <v>0</v>
      </c>
      <c r="DV27" s="694">
        <f t="shared" si="26"/>
        <v>0</v>
      </c>
      <c r="DW27" s="694">
        <f t="shared" si="26"/>
        <v>0</v>
      </c>
      <c r="DX27" s="694">
        <f t="shared" si="26"/>
        <v>0</v>
      </c>
      <c r="DY27" s="694">
        <f t="shared" si="26"/>
        <v>0</v>
      </c>
      <c r="DZ27" s="694">
        <f t="shared" si="26"/>
        <v>0</v>
      </c>
      <c r="EA27" s="694">
        <f t="shared" si="26"/>
        <v>0</v>
      </c>
      <c r="EB27" s="694">
        <f t="shared" si="26"/>
        <v>0</v>
      </c>
      <c r="EC27" s="694">
        <f t="shared" si="26"/>
        <v>0</v>
      </c>
      <c r="ED27" s="694">
        <f t="shared" si="26"/>
        <v>0</v>
      </c>
      <c r="EE27" s="694">
        <f t="shared" si="26"/>
        <v>0</v>
      </c>
      <c r="EF27" s="694">
        <f t="shared" si="26"/>
        <v>0</v>
      </c>
      <c r="EG27" s="694">
        <f t="shared" si="26"/>
        <v>0</v>
      </c>
      <c r="EH27" s="694">
        <f t="shared" si="26"/>
        <v>0</v>
      </c>
      <c r="EI27" s="694">
        <f t="shared" si="26"/>
        <v>0</v>
      </c>
    </row>
    <row r="28" spans="2:139">
      <c r="B28" s="32"/>
      <c r="C28" s="32"/>
      <c r="D28" s="27"/>
      <c r="E28" s="27"/>
      <c r="F28" s="27"/>
      <c r="G28" s="27"/>
      <c r="H28" s="27"/>
      <c r="I28" s="27"/>
      <c r="J28" s="27"/>
      <c r="K28" s="27"/>
      <c r="L28" s="27"/>
      <c r="M28" s="27"/>
      <c r="N28" s="27"/>
      <c r="O28" s="145"/>
      <c r="Q28" s="27"/>
      <c r="S28" s="27"/>
      <c r="T28" s="27"/>
      <c r="U28" s="27"/>
      <c r="V28" s="27"/>
      <c r="W28" s="27"/>
      <c r="X28" s="27"/>
      <c r="Y28" s="27"/>
      <c r="Z28" s="27"/>
      <c r="AA28" s="27"/>
      <c r="AB28" s="27"/>
      <c r="AC28" s="27"/>
      <c r="AD28" s="27"/>
      <c r="AE28" s="27"/>
      <c r="AF28" s="27"/>
      <c r="AG28" s="27"/>
      <c r="AH28" s="27"/>
      <c r="AI28" s="27"/>
      <c r="AJ28" s="27"/>
      <c r="AK28" s="27"/>
      <c r="AL28" s="27"/>
      <c r="AM28" s="27"/>
      <c r="AN28" s="27"/>
      <c r="AO28" s="27"/>
      <c r="AP28" s="27"/>
      <c r="AQ28" s="27"/>
      <c r="AR28" s="27"/>
      <c r="AS28" s="27"/>
      <c r="AT28" s="27"/>
      <c r="AU28" s="27"/>
      <c r="AV28" s="27"/>
      <c r="AW28" s="27"/>
      <c r="AX28" s="27"/>
      <c r="AY28" s="27"/>
      <c r="AZ28" s="27"/>
      <c r="BA28" s="27"/>
      <c r="BB28" s="27"/>
      <c r="BC28" s="27"/>
      <c r="BD28" s="27"/>
      <c r="BE28" s="27"/>
      <c r="BF28" s="27"/>
      <c r="BG28" s="27"/>
      <c r="BH28" s="27"/>
      <c r="BI28" s="27"/>
      <c r="BJ28" s="27"/>
      <c r="BK28" s="27"/>
      <c r="BL28" s="27"/>
      <c r="BM28" s="27"/>
      <c r="BN28" s="27"/>
      <c r="BO28" s="27"/>
      <c r="BP28" s="27"/>
      <c r="BQ28" s="27"/>
      <c r="BR28" s="27"/>
      <c r="BS28" s="27"/>
      <c r="BT28" s="27"/>
      <c r="BU28" s="27"/>
      <c r="BV28" s="27"/>
      <c r="BW28" s="27"/>
      <c r="BX28" s="27"/>
      <c r="BY28" s="27"/>
      <c r="BZ28" s="27"/>
      <c r="CA28" s="27"/>
      <c r="CB28" s="27"/>
      <c r="CC28" s="27"/>
      <c r="CD28" s="27"/>
      <c r="CE28" s="27"/>
      <c r="CF28" s="27"/>
      <c r="CG28" s="27"/>
      <c r="CH28" s="27"/>
      <c r="CI28" s="27"/>
      <c r="CJ28" s="27"/>
      <c r="CK28" s="27"/>
      <c r="CL28" s="27"/>
      <c r="CM28" s="27"/>
      <c r="CN28" s="27"/>
      <c r="CO28" s="27"/>
      <c r="CP28" s="27"/>
      <c r="CQ28" s="27"/>
      <c r="CR28" s="27"/>
      <c r="CS28" s="27"/>
      <c r="CT28" s="27"/>
      <c r="CU28" s="27"/>
      <c r="CV28" s="27"/>
      <c r="CW28" s="27"/>
      <c r="CX28" s="27"/>
      <c r="CY28" s="27"/>
      <c r="CZ28" s="27"/>
      <c r="DA28" s="27"/>
      <c r="DB28" s="27"/>
      <c r="DC28" s="27"/>
      <c r="DD28" s="27"/>
      <c r="DE28" s="27"/>
      <c r="DF28" s="27"/>
      <c r="DG28" s="27"/>
      <c r="DH28" s="27"/>
      <c r="DI28" s="27"/>
      <c r="DJ28" s="27"/>
      <c r="DK28" s="27"/>
      <c r="DL28" s="27"/>
      <c r="DM28" s="27"/>
      <c r="DN28" s="27"/>
      <c r="DO28" s="27"/>
      <c r="DP28" s="27"/>
      <c r="DQ28" s="27"/>
      <c r="DR28" s="27"/>
      <c r="DS28" s="27"/>
      <c r="DT28" s="27"/>
      <c r="DU28" s="27"/>
      <c r="DV28" s="27"/>
      <c r="DW28" s="27"/>
      <c r="DX28" s="27"/>
      <c r="DY28" s="27"/>
      <c r="DZ28" s="27"/>
      <c r="EA28" s="27"/>
      <c r="EB28" s="27"/>
      <c r="EC28" s="27"/>
      <c r="ED28" s="27"/>
      <c r="EE28" s="27"/>
      <c r="EF28" s="27"/>
      <c r="EG28" s="27"/>
      <c r="EH28" s="27"/>
      <c r="EI28" s="27"/>
    </row>
    <row r="29" spans="2:139">
      <c r="B29" s="32" t="s">
        <v>142</v>
      </c>
      <c r="C29" s="32"/>
      <c r="D29" s="78"/>
      <c r="E29" s="78">
        <f t="shared" ref="E29:N31" si="27">SUMIF($T$6:$EI$6,E$5,$T29:$EI29)</f>
        <v>0</v>
      </c>
      <c r="F29" s="78">
        <f t="shared" si="27"/>
        <v>0</v>
      </c>
      <c r="G29" s="78">
        <f t="shared" si="27"/>
        <v>0</v>
      </c>
      <c r="H29" s="78">
        <f t="shared" si="27"/>
        <v>0</v>
      </c>
      <c r="I29" s="78">
        <f t="shared" si="27"/>
        <v>0</v>
      </c>
      <c r="J29" s="78">
        <f t="shared" si="27"/>
        <v>0</v>
      </c>
      <c r="K29" s="78">
        <f t="shared" si="27"/>
        <v>0</v>
      </c>
      <c r="L29" s="78">
        <f t="shared" si="27"/>
        <v>0</v>
      </c>
      <c r="M29" s="78">
        <f t="shared" si="27"/>
        <v>0</v>
      </c>
      <c r="N29" s="78">
        <f t="shared" si="27"/>
        <v>0</v>
      </c>
      <c r="O29" s="145">
        <f>SUM(D29:N29)</f>
        <v>0</v>
      </c>
      <c r="Q29" s="78">
        <f>IF(ReimbMethodType=120,'Operating Calculations'!O136,)</f>
        <v>0</v>
      </c>
      <c r="S29" s="78"/>
      <c r="T29" s="78">
        <f>IF(ReimbMethodType=120,'Operating Calculations'!R136,)*(T$6&lt;=MAX(YrOfExit,1))</f>
        <v>0</v>
      </c>
      <c r="U29" s="78">
        <f>IF(ReimbMethodType=120,'Operating Calculations'!S136,)*(U$6&lt;=MAX(YrOfExit,1))</f>
        <v>0</v>
      </c>
      <c r="V29" s="78">
        <f>IF(ReimbMethodType=120,'Operating Calculations'!T136,)*(V$6&lt;=MAX(YrOfExit,1))</f>
        <v>0</v>
      </c>
      <c r="W29" s="78">
        <f>IF(ReimbMethodType=120,'Operating Calculations'!U136,)*(W$6&lt;=MAX(YrOfExit,1))</f>
        <v>0</v>
      </c>
      <c r="X29" s="78">
        <f>IF(ReimbMethodType=120,'Operating Calculations'!V136,)*(X$6&lt;=MAX(YrOfExit,1))</f>
        <v>0</v>
      </c>
      <c r="Y29" s="78">
        <f>IF(ReimbMethodType=120,'Operating Calculations'!W136,)*(Y$6&lt;=MAX(YrOfExit,1))</f>
        <v>0</v>
      </c>
      <c r="Z29" s="78">
        <f>IF(ReimbMethodType=120,'Operating Calculations'!X136,)*(Z$6&lt;=MAX(YrOfExit,1))</f>
        <v>0</v>
      </c>
      <c r="AA29" s="78">
        <f>IF(ReimbMethodType=120,'Operating Calculations'!Y136,)*(AA$6&lt;=MAX(YrOfExit,1))</f>
        <v>0</v>
      </c>
      <c r="AB29" s="78">
        <f>IF(ReimbMethodType=120,'Operating Calculations'!Z136,)*(AB$6&lt;=MAX(YrOfExit,1))</f>
        <v>0</v>
      </c>
      <c r="AC29" s="78">
        <f>IF(ReimbMethodType=120,'Operating Calculations'!AA136,)*(AC$6&lt;=MAX(YrOfExit,1))</f>
        <v>0</v>
      </c>
      <c r="AD29" s="78">
        <f>IF(ReimbMethodType=120,'Operating Calculations'!AB136,)*(AD$6&lt;=MAX(YrOfExit,1))</f>
        <v>0</v>
      </c>
      <c r="AE29" s="78">
        <f>IF(ReimbMethodType=120,'Operating Calculations'!AC136,)*(AE$6&lt;=MAX(YrOfExit,1))</f>
        <v>0</v>
      </c>
      <c r="AF29" s="78">
        <f>IF(ReimbMethodType=120,'Operating Calculations'!AD136,)*(AF$6&lt;=MAX(YrOfExit,1))</f>
        <v>0</v>
      </c>
      <c r="AG29" s="78">
        <f>IF(ReimbMethodType=120,'Operating Calculations'!AE136,)*(AG$6&lt;=MAX(YrOfExit,1))</f>
        <v>0</v>
      </c>
      <c r="AH29" s="78">
        <f>IF(ReimbMethodType=120,'Operating Calculations'!AF136,)*(AH$6&lt;=MAX(YrOfExit,1))</f>
        <v>0</v>
      </c>
      <c r="AI29" s="78">
        <f>IF(ReimbMethodType=120,'Operating Calculations'!AG136,)*(AI$6&lt;=MAX(YrOfExit,1))</f>
        <v>0</v>
      </c>
      <c r="AJ29" s="78">
        <f>IF(ReimbMethodType=120,'Operating Calculations'!AH136,)*(AJ$6&lt;=MAX(YrOfExit,1))</f>
        <v>0</v>
      </c>
      <c r="AK29" s="78">
        <f>IF(ReimbMethodType=120,'Operating Calculations'!AI136,)*(AK$6&lt;=MAX(YrOfExit,1))</f>
        <v>0</v>
      </c>
      <c r="AL29" s="78">
        <f>IF(ReimbMethodType=120,'Operating Calculations'!AJ136,)*(AL$6&lt;=MAX(YrOfExit,1))</f>
        <v>0</v>
      </c>
      <c r="AM29" s="78">
        <f>IF(ReimbMethodType=120,'Operating Calculations'!AK136,)*(AM$6&lt;=MAX(YrOfExit,1))</f>
        <v>0</v>
      </c>
      <c r="AN29" s="78">
        <f>IF(ReimbMethodType=120,'Operating Calculations'!AL136,)*(AN$6&lt;=MAX(YrOfExit,1))</f>
        <v>0</v>
      </c>
      <c r="AO29" s="78">
        <f>IF(ReimbMethodType=120,'Operating Calculations'!AM136,)*(AO$6&lt;=MAX(YrOfExit,1))</f>
        <v>0</v>
      </c>
      <c r="AP29" s="78">
        <f>IF(ReimbMethodType=120,'Operating Calculations'!AN136,)*(AP$6&lt;=MAX(YrOfExit,1))</f>
        <v>0</v>
      </c>
      <c r="AQ29" s="78">
        <f>IF(ReimbMethodType=120,'Operating Calculations'!AO136,)*(AQ$6&lt;=MAX(YrOfExit,1))</f>
        <v>0</v>
      </c>
      <c r="AR29" s="78">
        <f>IF(ReimbMethodType=120,'Operating Calculations'!AP136,)*(AR$6&lt;=MAX(YrOfExit,1))</f>
        <v>0</v>
      </c>
      <c r="AS29" s="78">
        <f>IF(ReimbMethodType=120,'Operating Calculations'!AQ136,)*(AS$6&lt;=MAX(YrOfExit,1))</f>
        <v>0</v>
      </c>
      <c r="AT29" s="78">
        <f>IF(ReimbMethodType=120,'Operating Calculations'!AR136,)*(AT$6&lt;=MAX(YrOfExit,1))</f>
        <v>0</v>
      </c>
      <c r="AU29" s="78">
        <f>IF(ReimbMethodType=120,'Operating Calculations'!AS136,)*(AU$6&lt;=MAX(YrOfExit,1))</f>
        <v>0</v>
      </c>
      <c r="AV29" s="78">
        <f>IF(ReimbMethodType=120,'Operating Calculations'!AT136,)*(AV$6&lt;=MAX(YrOfExit,1))</f>
        <v>0</v>
      </c>
      <c r="AW29" s="78">
        <f>IF(ReimbMethodType=120,'Operating Calculations'!AU136,)*(AW$6&lt;=MAX(YrOfExit,1))</f>
        <v>0</v>
      </c>
      <c r="AX29" s="78">
        <f>IF(ReimbMethodType=120,'Operating Calculations'!AV136,)*(AX$6&lt;=MAX(YrOfExit,1))</f>
        <v>0</v>
      </c>
      <c r="AY29" s="78">
        <f>IF(ReimbMethodType=120,'Operating Calculations'!AW136,)*(AY$6&lt;=MAX(YrOfExit,1))</f>
        <v>0</v>
      </c>
      <c r="AZ29" s="78">
        <f>IF(ReimbMethodType=120,'Operating Calculations'!AX136,)*(AZ$6&lt;=MAX(YrOfExit,1))</f>
        <v>0</v>
      </c>
      <c r="BA29" s="78">
        <f>IF(ReimbMethodType=120,'Operating Calculations'!AY136,)*(BA$6&lt;=MAX(YrOfExit,1))</f>
        <v>0</v>
      </c>
      <c r="BB29" s="78">
        <f>IF(ReimbMethodType=120,'Operating Calculations'!AZ136,)*(BB$6&lt;=MAX(YrOfExit,1))</f>
        <v>0</v>
      </c>
      <c r="BC29" s="78">
        <f>IF(ReimbMethodType=120,'Operating Calculations'!BA136,)*(BC$6&lt;=MAX(YrOfExit,1))</f>
        <v>0</v>
      </c>
      <c r="BD29" s="206">
        <f>IF(ReimbMethodType=120,SUMIF('Operating Calculations'!$C$5:$M$5,BD$6,'Operating Calculations'!$C$136:$M$136),)/12*(BD$6&lt;=MAX(YrOfExit,1))</f>
        <v>0</v>
      </c>
      <c r="BE29" s="78">
        <f>IF(ReimbMethodType=120,SUMIF('Operating Calculations'!$C$5:$M$5,BE$6,'Operating Calculations'!$C$136:$M$136),)/12*(BE$6&lt;=MAX(YrOfExit,1))</f>
        <v>0</v>
      </c>
      <c r="BF29" s="78">
        <f>IF(ReimbMethodType=120,SUMIF('Operating Calculations'!$C$5:$M$5,BF$6,'Operating Calculations'!$C$136:$M$136),)/12*(BF$6&lt;=MAX(YrOfExit,1))</f>
        <v>0</v>
      </c>
      <c r="BG29" s="78">
        <f>IF(ReimbMethodType=120,SUMIF('Operating Calculations'!$C$5:$M$5,BG$6,'Operating Calculations'!$C$136:$M$136),)/12*(BG$6&lt;=MAX(YrOfExit,1))</f>
        <v>0</v>
      </c>
      <c r="BH29" s="78">
        <f>IF(ReimbMethodType=120,SUMIF('Operating Calculations'!$C$5:$M$5,BH$6,'Operating Calculations'!$C$136:$M$136),)/12*(BH$6&lt;=MAX(YrOfExit,1))</f>
        <v>0</v>
      </c>
      <c r="BI29" s="78">
        <f>IF(ReimbMethodType=120,SUMIF('Operating Calculations'!$C$5:$M$5,BI$6,'Operating Calculations'!$C$136:$M$136),)/12*(BI$6&lt;=MAX(YrOfExit,1))</f>
        <v>0</v>
      </c>
      <c r="BJ29" s="78">
        <f>IF(ReimbMethodType=120,SUMIF('Operating Calculations'!$C$5:$M$5,BJ$6,'Operating Calculations'!$C$136:$M$136),)/12*(BJ$6&lt;=MAX(YrOfExit,1))</f>
        <v>0</v>
      </c>
      <c r="BK29" s="78">
        <f>IF(ReimbMethodType=120,SUMIF('Operating Calculations'!$C$5:$M$5,BK$6,'Operating Calculations'!$C$136:$M$136),)/12*(BK$6&lt;=MAX(YrOfExit,1))</f>
        <v>0</v>
      </c>
      <c r="BL29" s="78">
        <f>IF(ReimbMethodType=120,SUMIF('Operating Calculations'!$C$5:$M$5,BL$6,'Operating Calculations'!$C$136:$M$136),)/12*(BL$6&lt;=MAX(YrOfExit,1))</f>
        <v>0</v>
      </c>
      <c r="BM29" s="78">
        <f>IF(ReimbMethodType=120,SUMIF('Operating Calculations'!$C$5:$M$5,BM$6,'Operating Calculations'!$C$136:$M$136),)/12*(BM$6&lt;=MAX(YrOfExit,1))</f>
        <v>0</v>
      </c>
      <c r="BN29" s="78">
        <f>IF(ReimbMethodType=120,SUMIF('Operating Calculations'!$C$5:$M$5,BN$6,'Operating Calculations'!$C$136:$M$136),)/12*(BN$6&lt;=MAX(YrOfExit,1))</f>
        <v>0</v>
      </c>
      <c r="BO29" s="78">
        <f>IF(ReimbMethodType=120,SUMIF('Operating Calculations'!$C$5:$M$5,BO$6,'Operating Calculations'!$C$136:$M$136),)/12*(BO$6&lt;=MAX(YrOfExit,1))</f>
        <v>0</v>
      </c>
      <c r="BP29" s="78">
        <f>IF(ReimbMethodType=120,SUMIF('Operating Calculations'!$C$5:$M$5,BP$6,'Operating Calculations'!$C$136:$M$136),)/12*(BP$6&lt;=MAX(YrOfExit,1))</f>
        <v>0</v>
      </c>
      <c r="BQ29" s="78">
        <f>IF(ReimbMethodType=120,SUMIF('Operating Calculations'!$C$5:$M$5,BQ$6,'Operating Calculations'!$C$136:$M$136),)/12*(BQ$6&lt;=MAX(YrOfExit,1))</f>
        <v>0</v>
      </c>
      <c r="BR29" s="78">
        <f>IF(ReimbMethodType=120,SUMIF('Operating Calculations'!$C$5:$M$5,BR$6,'Operating Calculations'!$C$136:$M$136),)/12*(BR$6&lt;=MAX(YrOfExit,1))</f>
        <v>0</v>
      </c>
      <c r="BS29" s="78">
        <f>IF(ReimbMethodType=120,SUMIF('Operating Calculations'!$C$5:$M$5,BS$6,'Operating Calculations'!$C$136:$M$136),)/12*(BS$6&lt;=MAX(YrOfExit,1))</f>
        <v>0</v>
      </c>
      <c r="BT29" s="78">
        <f>IF(ReimbMethodType=120,SUMIF('Operating Calculations'!$C$5:$M$5,BT$6,'Operating Calculations'!$C$136:$M$136),)/12*(BT$6&lt;=MAX(YrOfExit,1))</f>
        <v>0</v>
      </c>
      <c r="BU29" s="78">
        <f>IF(ReimbMethodType=120,SUMIF('Operating Calculations'!$C$5:$M$5,BU$6,'Operating Calculations'!$C$136:$M$136),)/12*(BU$6&lt;=MAX(YrOfExit,1))</f>
        <v>0</v>
      </c>
      <c r="BV29" s="78">
        <f>IF(ReimbMethodType=120,SUMIF('Operating Calculations'!$C$5:$M$5,BV$6,'Operating Calculations'!$C$136:$M$136),)/12*(BV$6&lt;=MAX(YrOfExit,1))</f>
        <v>0</v>
      </c>
      <c r="BW29" s="78">
        <f>IF(ReimbMethodType=120,SUMIF('Operating Calculations'!$C$5:$M$5,BW$6,'Operating Calculations'!$C$136:$M$136),)/12*(BW$6&lt;=MAX(YrOfExit,1))</f>
        <v>0</v>
      </c>
      <c r="BX29" s="78">
        <f>IF(ReimbMethodType=120,SUMIF('Operating Calculations'!$C$5:$M$5,BX$6,'Operating Calculations'!$C$136:$M$136),)/12*(BX$6&lt;=MAX(YrOfExit,1))</f>
        <v>0</v>
      </c>
      <c r="BY29" s="78">
        <f>IF(ReimbMethodType=120,SUMIF('Operating Calculations'!$C$5:$M$5,BY$6,'Operating Calculations'!$C$136:$M$136),)/12*(BY$6&lt;=MAX(YrOfExit,1))</f>
        <v>0</v>
      </c>
      <c r="BZ29" s="78">
        <f>IF(ReimbMethodType=120,SUMIF('Operating Calculations'!$C$5:$M$5,BZ$6,'Operating Calculations'!$C$136:$M$136),)/12*(BZ$6&lt;=MAX(YrOfExit,1))</f>
        <v>0</v>
      </c>
      <c r="CA29" s="78">
        <f>IF(ReimbMethodType=120,SUMIF('Operating Calculations'!$C$5:$M$5,CA$6,'Operating Calculations'!$C$136:$M$136),)/12*(CA$6&lt;=MAX(YrOfExit,1))</f>
        <v>0</v>
      </c>
      <c r="CB29" s="78">
        <f>IF(ReimbMethodType=120,SUMIF('Operating Calculations'!$C$5:$M$5,CB$6,'Operating Calculations'!$C$136:$M$136),)/12*(CB$6&lt;=MAX(YrOfExit,1))</f>
        <v>0</v>
      </c>
      <c r="CC29" s="78">
        <f>IF(ReimbMethodType=120,SUMIF('Operating Calculations'!$C$5:$M$5,CC$6,'Operating Calculations'!$C$136:$M$136),)/12*(CC$6&lt;=MAX(YrOfExit,1))</f>
        <v>0</v>
      </c>
      <c r="CD29" s="78">
        <f>IF(ReimbMethodType=120,SUMIF('Operating Calculations'!$C$5:$M$5,CD$6,'Operating Calculations'!$C$136:$M$136),)/12*(CD$6&lt;=MAX(YrOfExit,1))</f>
        <v>0</v>
      </c>
      <c r="CE29" s="78">
        <f>IF(ReimbMethodType=120,SUMIF('Operating Calculations'!$C$5:$M$5,CE$6,'Operating Calculations'!$C$136:$M$136),)/12*(CE$6&lt;=MAX(YrOfExit,1))</f>
        <v>0</v>
      </c>
      <c r="CF29" s="78">
        <f>IF(ReimbMethodType=120,SUMIF('Operating Calculations'!$C$5:$M$5,CF$6,'Operating Calculations'!$C$136:$M$136),)/12*(CF$6&lt;=MAX(YrOfExit,1))</f>
        <v>0</v>
      </c>
      <c r="CG29" s="78">
        <f>IF(ReimbMethodType=120,SUMIF('Operating Calculations'!$C$5:$M$5,CG$6,'Operating Calculations'!$C$136:$M$136),)/12*(CG$6&lt;=MAX(YrOfExit,1))</f>
        <v>0</v>
      </c>
      <c r="CH29" s="78">
        <f>IF(ReimbMethodType=120,SUMIF('Operating Calculations'!$C$5:$M$5,CH$6,'Operating Calculations'!$C$136:$M$136),)/12*(CH$6&lt;=MAX(YrOfExit,1))</f>
        <v>0</v>
      </c>
      <c r="CI29" s="78">
        <f>IF(ReimbMethodType=120,SUMIF('Operating Calculations'!$C$5:$M$5,CI$6,'Operating Calculations'!$C$136:$M$136),)/12*(CI$6&lt;=MAX(YrOfExit,1))</f>
        <v>0</v>
      </c>
      <c r="CJ29" s="78">
        <f>IF(ReimbMethodType=120,SUMIF('Operating Calculations'!$C$5:$M$5,CJ$6,'Operating Calculations'!$C$136:$M$136),)/12*(CJ$6&lt;=MAX(YrOfExit,1))</f>
        <v>0</v>
      </c>
      <c r="CK29" s="78">
        <f>IF(ReimbMethodType=120,SUMIF('Operating Calculations'!$C$5:$M$5,CK$6,'Operating Calculations'!$C$136:$M$136),)/12*(CK$6&lt;=MAX(YrOfExit,1))</f>
        <v>0</v>
      </c>
      <c r="CL29" s="78">
        <f>IF(ReimbMethodType=120,SUMIF('Operating Calculations'!$C$5:$M$5,CL$6,'Operating Calculations'!$C$136:$M$136),)/12*(CL$6&lt;=MAX(YrOfExit,1))</f>
        <v>0</v>
      </c>
      <c r="CM29" s="78">
        <f>IF(ReimbMethodType=120,SUMIF('Operating Calculations'!$C$5:$M$5,CM$6,'Operating Calculations'!$C$136:$M$136),)/12*(CM$6&lt;=MAX(YrOfExit,1))</f>
        <v>0</v>
      </c>
      <c r="CN29" s="78">
        <f>IF(ReimbMethodType=120,SUMIF('Operating Calculations'!$C$5:$M$5,CN$6,'Operating Calculations'!$C$136:$M$136),)/12*(CN$6&lt;=MAX(YrOfExit,1))</f>
        <v>0</v>
      </c>
      <c r="CO29" s="78">
        <f>IF(ReimbMethodType=120,SUMIF('Operating Calculations'!$C$5:$M$5,CO$6,'Operating Calculations'!$C$136:$M$136),)/12*(CO$6&lt;=MAX(YrOfExit,1))</f>
        <v>0</v>
      </c>
      <c r="CP29" s="78">
        <f>IF(ReimbMethodType=120,SUMIF('Operating Calculations'!$C$5:$M$5,CP$6,'Operating Calculations'!$C$136:$M$136),)/12*(CP$6&lt;=MAX(YrOfExit,1))</f>
        <v>0</v>
      </c>
      <c r="CQ29" s="78">
        <f>IF(ReimbMethodType=120,SUMIF('Operating Calculations'!$C$5:$M$5,CQ$6,'Operating Calculations'!$C$136:$M$136),)/12*(CQ$6&lt;=MAX(YrOfExit,1))</f>
        <v>0</v>
      </c>
      <c r="CR29" s="78">
        <f>IF(ReimbMethodType=120,SUMIF('Operating Calculations'!$C$5:$M$5,CR$6,'Operating Calculations'!$C$136:$M$136),)/12*(CR$6&lt;=MAX(YrOfExit,1))</f>
        <v>0</v>
      </c>
      <c r="CS29" s="78">
        <f>IF(ReimbMethodType=120,SUMIF('Operating Calculations'!$C$5:$M$5,CS$6,'Operating Calculations'!$C$136:$M$136),)/12*(CS$6&lt;=MAX(YrOfExit,1))</f>
        <v>0</v>
      </c>
      <c r="CT29" s="78">
        <f>IF(ReimbMethodType=120,SUMIF('Operating Calculations'!$C$5:$M$5,CT$6,'Operating Calculations'!$C$136:$M$136),)/12*(CT$6&lt;=MAX(YrOfExit,1))</f>
        <v>0</v>
      </c>
      <c r="CU29" s="78">
        <f>IF(ReimbMethodType=120,SUMIF('Operating Calculations'!$C$5:$M$5,CU$6,'Operating Calculations'!$C$136:$M$136),)/12*(CU$6&lt;=MAX(YrOfExit,1))</f>
        <v>0</v>
      </c>
      <c r="CV29" s="78">
        <f>IF(ReimbMethodType=120,SUMIF('Operating Calculations'!$C$5:$M$5,CV$6,'Operating Calculations'!$C$136:$M$136),)/12*(CV$6&lt;=MAX(YrOfExit,1))</f>
        <v>0</v>
      </c>
      <c r="CW29" s="78">
        <f>IF(ReimbMethodType=120,SUMIF('Operating Calculations'!$C$5:$M$5,CW$6,'Operating Calculations'!$C$136:$M$136),)/12*(CW$6&lt;=MAX(YrOfExit,1))</f>
        <v>0</v>
      </c>
      <c r="CX29" s="78">
        <f>IF(ReimbMethodType=120,SUMIF('Operating Calculations'!$C$5:$M$5,CX$6,'Operating Calculations'!$C$136:$M$136),)/12*(CX$6&lt;=MAX(YrOfExit,1))</f>
        <v>0</v>
      </c>
      <c r="CY29" s="78">
        <f>IF(ReimbMethodType=120,SUMIF('Operating Calculations'!$C$5:$M$5,CY$6,'Operating Calculations'!$C$136:$M$136),)/12*(CY$6&lt;=MAX(YrOfExit,1))</f>
        <v>0</v>
      </c>
      <c r="CZ29" s="78">
        <f>IF(ReimbMethodType=120,SUMIF('Operating Calculations'!$C$5:$M$5,CZ$6,'Operating Calculations'!$C$136:$M$136),)/12*(CZ$6&lt;=MAX(YrOfExit,1))</f>
        <v>0</v>
      </c>
      <c r="DA29" s="78">
        <f>IF(ReimbMethodType=120,SUMIF('Operating Calculations'!$C$5:$M$5,DA$6,'Operating Calculations'!$C$136:$M$136),)/12*(DA$6&lt;=MAX(YrOfExit,1))</f>
        <v>0</v>
      </c>
      <c r="DB29" s="78">
        <f>IF(ReimbMethodType=120,SUMIF('Operating Calculations'!$C$5:$M$5,DB$6,'Operating Calculations'!$C$136:$M$136),)/12*(DB$6&lt;=MAX(YrOfExit,1))</f>
        <v>0</v>
      </c>
      <c r="DC29" s="78">
        <f>IF(ReimbMethodType=120,SUMIF('Operating Calculations'!$C$5:$M$5,DC$6,'Operating Calculations'!$C$136:$M$136),)/12*(DC$6&lt;=MAX(YrOfExit,1))</f>
        <v>0</v>
      </c>
      <c r="DD29" s="78">
        <f>IF(ReimbMethodType=120,SUMIF('Operating Calculations'!$C$5:$M$5,DD$6,'Operating Calculations'!$C$136:$M$136),)/12*(DD$6&lt;=MAX(YrOfExit,1))</f>
        <v>0</v>
      </c>
      <c r="DE29" s="78">
        <f>IF(ReimbMethodType=120,SUMIF('Operating Calculations'!$C$5:$M$5,DE$6,'Operating Calculations'!$C$136:$M$136),)/12*(DE$6&lt;=MAX(YrOfExit,1))</f>
        <v>0</v>
      </c>
      <c r="DF29" s="78">
        <f>IF(ReimbMethodType=120,SUMIF('Operating Calculations'!$C$5:$M$5,DF$6,'Operating Calculations'!$C$136:$M$136),)/12*(DF$6&lt;=MAX(YrOfExit,1))</f>
        <v>0</v>
      </c>
      <c r="DG29" s="78">
        <f>IF(ReimbMethodType=120,SUMIF('Operating Calculations'!$C$5:$M$5,DG$6,'Operating Calculations'!$C$136:$M$136),)/12*(DG$6&lt;=MAX(YrOfExit,1))</f>
        <v>0</v>
      </c>
      <c r="DH29" s="78">
        <f>IF(ReimbMethodType=120,SUMIF('Operating Calculations'!$C$5:$M$5,DH$6,'Operating Calculations'!$C$136:$M$136),)/12*(DH$6&lt;=MAX(YrOfExit,1))</f>
        <v>0</v>
      </c>
      <c r="DI29" s="78">
        <f>IF(ReimbMethodType=120,SUMIF('Operating Calculations'!$C$5:$M$5,DI$6,'Operating Calculations'!$C$136:$M$136),)/12*(DI$6&lt;=MAX(YrOfExit,1))</f>
        <v>0</v>
      </c>
      <c r="DJ29" s="78">
        <f>IF(ReimbMethodType=120,SUMIF('Operating Calculations'!$C$5:$M$5,DJ$6,'Operating Calculations'!$C$136:$M$136),)/12*(DJ$6&lt;=MAX(YrOfExit,1))</f>
        <v>0</v>
      </c>
      <c r="DK29" s="78">
        <f>IF(ReimbMethodType=120,SUMIF('Operating Calculations'!$C$5:$M$5,DK$6,'Operating Calculations'!$C$136:$M$136),)/12*(DK$6&lt;=MAX(YrOfExit,1))</f>
        <v>0</v>
      </c>
      <c r="DL29" s="78">
        <f>IF(ReimbMethodType=120,SUMIF('Operating Calculations'!$C$5:$M$5,DL$6,'Operating Calculations'!$C$136:$M$136),)/12*(DL$6&lt;=MAX(YrOfExit,1))</f>
        <v>0</v>
      </c>
      <c r="DM29" s="78">
        <f>IF(ReimbMethodType=120,SUMIF('Operating Calculations'!$C$5:$M$5,DM$6,'Operating Calculations'!$C$136:$M$136),)/12*(DM$6&lt;=MAX(YrOfExit,1))</f>
        <v>0</v>
      </c>
      <c r="DN29" s="78">
        <f>IF(ReimbMethodType=120,SUMIF('Operating Calculations'!$C$5:$M$5,DN$6,'Operating Calculations'!$C$136:$M$136),)/12*(DN$6&lt;=MAX(YrOfExit,1))</f>
        <v>0</v>
      </c>
      <c r="DO29" s="78">
        <f>IF(ReimbMethodType=120,SUMIF('Operating Calculations'!$C$5:$M$5,DO$6,'Operating Calculations'!$C$136:$M$136),)/12*(DO$6&lt;=MAX(YrOfExit,1))</f>
        <v>0</v>
      </c>
      <c r="DP29" s="78">
        <f>IF(ReimbMethodType=120,SUMIF('Operating Calculations'!$C$5:$M$5,DP$6,'Operating Calculations'!$C$136:$M$136),)/12*(DP$6&lt;=MAX(YrOfExit,1))</f>
        <v>0</v>
      </c>
      <c r="DQ29" s="78">
        <f>IF(ReimbMethodType=120,SUMIF('Operating Calculations'!$C$5:$M$5,DQ$6,'Operating Calculations'!$C$136:$M$136),)/12*(DQ$6&lt;=MAX(YrOfExit,1))</f>
        <v>0</v>
      </c>
      <c r="DR29" s="78">
        <f>IF(ReimbMethodType=120,SUMIF('Operating Calculations'!$C$5:$M$5,DR$6,'Operating Calculations'!$C$136:$M$136),)/12*(DR$6&lt;=MAX(YrOfExit,1))</f>
        <v>0</v>
      </c>
      <c r="DS29" s="78">
        <f>IF(ReimbMethodType=120,SUMIF('Operating Calculations'!$C$5:$M$5,DS$6,'Operating Calculations'!$C$136:$M$136),)/12*(DS$6&lt;=MAX(YrOfExit,1))</f>
        <v>0</v>
      </c>
      <c r="DT29" s="78">
        <f>IF(ReimbMethodType=120,SUMIF('Operating Calculations'!$C$5:$M$5,DT$6,'Operating Calculations'!$C$136:$M$136),)/12*(DT$6&lt;=MAX(YrOfExit,1))</f>
        <v>0</v>
      </c>
      <c r="DU29" s="78">
        <f>IF(ReimbMethodType=120,SUMIF('Operating Calculations'!$C$5:$M$5,DU$6,'Operating Calculations'!$C$136:$M$136),)/12*(DU$6&lt;=MAX(YrOfExit,1))</f>
        <v>0</v>
      </c>
      <c r="DV29" s="78">
        <f>IF(ReimbMethodType=120,SUMIF('Operating Calculations'!$C$5:$M$5,DV$6,'Operating Calculations'!$C$136:$M$136),)/12*(DV$6&lt;=MAX(YrOfExit,1))</f>
        <v>0</v>
      </c>
      <c r="DW29" s="78">
        <f>IF(ReimbMethodType=120,SUMIF('Operating Calculations'!$C$5:$M$5,DW$6,'Operating Calculations'!$C$136:$M$136),)/12*(DW$6&lt;=MAX(YrOfExit,1))</f>
        <v>0</v>
      </c>
      <c r="DX29" s="78">
        <f>IF(ReimbMethodType=120,SUMIF('Operating Calculations'!$C$5:$M$5,DX$6,'Operating Calculations'!$C$136:$M$136),)/12*(DX$6&lt;=MAX(YrOfExit,1))</f>
        <v>0</v>
      </c>
      <c r="DY29" s="78">
        <f>IF(ReimbMethodType=120,SUMIF('Operating Calculations'!$C$5:$M$5,DY$6,'Operating Calculations'!$C$136:$M$136),)/12*(DY$6&lt;=MAX(YrOfExit,1))</f>
        <v>0</v>
      </c>
      <c r="DZ29" s="78">
        <f>IF(ReimbMethodType=120,SUMIF('Operating Calculations'!$C$5:$M$5,DZ$6,'Operating Calculations'!$C$136:$M$136),)/12*(DZ$6&lt;=MAX(YrOfExit,1))</f>
        <v>0</v>
      </c>
      <c r="EA29" s="78">
        <f>IF(ReimbMethodType=120,SUMIF('Operating Calculations'!$C$5:$M$5,EA$6,'Operating Calculations'!$C$136:$M$136),)/12*(EA$6&lt;=MAX(YrOfExit,1))</f>
        <v>0</v>
      </c>
      <c r="EB29" s="78">
        <f>IF(ReimbMethodType=120,SUMIF('Operating Calculations'!$C$5:$M$5,EB$6,'Operating Calculations'!$C$136:$M$136),)/12*(EB$6&lt;=MAX(YrOfExit,1))</f>
        <v>0</v>
      </c>
      <c r="EC29" s="78">
        <f>IF(ReimbMethodType=120,SUMIF('Operating Calculations'!$C$5:$M$5,EC$6,'Operating Calculations'!$C$136:$M$136),)/12*(EC$6&lt;=MAX(YrOfExit,1))</f>
        <v>0</v>
      </c>
      <c r="ED29" s="78">
        <f>IF(ReimbMethodType=120,SUMIF('Operating Calculations'!$C$5:$M$5,ED$6,'Operating Calculations'!$C$136:$M$136),)/12*(ED$6&lt;=MAX(YrOfExit,1))</f>
        <v>0</v>
      </c>
      <c r="EE29" s="78">
        <f>IF(ReimbMethodType=120,SUMIF('Operating Calculations'!$C$5:$M$5,EE$6,'Operating Calculations'!$C$136:$M$136),)/12*(EE$6&lt;=MAX(YrOfExit,1))</f>
        <v>0</v>
      </c>
      <c r="EF29" s="78">
        <f>IF(ReimbMethodType=120,SUMIF('Operating Calculations'!$C$5:$M$5,EF$6,'Operating Calculations'!$C$136:$M$136),)/12*(EF$6&lt;=MAX(YrOfExit,1))</f>
        <v>0</v>
      </c>
      <c r="EG29" s="78">
        <f>IF(ReimbMethodType=120,SUMIF('Operating Calculations'!$C$5:$M$5,EG$6,'Operating Calculations'!$C$136:$M$136),)/12*(EG$6&lt;=MAX(YrOfExit,1))</f>
        <v>0</v>
      </c>
      <c r="EH29" s="78">
        <f>IF(ReimbMethodType=120,SUMIF('Operating Calculations'!$C$5:$M$5,EH$6,'Operating Calculations'!$C$136:$M$136),)/12*(EH$6&lt;=MAX(YrOfExit,1))</f>
        <v>0</v>
      </c>
      <c r="EI29" s="78">
        <f>IF(ReimbMethodType=120,SUMIF('Operating Calculations'!$C$5:$M$5,EI$6,'Operating Calculations'!$C$136:$M$136),)/12*(EI$6&lt;=MAX(YrOfExit,1))</f>
        <v>0</v>
      </c>
    </row>
    <row r="30" spans="2:139">
      <c r="B30" s="32" t="s">
        <v>143</v>
      </c>
      <c r="C30" s="32"/>
      <c r="D30" s="78"/>
      <c r="E30" s="78">
        <f t="shared" si="27"/>
        <v>193800.00000000003</v>
      </c>
      <c r="F30" s="78">
        <f t="shared" si="27"/>
        <v>193800.00000000003</v>
      </c>
      <c r="G30" s="78">
        <f t="shared" si="27"/>
        <v>193800.00000000003</v>
      </c>
      <c r="H30" s="78">
        <f t="shared" si="27"/>
        <v>193800.00000000003</v>
      </c>
      <c r="I30" s="78">
        <f t="shared" si="27"/>
        <v>193800.00000000003</v>
      </c>
      <c r="J30" s="78">
        <f t="shared" si="27"/>
        <v>193800.00000000003</v>
      </c>
      <c r="K30" s="78">
        <f t="shared" si="27"/>
        <v>193800.00000000003</v>
      </c>
      <c r="L30" s="78">
        <f t="shared" si="27"/>
        <v>0</v>
      </c>
      <c r="M30" s="78">
        <f t="shared" si="27"/>
        <v>0</v>
      </c>
      <c r="N30" s="78">
        <f t="shared" si="27"/>
        <v>0</v>
      </c>
      <c r="O30" s="145">
        <f>SUM(D30:N30)</f>
        <v>1356600.0000000002</v>
      </c>
      <c r="Q30" s="78">
        <f>'Operating Calculations'!O152</f>
        <v>193800</v>
      </c>
      <c r="S30" s="78"/>
      <c r="T30" s="78">
        <f>'Operating Calculations'!R152*(T$6&lt;=MAX(YrOfExit,1))</f>
        <v>16150.000000000002</v>
      </c>
      <c r="U30" s="78">
        <f>'Operating Calculations'!S152*(U$6&lt;=MAX(YrOfExit,1))</f>
        <v>16150.000000000002</v>
      </c>
      <c r="V30" s="78">
        <f>'Operating Calculations'!T152*(V$6&lt;=MAX(YrOfExit,1))</f>
        <v>16150.000000000002</v>
      </c>
      <c r="W30" s="78">
        <f>'Operating Calculations'!U152*(W$6&lt;=MAX(YrOfExit,1))</f>
        <v>16150.000000000002</v>
      </c>
      <c r="X30" s="78">
        <f>'Operating Calculations'!V152*(X$6&lt;=MAX(YrOfExit,1))</f>
        <v>16150.000000000002</v>
      </c>
      <c r="Y30" s="78">
        <f>'Operating Calculations'!W152*(Y$6&lt;=MAX(YrOfExit,1))</f>
        <v>16150.000000000002</v>
      </c>
      <c r="Z30" s="78">
        <f>'Operating Calculations'!X152*(Z$6&lt;=MAX(YrOfExit,1))</f>
        <v>16150.000000000002</v>
      </c>
      <c r="AA30" s="78">
        <f>'Operating Calculations'!Y152*(AA$6&lt;=MAX(YrOfExit,1))</f>
        <v>16150.000000000002</v>
      </c>
      <c r="AB30" s="78">
        <f>'Operating Calculations'!Z152*(AB$6&lt;=MAX(YrOfExit,1))</f>
        <v>16150.000000000002</v>
      </c>
      <c r="AC30" s="78">
        <f>'Operating Calculations'!AA152*(AC$6&lt;=MAX(YrOfExit,1))</f>
        <v>16150.000000000002</v>
      </c>
      <c r="AD30" s="78">
        <f>'Operating Calculations'!AB152*(AD$6&lt;=MAX(YrOfExit,1))</f>
        <v>16150.000000000002</v>
      </c>
      <c r="AE30" s="78">
        <f>'Operating Calculations'!AC152*(AE$6&lt;=MAX(YrOfExit,1))</f>
        <v>16150.000000000002</v>
      </c>
      <c r="AF30" s="78">
        <f>'Operating Calculations'!AD152*(AF$6&lt;=MAX(YrOfExit,1))</f>
        <v>16150.000000000002</v>
      </c>
      <c r="AG30" s="78">
        <f>'Operating Calculations'!AE152*(AG$6&lt;=MAX(YrOfExit,1))</f>
        <v>16150.000000000002</v>
      </c>
      <c r="AH30" s="78">
        <f>'Operating Calculations'!AF152*(AH$6&lt;=MAX(YrOfExit,1))</f>
        <v>16150.000000000002</v>
      </c>
      <c r="AI30" s="78">
        <f>'Operating Calculations'!AG152*(AI$6&lt;=MAX(YrOfExit,1))</f>
        <v>16150.000000000002</v>
      </c>
      <c r="AJ30" s="78">
        <f>'Operating Calculations'!AH152*(AJ$6&lt;=MAX(YrOfExit,1))</f>
        <v>16150.000000000002</v>
      </c>
      <c r="AK30" s="78">
        <f>'Operating Calculations'!AI152*(AK$6&lt;=MAX(YrOfExit,1))</f>
        <v>16150.000000000002</v>
      </c>
      <c r="AL30" s="78">
        <f>'Operating Calculations'!AJ152*(AL$6&lt;=MAX(YrOfExit,1))</f>
        <v>16150.000000000002</v>
      </c>
      <c r="AM30" s="78">
        <f>'Operating Calculations'!AK152*(AM$6&lt;=MAX(YrOfExit,1))</f>
        <v>16150.000000000002</v>
      </c>
      <c r="AN30" s="78">
        <f>'Operating Calculations'!AL152*(AN$6&lt;=MAX(YrOfExit,1))</f>
        <v>16150.000000000002</v>
      </c>
      <c r="AO30" s="78">
        <f>'Operating Calculations'!AM152*(AO$6&lt;=MAX(YrOfExit,1))</f>
        <v>16150.000000000002</v>
      </c>
      <c r="AP30" s="78">
        <f>'Operating Calculations'!AN152*(AP$6&lt;=MAX(YrOfExit,1))</f>
        <v>16150.000000000002</v>
      </c>
      <c r="AQ30" s="78">
        <f>'Operating Calculations'!AO152*(AQ$6&lt;=MAX(YrOfExit,1))</f>
        <v>16150.000000000002</v>
      </c>
      <c r="AR30" s="78">
        <f>'Operating Calculations'!AP152*(AR$6&lt;=MAX(YrOfExit,1))</f>
        <v>16150.000000000002</v>
      </c>
      <c r="AS30" s="78">
        <f>'Operating Calculations'!AQ152*(AS$6&lt;=MAX(YrOfExit,1))</f>
        <v>16150.000000000002</v>
      </c>
      <c r="AT30" s="78">
        <f>'Operating Calculations'!AR152*(AT$6&lt;=MAX(YrOfExit,1))</f>
        <v>16150.000000000002</v>
      </c>
      <c r="AU30" s="78">
        <f>'Operating Calculations'!AS152*(AU$6&lt;=MAX(YrOfExit,1))</f>
        <v>16150.000000000002</v>
      </c>
      <c r="AV30" s="78">
        <f>'Operating Calculations'!AT152*(AV$6&lt;=MAX(YrOfExit,1))</f>
        <v>16150.000000000002</v>
      </c>
      <c r="AW30" s="78">
        <f>'Operating Calculations'!AU152*(AW$6&lt;=MAX(YrOfExit,1))</f>
        <v>16150.000000000002</v>
      </c>
      <c r="AX30" s="78">
        <f>'Operating Calculations'!AV152*(AX$6&lt;=MAX(YrOfExit,1))</f>
        <v>16150.000000000002</v>
      </c>
      <c r="AY30" s="78">
        <f>'Operating Calculations'!AW152*(AY$6&lt;=MAX(YrOfExit,1))</f>
        <v>16150.000000000002</v>
      </c>
      <c r="AZ30" s="78">
        <f>'Operating Calculations'!AX152*(AZ$6&lt;=MAX(YrOfExit,1))</f>
        <v>16150.000000000002</v>
      </c>
      <c r="BA30" s="78">
        <f>'Operating Calculations'!AY152*(BA$6&lt;=MAX(YrOfExit,1))</f>
        <v>16150.000000000002</v>
      </c>
      <c r="BB30" s="78">
        <f>'Operating Calculations'!AZ152*(BB$6&lt;=MAX(YrOfExit,1))</f>
        <v>16150.000000000002</v>
      </c>
      <c r="BC30" s="78">
        <f>'Operating Calculations'!BA152*(BC$6&lt;=MAX(YrOfExit,1))</f>
        <v>16150.000000000002</v>
      </c>
      <c r="BD30" s="78">
        <f>'Operating Calculations'!BB152*(BD$6&lt;=MAX(YrOfExit,1))</f>
        <v>16150.000000000002</v>
      </c>
      <c r="BE30" s="78">
        <f>'Operating Calculations'!BC152*(BE$6&lt;=MAX(YrOfExit,1))</f>
        <v>16150.000000000002</v>
      </c>
      <c r="BF30" s="78">
        <f>'Operating Calculations'!BD152*(BF$6&lt;=MAX(YrOfExit,1))</f>
        <v>16150.000000000002</v>
      </c>
      <c r="BG30" s="78">
        <f>'Operating Calculations'!BE152*(BG$6&lt;=MAX(YrOfExit,1))</f>
        <v>16150.000000000002</v>
      </c>
      <c r="BH30" s="78">
        <f>'Operating Calculations'!BF152*(BH$6&lt;=MAX(YrOfExit,1))</f>
        <v>16150.000000000002</v>
      </c>
      <c r="BI30" s="78">
        <f>'Operating Calculations'!BG152*(BI$6&lt;=MAX(YrOfExit,1))</f>
        <v>16150.000000000002</v>
      </c>
      <c r="BJ30" s="78">
        <f>'Operating Calculations'!BH152*(BJ$6&lt;=MAX(YrOfExit,1))</f>
        <v>16150.000000000002</v>
      </c>
      <c r="BK30" s="78">
        <f>'Operating Calculations'!BI152*(BK$6&lt;=MAX(YrOfExit,1))</f>
        <v>16150.000000000002</v>
      </c>
      <c r="BL30" s="78">
        <f>'Operating Calculations'!BJ152*(BL$6&lt;=MAX(YrOfExit,1))</f>
        <v>16150.000000000002</v>
      </c>
      <c r="BM30" s="78">
        <f>'Operating Calculations'!BK152*(BM$6&lt;=MAX(YrOfExit,1))</f>
        <v>16150.000000000002</v>
      </c>
      <c r="BN30" s="78">
        <f>'Operating Calculations'!BL152*(BN$6&lt;=MAX(YrOfExit,1))</f>
        <v>16150.000000000002</v>
      </c>
      <c r="BO30" s="78">
        <f>'Operating Calculations'!BM152*(BO$6&lt;=MAX(YrOfExit,1))</f>
        <v>16150.000000000002</v>
      </c>
      <c r="BP30" s="78">
        <f>'Operating Calculations'!BN152*(BP$6&lt;=MAX(YrOfExit,1))</f>
        <v>16150.000000000002</v>
      </c>
      <c r="BQ30" s="78">
        <f>'Operating Calculations'!BO152*(BQ$6&lt;=MAX(YrOfExit,1))</f>
        <v>16150.000000000002</v>
      </c>
      <c r="BR30" s="78">
        <f>'Operating Calculations'!BP152*(BR$6&lt;=MAX(YrOfExit,1))</f>
        <v>16150.000000000002</v>
      </c>
      <c r="BS30" s="78">
        <f>'Operating Calculations'!BQ152*(BS$6&lt;=MAX(YrOfExit,1))</f>
        <v>16150.000000000002</v>
      </c>
      <c r="BT30" s="78">
        <f>'Operating Calculations'!BR152*(BT$6&lt;=MAX(YrOfExit,1))</f>
        <v>16150.000000000002</v>
      </c>
      <c r="BU30" s="78">
        <f>'Operating Calculations'!BS152*(BU$6&lt;=MAX(YrOfExit,1))</f>
        <v>16150.000000000002</v>
      </c>
      <c r="BV30" s="78">
        <f>'Operating Calculations'!BT152*(BV$6&lt;=MAX(YrOfExit,1))</f>
        <v>16150.000000000002</v>
      </c>
      <c r="BW30" s="78">
        <f>'Operating Calculations'!BU152*(BW$6&lt;=MAX(YrOfExit,1))</f>
        <v>16150.000000000002</v>
      </c>
      <c r="BX30" s="78">
        <f>'Operating Calculations'!BV152*(BX$6&lt;=MAX(YrOfExit,1))</f>
        <v>16150.000000000002</v>
      </c>
      <c r="BY30" s="78">
        <f>'Operating Calculations'!BW152*(BY$6&lt;=MAX(YrOfExit,1))</f>
        <v>16150.000000000002</v>
      </c>
      <c r="BZ30" s="78">
        <f>'Operating Calculations'!BX152*(BZ$6&lt;=MAX(YrOfExit,1))</f>
        <v>16150.000000000002</v>
      </c>
      <c r="CA30" s="78">
        <f>'Operating Calculations'!BY152*(CA$6&lt;=MAX(YrOfExit,1))</f>
        <v>16150.000000000002</v>
      </c>
      <c r="CB30" s="78">
        <f>'Operating Calculations'!BZ152*(CB$6&lt;=MAX(YrOfExit,1))</f>
        <v>16150.000000000002</v>
      </c>
      <c r="CC30" s="78">
        <f>'Operating Calculations'!CA152*(CC$6&lt;=MAX(YrOfExit,1))</f>
        <v>16150.000000000002</v>
      </c>
      <c r="CD30" s="78">
        <f>'Operating Calculations'!CB152*(CD$6&lt;=MAX(YrOfExit,1))</f>
        <v>16150.000000000002</v>
      </c>
      <c r="CE30" s="78">
        <f>'Operating Calculations'!CC152*(CE$6&lt;=MAX(YrOfExit,1))</f>
        <v>16150.000000000002</v>
      </c>
      <c r="CF30" s="78">
        <f>'Operating Calculations'!CD152*(CF$6&lt;=MAX(YrOfExit,1))</f>
        <v>16150.000000000002</v>
      </c>
      <c r="CG30" s="78">
        <f>'Operating Calculations'!CE152*(CG$6&lt;=MAX(YrOfExit,1))</f>
        <v>16150.000000000002</v>
      </c>
      <c r="CH30" s="78">
        <f>'Operating Calculations'!CF152*(CH$6&lt;=MAX(YrOfExit,1))</f>
        <v>16150.000000000002</v>
      </c>
      <c r="CI30" s="78">
        <f>'Operating Calculations'!CG152*(CI$6&lt;=MAX(YrOfExit,1))</f>
        <v>16150.000000000002</v>
      </c>
      <c r="CJ30" s="78">
        <f>'Operating Calculations'!CH152*(CJ$6&lt;=MAX(YrOfExit,1))</f>
        <v>16150.000000000002</v>
      </c>
      <c r="CK30" s="78">
        <f>'Operating Calculations'!CI152*(CK$6&lt;=MAX(YrOfExit,1))</f>
        <v>16150.000000000002</v>
      </c>
      <c r="CL30" s="78">
        <f>'Operating Calculations'!CJ152*(CL$6&lt;=MAX(YrOfExit,1))</f>
        <v>16150.000000000002</v>
      </c>
      <c r="CM30" s="78">
        <f>'Operating Calculations'!CK152*(CM$6&lt;=MAX(YrOfExit,1))</f>
        <v>16150.000000000002</v>
      </c>
      <c r="CN30" s="78">
        <f>'Operating Calculations'!CL152*(CN$6&lt;=MAX(YrOfExit,1))</f>
        <v>16150.000000000002</v>
      </c>
      <c r="CO30" s="78">
        <f>'Operating Calculations'!CM152*(CO$6&lt;=MAX(YrOfExit,1))</f>
        <v>16150.000000000002</v>
      </c>
      <c r="CP30" s="78">
        <f>'Operating Calculations'!CN152*(CP$6&lt;=MAX(YrOfExit,1))</f>
        <v>16150.000000000002</v>
      </c>
      <c r="CQ30" s="78">
        <f>'Operating Calculations'!CO152*(CQ$6&lt;=MAX(YrOfExit,1))</f>
        <v>16150.000000000002</v>
      </c>
      <c r="CR30" s="78">
        <f>'Operating Calculations'!CP152*(CR$6&lt;=MAX(YrOfExit,1))</f>
        <v>16150.000000000002</v>
      </c>
      <c r="CS30" s="78">
        <f>'Operating Calculations'!CQ152*(CS$6&lt;=MAX(YrOfExit,1))</f>
        <v>16150.000000000002</v>
      </c>
      <c r="CT30" s="78">
        <f>'Operating Calculations'!CR152*(CT$6&lt;=MAX(YrOfExit,1))</f>
        <v>16150.000000000002</v>
      </c>
      <c r="CU30" s="78">
        <f>'Operating Calculations'!CS152*(CU$6&lt;=MAX(YrOfExit,1))</f>
        <v>16150.000000000002</v>
      </c>
      <c r="CV30" s="78">
        <f>'Operating Calculations'!CT152*(CV$6&lt;=MAX(YrOfExit,1))</f>
        <v>16150.000000000002</v>
      </c>
      <c r="CW30" s="78">
        <f>'Operating Calculations'!CU152*(CW$6&lt;=MAX(YrOfExit,1))</f>
        <v>16150.000000000002</v>
      </c>
      <c r="CX30" s="78">
        <f>'Operating Calculations'!CV152*(CX$6&lt;=MAX(YrOfExit,1))</f>
        <v>16150.000000000002</v>
      </c>
      <c r="CY30" s="78">
        <f>'Operating Calculations'!CW152*(CY$6&lt;=MAX(YrOfExit,1))</f>
        <v>16150.000000000002</v>
      </c>
      <c r="CZ30" s="78">
        <f>'Operating Calculations'!CX152*(CZ$6&lt;=MAX(YrOfExit,1))</f>
        <v>0</v>
      </c>
      <c r="DA30" s="78">
        <f>'Operating Calculations'!CY152*(DA$6&lt;=MAX(YrOfExit,1))</f>
        <v>0</v>
      </c>
      <c r="DB30" s="78">
        <f>'Operating Calculations'!CZ152*(DB$6&lt;=MAX(YrOfExit,1))</f>
        <v>0</v>
      </c>
      <c r="DC30" s="78">
        <f>'Operating Calculations'!DA152*(DC$6&lt;=MAX(YrOfExit,1))</f>
        <v>0</v>
      </c>
      <c r="DD30" s="78">
        <f>'Operating Calculations'!DB152*(DD$6&lt;=MAX(YrOfExit,1))</f>
        <v>0</v>
      </c>
      <c r="DE30" s="78">
        <f>'Operating Calculations'!DC152*(DE$6&lt;=MAX(YrOfExit,1))</f>
        <v>0</v>
      </c>
      <c r="DF30" s="78">
        <f>'Operating Calculations'!DD152*(DF$6&lt;=MAX(YrOfExit,1))</f>
        <v>0</v>
      </c>
      <c r="DG30" s="78">
        <f>'Operating Calculations'!DE152*(DG$6&lt;=MAX(YrOfExit,1))</f>
        <v>0</v>
      </c>
      <c r="DH30" s="78">
        <f>'Operating Calculations'!DF152*(DH$6&lt;=MAX(YrOfExit,1))</f>
        <v>0</v>
      </c>
      <c r="DI30" s="78">
        <f>'Operating Calculations'!DG152*(DI$6&lt;=MAX(YrOfExit,1))</f>
        <v>0</v>
      </c>
      <c r="DJ30" s="78">
        <f>'Operating Calculations'!DH152*(DJ$6&lt;=MAX(YrOfExit,1))</f>
        <v>0</v>
      </c>
      <c r="DK30" s="78">
        <f>'Operating Calculations'!DI152*(DK$6&lt;=MAX(YrOfExit,1))</f>
        <v>0</v>
      </c>
      <c r="DL30" s="78">
        <f>'Operating Calculations'!DJ152*(DL$6&lt;=MAX(YrOfExit,1))</f>
        <v>0</v>
      </c>
      <c r="DM30" s="78">
        <f>'Operating Calculations'!DK152*(DM$6&lt;=MAX(YrOfExit,1))</f>
        <v>0</v>
      </c>
      <c r="DN30" s="78">
        <f>'Operating Calculations'!DL152*(DN$6&lt;=MAX(YrOfExit,1))</f>
        <v>0</v>
      </c>
      <c r="DO30" s="78">
        <f>'Operating Calculations'!DM152*(DO$6&lt;=MAX(YrOfExit,1))</f>
        <v>0</v>
      </c>
      <c r="DP30" s="78">
        <f>'Operating Calculations'!DN152*(DP$6&lt;=MAX(YrOfExit,1))</f>
        <v>0</v>
      </c>
      <c r="DQ30" s="78">
        <f>'Operating Calculations'!DO152*(DQ$6&lt;=MAX(YrOfExit,1))</f>
        <v>0</v>
      </c>
      <c r="DR30" s="78">
        <f>'Operating Calculations'!DP152*(DR$6&lt;=MAX(YrOfExit,1))</f>
        <v>0</v>
      </c>
      <c r="DS30" s="78">
        <f>'Operating Calculations'!DQ152*(DS$6&lt;=MAX(YrOfExit,1))</f>
        <v>0</v>
      </c>
      <c r="DT30" s="78">
        <f>'Operating Calculations'!DR152*(DT$6&lt;=MAX(YrOfExit,1))</f>
        <v>0</v>
      </c>
      <c r="DU30" s="78">
        <f>'Operating Calculations'!DS152*(DU$6&lt;=MAX(YrOfExit,1))</f>
        <v>0</v>
      </c>
      <c r="DV30" s="78">
        <f>'Operating Calculations'!DT152*(DV$6&lt;=MAX(YrOfExit,1))</f>
        <v>0</v>
      </c>
      <c r="DW30" s="78">
        <f>'Operating Calculations'!DU152*(DW$6&lt;=MAX(YrOfExit,1))</f>
        <v>0</v>
      </c>
      <c r="DX30" s="78">
        <f>'Operating Calculations'!DV152*(DX$6&lt;=MAX(YrOfExit,1))</f>
        <v>0</v>
      </c>
      <c r="DY30" s="78">
        <f>'Operating Calculations'!DW152*(DY$6&lt;=MAX(YrOfExit,1))</f>
        <v>0</v>
      </c>
      <c r="DZ30" s="78">
        <f>'Operating Calculations'!DX152*(DZ$6&lt;=MAX(YrOfExit,1))</f>
        <v>0</v>
      </c>
      <c r="EA30" s="78">
        <f>'Operating Calculations'!DY152*(EA$6&lt;=MAX(YrOfExit,1))</f>
        <v>0</v>
      </c>
      <c r="EB30" s="78">
        <f>'Operating Calculations'!DZ152*(EB$6&lt;=MAX(YrOfExit,1))</f>
        <v>0</v>
      </c>
      <c r="EC30" s="78">
        <f>'Operating Calculations'!EA152*(EC$6&lt;=MAX(YrOfExit,1))</f>
        <v>0</v>
      </c>
      <c r="ED30" s="78">
        <f>'Operating Calculations'!EB152*(ED$6&lt;=MAX(YrOfExit,1))</f>
        <v>0</v>
      </c>
      <c r="EE30" s="78">
        <f>'Operating Calculations'!EC152*(EE$6&lt;=MAX(YrOfExit,1))</f>
        <v>0</v>
      </c>
      <c r="EF30" s="78">
        <f>'Operating Calculations'!ED152*(EF$6&lt;=MAX(YrOfExit,1))</f>
        <v>0</v>
      </c>
      <c r="EG30" s="78">
        <f>'Operating Calculations'!EE152*(EG$6&lt;=MAX(YrOfExit,1))</f>
        <v>0</v>
      </c>
      <c r="EH30" s="78">
        <f>'Operating Calculations'!EF152*(EH$6&lt;=MAX(YrOfExit,1))</f>
        <v>0</v>
      </c>
      <c r="EI30" s="78">
        <f>'Operating Calculations'!EG152*(EI$6&lt;=MAX(YrOfExit,1))</f>
        <v>0</v>
      </c>
    </row>
    <row r="31" spans="2:139" hidden="1">
      <c r="B31" s="32" t="s">
        <v>144</v>
      </c>
      <c r="C31" s="32"/>
      <c r="D31" s="78"/>
      <c r="E31" s="78">
        <f t="shared" si="27"/>
        <v>0</v>
      </c>
      <c r="F31" s="78">
        <f t="shared" si="27"/>
        <v>0</v>
      </c>
      <c r="G31" s="78">
        <f t="shared" si="27"/>
        <v>0</v>
      </c>
      <c r="H31" s="78">
        <f t="shared" si="27"/>
        <v>0</v>
      </c>
      <c r="I31" s="78">
        <f t="shared" si="27"/>
        <v>0</v>
      </c>
      <c r="J31" s="78">
        <f t="shared" si="27"/>
        <v>0</v>
      </c>
      <c r="K31" s="78">
        <f t="shared" si="27"/>
        <v>0</v>
      </c>
      <c r="L31" s="78">
        <f t="shared" si="27"/>
        <v>0</v>
      </c>
      <c r="M31" s="78">
        <f t="shared" si="27"/>
        <v>0</v>
      </c>
      <c r="N31" s="78">
        <f t="shared" si="27"/>
        <v>0</v>
      </c>
      <c r="O31" s="145">
        <f>SUM(D31:N31)</f>
        <v>0</v>
      </c>
      <c r="Q31" s="78">
        <f>'Operating Calculations'!O82</f>
        <v>0</v>
      </c>
      <c r="S31" s="78"/>
      <c r="T31" s="78">
        <f>'Operating Calculations'!R82*(T$6&lt;=MAX(YrOfExit,1))</f>
        <v>0</v>
      </c>
      <c r="U31" s="78">
        <f>'Operating Calculations'!S82*(U$6&lt;=MAX(YrOfExit,1))</f>
        <v>0</v>
      </c>
      <c r="V31" s="78">
        <f>'Operating Calculations'!T82*(V$6&lt;=MAX(YrOfExit,1))</f>
        <v>0</v>
      </c>
      <c r="W31" s="78">
        <f>'Operating Calculations'!U82*(W$6&lt;=MAX(YrOfExit,1))</f>
        <v>0</v>
      </c>
      <c r="X31" s="78">
        <f>'Operating Calculations'!V82*(X$6&lt;=MAX(YrOfExit,1))</f>
        <v>0</v>
      </c>
      <c r="Y31" s="78">
        <f>'Operating Calculations'!W82*(Y$6&lt;=MAX(YrOfExit,1))</f>
        <v>0</v>
      </c>
      <c r="Z31" s="78">
        <f>'Operating Calculations'!X82*(Z$6&lt;=MAX(YrOfExit,1))</f>
        <v>0</v>
      </c>
      <c r="AA31" s="78">
        <f>'Operating Calculations'!Y82*(AA$6&lt;=MAX(YrOfExit,1))</f>
        <v>0</v>
      </c>
      <c r="AB31" s="78">
        <f>'Operating Calculations'!Z82*(AB$6&lt;=MAX(YrOfExit,1))</f>
        <v>0</v>
      </c>
      <c r="AC31" s="78">
        <f>'Operating Calculations'!AA82*(AC$6&lt;=MAX(YrOfExit,1))</f>
        <v>0</v>
      </c>
      <c r="AD31" s="78">
        <f>'Operating Calculations'!AB82*(AD$6&lt;=MAX(YrOfExit,1))</f>
        <v>0</v>
      </c>
      <c r="AE31" s="78">
        <f>'Operating Calculations'!AC82*(AE$6&lt;=MAX(YrOfExit,1))</f>
        <v>0</v>
      </c>
      <c r="AF31" s="78">
        <f>'Operating Calculations'!AD82*(AF$6&lt;=MAX(YrOfExit,1))</f>
        <v>0</v>
      </c>
      <c r="AG31" s="78">
        <f>'Operating Calculations'!AE82*(AG$6&lt;=MAX(YrOfExit,1))</f>
        <v>0</v>
      </c>
      <c r="AH31" s="78">
        <f>'Operating Calculations'!AF82*(AH$6&lt;=MAX(YrOfExit,1))</f>
        <v>0</v>
      </c>
      <c r="AI31" s="78">
        <f>'Operating Calculations'!AG82*(AI$6&lt;=MAX(YrOfExit,1))</f>
        <v>0</v>
      </c>
      <c r="AJ31" s="78">
        <f>'Operating Calculations'!AH82*(AJ$6&lt;=MAX(YrOfExit,1))</f>
        <v>0</v>
      </c>
      <c r="AK31" s="78">
        <f>'Operating Calculations'!AI82*(AK$6&lt;=MAX(YrOfExit,1))</f>
        <v>0</v>
      </c>
      <c r="AL31" s="78">
        <f>'Operating Calculations'!AJ82*(AL$6&lt;=MAX(YrOfExit,1))</f>
        <v>0</v>
      </c>
      <c r="AM31" s="78">
        <f>'Operating Calculations'!AK82*(AM$6&lt;=MAX(YrOfExit,1))</f>
        <v>0</v>
      </c>
      <c r="AN31" s="78">
        <f>'Operating Calculations'!AL82*(AN$6&lt;=MAX(YrOfExit,1))</f>
        <v>0</v>
      </c>
      <c r="AO31" s="78">
        <f>'Operating Calculations'!AM82*(AO$6&lt;=MAX(YrOfExit,1))</f>
        <v>0</v>
      </c>
      <c r="AP31" s="78">
        <f>'Operating Calculations'!AN82*(AP$6&lt;=MAX(YrOfExit,1))</f>
        <v>0</v>
      </c>
      <c r="AQ31" s="78">
        <f>'Operating Calculations'!AO82*(AQ$6&lt;=MAX(YrOfExit,1))</f>
        <v>0</v>
      </c>
      <c r="AR31" s="78">
        <f>'Operating Calculations'!AP82*(AR$6&lt;=MAX(YrOfExit,1))</f>
        <v>0</v>
      </c>
      <c r="AS31" s="78">
        <f>'Operating Calculations'!AQ82*(AS$6&lt;=MAX(YrOfExit,1))</f>
        <v>0</v>
      </c>
      <c r="AT31" s="78">
        <f>'Operating Calculations'!AR82*(AT$6&lt;=MAX(YrOfExit,1))</f>
        <v>0</v>
      </c>
      <c r="AU31" s="78">
        <f>'Operating Calculations'!AS82*(AU$6&lt;=MAX(YrOfExit,1))</f>
        <v>0</v>
      </c>
      <c r="AV31" s="78">
        <f>'Operating Calculations'!AT82*(AV$6&lt;=MAX(YrOfExit,1))</f>
        <v>0</v>
      </c>
      <c r="AW31" s="78">
        <f>'Operating Calculations'!AU82*(AW$6&lt;=MAX(YrOfExit,1))</f>
        <v>0</v>
      </c>
      <c r="AX31" s="78">
        <f>'Operating Calculations'!AV82*(AX$6&lt;=MAX(YrOfExit,1))</f>
        <v>0</v>
      </c>
      <c r="AY31" s="78">
        <f>'Operating Calculations'!AW82*(AY$6&lt;=MAX(YrOfExit,1))</f>
        <v>0</v>
      </c>
      <c r="AZ31" s="78">
        <f>'Operating Calculations'!AX82*(AZ$6&lt;=MAX(YrOfExit,1))</f>
        <v>0</v>
      </c>
      <c r="BA31" s="78">
        <f>'Operating Calculations'!AY82*(BA$6&lt;=MAX(YrOfExit,1))</f>
        <v>0</v>
      </c>
      <c r="BB31" s="78">
        <f>'Operating Calculations'!AZ82*(BB$6&lt;=MAX(YrOfExit,1))</f>
        <v>0</v>
      </c>
      <c r="BC31" s="78">
        <f>'Operating Calculations'!BA82*(BC$6&lt;=MAX(YrOfExit,1))</f>
        <v>0</v>
      </c>
      <c r="BD31" s="78">
        <f>'Operating Calculations'!BB82*(BD$6&lt;=MAX(YrOfExit,1))</f>
        <v>0</v>
      </c>
      <c r="BE31" s="78">
        <f>'Operating Calculations'!BC82*(BE$6&lt;=MAX(YrOfExit,1))</f>
        <v>0</v>
      </c>
      <c r="BF31" s="78">
        <f>'Operating Calculations'!BD82*(BF$6&lt;=MAX(YrOfExit,1))</f>
        <v>0</v>
      </c>
      <c r="BG31" s="78">
        <f>'Operating Calculations'!BE82*(BG$6&lt;=MAX(YrOfExit,1))</f>
        <v>0</v>
      </c>
      <c r="BH31" s="78">
        <f>'Operating Calculations'!BF82*(BH$6&lt;=MAX(YrOfExit,1))</f>
        <v>0</v>
      </c>
      <c r="BI31" s="78">
        <f>'Operating Calculations'!BG82*(BI$6&lt;=MAX(YrOfExit,1))</f>
        <v>0</v>
      </c>
      <c r="BJ31" s="78">
        <f>'Operating Calculations'!BH82*(BJ$6&lt;=MAX(YrOfExit,1))</f>
        <v>0</v>
      </c>
      <c r="BK31" s="78">
        <f>'Operating Calculations'!BI82*(BK$6&lt;=MAX(YrOfExit,1))</f>
        <v>0</v>
      </c>
      <c r="BL31" s="78">
        <f>'Operating Calculations'!BJ82*(BL$6&lt;=MAX(YrOfExit,1))</f>
        <v>0</v>
      </c>
      <c r="BM31" s="78">
        <f>'Operating Calculations'!BK82*(BM$6&lt;=MAX(YrOfExit,1))</f>
        <v>0</v>
      </c>
      <c r="BN31" s="78">
        <f>'Operating Calculations'!BL82*(BN$6&lt;=MAX(YrOfExit,1))</f>
        <v>0</v>
      </c>
      <c r="BO31" s="78">
        <f>'Operating Calculations'!BM82*(BO$6&lt;=MAX(YrOfExit,1))</f>
        <v>0</v>
      </c>
      <c r="BP31" s="78">
        <f>'Operating Calculations'!BN82*(BP$6&lt;=MAX(YrOfExit,1))</f>
        <v>0</v>
      </c>
      <c r="BQ31" s="78">
        <f>'Operating Calculations'!BO82*(BQ$6&lt;=MAX(YrOfExit,1))</f>
        <v>0</v>
      </c>
      <c r="BR31" s="78">
        <f>'Operating Calculations'!BP82*(BR$6&lt;=MAX(YrOfExit,1))</f>
        <v>0</v>
      </c>
      <c r="BS31" s="78">
        <f>'Operating Calculations'!BQ82*(BS$6&lt;=MAX(YrOfExit,1))</f>
        <v>0</v>
      </c>
      <c r="BT31" s="78">
        <f>'Operating Calculations'!BR82*(BT$6&lt;=MAX(YrOfExit,1))</f>
        <v>0</v>
      </c>
      <c r="BU31" s="78">
        <f>'Operating Calculations'!BS82*(BU$6&lt;=MAX(YrOfExit,1))</f>
        <v>0</v>
      </c>
      <c r="BV31" s="78">
        <f>'Operating Calculations'!BT82*(BV$6&lt;=MAX(YrOfExit,1))</f>
        <v>0</v>
      </c>
      <c r="BW31" s="78">
        <f>'Operating Calculations'!BU82*(BW$6&lt;=MAX(YrOfExit,1))</f>
        <v>0</v>
      </c>
      <c r="BX31" s="78">
        <f>'Operating Calculations'!BV82*(BX$6&lt;=MAX(YrOfExit,1))</f>
        <v>0</v>
      </c>
      <c r="BY31" s="78">
        <f>'Operating Calculations'!BW82*(BY$6&lt;=MAX(YrOfExit,1))</f>
        <v>0</v>
      </c>
      <c r="BZ31" s="78">
        <f>'Operating Calculations'!BX82*(BZ$6&lt;=MAX(YrOfExit,1))</f>
        <v>0</v>
      </c>
      <c r="CA31" s="78">
        <f>'Operating Calculations'!BY82*(CA$6&lt;=MAX(YrOfExit,1))</f>
        <v>0</v>
      </c>
      <c r="CB31" s="78">
        <f>'Operating Calculations'!BZ82*(CB$6&lt;=MAX(YrOfExit,1))</f>
        <v>0</v>
      </c>
      <c r="CC31" s="78">
        <f>'Operating Calculations'!CA82*(CC$6&lt;=MAX(YrOfExit,1))</f>
        <v>0</v>
      </c>
      <c r="CD31" s="78">
        <f>'Operating Calculations'!CB82*(CD$6&lt;=MAX(YrOfExit,1))</f>
        <v>0</v>
      </c>
      <c r="CE31" s="78">
        <f>'Operating Calculations'!CC82*(CE$6&lt;=MAX(YrOfExit,1))</f>
        <v>0</v>
      </c>
      <c r="CF31" s="78">
        <f>'Operating Calculations'!CD82*(CF$6&lt;=MAX(YrOfExit,1))</f>
        <v>0</v>
      </c>
      <c r="CG31" s="78">
        <f>'Operating Calculations'!CE82*(CG$6&lt;=MAX(YrOfExit,1))</f>
        <v>0</v>
      </c>
      <c r="CH31" s="78">
        <f>'Operating Calculations'!CF82*(CH$6&lt;=MAX(YrOfExit,1))</f>
        <v>0</v>
      </c>
      <c r="CI31" s="78">
        <f>'Operating Calculations'!CG82*(CI$6&lt;=MAX(YrOfExit,1))</f>
        <v>0</v>
      </c>
      <c r="CJ31" s="78">
        <f>'Operating Calculations'!CH82*(CJ$6&lt;=MAX(YrOfExit,1))</f>
        <v>0</v>
      </c>
      <c r="CK31" s="78">
        <f>'Operating Calculations'!CI82*(CK$6&lt;=MAX(YrOfExit,1))</f>
        <v>0</v>
      </c>
      <c r="CL31" s="78">
        <f>'Operating Calculations'!CJ82*(CL$6&lt;=MAX(YrOfExit,1))</f>
        <v>0</v>
      </c>
      <c r="CM31" s="78">
        <f>'Operating Calculations'!CK82*(CM$6&lt;=MAX(YrOfExit,1))</f>
        <v>0</v>
      </c>
      <c r="CN31" s="78">
        <f>'Operating Calculations'!CL82*(CN$6&lt;=MAX(YrOfExit,1))</f>
        <v>0</v>
      </c>
      <c r="CO31" s="78">
        <f>'Operating Calculations'!CM82*(CO$6&lt;=MAX(YrOfExit,1))</f>
        <v>0</v>
      </c>
      <c r="CP31" s="78">
        <f>'Operating Calculations'!CN82*(CP$6&lt;=MAX(YrOfExit,1))</f>
        <v>0</v>
      </c>
      <c r="CQ31" s="78">
        <f>'Operating Calculations'!CO82*(CQ$6&lt;=MAX(YrOfExit,1))</f>
        <v>0</v>
      </c>
      <c r="CR31" s="78">
        <f>'Operating Calculations'!CP82*(CR$6&lt;=MAX(YrOfExit,1))</f>
        <v>0</v>
      </c>
      <c r="CS31" s="78">
        <f>'Operating Calculations'!CQ82*(CS$6&lt;=MAX(YrOfExit,1))</f>
        <v>0</v>
      </c>
      <c r="CT31" s="78">
        <f>'Operating Calculations'!CR82*(CT$6&lt;=MAX(YrOfExit,1))</f>
        <v>0</v>
      </c>
      <c r="CU31" s="78">
        <f>'Operating Calculations'!CS82*(CU$6&lt;=MAX(YrOfExit,1))</f>
        <v>0</v>
      </c>
      <c r="CV31" s="78">
        <f>'Operating Calculations'!CT82*(CV$6&lt;=MAX(YrOfExit,1))</f>
        <v>0</v>
      </c>
      <c r="CW31" s="78">
        <f>'Operating Calculations'!CU82*(CW$6&lt;=MAX(YrOfExit,1))</f>
        <v>0</v>
      </c>
      <c r="CX31" s="78">
        <f>'Operating Calculations'!CV82*(CX$6&lt;=MAX(YrOfExit,1))</f>
        <v>0</v>
      </c>
      <c r="CY31" s="78">
        <f>'Operating Calculations'!CW82*(CY$6&lt;=MAX(YrOfExit,1))</f>
        <v>0</v>
      </c>
      <c r="CZ31" s="78">
        <f>'Operating Calculations'!CX82*(CZ$6&lt;=MAX(YrOfExit,1))</f>
        <v>0</v>
      </c>
      <c r="DA31" s="78">
        <f>'Operating Calculations'!CY82*(DA$6&lt;=MAX(YrOfExit,1))</f>
        <v>0</v>
      </c>
      <c r="DB31" s="78">
        <f>'Operating Calculations'!CZ82*(DB$6&lt;=MAX(YrOfExit,1))</f>
        <v>0</v>
      </c>
      <c r="DC31" s="78">
        <f>'Operating Calculations'!DA82*(DC$6&lt;=MAX(YrOfExit,1))</f>
        <v>0</v>
      </c>
      <c r="DD31" s="78">
        <f>'Operating Calculations'!DB82*(DD$6&lt;=MAX(YrOfExit,1))</f>
        <v>0</v>
      </c>
      <c r="DE31" s="78">
        <f>'Operating Calculations'!DC82*(DE$6&lt;=MAX(YrOfExit,1))</f>
        <v>0</v>
      </c>
      <c r="DF31" s="78">
        <f>'Operating Calculations'!DD82*(DF$6&lt;=MAX(YrOfExit,1))</f>
        <v>0</v>
      </c>
      <c r="DG31" s="78">
        <f>'Operating Calculations'!DE82*(DG$6&lt;=MAX(YrOfExit,1))</f>
        <v>0</v>
      </c>
      <c r="DH31" s="78">
        <f>'Operating Calculations'!DF82*(DH$6&lt;=MAX(YrOfExit,1))</f>
        <v>0</v>
      </c>
      <c r="DI31" s="78">
        <f>'Operating Calculations'!DG82*(DI$6&lt;=MAX(YrOfExit,1))</f>
        <v>0</v>
      </c>
      <c r="DJ31" s="78">
        <f>'Operating Calculations'!DH82*(DJ$6&lt;=MAX(YrOfExit,1))</f>
        <v>0</v>
      </c>
      <c r="DK31" s="78">
        <f>'Operating Calculations'!DI82*(DK$6&lt;=MAX(YrOfExit,1))</f>
        <v>0</v>
      </c>
      <c r="DL31" s="78">
        <f>'Operating Calculations'!DJ82*(DL$6&lt;=MAX(YrOfExit,1))</f>
        <v>0</v>
      </c>
      <c r="DM31" s="78">
        <f>'Operating Calculations'!DK82*(DM$6&lt;=MAX(YrOfExit,1))</f>
        <v>0</v>
      </c>
      <c r="DN31" s="78">
        <f>'Operating Calculations'!DL82*(DN$6&lt;=MAX(YrOfExit,1))</f>
        <v>0</v>
      </c>
      <c r="DO31" s="78">
        <f>'Operating Calculations'!DM82*(DO$6&lt;=MAX(YrOfExit,1))</f>
        <v>0</v>
      </c>
      <c r="DP31" s="78">
        <f>'Operating Calculations'!DN82*(DP$6&lt;=MAX(YrOfExit,1))</f>
        <v>0</v>
      </c>
      <c r="DQ31" s="78">
        <f>'Operating Calculations'!DO82*(DQ$6&lt;=MAX(YrOfExit,1))</f>
        <v>0</v>
      </c>
      <c r="DR31" s="78">
        <f>'Operating Calculations'!DP82*(DR$6&lt;=MAX(YrOfExit,1))</f>
        <v>0</v>
      </c>
      <c r="DS31" s="78">
        <f>'Operating Calculations'!DQ82*(DS$6&lt;=MAX(YrOfExit,1))</f>
        <v>0</v>
      </c>
      <c r="DT31" s="78">
        <f>'Operating Calculations'!DR82*(DT$6&lt;=MAX(YrOfExit,1))</f>
        <v>0</v>
      </c>
      <c r="DU31" s="78">
        <f>'Operating Calculations'!DS82*(DU$6&lt;=MAX(YrOfExit,1))</f>
        <v>0</v>
      </c>
      <c r="DV31" s="78">
        <f>'Operating Calculations'!DT82*(DV$6&lt;=MAX(YrOfExit,1))</f>
        <v>0</v>
      </c>
      <c r="DW31" s="78">
        <f>'Operating Calculations'!DU82*(DW$6&lt;=MAX(YrOfExit,1))</f>
        <v>0</v>
      </c>
      <c r="DX31" s="78">
        <f>'Operating Calculations'!DV82*(DX$6&lt;=MAX(YrOfExit,1))</f>
        <v>0</v>
      </c>
      <c r="DY31" s="78">
        <f>'Operating Calculations'!DW82*(DY$6&lt;=MAX(YrOfExit,1))</f>
        <v>0</v>
      </c>
      <c r="DZ31" s="78">
        <f>'Operating Calculations'!DX82*(DZ$6&lt;=MAX(YrOfExit,1))</f>
        <v>0</v>
      </c>
      <c r="EA31" s="78">
        <f>'Operating Calculations'!DY82*(EA$6&lt;=MAX(YrOfExit,1))</f>
        <v>0</v>
      </c>
      <c r="EB31" s="78">
        <f>'Operating Calculations'!DZ82*(EB$6&lt;=MAX(YrOfExit,1))</f>
        <v>0</v>
      </c>
      <c r="EC31" s="78">
        <f>'Operating Calculations'!EA82*(EC$6&lt;=MAX(YrOfExit,1))</f>
        <v>0</v>
      </c>
      <c r="ED31" s="78">
        <f>'Operating Calculations'!EB82*(ED$6&lt;=MAX(YrOfExit,1))</f>
        <v>0</v>
      </c>
      <c r="EE31" s="78">
        <f>'Operating Calculations'!EC82*(EE$6&lt;=MAX(YrOfExit,1))</f>
        <v>0</v>
      </c>
      <c r="EF31" s="78">
        <f>'Operating Calculations'!ED82*(EF$6&lt;=MAX(YrOfExit,1))</f>
        <v>0</v>
      </c>
      <c r="EG31" s="78">
        <f>'Operating Calculations'!EE82*(EG$6&lt;=MAX(YrOfExit,1))</f>
        <v>0</v>
      </c>
      <c r="EH31" s="78">
        <f>'Operating Calculations'!EF82*(EH$6&lt;=MAX(YrOfExit,1))</f>
        <v>0</v>
      </c>
      <c r="EI31" s="78">
        <f>'Operating Calculations'!EG82*(EI$6&lt;=MAX(YrOfExit,1))</f>
        <v>0</v>
      </c>
    </row>
    <row r="32" spans="2:139">
      <c r="B32" s="46" t="s">
        <v>123</v>
      </c>
      <c r="C32" s="46"/>
      <c r="D32" s="169"/>
      <c r="E32" s="694">
        <f t="shared" ref="E32:O32" si="28">SUBTOTAL(9,E29:E31)</f>
        <v>193800.00000000003</v>
      </c>
      <c r="F32" s="694">
        <f t="shared" si="28"/>
        <v>193800.00000000003</v>
      </c>
      <c r="G32" s="694">
        <f t="shared" si="28"/>
        <v>193800.00000000003</v>
      </c>
      <c r="H32" s="694">
        <f t="shared" si="28"/>
        <v>193800.00000000003</v>
      </c>
      <c r="I32" s="694">
        <f t="shared" si="28"/>
        <v>193800.00000000003</v>
      </c>
      <c r="J32" s="694">
        <f t="shared" si="28"/>
        <v>193800.00000000003</v>
      </c>
      <c r="K32" s="694">
        <f t="shared" si="28"/>
        <v>193800.00000000003</v>
      </c>
      <c r="L32" s="694">
        <f t="shared" si="28"/>
        <v>0</v>
      </c>
      <c r="M32" s="694">
        <f t="shared" si="28"/>
        <v>0</v>
      </c>
      <c r="N32" s="694">
        <f t="shared" si="28"/>
        <v>0</v>
      </c>
      <c r="O32" s="713">
        <f t="shared" si="28"/>
        <v>1356600.0000000002</v>
      </c>
      <c r="Q32" s="694">
        <f>SUBTOTAL(9,Q29:Q31)</f>
        <v>193800</v>
      </c>
      <c r="S32" s="694"/>
      <c r="T32" s="694">
        <f t="shared" ref="T32:AY32" si="29">SUBTOTAL(9,T29:T31)</f>
        <v>16150.000000000002</v>
      </c>
      <c r="U32" s="694">
        <f t="shared" si="29"/>
        <v>16150.000000000002</v>
      </c>
      <c r="V32" s="694">
        <f t="shared" si="29"/>
        <v>16150.000000000002</v>
      </c>
      <c r="W32" s="694">
        <f t="shared" si="29"/>
        <v>16150.000000000002</v>
      </c>
      <c r="X32" s="694">
        <f t="shared" si="29"/>
        <v>16150.000000000002</v>
      </c>
      <c r="Y32" s="694">
        <f t="shared" si="29"/>
        <v>16150.000000000002</v>
      </c>
      <c r="Z32" s="694">
        <f t="shared" si="29"/>
        <v>16150.000000000002</v>
      </c>
      <c r="AA32" s="694">
        <f t="shared" si="29"/>
        <v>16150.000000000002</v>
      </c>
      <c r="AB32" s="694">
        <f t="shared" si="29"/>
        <v>16150.000000000002</v>
      </c>
      <c r="AC32" s="694">
        <f t="shared" si="29"/>
        <v>16150.000000000002</v>
      </c>
      <c r="AD32" s="694">
        <f t="shared" si="29"/>
        <v>16150.000000000002</v>
      </c>
      <c r="AE32" s="694">
        <f t="shared" si="29"/>
        <v>16150.000000000002</v>
      </c>
      <c r="AF32" s="694">
        <f t="shared" si="29"/>
        <v>16150.000000000002</v>
      </c>
      <c r="AG32" s="694">
        <f t="shared" si="29"/>
        <v>16150.000000000002</v>
      </c>
      <c r="AH32" s="694">
        <f t="shared" si="29"/>
        <v>16150.000000000002</v>
      </c>
      <c r="AI32" s="694">
        <f t="shared" si="29"/>
        <v>16150.000000000002</v>
      </c>
      <c r="AJ32" s="694">
        <f t="shared" si="29"/>
        <v>16150.000000000002</v>
      </c>
      <c r="AK32" s="694">
        <f t="shared" si="29"/>
        <v>16150.000000000002</v>
      </c>
      <c r="AL32" s="694">
        <f t="shared" si="29"/>
        <v>16150.000000000002</v>
      </c>
      <c r="AM32" s="694">
        <f t="shared" si="29"/>
        <v>16150.000000000002</v>
      </c>
      <c r="AN32" s="694">
        <f t="shared" si="29"/>
        <v>16150.000000000002</v>
      </c>
      <c r="AO32" s="694">
        <f t="shared" si="29"/>
        <v>16150.000000000002</v>
      </c>
      <c r="AP32" s="694">
        <f t="shared" si="29"/>
        <v>16150.000000000002</v>
      </c>
      <c r="AQ32" s="694">
        <f t="shared" si="29"/>
        <v>16150.000000000002</v>
      </c>
      <c r="AR32" s="694">
        <f t="shared" si="29"/>
        <v>16150.000000000002</v>
      </c>
      <c r="AS32" s="694">
        <f t="shared" si="29"/>
        <v>16150.000000000002</v>
      </c>
      <c r="AT32" s="694">
        <f t="shared" si="29"/>
        <v>16150.000000000002</v>
      </c>
      <c r="AU32" s="694">
        <f t="shared" si="29"/>
        <v>16150.000000000002</v>
      </c>
      <c r="AV32" s="694">
        <f t="shared" si="29"/>
        <v>16150.000000000002</v>
      </c>
      <c r="AW32" s="694">
        <f t="shared" si="29"/>
        <v>16150.000000000002</v>
      </c>
      <c r="AX32" s="694">
        <f t="shared" si="29"/>
        <v>16150.000000000002</v>
      </c>
      <c r="AY32" s="694">
        <f t="shared" si="29"/>
        <v>16150.000000000002</v>
      </c>
      <c r="AZ32" s="694">
        <f t="shared" ref="AZ32:CE32" si="30">SUBTOTAL(9,AZ29:AZ31)</f>
        <v>16150.000000000002</v>
      </c>
      <c r="BA32" s="694">
        <f t="shared" si="30"/>
        <v>16150.000000000002</v>
      </c>
      <c r="BB32" s="694">
        <f t="shared" si="30"/>
        <v>16150.000000000002</v>
      </c>
      <c r="BC32" s="694">
        <f t="shared" si="30"/>
        <v>16150.000000000002</v>
      </c>
      <c r="BD32" s="694">
        <f t="shared" si="30"/>
        <v>16150.000000000002</v>
      </c>
      <c r="BE32" s="694">
        <f t="shared" si="30"/>
        <v>16150.000000000002</v>
      </c>
      <c r="BF32" s="694">
        <f t="shared" si="30"/>
        <v>16150.000000000002</v>
      </c>
      <c r="BG32" s="694">
        <f t="shared" si="30"/>
        <v>16150.000000000002</v>
      </c>
      <c r="BH32" s="694">
        <f t="shared" si="30"/>
        <v>16150.000000000002</v>
      </c>
      <c r="BI32" s="694">
        <f t="shared" si="30"/>
        <v>16150.000000000002</v>
      </c>
      <c r="BJ32" s="694">
        <f t="shared" si="30"/>
        <v>16150.000000000002</v>
      </c>
      <c r="BK32" s="694">
        <f t="shared" si="30"/>
        <v>16150.000000000002</v>
      </c>
      <c r="BL32" s="694">
        <f t="shared" si="30"/>
        <v>16150.000000000002</v>
      </c>
      <c r="BM32" s="694">
        <f t="shared" si="30"/>
        <v>16150.000000000002</v>
      </c>
      <c r="BN32" s="694">
        <f t="shared" si="30"/>
        <v>16150.000000000002</v>
      </c>
      <c r="BO32" s="694">
        <f t="shared" si="30"/>
        <v>16150.000000000002</v>
      </c>
      <c r="BP32" s="694">
        <f t="shared" si="30"/>
        <v>16150.000000000002</v>
      </c>
      <c r="BQ32" s="694">
        <f t="shared" si="30"/>
        <v>16150.000000000002</v>
      </c>
      <c r="BR32" s="694">
        <f t="shared" si="30"/>
        <v>16150.000000000002</v>
      </c>
      <c r="BS32" s="694">
        <f t="shared" si="30"/>
        <v>16150.000000000002</v>
      </c>
      <c r="BT32" s="694">
        <f t="shared" si="30"/>
        <v>16150.000000000002</v>
      </c>
      <c r="BU32" s="694">
        <f t="shared" si="30"/>
        <v>16150.000000000002</v>
      </c>
      <c r="BV32" s="694">
        <f t="shared" si="30"/>
        <v>16150.000000000002</v>
      </c>
      <c r="BW32" s="694">
        <f t="shared" si="30"/>
        <v>16150.000000000002</v>
      </c>
      <c r="BX32" s="694">
        <f t="shared" si="30"/>
        <v>16150.000000000002</v>
      </c>
      <c r="BY32" s="694">
        <f t="shared" si="30"/>
        <v>16150.000000000002</v>
      </c>
      <c r="BZ32" s="694">
        <f t="shared" si="30"/>
        <v>16150.000000000002</v>
      </c>
      <c r="CA32" s="694">
        <f t="shared" si="30"/>
        <v>16150.000000000002</v>
      </c>
      <c r="CB32" s="694">
        <f t="shared" si="30"/>
        <v>16150.000000000002</v>
      </c>
      <c r="CC32" s="694">
        <f t="shared" si="30"/>
        <v>16150.000000000002</v>
      </c>
      <c r="CD32" s="694">
        <f t="shared" si="30"/>
        <v>16150.000000000002</v>
      </c>
      <c r="CE32" s="694">
        <f t="shared" si="30"/>
        <v>16150.000000000002</v>
      </c>
      <c r="CF32" s="694">
        <f t="shared" ref="CF32:DK32" si="31">SUBTOTAL(9,CF29:CF31)</f>
        <v>16150.000000000002</v>
      </c>
      <c r="CG32" s="694">
        <f t="shared" si="31"/>
        <v>16150.000000000002</v>
      </c>
      <c r="CH32" s="694">
        <f t="shared" si="31"/>
        <v>16150.000000000002</v>
      </c>
      <c r="CI32" s="694">
        <f t="shared" si="31"/>
        <v>16150.000000000002</v>
      </c>
      <c r="CJ32" s="694">
        <f t="shared" si="31"/>
        <v>16150.000000000002</v>
      </c>
      <c r="CK32" s="694">
        <f t="shared" si="31"/>
        <v>16150.000000000002</v>
      </c>
      <c r="CL32" s="694">
        <f t="shared" si="31"/>
        <v>16150.000000000002</v>
      </c>
      <c r="CM32" s="694">
        <f t="shared" si="31"/>
        <v>16150.000000000002</v>
      </c>
      <c r="CN32" s="694">
        <f t="shared" si="31"/>
        <v>16150.000000000002</v>
      </c>
      <c r="CO32" s="694">
        <f t="shared" si="31"/>
        <v>16150.000000000002</v>
      </c>
      <c r="CP32" s="694">
        <f t="shared" si="31"/>
        <v>16150.000000000002</v>
      </c>
      <c r="CQ32" s="694">
        <f t="shared" si="31"/>
        <v>16150.000000000002</v>
      </c>
      <c r="CR32" s="694">
        <f t="shared" si="31"/>
        <v>16150.000000000002</v>
      </c>
      <c r="CS32" s="694">
        <f t="shared" si="31"/>
        <v>16150.000000000002</v>
      </c>
      <c r="CT32" s="694">
        <f t="shared" si="31"/>
        <v>16150.000000000002</v>
      </c>
      <c r="CU32" s="694">
        <f t="shared" si="31"/>
        <v>16150.000000000002</v>
      </c>
      <c r="CV32" s="694">
        <f t="shared" si="31"/>
        <v>16150.000000000002</v>
      </c>
      <c r="CW32" s="694">
        <f t="shared" si="31"/>
        <v>16150.000000000002</v>
      </c>
      <c r="CX32" s="694">
        <f t="shared" si="31"/>
        <v>16150.000000000002</v>
      </c>
      <c r="CY32" s="694">
        <f t="shared" si="31"/>
        <v>16150.000000000002</v>
      </c>
      <c r="CZ32" s="694">
        <f t="shared" si="31"/>
        <v>0</v>
      </c>
      <c r="DA32" s="694">
        <f t="shared" si="31"/>
        <v>0</v>
      </c>
      <c r="DB32" s="694">
        <f t="shared" si="31"/>
        <v>0</v>
      </c>
      <c r="DC32" s="694">
        <f t="shared" si="31"/>
        <v>0</v>
      </c>
      <c r="DD32" s="694">
        <f t="shared" si="31"/>
        <v>0</v>
      </c>
      <c r="DE32" s="694">
        <f t="shared" si="31"/>
        <v>0</v>
      </c>
      <c r="DF32" s="694">
        <f t="shared" si="31"/>
        <v>0</v>
      </c>
      <c r="DG32" s="694">
        <f t="shared" si="31"/>
        <v>0</v>
      </c>
      <c r="DH32" s="694">
        <f t="shared" si="31"/>
        <v>0</v>
      </c>
      <c r="DI32" s="694">
        <f t="shared" si="31"/>
        <v>0</v>
      </c>
      <c r="DJ32" s="694">
        <f t="shared" si="31"/>
        <v>0</v>
      </c>
      <c r="DK32" s="694">
        <f t="shared" si="31"/>
        <v>0</v>
      </c>
      <c r="DL32" s="694">
        <f t="shared" ref="DL32:EQ32" si="32">SUBTOTAL(9,DL29:DL31)</f>
        <v>0</v>
      </c>
      <c r="DM32" s="694">
        <f t="shared" si="32"/>
        <v>0</v>
      </c>
      <c r="DN32" s="694">
        <f t="shared" si="32"/>
        <v>0</v>
      </c>
      <c r="DO32" s="694">
        <f t="shared" si="32"/>
        <v>0</v>
      </c>
      <c r="DP32" s="694">
        <f t="shared" si="32"/>
        <v>0</v>
      </c>
      <c r="DQ32" s="694">
        <f t="shared" si="32"/>
        <v>0</v>
      </c>
      <c r="DR32" s="694">
        <f t="shared" si="32"/>
        <v>0</v>
      </c>
      <c r="DS32" s="694">
        <f t="shared" si="32"/>
        <v>0</v>
      </c>
      <c r="DT32" s="694">
        <f t="shared" si="32"/>
        <v>0</v>
      </c>
      <c r="DU32" s="694">
        <f t="shared" si="32"/>
        <v>0</v>
      </c>
      <c r="DV32" s="694">
        <f t="shared" si="32"/>
        <v>0</v>
      </c>
      <c r="DW32" s="694">
        <f t="shared" si="32"/>
        <v>0</v>
      </c>
      <c r="DX32" s="694">
        <f t="shared" si="32"/>
        <v>0</v>
      </c>
      <c r="DY32" s="694">
        <f t="shared" si="32"/>
        <v>0</v>
      </c>
      <c r="DZ32" s="694">
        <f t="shared" si="32"/>
        <v>0</v>
      </c>
      <c r="EA32" s="694">
        <f t="shared" si="32"/>
        <v>0</v>
      </c>
      <c r="EB32" s="694">
        <f t="shared" si="32"/>
        <v>0</v>
      </c>
      <c r="EC32" s="694">
        <f t="shared" si="32"/>
        <v>0</v>
      </c>
      <c r="ED32" s="694">
        <f t="shared" si="32"/>
        <v>0</v>
      </c>
      <c r="EE32" s="694">
        <f t="shared" si="32"/>
        <v>0</v>
      </c>
      <c r="EF32" s="694">
        <f t="shared" si="32"/>
        <v>0</v>
      </c>
      <c r="EG32" s="694">
        <f t="shared" si="32"/>
        <v>0</v>
      </c>
      <c r="EH32" s="694">
        <f t="shared" si="32"/>
        <v>0</v>
      </c>
      <c r="EI32" s="694">
        <f t="shared" si="32"/>
        <v>0</v>
      </c>
    </row>
    <row r="33" spans="2:139">
      <c r="B33" s="32"/>
      <c r="C33" s="32"/>
      <c r="D33" s="27"/>
      <c r="E33" s="27"/>
      <c r="F33" s="27"/>
      <c r="G33" s="27"/>
      <c r="H33" s="27"/>
      <c r="I33" s="27"/>
      <c r="J33" s="27"/>
      <c r="K33" s="27"/>
      <c r="L33" s="27"/>
      <c r="M33" s="27"/>
      <c r="N33" s="27"/>
      <c r="O33" s="145"/>
      <c r="Q33" s="27"/>
      <c r="S33" s="27"/>
      <c r="T33" s="27"/>
      <c r="U33" s="27"/>
      <c r="V33" s="27"/>
      <c r="W33" s="27"/>
      <c r="X33" s="27"/>
      <c r="Y33" s="27"/>
      <c r="Z33" s="27"/>
      <c r="AA33" s="27"/>
      <c r="AB33" s="27"/>
      <c r="AC33" s="27"/>
      <c r="AD33" s="27"/>
      <c r="AE33" s="27"/>
      <c r="AF33" s="27"/>
      <c r="AG33" s="27"/>
      <c r="AH33" s="27"/>
      <c r="AI33" s="27"/>
      <c r="AJ33" s="27"/>
      <c r="AK33" s="27"/>
      <c r="AL33" s="27"/>
      <c r="AM33" s="27"/>
      <c r="AN33" s="27"/>
      <c r="AO33" s="27"/>
      <c r="AP33" s="27"/>
      <c r="AQ33" s="27"/>
      <c r="AR33" s="27"/>
      <c r="AS33" s="27"/>
      <c r="AT33" s="27"/>
      <c r="AU33" s="27"/>
      <c r="AV33" s="27"/>
      <c r="AW33" s="27"/>
      <c r="AX33" s="27"/>
      <c r="AY33" s="27"/>
      <c r="AZ33" s="27"/>
      <c r="BA33" s="27"/>
      <c r="BB33" s="27"/>
      <c r="BC33" s="27"/>
      <c r="BD33" s="27"/>
      <c r="BE33" s="27"/>
      <c r="BF33" s="27"/>
      <c r="BG33" s="27"/>
      <c r="BH33" s="27"/>
      <c r="BI33" s="27"/>
      <c r="BJ33" s="27"/>
      <c r="BK33" s="27"/>
      <c r="BL33" s="27"/>
      <c r="BM33" s="27"/>
      <c r="BN33" s="27"/>
      <c r="BO33" s="27"/>
      <c r="BP33" s="27"/>
      <c r="BQ33" s="27"/>
      <c r="BR33" s="27"/>
      <c r="BS33" s="27"/>
      <c r="BT33" s="27"/>
      <c r="BU33" s="27"/>
      <c r="BV33" s="27"/>
      <c r="BW33" s="27"/>
      <c r="BX33" s="27"/>
      <c r="BY33" s="27"/>
      <c r="BZ33" s="27"/>
      <c r="CA33" s="27"/>
      <c r="CB33" s="27"/>
      <c r="CC33" s="27"/>
      <c r="CD33" s="27"/>
      <c r="CE33" s="27"/>
      <c r="CF33" s="27"/>
      <c r="CG33" s="27"/>
      <c r="CH33" s="27"/>
      <c r="CI33" s="27"/>
      <c r="CJ33" s="27"/>
      <c r="CK33" s="27"/>
      <c r="CL33" s="27"/>
      <c r="CM33" s="27"/>
      <c r="CN33" s="27"/>
      <c r="CO33" s="27"/>
      <c r="CP33" s="27"/>
      <c r="CQ33" s="27"/>
      <c r="CR33" s="27"/>
      <c r="CS33" s="27"/>
      <c r="CT33" s="27"/>
      <c r="CU33" s="27"/>
      <c r="CV33" s="27"/>
      <c r="CW33" s="27"/>
      <c r="CX33" s="27"/>
      <c r="CY33" s="27"/>
      <c r="CZ33" s="27"/>
      <c r="DA33" s="27"/>
      <c r="DB33" s="27"/>
      <c r="DC33" s="27"/>
      <c r="DD33" s="27"/>
      <c r="DE33" s="27"/>
      <c r="DF33" s="27"/>
      <c r="DG33" s="27"/>
      <c r="DH33" s="27"/>
      <c r="DI33" s="27"/>
      <c r="DJ33" s="27"/>
      <c r="DK33" s="27"/>
      <c r="DL33" s="27"/>
      <c r="DM33" s="27"/>
      <c r="DN33" s="27"/>
      <c r="DO33" s="27"/>
      <c r="DP33" s="27"/>
      <c r="DQ33" s="27"/>
      <c r="DR33" s="27"/>
      <c r="DS33" s="27"/>
      <c r="DT33" s="27"/>
      <c r="DU33" s="27"/>
      <c r="DV33" s="27"/>
      <c r="DW33" s="27"/>
      <c r="DX33" s="27"/>
      <c r="DY33" s="27"/>
      <c r="DZ33" s="27"/>
      <c r="EA33" s="27"/>
      <c r="EB33" s="27"/>
      <c r="EC33" s="27"/>
      <c r="ED33" s="27"/>
      <c r="EE33" s="27"/>
      <c r="EF33" s="27"/>
      <c r="EG33" s="27"/>
      <c r="EH33" s="27"/>
      <c r="EI33" s="27"/>
    </row>
    <row r="34" spans="2:139">
      <c r="B34" s="198" t="s">
        <v>124</v>
      </c>
      <c r="C34" s="198"/>
      <c r="D34" s="169"/>
      <c r="E34" s="694">
        <f t="shared" ref="E34:O34" si="33">SUBTOTAL(9,E18:E33)</f>
        <v>1453102.7586710614</v>
      </c>
      <c r="F34" s="694">
        <f t="shared" si="33"/>
        <v>1495546.4324117121</v>
      </c>
      <c r="G34" s="694">
        <f t="shared" si="33"/>
        <v>1558219.1397523265</v>
      </c>
      <c r="H34" s="694">
        <f t="shared" si="33"/>
        <v>1606767.4878539424</v>
      </c>
      <c r="I34" s="694">
        <f t="shared" si="33"/>
        <v>1657000.7596158781</v>
      </c>
      <c r="J34" s="694">
        <f t="shared" si="33"/>
        <v>1700896.7824043559</v>
      </c>
      <c r="K34" s="694">
        <f t="shared" si="33"/>
        <v>1746109.6858764878</v>
      </c>
      <c r="L34" s="694">
        <f t="shared" si="33"/>
        <v>0</v>
      </c>
      <c r="M34" s="694">
        <f t="shared" si="33"/>
        <v>0</v>
      </c>
      <c r="N34" s="694">
        <f t="shared" si="33"/>
        <v>0</v>
      </c>
      <c r="O34" s="713">
        <f t="shared" si="33"/>
        <v>11217643.046585767</v>
      </c>
      <c r="Q34" s="694">
        <f>SUBTOTAL(9,Q18:Q33)</f>
        <v>1792678.9764527844</v>
      </c>
      <c r="S34" s="694"/>
      <c r="T34" s="694">
        <f t="shared" ref="T34:AY34" si="34">SUBTOTAL(9,T18:T33)</f>
        <v>121091.8965559218</v>
      </c>
      <c r="U34" s="694">
        <f t="shared" si="34"/>
        <v>121091.8965559218</v>
      </c>
      <c r="V34" s="694">
        <f t="shared" si="34"/>
        <v>121091.8965559218</v>
      </c>
      <c r="W34" s="694">
        <f t="shared" si="34"/>
        <v>121091.8965559218</v>
      </c>
      <c r="X34" s="694">
        <f t="shared" si="34"/>
        <v>121091.8965559218</v>
      </c>
      <c r="Y34" s="694">
        <f t="shared" si="34"/>
        <v>121091.8965559218</v>
      </c>
      <c r="Z34" s="694">
        <f t="shared" si="34"/>
        <v>121091.8965559218</v>
      </c>
      <c r="AA34" s="694">
        <f t="shared" si="34"/>
        <v>121091.8965559218</v>
      </c>
      <c r="AB34" s="694">
        <f t="shared" si="34"/>
        <v>121091.8965559218</v>
      </c>
      <c r="AC34" s="694">
        <f t="shared" si="34"/>
        <v>121091.8965559218</v>
      </c>
      <c r="AD34" s="694">
        <f t="shared" si="34"/>
        <v>121091.8965559218</v>
      </c>
      <c r="AE34" s="694">
        <f t="shared" si="34"/>
        <v>121091.8965559218</v>
      </c>
      <c r="AF34" s="694">
        <f t="shared" si="34"/>
        <v>123647.00338062391</v>
      </c>
      <c r="AG34" s="694">
        <f t="shared" si="34"/>
        <v>123824.5434214198</v>
      </c>
      <c r="AH34" s="694">
        <f t="shared" si="34"/>
        <v>124002.37668402742</v>
      </c>
      <c r="AI34" s="694">
        <f t="shared" si="34"/>
        <v>124180.5036527264</v>
      </c>
      <c r="AJ34" s="694">
        <f t="shared" si="34"/>
        <v>124358.92481259629</v>
      </c>
      <c r="AK34" s="694">
        <f t="shared" si="34"/>
        <v>124537.64064951763</v>
      </c>
      <c r="AL34" s="694">
        <f t="shared" si="34"/>
        <v>124716.65165017368</v>
      </c>
      <c r="AM34" s="694">
        <f t="shared" si="34"/>
        <v>124895.95830205116</v>
      </c>
      <c r="AN34" s="694">
        <f t="shared" si="34"/>
        <v>125075.56109344227</v>
      </c>
      <c r="AO34" s="694">
        <f t="shared" si="34"/>
        <v>125255.46051344533</v>
      </c>
      <c r="AP34" s="694">
        <f t="shared" si="34"/>
        <v>125435.65705196673</v>
      </c>
      <c r="AQ34" s="694">
        <f t="shared" si="34"/>
        <v>125616.15119972185</v>
      </c>
      <c r="AR34" s="694">
        <f t="shared" si="34"/>
        <v>128317.52270412137</v>
      </c>
      <c r="AS34" s="694">
        <f t="shared" si="34"/>
        <v>128594.15807480074</v>
      </c>
      <c r="AT34" s="694">
        <f t="shared" si="34"/>
        <v>128871.47570293276</v>
      </c>
      <c r="AU34" s="694">
        <f t="shared" si="34"/>
        <v>129149.47727114838</v>
      </c>
      <c r="AV34" s="694">
        <f t="shared" si="34"/>
        <v>129428.16446622832</v>
      </c>
      <c r="AW34" s="694">
        <f t="shared" si="34"/>
        <v>129707.53897911342</v>
      </c>
      <c r="AX34" s="694">
        <f t="shared" si="34"/>
        <v>129987.60250491483</v>
      </c>
      <c r="AY34" s="694">
        <f t="shared" si="34"/>
        <v>130268.35674292422</v>
      </c>
      <c r="AZ34" s="694">
        <f t="shared" ref="AZ34:CE34" si="35">SUBTOTAL(9,AZ18:AZ33)</f>
        <v>130549.80339662427</v>
      </c>
      <c r="BA34" s="694">
        <f t="shared" si="35"/>
        <v>130831.94417369882</v>
      </c>
      <c r="BB34" s="694">
        <f t="shared" si="35"/>
        <v>131114.78078604344</v>
      </c>
      <c r="BC34" s="694">
        <f t="shared" si="35"/>
        <v>131398.31494977561</v>
      </c>
      <c r="BD34" s="694">
        <f t="shared" si="35"/>
        <v>132308.63348473102</v>
      </c>
      <c r="BE34" s="694">
        <f t="shared" si="35"/>
        <v>132595.11201128652</v>
      </c>
      <c r="BF34" s="694">
        <f t="shared" si="35"/>
        <v>132882.29707117245</v>
      </c>
      <c r="BG34" s="694">
        <f t="shared" si="35"/>
        <v>133170.19040689064</v>
      </c>
      <c r="BH34" s="694">
        <f t="shared" si="35"/>
        <v>133458.79376524044</v>
      </c>
      <c r="BI34" s="694">
        <f t="shared" si="35"/>
        <v>133748.10889732902</v>
      </c>
      <c r="BJ34" s="694">
        <f t="shared" si="35"/>
        <v>134038.13755858256</v>
      </c>
      <c r="BK34" s="694">
        <f t="shared" si="35"/>
        <v>134328.88150875649</v>
      </c>
      <c r="BL34" s="694">
        <f t="shared" si="35"/>
        <v>134620.34251194619</v>
      </c>
      <c r="BM34" s="694">
        <f t="shared" si="35"/>
        <v>134912.5223365979</v>
      </c>
      <c r="BN34" s="694">
        <f t="shared" si="35"/>
        <v>135205.42275551916</v>
      </c>
      <c r="BO34" s="694">
        <f t="shared" si="35"/>
        <v>135499.04554588997</v>
      </c>
      <c r="BP34" s="694">
        <f t="shared" si="35"/>
        <v>136438.26014174349</v>
      </c>
      <c r="BQ34" s="694">
        <f t="shared" si="35"/>
        <v>136734.92344169406</v>
      </c>
      <c r="BR34" s="694">
        <f t="shared" si="35"/>
        <v>137032.31839337389</v>
      </c>
      <c r="BS34" s="694">
        <f t="shared" si="35"/>
        <v>137330.44680123343</v>
      </c>
      <c r="BT34" s="694">
        <f t="shared" si="35"/>
        <v>137629.31047417357</v>
      </c>
      <c r="BU34" s="694">
        <f t="shared" si="35"/>
        <v>137928.91122555631</v>
      </c>
      <c r="BV34" s="694">
        <f t="shared" si="35"/>
        <v>138229.25087321599</v>
      </c>
      <c r="BW34" s="694">
        <f t="shared" si="35"/>
        <v>138530.33123947008</v>
      </c>
      <c r="BX34" s="694">
        <f t="shared" si="35"/>
        <v>138832.15415113047</v>
      </c>
      <c r="BY34" s="694">
        <f t="shared" si="35"/>
        <v>139134.72143951454</v>
      </c>
      <c r="BZ34" s="694">
        <f t="shared" si="35"/>
        <v>139438.03494045601</v>
      </c>
      <c r="CA34" s="694">
        <f t="shared" si="35"/>
        <v>139742.09649431633</v>
      </c>
      <c r="CB34" s="694">
        <f t="shared" si="35"/>
        <v>140046.90794599595</v>
      </c>
      <c r="CC34" s="694">
        <f t="shared" si="35"/>
        <v>140352.47114494501</v>
      </c>
      <c r="CD34" s="694">
        <f t="shared" si="35"/>
        <v>140658.78794517522</v>
      </c>
      <c r="CE34" s="694">
        <f t="shared" si="35"/>
        <v>140965.86020527058</v>
      </c>
      <c r="CF34" s="694">
        <f t="shared" ref="CF34:DK34" si="36">SUBTOTAL(9,CF18:CF33)</f>
        <v>141273.68978839891</v>
      </c>
      <c r="CG34" s="694">
        <f t="shared" si="36"/>
        <v>141582.27856232313</v>
      </c>
      <c r="CH34" s="694">
        <f t="shared" si="36"/>
        <v>141891.62839941256</v>
      </c>
      <c r="CI34" s="694">
        <f t="shared" si="36"/>
        <v>142201.74117665426</v>
      </c>
      <c r="CJ34" s="694">
        <f t="shared" si="36"/>
        <v>142512.61877566451</v>
      </c>
      <c r="CK34" s="694">
        <f t="shared" si="36"/>
        <v>142824.26308270005</v>
      </c>
      <c r="CL34" s="694">
        <f t="shared" si="36"/>
        <v>143136.67598866977</v>
      </c>
      <c r="CM34" s="694">
        <f t="shared" si="36"/>
        <v>143449.85938914598</v>
      </c>
      <c r="CN34" s="694">
        <f t="shared" si="36"/>
        <v>143763.81518437591</v>
      </c>
      <c r="CO34" s="694">
        <f t="shared" si="36"/>
        <v>144078.5452792935</v>
      </c>
      <c r="CP34" s="694">
        <f t="shared" si="36"/>
        <v>144394.05158353061</v>
      </c>
      <c r="CQ34" s="694">
        <f t="shared" si="36"/>
        <v>144710.33601142882</v>
      </c>
      <c r="CR34" s="694">
        <f t="shared" si="36"/>
        <v>145027.40048205102</v>
      </c>
      <c r="CS34" s="694">
        <f t="shared" si="36"/>
        <v>145345.24691919296</v>
      </c>
      <c r="CT34" s="694">
        <f t="shared" si="36"/>
        <v>145663.87725139505</v>
      </c>
      <c r="CU34" s="694">
        <f t="shared" si="36"/>
        <v>145983.29341195402</v>
      </c>
      <c r="CV34" s="694">
        <f t="shared" si="36"/>
        <v>146303.4973389346</v>
      </c>
      <c r="CW34" s="694">
        <f t="shared" si="36"/>
        <v>146624.49097518122</v>
      </c>
      <c r="CX34" s="694">
        <f t="shared" si="36"/>
        <v>146946.27626833002</v>
      </c>
      <c r="CY34" s="694">
        <f t="shared" si="36"/>
        <v>147268.85517082046</v>
      </c>
      <c r="CZ34" s="694">
        <f t="shared" si="36"/>
        <v>0</v>
      </c>
      <c r="DA34" s="694">
        <f t="shared" si="36"/>
        <v>0</v>
      </c>
      <c r="DB34" s="694">
        <f t="shared" si="36"/>
        <v>0</v>
      </c>
      <c r="DC34" s="694">
        <f t="shared" si="36"/>
        <v>0</v>
      </c>
      <c r="DD34" s="694">
        <f t="shared" si="36"/>
        <v>0</v>
      </c>
      <c r="DE34" s="694">
        <f t="shared" si="36"/>
        <v>0</v>
      </c>
      <c r="DF34" s="694">
        <f t="shared" si="36"/>
        <v>0</v>
      </c>
      <c r="DG34" s="694">
        <f t="shared" si="36"/>
        <v>0</v>
      </c>
      <c r="DH34" s="694">
        <f t="shared" si="36"/>
        <v>0</v>
      </c>
      <c r="DI34" s="694">
        <f t="shared" si="36"/>
        <v>0</v>
      </c>
      <c r="DJ34" s="694">
        <f t="shared" si="36"/>
        <v>0</v>
      </c>
      <c r="DK34" s="694">
        <f t="shared" si="36"/>
        <v>0</v>
      </c>
      <c r="DL34" s="694">
        <f t="shared" ref="DL34:EQ34" si="37">SUBTOTAL(9,DL18:DL33)</f>
        <v>0</v>
      </c>
      <c r="DM34" s="694">
        <f t="shared" si="37"/>
        <v>0</v>
      </c>
      <c r="DN34" s="694">
        <f t="shared" si="37"/>
        <v>0</v>
      </c>
      <c r="DO34" s="694">
        <f t="shared" si="37"/>
        <v>0</v>
      </c>
      <c r="DP34" s="694">
        <f t="shared" si="37"/>
        <v>0</v>
      </c>
      <c r="DQ34" s="694">
        <f t="shared" si="37"/>
        <v>0</v>
      </c>
      <c r="DR34" s="694">
        <f t="shared" si="37"/>
        <v>0</v>
      </c>
      <c r="DS34" s="694">
        <f t="shared" si="37"/>
        <v>0</v>
      </c>
      <c r="DT34" s="694">
        <f t="shared" si="37"/>
        <v>0</v>
      </c>
      <c r="DU34" s="694">
        <f t="shared" si="37"/>
        <v>0</v>
      </c>
      <c r="DV34" s="694">
        <f t="shared" si="37"/>
        <v>0</v>
      </c>
      <c r="DW34" s="694">
        <f t="shared" si="37"/>
        <v>0</v>
      </c>
      <c r="DX34" s="694">
        <f t="shared" si="37"/>
        <v>0</v>
      </c>
      <c r="DY34" s="694">
        <f t="shared" si="37"/>
        <v>0</v>
      </c>
      <c r="DZ34" s="694">
        <f t="shared" si="37"/>
        <v>0</v>
      </c>
      <c r="EA34" s="694">
        <f t="shared" si="37"/>
        <v>0</v>
      </c>
      <c r="EB34" s="694">
        <f t="shared" si="37"/>
        <v>0</v>
      </c>
      <c r="EC34" s="694">
        <f t="shared" si="37"/>
        <v>0</v>
      </c>
      <c r="ED34" s="694">
        <f t="shared" si="37"/>
        <v>0</v>
      </c>
      <c r="EE34" s="694">
        <f t="shared" si="37"/>
        <v>0</v>
      </c>
      <c r="EF34" s="694">
        <f t="shared" si="37"/>
        <v>0</v>
      </c>
      <c r="EG34" s="694">
        <f t="shared" si="37"/>
        <v>0</v>
      </c>
      <c r="EH34" s="694">
        <f t="shared" si="37"/>
        <v>0</v>
      </c>
      <c r="EI34" s="694">
        <f t="shared" si="37"/>
        <v>0</v>
      </c>
    </row>
    <row r="35" spans="2:139">
      <c r="B35" s="198"/>
      <c r="C35" s="198"/>
      <c r="D35" s="169"/>
      <c r="E35" s="169"/>
      <c r="F35" s="169"/>
      <c r="G35" s="169"/>
      <c r="H35" s="169"/>
      <c r="I35" s="169"/>
      <c r="J35" s="169"/>
      <c r="K35" s="169"/>
      <c r="L35" s="169"/>
      <c r="M35" s="169"/>
      <c r="N35" s="169"/>
      <c r="O35" s="91"/>
      <c r="Q35" s="169"/>
      <c r="S35" s="169"/>
      <c r="T35" s="169"/>
      <c r="U35" s="169"/>
      <c r="V35" s="169"/>
      <c r="W35" s="169"/>
      <c r="X35" s="169"/>
      <c r="Y35" s="169"/>
      <c r="Z35" s="169"/>
      <c r="AA35" s="169"/>
      <c r="AB35" s="169"/>
      <c r="AC35" s="169"/>
      <c r="AD35" s="169"/>
      <c r="AE35" s="169"/>
      <c r="AF35" s="169"/>
      <c r="AG35" s="169"/>
      <c r="AH35" s="169"/>
      <c r="AI35" s="169"/>
      <c r="AJ35" s="169"/>
      <c r="AK35" s="169"/>
      <c r="AL35" s="169"/>
      <c r="AM35" s="169"/>
      <c r="AN35" s="169"/>
      <c r="AO35" s="169"/>
      <c r="AP35" s="169"/>
      <c r="AQ35" s="169"/>
      <c r="AR35" s="169"/>
      <c r="AS35" s="169"/>
      <c r="AT35" s="169"/>
      <c r="AU35" s="169"/>
      <c r="AV35" s="169"/>
      <c r="AW35" s="169"/>
      <c r="AX35" s="169"/>
      <c r="AY35" s="169"/>
      <c r="AZ35" s="169"/>
      <c r="BA35" s="169"/>
      <c r="BB35" s="169"/>
      <c r="BC35" s="169"/>
      <c r="BD35" s="169"/>
      <c r="BE35" s="169"/>
      <c r="BF35" s="169"/>
      <c r="BG35" s="169"/>
      <c r="BH35" s="169"/>
      <c r="BI35" s="169"/>
      <c r="BJ35" s="169"/>
      <c r="BK35" s="169"/>
      <c r="BL35" s="169"/>
      <c r="BM35" s="169"/>
      <c r="BN35" s="169"/>
      <c r="BO35" s="169"/>
      <c r="BP35" s="169"/>
      <c r="BQ35" s="169"/>
      <c r="BR35" s="169"/>
      <c r="BS35" s="169"/>
      <c r="BT35" s="169"/>
      <c r="BU35" s="169"/>
      <c r="BV35" s="169"/>
      <c r="BW35" s="169"/>
      <c r="BX35" s="169"/>
      <c r="BY35" s="169"/>
      <c r="BZ35" s="169"/>
      <c r="CA35" s="169"/>
      <c r="CB35" s="169"/>
      <c r="CC35" s="169"/>
      <c r="CD35" s="169"/>
      <c r="CE35" s="169"/>
      <c r="CF35" s="169"/>
      <c r="CG35" s="169"/>
      <c r="CH35" s="169"/>
      <c r="CI35" s="169"/>
      <c r="CJ35" s="169"/>
      <c r="CK35" s="169"/>
      <c r="CL35" s="169"/>
      <c r="CM35" s="169"/>
      <c r="CN35" s="169"/>
      <c r="CO35" s="169"/>
      <c r="CP35" s="169"/>
      <c r="CQ35" s="169"/>
      <c r="CR35" s="169"/>
      <c r="CS35" s="169"/>
      <c r="CT35" s="169"/>
      <c r="CU35" s="169"/>
      <c r="CV35" s="169"/>
      <c r="CW35" s="169"/>
      <c r="CX35" s="169"/>
      <c r="CY35" s="169"/>
      <c r="CZ35" s="169"/>
      <c r="DA35" s="169"/>
      <c r="DB35" s="169"/>
      <c r="DC35" s="169"/>
      <c r="DD35" s="169"/>
      <c r="DE35" s="169"/>
      <c r="DF35" s="169"/>
      <c r="DG35" s="169"/>
      <c r="DH35" s="169"/>
      <c r="DI35" s="169"/>
      <c r="DJ35" s="169"/>
      <c r="DK35" s="169"/>
      <c r="DL35" s="169"/>
      <c r="DM35" s="169"/>
      <c r="DN35" s="169"/>
      <c r="DO35" s="169"/>
      <c r="DP35" s="169"/>
      <c r="DQ35" s="169"/>
      <c r="DR35" s="169"/>
      <c r="DS35" s="169"/>
      <c r="DT35" s="169"/>
      <c r="DU35" s="169"/>
      <c r="DV35" s="169"/>
      <c r="DW35" s="169"/>
      <c r="DX35" s="169"/>
      <c r="DY35" s="169"/>
      <c r="DZ35" s="169"/>
      <c r="EA35" s="169"/>
      <c r="EB35" s="169"/>
      <c r="EC35" s="169"/>
      <c r="ED35" s="169"/>
      <c r="EE35" s="169"/>
      <c r="EF35" s="169"/>
      <c r="EG35" s="169"/>
      <c r="EH35" s="169"/>
      <c r="EI35" s="169"/>
    </row>
    <row r="38" spans="2:139" s="192" customFormat="1" ht="14.25" customHeight="1" collapsed="1">
      <c r="B38" s="1043" t="s">
        <v>125</v>
      </c>
      <c r="C38" s="196"/>
      <c r="D38" s="196"/>
      <c r="E38" s="196"/>
      <c r="F38" s="197"/>
      <c r="G38" s="197"/>
      <c r="H38" s="197"/>
      <c r="I38" s="197"/>
      <c r="J38" s="197"/>
      <c r="K38" s="197"/>
      <c r="L38" s="197"/>
      <c r="M38" s="197"/>
      <c r="N38" s="197"/>
      <c r="O38" s="197"/>
      <c r="P38"/>
      <c r="Q38" s="197"/>
      <c r="R38"/>
      <c r="S38" s="197"/>
      <c r="T38" s="197"/>
      <c r="U38" s="197"/>
      <c r="V38" s="197"/>
      <c r="W38" s="197"/>
      <c r="X38" s="197"/>
      <c r="Y38" s="197"/>
      <c r="Z38" s="197"/>
      <c r="AA38" s="197"/>
      <c r="AB38" s="197"/>
      <c r="AC38" s="197"/>
      <c r="AD38" s="197"/>
      <c r="AE38" s="197"/>
      <c r="AF38" s="197"/>
      <c r="AG38" s="197"/>
      <c r="AH38" s="197"/>
      <c r="AI38" s="197"/>
      <c r="AJ38" s="197"/>
      <c r="AK38" s="197"/>
      <c r="AL38" s="197"/>
      <c r="AM38" s="197"/>
      <c r="AN38" s="197"/>
      <c r="AO38" s="197"/>
      <c r="AP38" s="197"/>
      <c r="AQ38" s="197"/>
      <c r="AR38" s="197"/>
      <c r="AS38" s="197"/>
      <c r="AT38" s="197"/>
      <c r="AU38" s="197"/>
      <c r="AV38" s="197"/>
      <c r="AW38" s="197"/>
      <c r="AX38" s="197"/>
      <c r="AY38" s="197"/>
      <c r="AZ38" s="197"/>
      <c r="BA38" s="197"/>
      <c r="BB38" s="197"/>
      <c r="BC38" s="843"/>
      <c r="BD38" s="564"/>
      <c r="BE38" s="197"/>
      <c r="BF38" s="197"/>
      <c r="BG38" s="197"/>
      <c r="BH38" s="197"/>
      <c r="BI38" s="197"/>
      <c r="BJ38" s="197"/>
      <c r="BK38" s="197"/>
      <c r="BL38" s="197"/>
      <c r="BM38" s="197"/>
      <c r="BN38" s="197"/>
      <c r="BO38" s="197"/>
      <c r="BP38" s="197"/>
      <c r="BQ38" s="197"/>
      <c r="BR38" s="197"/>
      <c r="BS38" s="197"/>
      <c r="BT38" s="197"/>
      <c r="BU38" s="197"/>
      <c r="BV38" s="197"/>
      <c r="BW38" s="197"/>
      <c r="BX38" s="197"/>
      <c r="BY38" s="197"/>
      <c r="BZ38" s="197"/>
      <c r="CA38" s="197"/>
      <c r="CB38" s="197"/>
      <c r="CC38" s="197"/>
      <c r="CD38" s="197"/>
      <c r="CE38" s="197"/>
      <c r="CF38" s="197"/>
      <c r="CG38" s="197"/>
      <c r="CH38" s="197"/>
      <c r="CI38" s="197"/>
      <c r="CJ38" s="197"/>
      <c r="CK38" s="197"/>
      <c r="CL38" s="197"/>
      <c r="CM38" s="197"/>
      <c r="CN38" s="197"/>
      <c r="CO38" s="197"/>
      <c r="CP38" s="197"/>
      <c r="CQ38" s="197"/>
      <c r="CR38" s="197"/>
      <c r="CS38" s="197"/>
      <c r="CT38" s="197"/>
      <c r="CU38" s="197"/>
      <c r="CV38" s="197"/>
      <c r="CW38" s="197"/>
      <c r="CX38" s="197"/>
      <c r="CY38" s="197"/>
      <c r="CZ38" s="197"/>
      <c r="DA38" s="197"/>
      <c r="DB38" s="197"/>
      <c r="DC38" s="197"/>
      <c r="DD38" s="197"/>
      <c r="DE38" s="197"/>
      <c r="DF38" s="197"/>
      <c r="DG38" s="197"/>
      <c r="DH38" s="197"/>
      <c r="DI38" s="197"/>
      <c r="DJ38" s="197"/>
      <c r="DK38" s="197"/>
      <c r="DL38" s="197"/>
      <c r="DM38" s="197"/>
      <c r="DN38" s="197"/>
      <c r="DO38" s="197"/>
      <c r="DP38" s="197"/>
      <c r="DQ38" s="197"/>
      <c r="DR38" s="197"/>
      <c r="DS38" s="197"/>
      <c r="DT38" s="197"/>
      <c r="DU38" s="197"/>
      <c r="DV38" s="197"/>
      <c r="DW38" s="197"/>
      <c r="DX38" s="197"/>
      <c r="DY38" s="197"/>
      <c r="DZ38" s="197"/>
      <c r="EA38" s="197"/>
      <c r="EB38" s="197"/>
      <c r="EC38" s="197"/>
      <c r="ED38" s="197"/>
      <c r="EE38" s="197"/>
      <c r="EF38" s="197"/>
      <c r="EG38" s="197"/>
      <c r="EH38" s="197"/>
      <c r="EI38" s="197"/>
    </row>
    <row r="39" spans="2:139">
      <c r="B39" s="32" t="str">
        <f>GenValidation!L5</f>
        <v>Repair &amp; Maintenance</v>
      </c>
      <c r="C39" s="32"/>
      <c r="D39" s="78"/>
      <c r="E39" s="78">
        <f>SUMIF(ProformaCat,$B39,'Operating Calculations'!C$88:C$107)*(E$5&lt;=MAX(YrOfExit,1))</f>
        <v>-94000</v>
      </c>
      <c r="F39" s="78">
        <f>SUMIF(ProformaCat,$B39,'Operating Calculations'!D$88:D$107)*(F$5&lt;=MAX(YrOfExit,1))</f>
        <v>-94000</v>
      </c>
      <c r="G39" s="78">
        <f>SUMIF(ProformaCat,$B39,'Operating Calculations'!E$88:E$107)*(G$5&lt;=MAX(YrOfExit,1))</f>
        <v>-94000</v>
      </c>
      <c r="H39" s="78">
        <f>SUMIF(ProformaCat,$B39,'Operating Calculations'!F$88:F$107)*(H$5&lt;=MAX(YrOfExit,1))</f>
        <v>-94000</v>
      </c>
      <c r="I39" s="78">
        <f>SUMIF(ProformaCat,$B39,'Operating Calculations'!G$88:G$107)*(I$5&lt;=MAX(YrOfExit,1))</f>
        <v>-94000</v>
      </c>
      <c r="J39" s="78">
        <f>SUMIF(ProformaCat,$B39,'Operating Calculations'!H$88:H$107)*(J$5&lt;=MAX(YrOfExit,1))</f>
        <v>-94000</v>
      </c>
      <c r="K39" s="78">
        <f>SUMIF(ProformaCat,$B39,'Operating Calculations'!I$88:I$107)*(K$5&lt;=MAX(YrOfExit,1))</f>
        <v>-94000</v>
      </c>
      <c r="L39" s="78">
        <f>SUMIF(ProformaCat,$B39,'Operating Calculations'!J$88:J$107)*(L$5&lt;=MAX(YrOfExit,1))</f>
        <v>0</v>
      </c>
      <c r="M39" s="78">
        <f>SUMIF(ProformaCat,$B39,'Operating Calculations'!K$88:K$107)*(M$5&lt;=MAX(YrOfExit,1))</f>
        <v>0</v>
      </c>
      <c r="N39" s="78">
        <f>SUMIF(ProformaCat,$B39,'Operating Calculations'!L$88:L$107)*(N$5&lt;=MAX(YrOfExit,1))</f>
        <v>0</v>
      </c>
      <c r="O39" s="145">
        <f t="shared" ref="O39:O52" si="38">SUM(D39:N39)</f>
        <v>-658000</v>
      </c>
      <c r="Q39" s="78">
        <f>SUMIF(ProformaCat,$B39,'Operating Calculations'!O$88:O$107)</f>
        <v>-94000</v>
      </c>
      <c r="S39" s="27"/>
      <c r="T39" s="78">
        <f>SUMIF(ProformaCat,$B39,'Operating Calculations'!R$88:R$107)*(T$6&lt;=MAX(YrOfExit,1))</f>
        <v>-7833.333333333333</v>
      </c>
      <c r="U39" s="78">
        <f>SUMIF(ProformaCat,$B39,'Operating Calculations'!S$88:S$107)*(U$6&lt;=MAX(YrOfExit,1))</f>
        <v>-7833.333333333333</v>
      </c>
      <c r="V39" s="78">
        <f>SUMIF(ProformaCat,$B39,'Operating Calculations'!T$88:T$107)*(V$6&lt;=MAX(YrOfExit,1))</f>
        <v>-7833.333333333333</v>
      </c>
      <c r="W39" s="78">
        <f>SUMIF(ProformaCat,$B39,'Operating Calculations'!U$88:U$107)*(W$6&lt;=MAX(YrOfExit,1))</f>
        <v>-7833.333333333333</v>
      </c>
      <c r="X39" s="78">
        <f>SUMIF(ProformaCat,$B39,'Operating Calculations'!V$88:V$107)*(X$6&lt;=MAX(YrOfExit,1))</f>
        <v>-7833.333333333333</v>
      </c>
      <c r="Y39" s="78">
        <f>SUMIF(ProformaCat,$B39,'Operating Calculations'!W$88:W$107)*(Y$6&lt;=MAX(YrOfExit,1))</f>
        <v>-7833.333333333333</v>
      </c>
      <c r="Z39" s="78">
        <f>SUMIF(ProformaCat,$B39,'Operating Calculations'!X$88:X$107)*(Z$6&lt;=MAX(YrOfExit,1))</f>
        <v>-7833.333333333333</v>
      </c>
      <c r="AA39" s="78">
        <f>SUMIF(ProformaCat,$B39,'Operating Calculations'!Y$88:Y$107)*(AA$6&lt;=MAX(YrOfExit,1))</f>
        <v>-7833.333333333333</v>
      </c>
      <c r="AB39" s="78">
        <f>SUMIF(ProformaCat,$B39,'Operating Calculations'!Z$88:Z$107)*(AB$6&lt;=MAX(YrOfExit,1))</f>
        <v>-7833.333333333333</v>
      </c>
      <c r="AC39" s="78">
        <f>SUMIF(ProformaCat,$B39,'Operating Calculations'!AA$88:AA$107)*(AC$6&lt;=MAX(YrOfExit,1))</f>
        <v>-7833.333333333333</v>
      </c>
      <c r="AD39" s="78">
        <f>SUMIF(ProformaCat,$B39,'Operating Calculations'!AB$88:AB$107)*(AD$6&lt;=MAX(YrOfExit,1))</f>
        <v>-7833.333333333333</v>
      </c>
      <c r="AE39" s="78">
        <f>SUMIF(ProformaCat,$B39,'Operating Calculations'!AC$88:AC$107)*(AE$6&lt;=MAX(YrOfExit,1))</f>
        <v>-7833.333333333333</v>
      </c>
      <c r="AF39" s="78">
        <f>SUMIF(ProformaCat,$B39,'Operating Calculations'!AD$88:AD$107)*(AF$6&lt;=MAX(YrOfExit,1))</f>
        <v>-7833.333333333333</v>
      </c>
      <c r="AG39" s="78">
        <f>SUMIF(ProformaCat,$B39,'Operating Calculations'!AE$88:AE$107)*(AG$6&lt;=MAX(YrOfExit,1))</f>
        <v>-7833.333333333333</v>
      </c>
      <c r="AH39" s="78">
        <f>SUMIF(ProformaCat,$B39,'Operating Calculations'!AF$88:AF$107)*(AH$6&lt;=MAX(YrOfExit,1))</f>
        <v>-7833.333333333333</v>
      </c>
      <c r="AI39" s="78">
        <f>SUMIF(ProformaCat,$B39,'Operating Calculations'!AG$88:AG$107)*(AI$6&lt;=MAX(YrOfExit,1))</f>
        <v>-7833.333333333333</v>
      </c>
      <c r="AJ39" s="78">
        <f>SUMIF(ProformaCat,$B39,'Operating Calculations'!AH$88:AH$107)*(AJ$6&lt;=MAX(YrOfExit,1))</f>
        <v>-7833.333333333333</v>
      </c>
      <c r="AK39" s="78">
        <f>SUMIF(ProformaCat,$B39,'Operating Calculations'!AI$88:AI$107)*(AK$6&lt;=MAX(YrOfExit,1))</f>
        <v>-7833.333333333333</v>
      </c>
      <c r="AL39" s="78">
        <f>SUMIF(ProformaCat,$B39,'Operating Calculations'!AJ$88:AJ$107)*(AL$6&lt;=MAX(YrOfExit,1))</f>
        <v>-7833.333333333333</v>
      </c>
      <c r="AM39" s="78">
        <f>SUMIF(ProformaCat,$B39,'Operating Calculations'!AK$88:AK$107)*(AM$6&lt;=MAX(YrOfExit,1))</f>
        <v>-7833.333333333333</v>
      </c>
      <c r="AN39" s="78">
        <f>SUMIF(ProformaCat,$B39,'Operating Calculations'!AL$88:AL$107)*(AN$6&lt;=MAX(YrOfExit,1))</f>
        <v>-7833.333333333333</v>
      </c>
      <c r="AO39" s="78">
        <f>SUMIF(ProformaCat,$B39,'Operating Calculations'!AM$88:AM$107)*(AO$6&lt;=MAX(YrOfExit,1))</f>
        <v>-7833.333333333333</v>
      </c>
      <c r="AP39" s="78">
        <f>SUMIF(ProformaCat,$B39,'Operating Calculations'!AN$88:AN$107)*(AP$6&lt;=MAX(YrOfExit,1))</f>
        <v>-7833.333333333333</v>
      </c>
      <c r="AQ39" s="78">
        <f>SUMIF(ProformaCat,$B39,'Operating Calculations'!AO$88:AO$107)*(AQ$6&lt;=MAX(YrOfExit,1))</f>
        <v>-7833.333333333333</v>
      </c>
      <c r="AR39" s="78">
        <f>SUMIF(ProformaCat,$B39,'Operating Calculations'!AP$88:AP$107)*(AR$6&lt;=MAX(YrOfExit,1))</f>
        <v>-7833.333333333333</v>
      </c>
      <c r="AS39" s="78">
        <f>SUMIF(ProformaCat,$B39,'Operating Calculations'!AQ$88:AQ$107)*(AS$6&lt;=MAX(YrOfExit,1))</f>
        <v>-7833.333333333333</v>
      </c>
      <c r="AT39" s="78">
        <f>SUMIF(ProformaCat,$B39,'Operating Calculations'!AR$88:AR$107)*(AT$6&lt;=MAX(YrOfExit,1))</f>
        <v>-7833.333333333333</v>
      </c>
      <c r="AU39" s="78">
        <f>SUMIF(ProformaCat,$B39,'Operating Calculations'!AS$88:AS$107)*(AU$6&lt;=MAX(YrOfExit,1))</f>
        <v>-7833.333333333333</v>
      </c>
      <c r="AV39" s="78">
        <f>SUMIF(ProformaCat,$B39,'Operating Calculations'!AT$88:AT$107)*(AV$6&lt;=MAX(YrOfExit,1))</f>
        <v>-7833.333333333333</v>
      </c>
      <c r="AW39" s="78">
        <f>SUMIF(ProformaCat,$B39,'Operating Calculations'!AU$88:AU$107)*(AW$6&lt;=MAX(YrOfExit,1))</f>
        <v>-7833.333333333333</v>
      </c>
      <c r="AX39" s="78">
        <f>SUMIF(ProformaCat,$B39,'Operating Calculations'!AV$88:AV$107)*(AX$6&lt;=MAX(YrOfExit,1))</f>
        <v>-7833.333333333333</v>
      </c>
      <c r="AY39" s="78">
        <f>SUMIF(ProformaCat,$B39,'Operating Calculations'!AW$88:AW$107)*(AY$6&lt;=MAX(YrOfExit,1))</f>
        <v>-7833.333333333333</v>
      </c>
      <c r="AZ39" s="78">
        <f>SUMIF(ProformaCat,$B39,'Operating Calculations'!AX$88:AX$107)*(AZ$6&lt;=MAX(YrOfExit,1))</f>
        <v>-7833.333333333333</v>
      </c>
      <c r="BA39" s="78">
        <f>SUMIF(ProformaCat,$B39,'Operating Calculations'!AY$88:AY$107)*(BA$6&lt;=MAX(YrOfExit,1))</f>
        <v>-7833.333333333333</v>
      </c>
      <c r="BB39" s="78">
        <f>SUMIF(ProformaCat,$B39,'Operating Calculations'!AZ$88:AZ$107)*(BB$6&lt;=MAX(YrOfExit,1))</f>
        <v>-7833.333333333333</v>
      </c>
      <c r="BC39" s="78">
        <f>SUMIF(ProformaCat,$B39,'Operating Calculations'!BA$88:BA$107)*(BC$6&lt;=MAX(YrOfExit,1))</f>
        <v>-7833.333333333333</v>
      </c>
      <c r="BD39" s="206">
        <f t="shared" ref="BD39:BM52" si="39">SUMIF($E$5:$N$5,BD$6,$E39:$N39)/12</f>
        <v>-7833.333333333333</v>
      </c>
      <c r="BE39" s="78">
        <f t="shared" si="39"/>
        <v>-7833.333333333333</v>
      </c>
      <c r="BF39" s="78">
        <f t="shared" si="39"/>
        <v>-7833.333333333333</v>
      </c>
      <c r="BG39" s="78">
        <f t="shared" si="39"/>
        <v>-7833.333333333333</v>
      </c>
      <c r="BH39" s="78">
        <f t="shared" si="39"/>
        <v>-7833.333333333333</v>
      </c>
      <c r="BI39" s="78">
        <f t="shared" si="39"/>
        <v>-7833.333333333333</v>
      </c>
      <c r="BJ39" s="78">
        <f t="shared" si="39"/>
        <v>-7833.333333333333</v>
      </c>
      <c r="BK39" s="78">
        <f t="shared" si="39"/>
        <v>-7833.333333333333</v>
      </c>
      <c r="BL39" s="78">
        <f t="shared" si="39"/>
        <v>-7833.333333333333</v>
      </c>
      <c r="BM39" s="78">
        <f t="shared" si="39"/>
        <v>-7833.333333333333</v>
      </c>
      <c r="BN39" s="78">
        <f t="shared" ref="BN39:BW52" si="40">SUMIF($E$5:$N$5,BN$6,$E39:$N39)/12</f>
        <v>-7833.333333333333</v>
      </c>
      <c r="BO39" s="78">
        <f t="shared" si="40"/>
        <v>-7833.333333333333</v>
      </c>
      <c r="BP39" s="78">
        <f t="shared" si="40"/>
        <v>-7833.333333333333</v>
      </c>
      <c r="BQ39" s="78">
        <f t="shared" si="40"/>
        <v>-7833.333333333333</v>
      </c>
      <c r="BR39" s="78">
        <f t="shared" si="40"/>
        <v>-7833.333333333333</v>
      </c>
      <c r="BS39" s="78">
        <f t="shared" si="40"/>
        <v>-7833.333333333333</v>
      </c>
      <c r="BT39" s="78">
        <f t="shared" si="40"/>
        <v>-7833.333333333333</v>
      </c>
      <c r="BU39" s="78">
        <f t="shared" si="40"/>
        <v>-7833.333333333333</v>
      </c>
      <c r="BV39" s="78">
        <f t="shared" si="40"/>
        <v>-7833.333333333333</v>
      </c>
      <c r="BW39" s="78">
        <f t="shared" si="40"/>
        <v>-7833.333333333333</v>
      </c>
      <c r="BX39" s="78">
        <f t="shared" ref="BX39:CG52" si="41">SUMIF($E$5:$N$5,BX$6,$E39:$N39)/12</f>
        <v>-7833.333333333333</v>
      </c>
      <c r="BY39" s="78">
        <f t="shared" si="41"/>
        <v>-7833.333333333333</v>
      </c>
      <c r="BZ39" s="78">
        <f t="shared" si="41"/>
        <v>-7833.333333333333</v>
      </c>
      <c r="CA39" s="78">
        <f t="shared" si="41"/>
        <v>-7833.333333333333</v>
      </c>
      <c r="CB39" s="78">
        <f t="shared" si="41"/>
        <v>-7833.333333333333</v>
      </c>
      <c r="CC39" s="78">
        <f t="shared" si="41"/>
        <v>-7833.333333333333</v>
      </c>
      <c r="CD39" s="78">
        <f t="shared" si="41"/>
        <v>-7833.333333333333</v>
      </c>
      <c r="CE39" s="78">
        <f t="shared" si="41"/>
        <v>-7833.333333333333</v>
      </c>
      <c r="CF39" s="78">
        <f t="shared" si="41"/>
        <v>-7833.333333333333</v>
      </c>
      <c r="CG39" s="78">
        <f t="shared" si="41"/>
        <v>-7833.333333333333</v>
      </c>
      <c r="CH39" s="78">
        <f t="shared" ref="CH39:CQ52" si="42">SUMIF($E$5:$N$5,CH$6,$E39:$N39)/12</f>
        <v>-7833.333333333333</v>
      </c>
      <c r="CI39" s="78">
        <f t="shared" si="42"/>
        <v>-7833.333333333333</v>
      </c>
      <c r="CJ39" s="78">
        <f t="shared" si="42"/>
        <v>-7833.333333333333</v>
      </c>
      <c r="CK39" s="78">
        <f t="shared" si="42"/>
        <v>-7833.333333333333</v>
      </c>
      <c r="CL39" s="78">
        <f t="shared" si="42"/>
        <v>-7833.333333333333</v>
      </c>
      <c r="CM39" s="78">
        <f t="shared" si="42"/>
        <v>-7833.333333333333</v>
      </c>
      <c r="CN39" s="78">
        <f t="shared" si="42"/>
        <v>-7833.333333333333</v>
      </c>
      <c r="CO39" s="78">
        <f t="shared" si="42"/>
        <v>-7833.333333333333</v>
      </c>
      <c r="CP39" s="78">
        <f t="shared" si="42"/>
        <v>-7833.333333333333</v>
      </c>
      <c r="CQ39" s="78">
        <f t="shared" si="42"/>
        <v>-7833.333333333333</v>
      </c>
      <c r="CR39" s="78">
        <f t="shared" ref="CR39:DA52" si="43">SUMIF($E$5:$N$5,CR$6,$E39:$N39)/12</f>
        <v>-7833.333333333333</v>
      </c>
      <c r="CS39" s="78">
        <f t="shared" si="43"/>
        <v>-7833.333333333333</v>
      </c>
      <c r="CT39" s="78">
        <f t="shared" si="43"/>
        <v>-7833.333333333333</v>
      </c>
      <c r="CU39" s="78">
        <f t="shared" si="43"/>
        <v>-7833.333333333333</v>
      </c>
      <c r="CV39" s="78">
        <f t="shared" si="43"/>
        <v>-7833.333333333333</v>
      </c>
      <c r="CW39" s="78">
        <f t="shared" si="43"/>
        <v>-7833.333333333333</v>
      </c>
      <c r="CX39" s="78">
        <f t="shared" si="43"/>
        <v>-7833.333333333333</v>
      </c>
      <c r="CY39" s="78">
        <f t="shared" si="43"/>
        <v>-7833.333333333333</v>
      </c>
      <c r="CZ39" s="78">
        <f t="shared" si="43"/>
        <v>0</v>
      </c>
      <c r="DA39" s="78">
        <f t="shared" si="43"/>
        <v>0</v>
      </c>
      <c r="DB39" s="78">
        <f t="shared" ref="DB39:DK52" si="44">SUMIF($E$5:$N$5,DB$6,$E39:$N39)/12</f>
        <v>0</v>
      </c>
      <c r="DC39" s="78">
        <f t="shared" si="44"/>
        <v>0</v>
      </c>
      <c r="DD39" s="78">
        <f t="shared" si="44"/>
        <v>0</v>
      </c>
      <c r="DE39" s="78">
        <f t="shared" si="44"/>
        <v>0</v>
      </c>
      <c r="DF39" s="78">
        <f t="shared" si="44"/>
        <v>0</v>
      </c>
      <c r="DG39" s="78">
        <f t="shared" si="44"/>
        <v>0</v>
      </c>
      <c r="DH39" s="78">
        <f t="shared" si="44"/>
        <v>0</v>
      </c>
      <c r="DI39" s="78">
        <f t="shared" si="44"/>
        <v>0</v>
      </c>
      <c r="DJ39" s="78">
        <f t="shared" si="44"/>
        <v>0</v>
      </c>
      <c r="DK39" s="78">
        <f t="shared" si="44"/>
        <v>0</v>
      </c>
      <c r="DL39" s="78">
        <f t="shared" ref="DL39:DU52" si="45">SUMIF($E$5:$N$5,DL$6,$E39:$N39)/12</f>
        <v>0</v>
      </c>
      <c r="DM39" s="78">
        <f t="shared" si="45"/>
        <v>0</v>
      </c>
      <c r="DN39" s="78">
        <f t="shared" si="45"/>
        <v>0</v>
      </c>
      <c r="DO39" s="78">
        <f t="shared" si="45"/>
        <v>0</v>
      </c>
      <c r="DP39" s="78">
        <f t="shared" si="45"/>
        <v>0</v>
      </c>
      <c r="DQ39" s="78">
        <f t="shared" si="45"/>
        <v>0</v>
      </c>
      <c r="DR39" s="78">
        <f t="shared" si="45"/>
        <v>0</v>
      </c>
      <c r="DS39" s="78">
        <f t="shared" si="45"/>
        <v>0</v>
      </c>
      <c r="DT39" s="78">
        <f t="shared" si="45"/>
        <v>0</v>
      </c>
      <c r="DU39" s="78">
        <f t="shared" si="45"/>
        <v>0</v>
      </c>
      <c r="DV39" s="78">
        <f t="shared" ref="DV39:EI52" si="46">SUMIF($E$5:$N$5,DV$6,$E39:$N39)/12</f>
        <v>0</v>
      </c>
      <c r="DW39" s="78">
        <f t="shared" si="46"/>
        <v>0</v>
      </c>
      <c r="DX39" s="78">
        <f t="shared" si="46"/>
        <v>0</v>
      </c>
      <c r="DY39" s="78">
        <f t="shared" si="46"/>
        <v>0</v>
      </c>
      <c r="DZ39" s="78">
        <f t="shared" si="46"/>
        <v>0</v>
      </c>
      <c r="EA39" s="78">
        <f t="shared" si="46"/>
        <v>0</v>
      </c>
      <c r="EB39" s="78">
        <f t="shared" si="46"/>
        <v>0</v>
      </c>
      <c r="EC39" s="78">
        <f t="shared" si="46"/>
        <v>0</v>
      </c>
      <c r="ED39" s="78">
        <f t="shared" si="46"/>
        <v>0</v>
      </c>
      <c r="EE39" s="78">
        <f t="shared" si="46"/>
        <v>0</v>
      </c>
      <c r="EF39" s="78">
        <f t="shared" si="46"/>
        <v>0</v>
      </c>
      <c r="EG39" s="78">
        <f t="shared" si="46"/>
        <v>0</v>
      </c>
      <c r="EH39" s="78">
        <f t="shared" si="46"/>
        <v>0</v>
      </c>
      <c r="EI39" s="78">
        <f t="shared" si="46"/>
        <v>0</v>
      </c>
    </row>
    <row r="40" spans="2:139">
      <c r="B40" s="32" t="str">
        <f>GenValidation!L6</f>
        <v>Contract Services</v>
      </c>
      <c r="C40" s="32"/>
      <c r="D40" s="78"/>
      <c r="E40" s="78">
        <f>SUMIF(ProformaCat,$B40,'Operating Calculations'!C$88:C$107)*(E$5&lt;=MAX(YrOfExit,1))</f>
        <v>0</v>
      </c>
      <c r="F40" s="78">
        <f>SUMIF(ProformaCat,$B40,'Operating Calculations'!D$88:D$107)*(F$5&lt;=MAX(YrOfExit,1))</f>
        <v>0</v>
      </c>
      <c r="G40" s="78">
        <f>SUMIF(ProformaCat,$B40,'Operating Calculations'!E$88:E$107)*(G$5&lt;=MAX(YrOfExit,1))</f>
        <v>0</v>
      </c>
      <c r="H40" s="78">
        <f>SUMIF(ProformaCat,$B40,'Operating Calculations'!F$88:F$107)*(H$5&lt;=MAX(YrOfExit,1))</f>
        <v>0</v>
      </c>
      <c r="I40" s="78">
        <f>SUMIF(ProformaCat,$B40,'Operating Calculations'!G$88:G$107)*(I$5&lt;=MAX(YrOfExit,1))</f>
        <v>0</v>
      </c>
      <c r="J40" s="78">
        <f>SUMIF(ProformaCat,$B40,'Operating Calculations'!H$88:H$107)*(J$5&lt;=MAX(YrOfExit,1))</f>
        <v>0</v>
      </c>
      <c r="K40" s="78">
        <f>SUMIF(ProformaCat,$B40,'Operating Calculations'!I$88:I$107)*(K$5&lt;=MAX(YrOfExit,1))</f>
        <v>0</v>
      </c>
      <c r="L40" s="78">
        <f>SUMIF(ProformaCat,$B40,'Operating Calculations'!J$88:J$107)*(L$5&lt;=MAX(YrOfExit,1))</f>
        <v>0</v>
      </c>
      <c r="M40" s="78">
        <f>SUMIF(ProformaCat,$B40,'Operating Calculations'!K$88:K$107)*(M$5&lt;=MAX(YrOfExit,1))</f>
        <v>0</v>
      </c>
      <c r="N40" s="78">
        <f>SUMIF(ProformaCat,$B40,'Operating Calculations'!L$88:L$107)*(N$5&lt;=MAX(YrOfExit,1))</f>
        <v>0</v>
      </c>
      <c r="O40" s="145">
        <f t="shared" si="38"/>
        <v>0</v>
      </c>
      <c r="Q40" s="78">
        <f>SUMIF(ProformaCat,$B40,'Operating Calculations'!O$88:O$107)</f>
        <v>0</v>
      </c>
      <c r="S40" s="27"/>
      <c r="T40" s="78">
        <f>SUMIF(ProformaCat,$B40,'Operating Calculations'!R$88:R$107)*(T$6&lt;=MAX(YrOfExit,1))</f>
        <v>0</v>
      </c>
      <c r="U40" s="78">
        <f>SUMIF(ProformaCat,$B40,'Operating Calculations'!S$88:S$107)*(U$6&lt;=MAX(YrOfExit,1))</f>
        <v>0</v>
      </c>
      <c r="V40" s="78">
        <f>SUMIF(ProformaCat,$B40,'Operating Calculations'!T$88:T$107)*(V$6&lt;=MAX(YrOfExit,1))</f>
        <v>0</v>
      </c>
      <c r="W40" s="78">
        <f>SUMIF(ProformaCat,$B40,'Operating Calculations'!U$88:U$107)*(W$6&lt;=MAX(YrOfExit,1))</f>
        <v>0</v>
      </c>
      <c r="X40" s="78">
        <f>SUMIF(ProformaCat,$B40,'Operating Calculations'!V$88:V$107)*(X$6&lt;=MAX(YrOfExit,1))</f>
        <v>0</v>
      </c>
      <c r="Y40" s="78">
        <f>SUMIF(ProformaCat,$B40,'Operating Calculations'!W$88:W$107)*(Y$6&lt;=MAX(YrOfExit,1))</f>
        <v>0</v>
      </c>
      <c r="Z40" s="78">
        <f>SUMIF(ProformaCat,$B40,'Operating Calculations'!X$88:X$107)*(Z$6&lt;=MAX(YrOfExit,1))</f>
        <v>0</v>
      </c>
      <c r="AA40" s="78">
        <f>SUMIF(ProformaCat,$B40,'Operating Calculations'!Y$88:Y$107)*(AA$6&lt;=MAX(YrOfExit,1))</f>
        <v>0</v>
      </c>
      <c r="AB40" s="78">
        <f>SUMIF(ProformaCat,$B40,'Operating Calculations'!Z$88:Z$107)*(AB$6&lt;=MAX(YrOfExit,1))</f>
        <v>0</v>
      </c>
      <c r="AC40" s="78">
        <f>SUMIF(ProformaCat,$B40,'Operating Calculations'!AA$88:AA$107)*(AC$6&lt;=MAX(YrOfExit,1))</f>
        <v>0</v>
      </c>
      <c r="AD40" s="78">
        <f>SUMIF(ProformaCat,$B40,'Operating Calculations'!AB$88:AB$107)*(AD$6&lt;=MAX(YrOfExit,1))</f>
        <v>0</v>
      </c>
      <c r="AE40" s="78">
        <f>SUMIF(ProformaCat,$B40,'Operating Calculations'!AC$88:AC$107)*(AE$6&lt;=MAX(YrOfExit,1))</f>
        <v>0</v>
      </c>
      <c r="AF40" s="78">
        <f>SUMIF(ProformaCat,$B40,'Operating Calculations'!AD$88:AD$107)*(AF$6&lt;=MAX(YrOfExit,1))</f>
        <v>0</v>
      </c>
      <c r="AG40" s="78">
        <f>SUMIF(ProformaCat,$B40,'Operating Calculations'!AE$88:AE$107)*(AG$6&lt;=MAX(YrOfExit,1))</f>
        <v>0</v>
      </c>
      <c r="AH40" s="78">
        <f>SUMIF(ProformaCat,$B40,'Operating Calculations'!AF$88:AF$107)*(AH$6&lt;=MAX(YrOfExit,1))</f>
        <v>0</v>
      </c>
      <c r="AI40" s="78">
        <f>SUMIF(ProformaCat,$B40,'Operating Calculations'!AG$88:AG$107)*(AI$6&lt;=MAX(YrOfExit,1))</f>
        <v>0</v>
      </c>
      <c r="AJ40" s="78">
        <f>SUMIF(ProformaCat,$B40,'Operating Calculations'!AH$88:AH$107)*(AJ$6&lt;=MAX(YrOfExit,1))</f>
        <v>0</v>
      </c>
      <c r="AK40" s="78">
        <f>SUMIF(ProformaCat,$B40,'Operating Calculations'!AI$88:AI$107)*(AK$6&lt;=MAX(YrOfExit,1))</f>
        <v>0</v>
      </c>
      <c r="AL40" s="78">
        <f>SUMIF(ProformaCat,$B40,'Operating Calculations'!AJ$88:AJ$107)*(AL$6&lt;=MAX(YrOfExit,1))</f>
        <v>0</v>
      </c>
      <c r="AM40" s="78">
        <f>SUMIF(ProformaCat,$B40,'Operating Calculations'!AK$88:AK$107)*(AM$6&lt;=MAX(YrOfExit,1))</f>
        <v>0</v>
      </c>
      <c r="AN40" s="78">
        <f>SUMIF(ProformaCat,$B40,'Operating Calculations'!AL$88:AL$107)*(AN$6&lt;=MAX(YrOfExit,1))</f>
        <v>0</v>
      </c>
      <c r="AO40" s="78">
        <f>SUMIF(ProformaCat,$B40,'Operating Calculations'!AM$88:AM$107)*(AO$6&lt;=MAX(YrOfExit,1))</f>
        <v>0</v>
      </c>
      <c r="AP40" s="78">
        <f>SUMIF(ProformaCat,$B40,'Operating Calculations'!AN$88:AN$107)*(AP$6&lt;=MAX(YrOfExit,1))</f>
        <v>0</v>
      </c>
      <c r="AQ40" s="78">
        <f>SUMIF(ProformaCat,$B40,'Operating Calculations'!AO$88:AO$107)*(AQ$6&lt;=MAX(YrOfExit,1))</f>
        <v>0</v>
      </c>
      <c r="AR40" s="78">
        <f>SUMIF(ProformaCat,$B40,'Operating Calculations'!AP$88:AP$107)*(AR$6&lt;=MAX(YrOfExit,1))</f>
        <v>0</v>
      </c>
      <c r="AS40" s="78">
        <f>SUMIF(ProformaCat,$B40,'Operating Calculations'!AQ$88:AQ$107)*(AS$6&lt;=MAX(YrOfExit,1))</f>
        <v>0</v>
      </c>
      <c r="AT40" s="78">
        <f>SUMIF(ProformaCat,$B40,'Operating Calculations'!AR$88:AR$107)*(AT$6&lt;=MAX(YrOfExit,1))</f>
        <v>0</v>
      </c>
      <c r="AU40" s="78">
        <f>SUMIF(ProformaCat,$B40,'Operating Calculations'!AS$88:AS$107)*(AU$6&lt;=MAX(YrOfExit,1))</f>
        <v>0</v>
      </c>
      <c r="AV40" s="78">
        <f>SUMIF(ProformaCat,$B40,'Operating Calculations'!AT$88:AT$107)*(AV$6&lt;=MAX(YrOfExit,1))</f>
        <v>0</v>
      </c>
      <c r="AW40" s="78">
        <f>SUMIF(ProformaCat,$B40,'Operating Calculations'!AU$88:AU$107)*(AW$6&lt;=MAX(YrOfExit,1))</f>
        <v>0</v>
      </c>
      <c r="AX40" s="78">
        <f>SUMIF(ProformaCat,$B40,'Operating Calculations'!AV$88:AV$107)*(AX$6&lt;=MAX(YrOfExit,1))</f>
        <v>0</v>
      </c>
      <c r="AY40" s="78">
        <f>SUMIF(ProformaCat,$B40,'Operating Calculations'!AW$88:AW$107)*(AY$6&lt;=MAX(YrOfExit,1))</f>
        <v>0</v>
      </c>
      <c r="AZ40" s="78">
        <f>SUMIF(ProformaCat,$B40,'Operating Calculations'!AX$88:AX$107)*(AZ$6&lt;=MAX(YrOfExit,1))</f>
        <v>0</v>
      </c>
      <c r="BA40" s="78">
        <f>SUMIF(ProformaCat,$B40,'Operating Calculations'!AY$88:AY$107)*(BA$6&lt;=MAX(YrOfExit,1))</f>
        <v>0</v>
      </c>
      <c r="BB40" s="78">
        <f>SUMIF(ProformaCat,$B40,'Operating Calculations'!AZ$88:AZ$107)*(BB$6&lt;=MAX(YrOfExit,1))</f>
        <v>0</v>
      </c>
      <c r="BC40" s="78">
        <f>SUMIF(ProformaCat,$B40,'Operating Calculations'!BA$88:BA$107)*(BC$6&lt;=MAX(YrOfExit,1))</f>
        <v>0</v>
      </c>
      <c r="BD40" s="206">
        <f t="shared" si="39"/>
        <v>0</v>
      </c>
      <c r="BE40" s="78">
        <f t="shared" si="39"/>
        <v>0</v>
      </c>
      <c r="BF40" s="78">
        <f t="shared" si="39"/>
        <v>0</v>
      </c>
      <c r="BG40" s="78">
        <f t="shared" si="39"/>
        <v>0</v>
      </c>
      <c r="BH40" s="78">
        <f t="shared" si="39"/>
        <v>0</v>
      </c>
      <c r="BI40" s="78">
        <f t="shared" si="39"/>
        <v>0</v>
      </c>
      <c r="BJ40" s="78">
        <f t="shared" si="39"/>
        <v>0</v>
      </c>
      <c r="BK40" s="78">
        <f t="shared" si="39"/>
        <v>0</v>
      </c>
      <c r="BL40" s="78">
        <f t="shared" si="39"/>
        <v>0</v>
      </c>
      <c r="BM40" s="78">
        <f t="shared" si="39"/>
        <v>0</v>
      </c>
      <c r="BN40" s="78">
        <f t="shared" si="40"/>
        <v>0</v>
      </c>
      <c r="BO40" s="78">
        <f t="shared" si="40"/>
        <v>0</v>
      </c>
      <c r="BP40" s="78">
        <f t="shared" si="40"/>
        <v>0</v>
      </c>
      <c r="BQ40" s="78">
        <f t="shared" si="40"/>
        <v>0</v>
      </c>
      <c r="BR40" s="78">
        <f t="shared" si="40"/>
        <v>0</v>
      </c>
      <c r="BS40" s="78">
        <f t="shared" si="40"/>
        <v>0</v>
      </c>
      <c r="BT40" s="78">
        <f t="shared" si="40"/>
        <v>0</v>
      </c>
      <c r="BU40" s="78">
        <f t="shared" si="40"/>
        <v>0</v>
      </c>
      <c r="BV40" s="78">
        <f t="shared" si="40"/>
        <v>0</v>
      </c>
      <c r="BW40" s="78">
        <f t="shared" si="40"/>
        <v>0</v>
      </c>
      <c r="BX40" s="78">
        <f t="shared" si="41"/>
        <v>0</v>
      </c>
      <c r="BY40" s="78">
        <f t="shared" si="41"/>
        <v>0</v>
      </c>
      <c r="BZ40" s="78">
        <f t="shared" si="41"/>
        <v>0</v>
      </c>
      <c r="CA40" s="78">
        <f t="shared" si="41"/>
        <v>0</v>
      </c>
      <c r="CB40" s="78">
        <f t="shared" si="41"/>
        <v>0</v>
      </c>
      <c r="CC40" s="78">
        <f t="shared" si="41"/>
        <v>0</v>
      </c>
      <c r="CD40" s="78">
        <f t="shared" si="41"/>
        <v>0</v>
      </c>
      <c r="CE40" s="78">
        <f t="shared" si="41"/>
        <v>0</v>
      </c>
      <c r="CF40" s="78">
        <f t="shared" si="41"/>
        <v>0</v>
      </c>
      <c r="CG40" s="78">
        <f t="shared" si="41"/>
        <v>0</v>
      </c>
      <c r="CH40" s="78">
        <f t="shared" si="42"/>
        <v>0</v>
      </c>
      <c r="CI40" s="78">
        <f t="shared" si="42"/>
        <v>0</v>
      </c>
      <c r="CJ40" s="78">
        <f t="shared" si="42"/>
        <v>0</v>
      </c>
      <c r="CK40" s="78">
        <f t="shared" si="42"/>
        <v>0</v>
      </c>
      <c r="CL40" s="78">
        <f t="shared" si="42"/>
        <v>0</v>
      </c>
      <c r="CM40" s="78">
        <f t="shared" si="42"/>
        <v>0</v>
      </c>
      <c r="CN40" s="78">
        <f t="shared" si="42"/>
        <v>0</v>
      </c>
      <c r="CO40" s="78">
        <f t="shared" si="42"/>
        <v>0</v>
      </c>
      <c r="CP40" s="78">
        <f t="shared" si="42"/>
        <v>0</v>
      </c>
      <c r="CQ40" s="78">
        <f t="shared" si="42"/>
        <v>0</v>
      </c>
      <c r="CR40" s="78">
        <f t="shared" si="43"/>
        <v>0</v>
      </c>
      <c r="CS40" s="78">
        <f t="shared" si="43"/>
        <v>0</v>
      </c>
      <c r="CT40" s="78">
        <f t="shared" si="43"/>
        <v>0</v>
      </c>
      <c r="CU40" s="78">
        <f t="shared" si="43"/>
        <v>0</v>
      </c>
      <c r="CV40" s="78">
        <f t="shared" si="43"/>
        <v>0</v>
      </c>
      <c r="CW40" s="78">
        <f t="shared" si="43"/>
        <v>0</v>
      </c>
      <c r="CX40" s="78">
        <f t="shared" si="43"/>
        <v>0</v>
      </c>
      <c r="CY40" s="78">
        <f t="shared" si="43"/>
        <v>0</v>
      </c>
      <c r="CZ40" s="78">
        <f t="shared" si="43"/>
        <v>0</v>
      </c>
      <c r="DA40" s="78">
        <f t="shared" si="43"/>
        <v>0</v>
      </c>
      <c r="DB40" s="78">
        <f t="shared" si="44"/>
        <v>0</v>
      </c>
      <c r="DC40" s="78">
        <f t="shared" si="44"/>
        <v>0</v>
      </c>
      <c r="DD40" s="78">
        <f t="shared" si="44"/>
        <v>0</v>
      </c>
      <c r="DE40" s="78">
        <f t="shared" si="44"/>
        <v>0</v>
      </c>
      <c r="DF40" s="78">
        <f t="shared" si="44"/>
        <v>0</v>
      </c>
      <c r="DG40" s="78">
        <f t="shared" si="44"/>
        <v>0</v>
      </c>
      <c r="DH40" s="78">
        <f t="shared" si="44"/>
        <v>0</v>
      </c>
      <c r="DI40" s="78">
        <f t="shared" si="44"/>
        <v>0</v>
      </c>
      <c r="DJ40" s="78">
        <f t="shared" si="44"/>
        <v>0</v>
      </c>
      <c r="DK40" s="78">
        <f t="shared" si="44"/>
        <v>0</v>
      </c>
      <c r="DL40" s="78">
        <f t="shared" si="45"/>
        <v>0</v>
      </c>
      <c r="DM40" s="78">
        <f t="shared" si="45"/>
        <v>0</v>
      </c>
      <c r="DN40" s="78">
        <f t="shared" si="45"/>
        <v>0</v>
      </c>
      <c r="DO40" s="78">
        <f t="shared" si="45"/>
        <v>0</v>
      </c>
      <c r="DP40" s="78">
        <f t="shared" si="45"/>
        <v>0</v>
      </c>
      <c r="DQ40" s="78">
        <f t="shared" si="45"/>
        <v>0</v>
      </c>
      <c r="DR40" s="78">
        <f t="shared" si="45"/>
        <v>0</v>
      </c>
      <c r="DS40" s="78">
        <f t="shared" si="45"/>
        <v>0</v>
      </c>
      <c r="DT40" s="78">
        <f t="shared" si="45"/>
        <v>0</v>
      </c>
      <c r="DU40" s="78">
        <f t="shared" si="45"/>
        <v>0</v>
      </c>
      <c r="DV40" s="78">
        <f t="shared" si="46"/>
        <v>0</v>
      </c>
      <c r="DW40" s="78">
        <f t="shared" si="46"/>
        <v>0</v>
      </c>
      <c r="DX40" s="78">
        <f t="shared" si="46"/>
        <v>0</v>
      </c>
      <c r="DY40" s="78">
        <f t="shared" si="46"/>
        <v>0</v>
      </c>
      <c r="DZ40" s="78">
        <f t="shared" si="46"/>
        <v>0</v>
      </c>
      <c r="EA40" s="78">
        <f t="shared" si="46"/>
        <v>0</v>
      </c>
      <c r="EB40" s="78">
        <f t="shared" si="46"/>
        <v>0</v>
      </c>
      <c r="EC40" s="78">
        <f t="shared" si="46"/>
        <v>0</v>
      </c>
      <c r="ED40" s="78">
        <f t="shared" si="46"/>
        <v>0</v>
      </c>
      <c r="EE40" s="78">
        <f t="shared" si="46"/>
        <v>0</v>
      </c>
      <c r="EF40" s="78">
        <f t="shared" si="46"/>
        <v>0</v>
      </c>
      <c r="EG40" s="78">
        <f t="shared" si="46"/>
        <v>0</v>
      </c>
      <c r="EH40" s="78">
        <f t="shared" si="46"/>
        <v>0</v>
      </c>
      <c r="EI40" s="78">
        <f t="shared" si="46"/>
        <v>0</v>
      </c>
    </row>
    <row r="41" spans="2:139">
      <c r="B41" s="32" t="str">
        <f>GenValidation!L7</f>
        <v>Security</v>
      </c>
      <c r="C41" s="32"/>
      <c r="D41" s="78"/>
      <c r="E41" s="78">
        <f>SUMIF(ProformaCat,$B41,'Operating Calculations'!C$88:C$107)*(E$5&lt;=MAX(YrOfExit,1))</f>
        <v>0</v>
      </c>
      <c r="F41" s="78">
        <f>SUMIF(ProformaCat,$B41,'Operating Calculations'!D$88:D$107)*(F$5&lt;=MAX(YrOfExit,1))</f>
        <v>0</v>
      </c>
      <c r="G41" s="78">
        <f>SUMIF(ProformaCat,$B41,'Operating Calculations'!E$88:E$107)*(G$5&lt;=MAX(YrOfExit,1))</f>
        <v>0</v>
      </c>
      <c r="H41" s="78">
        <f>SUMIF(ProformaCat,$B41,'Operating Calculations'!F$88:F$107)*(H$5&lt;=MAX(YrOfExit,1))</f>
        <v>0</v>
      </c>
      <c r="I41" s="78">
        <f>SUMIF(ProformaCat,$B41,'Operating Calculations'!G$88:G$107)*(I$5&lt;=MAX(YrOfExit,1))</f>
        <v>0</v>
      </c>
      <c r="J41" s="78">
        <f>SUMIF(ProformaCat,$B41,'Operating Calculations'!H$88:H$107)*(J$5&lt;=MAX(YrOfExit,1))</f>
        <v>0</v>
      </c>
      <c r="K41" s="78">
        <f>SUMIF(ProformaCat,$B41,'Operating Calculations'!I$88:I$107)*(K$5&lt;=MAX(YrOfExit,1))</f>
        <v>0</v>
      </c>
      <c r="L41" s="78">
        <f>SUMIF(ProformaCat,$B41,'Operating Calculations'!J$88:J$107)*(L$5&lt;=MAX(YrOfExit,1))</f>
        <v>0</v>
      </c>
      <c r="M41" s="78">
        <f>SUMIF(ProformaCat,$B41,'Operating Calculations'!K$88:K$107)*(M$5&lt;=MAX(YrOfExit,1))</f>
        <v>0</v>
      </c>
      <c r="N41" s="78">
        <f>SUMIF(ProformaCat,$B41,'Operating Calculations'!L$88:L$107)*(N$5&lt;=MAX(YrOfExit,1))</f>
        <v>0</v>
      </c>
      <c r="O41" s="145">
        <f t="shared" si="38"/>
        <v>0</v>
      </c>
      <c r="Q41" s="78">
        <f>SUMIF(ProformaCat,$B41,'Operating Calculations'!O$88:O$107)</f>
        <v>0</v>
      </c>
      <c r="S41" s="27"/>
      <c r="T41" s="78">
        <f>SUMIF(ProformaCat,$B41,'Operating Calculations'!R$88:R$107)*(T$6&lt;=MAX(YrOfExit,1))</f>
        <v>0</v>
      </c>
      <c r="U41" s="78">
        <f>SUMIF(ProformaCat,$B41,'Operating Calculations'!S$88:S$107)*(U$6&lt;=MAX(YrOfExit,1))</f>
        <v>0</v>
      </c>
      <c r="V41" s="78">
        <f>SUMIF(ProformaCat,$B41,'Operating Calculations'!T$88:T$107)*(V$6&lt;=MAX(YrOfExit,1))</f>
        <v>0</v>
      </c>
      <c r="W41" s="78">
        <f>SUMIF(ProformaCat,$B41,'Operating Calculations'!U$88:U$107)*(W$6&lt;=MAX(YrOfExit,1))</f>
        <v>0</v>
      </c>
      <c r="X41" s="78">
        <f>SUMIF(ProformaCat,$B41,'Operating Calculations'!V$88:V$107)*(X$6&lt;=MAX(YrOfExit,1))</f>
        <v>0</v>
      </c>
      <c r="Y41" s="78">
        <f>SUMIF(ProformaCat,$B41,'Operating Calculations'!W$88:W$107)*(Y$6&lt;=MAX(YrOfExit,1))</f>
        <v>0</v>
      </c>
      <c r="Z41" s="78">
        <f>SUMIF(ProformaCat,$B41,'Operating Calculations'!X$88:X$107)*(Z$6&lt;=MAX(YrOfExit,1))</f>
        <v>0</v>
      </c>
      <c r="AA41" s="78">
        <f>SUMIF(ProformaCat,$B41,'Operating Calculations'!Y$88:Y$107)*(AA$6&lt;=MAX(YrOfExit,1))</f>
        <v>0</v>
      </c>
      <c r="AB41" s="78">
        <f>SUMIF(ProformaCat,$B41,'Operating Calculations'!Z$88:Z$107)*(AB$6&lt;=MAX(YrOfExit,1))</f>
        <v>0</v>
      </c>
      <c r="AC41" s="78">
        <f>SUMIF(ProformaCat,$B41,'Operating Calculations'!AA$88:AA$107)*(AC$6&lt;=MAX(YrOfExit,1))</f>
        <v>0</v>
      </c>
      <c r="AD41" s="78">
        <f>SUMIF(ProformaCat,$B41,'Operating Calculations'!AB$88:AB$107)*(AD$6&lt;=MAX(YrOfExit,1))</f>
        <v>0</v>
      </c>
      <c r="AE41" s="78">
        <f>SUMIF(ProformaCat,$B41,'Operating Calculations'!AC$88:AC$107)*(AE$6&lt;=MAX(YrOfExit,1))</f>
        <v>0</v>
      </c>
      <c r="AF41" s="78">
        <f>SUMIF(ProformaCat,$B41,'Operating Calculations'!AD$88:AD$107)*(AF$6&lt;=MAX(YrOfExit,1))</f>
        <v>0</v>
      </c>
      <c r="AG41" s="78">
        <f>SUMIF(ProformaCat,$B41,'Operating Calculations'!AE$88:AE$107)*(AG$6&lt;=MAX(YrOfExit,1))</f>
        <v>0</v>
      </c>
      <c r="AH41" s="78">
        <f>SUMIF(ProformaCat,$B41,'Operating Calculations'!AF$88:AF$107)*(AH$6&lt;=MAX(YrOfExit,1))</f>
        <v>0</v>
      </c>
      <c r="AI41" s="78">
        <f>SUMIF(ProformaCat,$B41,'Operating Calculations'!AG$88:AG$107)*(AI$6&lt;=MAX(YrOfExit,1))</f>
        <v>0</v>
      </c>
      <c r="AJ41" s="78">
        <f>SUMIF(ProformaCat,$B41,'Operating Calculations'!AH$88:AH$107)*(AJ$6&lt;=MAX(YrOfExit,1))</f>
        <v>0</v>
      </c>
      <c r="AK41" s="78">
        <f>SUMIF(ProformaCat,$B41,'Operating Calculations'!AI$88:AI$107)*(AK$6&lt;=MAX(YrOfExit,1))</f>
        <v>0</v>
      </c>
      <c r="AL41" s="78">
        <f>SUMIF(ProformaCat,$B41,'Operating Calculations'!AJ$88:AJ$107)*(AL$6&lt;=MAX(YrOfExit,1))</f>
        <v>0</v>
      </c>
      <c r="AM41" s="78">
        <f>SUMIF(ProformaCat,$B41,'Operating Calculations'!AK$88:AK$107)*(AM$6&lt;=MAX(YrOfExit,1))</f>
        <v>0</v>
      </c>
      <c r="AN41" s="78">
        <f>SUMIF(ProformaCat,$B41,'Operating Calculations'!AL$88:AL$107)*(AN$6&lt;=MAX(YrOfExit,1))</f>
        <v>0</v>
      </c>
      <c r="AO41" s="78">
        <f>SUMIF(ProformaCat,$B41,'Operating Calculations'!AM$88:AM$107)*(AO$6&lt;=MAX(YrOfExit,1))</f>
        <v>0</v>
      </c>
      <c r="AP41" s="78">
        <f>SUMIF(ProformaCat,$B41,'Operating Calculations'!AN$88:AN$107)*(AP$6&lt;=MAX(YrOfExit,1))</f>
        <v>0</v>
      </c>
      <c r="AQ41" s="78">
        <f>SUMIF(ProformaCat,$B41,'Operating Calculations'!AO$88:AO$107)*(AQ$6&lt;=MAX(YrOfExit,1))</f>
        <v>0</v>
      </c>
      <c r="AR41" s="78">
        <f>SUMIF(ProformaCat,$B41,'Operating Calculations'!AP$88:AP$107)*(AR$6&lt;=MAX(YrOfExit,1))</f>
        <v>0</v>
      </c>
      <c r="AS41" s="78">
        <f>SUMIF(ProformaCat,$B41,'Operating Calculations'!AQ$88:AQ$107)*(AS$6&lt;=MAX(YrOfExit,1))</f>
        <v>0</v>
      </c>
      <c r="AT41" s="78">
        <f>SUMIF(ProformaCat,$B41,'Operating Calculations'!AR$88:AR$107)*(AT$6&lt;=MAX(YrOfExit,1))</f>
        <v>0</v>
      </c>
      <c r="AU41" s="78">
        <f>SUMIF(ProformaCat,$B41,'Operating Calculations'!AS$88:AS$107)*(AU$6&lt;=MAX(YrOfExit,1))</f>
        <v>0</v>
      </c>
      <c r="AV41" s="78">
        <f>SUMIF(ProformaCat,$B41,'Operating Calculations'!AT$88:AT$107)*(AV$6&lt;=MAX(YrOfExit,1))</f>
        <v>0</v>
      </c>
      <c r="AW41" s="78">
        <f>SUMIF(ProformaCat,$B41,'Operating Calculations'!AU$88:AU$107)*(AW$6&lt;=MAX(YrOfExit,1))</f>
        <v>0</v>
      </c>
      <c r="AX41" s="78">
        <f>SUMIF(ProformaCat,$B41,'Operating Calculations'!AV$88:AV$107)*(AX$6&lt;=MAX(YrOfExit,1))</f>
        <v>0</v>
      </c>
      <c r="AY41" s="78">
        <f>SUMIF(ProformaCat,$B41,'Operating Calculations'!AW$88:AW$107)*(AY$6&lt;=MAX(YrOfExit,1))</f>
        <v>0</v>
      </c>
      <c r="AZ41" s="78">
        <f>SUMIF(ProformaCat,$B41,'Operating Calculations'!AX$88:AX$107)*(AZ$6&lt;=MAX(YrOfExit,1))</f>
        <v>0</v>
      </c>
      <c r="BA41" s="78">
        <f>SUMIF(ProformaCat,$B41,'Operating Calculations'!AY$88:AY$107)*(BA$6&lt;=MAX(YrOfExit,1))</f>
        <v>0</v>
      </c>
      <c r="BB41" s="78">
        <f>SUMIF(ProformaCat,$B41,'Operating Calculations'!AZ$88:AZ$107)*(BB$6&lt;=MAX(YrOfExit,1))</f>
        <v>0</v>
      </c>
      <c r="BC41" s="78">
        <f>SUMIF(ProformaCat,$B41,'Operating Calculations'!BA$88:BA$107)*(BC$6&lt;=MAX(YrOfExit,1))</f>
        <v>0</v>
      </c>
      <c r="BD41" s="206">
        <f t="shared" si="39"/>
        <v>0</v>
      </c>
      <c r="BE41" s="78">
        <f t="shared" si="39"/>
        <v>0</v>
      </c>
      <c r="BF41" s="78">
        <f t="shared" si="39"/>
        <v>0</v>
      </c>
      <c r="BG41" s="78">
        <f t="shared" si="39"/>
        <v>0</v>
      </c>
      <c r="BH41" s="78">
        <f t="shared" si="39"/>
        <v>0</v>
      </c>
      <c r="BI41" s="78">
        <f t="shared" si="39"/>
        <v>0</v>
      </c>
      <c r="BJ41" s="78">
        <f t="shared" si="39"/>
        <v>0</v>
      </c>
      <c r="BK41" s="78">
        <f t="shared" si="39"/>
        <v>0</v>
      </c>
      <c r="BL41" s="78">
        <f t="shared" si="39"/>
        <v>0</v>
      </c>
      <c r="BM41" s="78">
        <f t="shared" si="39"/>
        <v>0</v>
      </c>
      <c r="BN41" s="78">
        <f t="shared" si="40"/>
        <v>0</v>
      </c>
      <c r="BO41" s="78">
        <f t="shared" si="40"/>
        <v>0</v>
      </c>
      <c r="BP41" s="78">
        <f t="shared" si="40"/>
        <v>0</v>
      </c>
      <c r="BQ41" s="78">
        <f t="shared" si="40"/>
        <v>0</v>
      </c>
      <c r="BR41" s="78">
        <f t="shared" si="40"/>
        <v>0</v>
      </c>
      <c r="BS41" s="78">
        <f t="shared" si="40"/>
        <v>0</v>
      </c>
      <c r="BT41" s="78">
        <f t="shared" si="40"/>
        <v>0</v>
      </c>
      <c r="BU41" s="78">
        <f t="shared" si="40"/>
        <v>0</v>
      </c>
      <c r="BV41" s="78">
        <f t="shared" si="40"/>
        <v>0</v>
      </c>
      <c r="BW41" s="78">
        <f t="shared" si="40"/>
        <v>0</v>
      </c>
      <c r="BX41" s="78">
        <f t="shared" si="41"/>
        <v>0</v>
      </c>
      <c r="BY41" s="78">
        <f t="shared" si="41"/>
        <v>0</v>
      </c>
      <c r="BZ41" s="78">
        <f t="shared" si="41"/>
        <v>0</v>
      </c>
      <c r="CA41" s="78">
        <f t="shared" si="41"/>
        <v>0</v>
      </c>
      <c r="CB41" s="78">
        <f t="shared" si="41"/>
        <v>0</v>
      </c>
      <c r="CC41" s="78">
        <f t="shared" si="41"/>
        <v>0</v>
      </c>
      <c r="CD41" s="78">
        <f t="shared" si="41"/>
        <v>0</v>
      </c>
      <c r="CE41" s="78">
        <f t="shared" si="41"/>
        <v>0</v>
      </c>
      <c r="CF41" s="78">
        <f t="shared" si="41"/>
        <v>0</v>
      </c>
      <c r="CG41" s="78">
        <f t="shared" si="41"/>
        <v>0</v>
      </c>
      <c r="CH41" s="78">
        <f t="shared" si="42"/>
        <v>0</v>
      </c>
      <c r="CI41" s="78">
        <f t="shared" si="42"/>
        <v>0</v>
      </c>
      <c r="CJ41" s="78">
        <f t="shared" si="42"/>
        <v>0</v>
      </c>
      <c r="CK41" s="78">
        <f t="shared" si="42"/>
        <v>0</v>
      </c>
      <c r="CL41" s="78">
        <f t="shared" si="42"/>
        <v>0</v>
      </c>
      <c r="CM41" s="78">
        <f t="shared" si="42"/>
        <v>0</v>
      </c>
      <c r="CN41" s="78">
        <f t="shared" si="42"/>
        <v>0</v>
      </c>
      <c r="CO41" s="78">
        <f t="shared" si="42"/>
        <v>0</v>
      </c>
      <c r="CP41" s="78">
        <f t="shared" si="42"/>
        <v>0</v>
      </c>
      <c r="CQ41" s="78">
        <f t="shared" si="42"/>
        <v>0</v>
      </c>
      <c r="CR41" s="78">
        <f t="shared" si="43"/>
        <v>0</v>
      </c>
      <c r="CS41" s="78">
        <f t="shared" si="43"/>
        <v>0</v>
      </c>
      <c r="CT41" s="78">
        <f t="shared" si="43"/>
        <v>0</v>
      </c>
      <c r="CU41" s="78">
        <f t="shared" si="43"/>
        <v>0</v>
      </c>
      <c r="CV41" s="78">
        <f t="shared" si="43"/>
        <v>0</v>
      </c>
      <c r="CW41" s="78">
        <f t="shared" si="43"/>
        <v>0</v>
      </c>
      <c r="CX41" s="78">
        <f t="shared" si="43"/>
        <v>0</v>
      </c>
      <c r="CY41" s="78">
        <f t="shared" si="43"/>
        <v>0</v>
      </c>
      <c r="CZ41" s="78">
        <f t="shared" si="43"/>
        <v>0</v>
      </c>
      <c r="DA41" s="78">
        <f t="shared" si="43"/>
        <v>0</v>
      </c>
      <c r="DB41" s="78">
        <f t="shared" si="44"/>
        <v>0</v>
      </c>
      <c r="DC41" s="78">
        <f t="shared" si="44"/>
        <v>0</v>
      </c>
      <c r="DD41" s="78">
        <f t="shared" si="44"/>
        <v>0</v>
      </c>
      <c r="DE41" s="78">
        <f t="shared" si="44"/>
        <v>0</v>
      </c>
      <c r="DF41" s="78">
        <f t="shared" si="44"/>
        <v>0</v>
      </c>
      <c r="DG41" s="78">
        <f t="shared" si="44"/>
        <v>0</v>
      </c>
      <c r="DH41" s="78">
        <f t="shared" si="44"/>
        <v>0</v>
      </c>
      <c r="DI41" s="78">
        <f t="shared" si="44"/>
        <v>0</v>
      </c>
      <c r="DJ41" s="78">
        <f t="shared" si="44"/>
        <v>0</v>
      </c>
      <c r="DK41" s="78">
        <f t="shared" si="44"/>
        <v>0</v>
      </c>
      <c r="DL41" s="78">
        <f t="shared" si="45"/>
        <v>0</v>
      </c>
      <c r="DM41" s="78">
        <f t="shared" si="45"/>
        <v>0</v>
      </c>
      <c r="DN41" s="78">
        <f t="shared" si="45"/>
        <v>0</v>
      </c>
      <c r="DO41" s="78">
        <f t="shared" si="45"/>
        <v>0</v>
      </c>
      <c r="DP41" s="78">
        <f t="shared" si="45"/>
        <v>0</v>
      </c>
      <c r="DQ41" s="78">
        <f t="shared" si="45"/>
        <v>0</v>
      </c>
      <c r="DR41" s="78">
        <f t="shared" si="45"/>
        <v>0</v>
      </c>
      <c r="DS41" s="78">
        <f t="shared" si="45"/>
        <v>0</v>
      </c>
      <c r="DT41" s="78">
        <f t="shared" si="45"/>
        <v>0</v>
      </c>
      <c r="DU41" s="78">
        <f t="shared" si="45"/>
        <v>0</v>
      </c>
      <c r="DV41" s="78">
        <f t="shared" si="46"/>
        <v>0</v>
      </c>
      <c r="DW41" s="78">
        <f t="shared" si="46"/>
        <v>0</v>
      </c>
      <c r="DX41" s="78">
        <f t="shared" si="46"/>
        <v>0</v>
      </c>
      <c r="DY41" s="78">
        <f t="shared" si="46"/>
        <v>0</v>
      </c>
      <c r="DZ41" s="78">
        <f t="shared" si="46"/>
        <v>0</v>
      </c>
      <c r="EA41" s="78">
        <f t="shared" si="46"/>
        <v>0</v>
      </c>
      <c r="EB41" s="78">
        <f t="shared" si="46"/>
        <v>0</v>
      </c>
      <c r="EC41" s="78">
        <f t="shared" si="46"/>
        <v>0</v>
      </c>
      <c r="ED41" s="78">
        <f t="shared" si="46"/>
        <v>0</v>
      </c>
      <c r="EE41" s="78">
        <f t="shared" si="46"/>
        <v>0</v>
      </c>
      <c r="EF41" s="78">
        <f t="shared" si="46"/>
        <v>0</v>
      </c>
      <c r="EG41" s="78">
        <f t="shared" si="46"/>
        <v>0</v>
      </c>
      <c r="EH41" s="78">
        <f t="shared" si="46"/>
        <v>0</v>
      </c>
      <c r="EI41" s="78">
        <f t="shared" si="46"/>
        <v>0</v>
      </c>
    </row>
    <row r="42" spans="2:139">
      <c r="B42" s="32" t="str">
        <f>GenValidation!L8</f>
        <v>Turnover / Make-Ready</v>
      </c>
      <c r="C42" s="32"/>
      <c r="D42" s="78"/>
      <c r="E42" s="78">
        <f>SUMIF(ProformaCat,$B42,'Operating Calculations'!C$88:C$107)*(E$5&lt;=MAX(YrOfExit,1))</f>
        <v>0</v>
      </c>
      <c r="F42" s="78">
        <f>SUMIF(ProformaCat,$B42,'Operating Calculations'!D$88:D$107)*(F$5&lt;=MAX(YrOfExit,1))</f>
        <v>0</v>
      </c>
      <c r="G42" s="78">
        <f>SUMIF(ProformaCat,$B42,'Operating Calculations'!E$88:E$107)*(G$5&lt;=MAX(YrOfExit,1))</f>
        <v>0</v>
      </c>
      <c r="H42" s="78">
        <f>SUMIF(ProformaCat,$B42,'Operating Calculations'!F$88:F$107)*(H$5&lt;=MAX(YrOfExit,1))</f>
        <v>0</v>
      </c>
      <c r="I42" s="78">
        <f>SUMIF(ProformaCat,$B42,'Operating Calculations'!G$88:G$107)*(I$5&lt;=MAX(YrOfExit,1))</f>
        <v>0</v>
      </c>
      <c r="J42" s="78">
        <f>SUMIF(ProformaCat,$B42,'Operating Calculations'!H$88:H$107)*(J$5&lt;=MAX(YrOfExit,1))</f>
        <v>0</v>
      </c>
      <c r="K42" s="78">
        <f>SUMIF(ProformaCat,$B42,'Operating Calculations'!I$88:I$107)*(K$5&lt;=MAX(YrOfExit,1))</f>
        <v>0</v>
      </c>
      <c r="L42" s="78">
        <f>SUMIF(ProformaCat,$B42,'Operating Calculations'!J$88:J$107)*(L$5&lt;=MAX(YrOfExit,1))</f>
        <v>0</v>
      </c>
      <c r="M42" s="78">
        <f>SUMIF(ProformaCat,$B42,'Operating Calculations'!K$88:K$107)*(M$5&lt;=MAX(YrOfExit,1))</f>
        <v>0</v>
      </c>
      <c r="N42" s="78">
        <f>SUMIF(ProformaCat,$B42,'Operating Calculations'!L$88:L$107)*(N$5&lt;=MAX(YrOfExit,1))</f>
        <v>0</v>
      </c>
      <c r="O42" s="145">
        <f t="shared" si="38"/>
        <v>0</v>
      </c>
      <c r="Q42" s="78">
        <f>SUMIF(ProformaCat,$B42,'Operating Calculations'!O$88:O$107)</f>
        <v>0</v>
      </c>
      <c r="S42" s="27"/>
      <c r="T42" s="78">
        <f>SUMIF(ProformaCat,$B42,'Operating Calculations'!R$88:R$107)*(T$6&lt;=MAX(YrOfExit,1))</f>
        <v>0</v>
      </c>
      <c r="U42" s="78">
        <f>SUMIF(ProformaCat,$B42,'Operating Calculations'!S$88:S$107)*(U$6&lt;=MAX(YrOfExit,1))</f>
        <v>0</v>
      </c>
      <c r="V42" s="78">
        <f>SUMIF(ProformaCat,$B42,'Operating Calculations'!T$88:T$107)*(V$6&lt;=MAX(YrOfExit,1))</f>
        <v>0</v>
      </c>
      <c r="W42" s="78">
        <f>SUMIF(ProformaCat,$B42,'Operating Calculations'!U$88:U$107)*(W$6&lt;=MAX(YrOfExit,1))</f>
        <v>0</v>
      </c>
      <c r="X42" s="78">
        <f>SUMIF(ProformaCat,$B42,'Operating Calculations'!V$88:V$107)*(X$6&lt;=MAX(YrOfExit,1))</f>
        <v>0</v>
      </c>
      <c r="Y42" s="78">
        <f>SUMIF(ProformaCat,$B42,'Operating Calculations'!W$88:W$107)*(Y$6&lt;=MAX(YrOfExit,1))</f>
        <v>0</v>
      </c>
      <c r="Z42" s="78">
        <f>SUMIF(ProformaCat,$B42,'Operating Calculations'!X$88:X$107)*(Z$6&lt;=MAX(YrOfExit,1))</f>
        <v>0</v>
      </c>
      <c r="AA42" s="78">
        <f>SUMIF(ProformaCat,$B42,'Operating Calculations'!Y$88:Y$107)*(AA$6&lt;=MAX(YrOfExit,1))</f>
        <v>0</v>
      </c>
      <c r="AB42" s="78">
        <f>SUMIF(ProformaCat,$B42,'Operating Calculations'!Z$88:Z$107)*(AB$6&lt;=MAX(YrOfExit,1))</f>
        <v>0</v>
      </c>
      <c r="AC42" s="78">
        <f>SUMIF(ProformaCat,$B42,'Operating Calculations'!AA$88:AA$107)*(AC$6&lt;=MAX(YrOfExit,1))</f>
        <v>0</v>
      </c>
      <c r="AD42" s="78">
        <f>SUMIF(ProformaCat,$B42,'Operating Calculations'!AB$88:AB$107)*(AD$6&lt;=MAX(YrOfExit,1))</f>
        <v>0</v>
      </c>
      <c r="AE42" s="78">
        <f>SUMIF(ProformaCat,$B42,'Operating Calculations'!AC$88:AC$107)*(AE$6&lt;=MAX(YrOfExit,1))</f>
        <v>0</v>
      </c>
      <c r="AF42" s="78">
        <f>SUMIF(ProformaCat,$B42,'Operating Calculations'!AD$88:AD$107)*(AF$6&lt;=MAX(YrOfExit,1))</f>
        <v>0</v>
      </c>
      <c r="AG42" s="78">
        <f>SUMIF(ProformaCat,$B42,'Operating Calculations'!AE$88:AE$107)*(AG$6&lt;=MAX(YrOfExit,1))</f>
        <v>0</v>
      </c>
      <c r="AH42" s="78">
        <f>SUMIF(ProformaCat,$B42,'Operating Calculations'!AF$88:AF$107)*(AH$6&lt;=MAX(YrOfExit,1))</f>
        <v>0</v>
      </c>
      <c r="AI42" s="78">
        <f>SUMIF(ProformaCat,$B42,'Operating Calculations'!AG$88:AG$107)*(AI$6&lt;=MAX(YrOfExit,1))</f>
        <v>0</v>
      </c>
      <c r="AJ42" s="78">
        <f>SUMIF(ProformaCat,$B42,'Operating Calculations'!AH$88:AH$107)*(AJ$6&lt;=MAX(YrOfExit,1))</f>
        <v>0</v>
      </c>
      <c r="AK42" s="78">
        <f>SUMIF(ProformaCat,$B42,'Operating Calculations'!AI$88:AI$107)*(AK$6&lt;=MAX(YrOfExit,1))</f>
        <v>0</v>
      </c>
      <c r="AL42" s="78">
        <f>SUMIF(ProformaCat,$B42,'Operating Calculations'!AJ$88:AJ$107)*(AL$6&lt;=MAX(YrOfExit,1))</f>
        <v>0</v>
      </c>
      <c r="AM42" s="78">
        <f>SUMIF(ProformaCat,$B42,'Operating Calculations'!AK$88:AK$107)*(AM$6&lt;=MAX(YrOfExit,1))</f>
        <v>0</v>
      </c>
      <c r="AN42" s="78">
        <f>SUMIF(ProformaCat,$B42,'Operating Calculations'!AL$88:AL$107)*(AN$6&lt;=MAX(YrOfExit,1))</f>
        <v>0</v>
      </c>
      <c r="AO42" s="78">
        <f>SUMIF(ProformaCat,$B42,'Operating Calculations'!AM$88:AM$107)*(AO$6&lt;=MAX(YrOfExit,1))</f>
        <v>0</v>
      </c>
      <c r="AP42" s="78">
        <f>SUMIF(ProformaCat,$B42,'Operating Calculations'!AN$88:AN$107)*(AP$6&lt;=MAX(YrOfExit,1))</f>
        <v>0</v>
      </c>
      <c r="AQ42" s="78">
        <f>SUMIF(ProformaCat,$B42,'Operating Calculations'!AO$88:AO$107)*(AQ$6&lt;=MAX(YrOfExit,1))</f>
        <v>0</v>
      </c>
      <c r="AR42" s="78">
        <f>SUMIF(ProformaCat,$B42,'Operating Calculations'!AP$88:AP$107)*(AR$6&lt;=MAX(YrOfExit,1))</f>
        <v>0</v>
      </c>
      <c r="AS42" s="78">
        <f>SUMIF(ProformaCat,$B42,'Operating Calculations'!AQ$88:AQ$107)*(AS$6&lt;=MAX(YrOfExit,1))</f>
        <v>0</v>
      </c>
      <c r="AT42" s="78">
        <f>SUMIF(ProformaCat,$B42,'Operating Calculations'!AR$88:AR$107)*(AT$6&lt;=MAX(YrOfExit,1))</f>
        <v>0</v>
      </c>
      <c r="AU42" s="78">
        <f>SUMIF(ProformaCat,$B42,'Operating Calculations'!AS$88:AS$107)*(AU$6&lt;=MAX(YrOfExit,1))</f>
        <v>0</v>
      </c>
      <c r="AV42" s="78">
        <f>SUMIF(ProformaCat,$B42,'Operating Calculations'!AT$88:AT$107)*(AV$6&lt;=MAX(YrOfExit,1))</f>
        <v>0</v>
      </c>
      <c r="AW42" s="78">
        <f>SUMIF(ProformaCat,$B42,'Operating Calculations'!AU$88:AU$107)*(AW$6&lt;=MAX(YrOfExit,1))</f>
        <v>0</v>
      </c>
      <c r="AX42" s="78">
        <f>SUMIF(ProformaCat,$B42,'Operating Calculations'!AV$88:AV$107)*(AX$6&lt;=MAX(YrOfExit,1))</f>
        <v>0</v>
      </c>
      <c r="AY42" s="78">
        <f>SUMIF(ProformaCat,$B42,'Operating Calculations'!AW$88:AW$107)*(AY$6&lt;=MAX(YrOfExit,1))</f>
        <v>0</v>
      </c>
      <c r="AZ42" s="78">
        <f>SUMIF(ProformaCat,$B42,'Operating Calculations'!AX$88:AX$107)*(AZ$6&lt;=MAX(YrOfExit,1))</f>
        <v>0</v>
      </c>
      <c r="BA42" s="78">
        <f>SUMIF(ProformaCat,$B42,'Operating Calculations'!AY$88:AY$107)*(BA$6&lt;=MAX(YrOfExit,1))</f>
        <v>0</v>
      </c>
      <c r="BB42" s="78">
        <f>SUMIF(ProformaCat,$B42,'Operating Calculations'!AZ$88:AZ$107)*(BB$6&lt;=MAX(YrOfExit,1))</f>
        <v>0</v>
      </c>
      <c r="BC42" s="78">
        <f>SUMIF(ProformaCat,$B42,'Operating Calculations'!BA$88:BA$107)*(BC$6&lt;=MAX(YrOfExit,1))</f>
        <v>0</v>
      </c>
      <c r="BD42" s="206">
        <f t="shared" si="39"/>
        <v>0</v>
      </c>
      <c r="BE42" s="78">
        <f t="shared" si="39"/>
        <v>0</v>
      </c>
      <c r="BF42" s="78">
        <f t="shared" si="39"/>
        <v>0</v>
      </c>
      <c r="BG42" s="78">
        <f t="shared" si="39"/>
        <v>0</v>
      </c>
      <c r="BH42" s="78">
        <f t="shared" si="39"/>
        <v>0</v>
      </c>
      <c r="BI42" s="78">
        <f t="shared" si="39"/>
        <v>0</v>
      </c>
      <c r="BJ42" s="78">
        <f t="shared" si="39"/>
        <v>0</v>
      </c>
      <c r="BK42" s="78">
        <f t="shared" si="39"/>
        <v>0</v>
      </c>
      <c r="BL42" s="78">
        <f t="shared" si="39"/>
        <v>0</v>
      </c>
      <c r="BM42" s="78">
        <f t="shared" si="39"/>
        <v>0</v>
      </c>
      <c r="BN42" s="78">
        <f t="shared" si="40"/>
        <v>0</v>
      </c>
      <c r="BO42" s="78">
        <f t="shared" si="40"/>
        <v>0</v>
      </c>
      <c r="BP42" s="78">
        <f t="shared" si="40"/>
        <v>0</v>
      </c>
      <c r="BQ42" s="78">
        <f t="shared" si="40"/>
        <v>0</v>
      </c>
      <c r="BR42" s="78">
        <f t="shared" si="40"/>
        <v>0</v>
      </c>
      <c r="BS42" s="78">
        <f t="shared" si="40"/>
        <v>0</v>
      </c>
      <c r="BT42" s="78">
        <f t="shared" si="40"/>
        <v>0</v>
      </c>
      <c r="BU42" s="78">
        <f t="shared" si="40"/>
        <v>0</v>
      </c>
      <c r="BV42" s="78">
        <f t="shared" si="40"/>
        <v>0</v>
      </c>
      <c r="BW42" s="78">
        <f t="shared" si="40"/>
        <v>0</v>
      </c>
      <c r="BX42" s="78">
        <f t="shared" si="41"/>
        <v>0</v>
      </c>
      <c r="BY42" s="78">
        <f t="shared" si="41"/>
        <v>0</v>
      </c>
      <c r="BZ42" s="78">
        <f t="shared" si="41"/>
        <v>0</v>
      </c>
      <c r="CA42" s="78">
        <f t="shared" si="41"/>
        <v>0</v>
      </c>
      <c r="CB42" s="78">
        <f t="shared" si="41"/>
        <v>0</v>
      </c>
      <c r="CC42" s="78">
        <f t="shared" si="41"/>
        <v>0</v>
      </c>
      <c r="CD42" s="78">
        <f t="shared" si="41"/>
        <v>0</v>
      </c>
      <c r="CE42" s="78">
        <f t="shared" si="41"/>
        <v>0</v>
      </c>
      <c r="CF42" s="78">
        <f t="shared" si="41"/>
        <v>0</v>
      </c>
      <c r="CG42" s="78">
        <f t="shared" si="41"/>
        <v>0</v>
      </c>
      <c r="CH42" s="78">
        <f t="shared" si="42"/>
        <v>0</v>
      </c>
      <c r="CI42" s="78">
        <f t="shared" si="42"/>
        <v>0</v>
      </c>
      <c r="CJ42" s="78">
        <f t="shared" si="42"/>
        <v>0</v>
      </c>
      <c r="CK42" s="78">
        <f t="shared" si="42"/>
        <v>0</v>
      </c>
      <c r="CL42" s="78">
        <f t="shared" si="42"/>
        <v>0</v>
      </c>
      <c r="CM42" s="78">
        <f t="shared" si="42"/>
        <v>0</v>
      </c>
      <c r="CN42" s="78">
        <f t="shared" si="42"/>
        <v>0</v>
      </c>
      <c r="CO42" s="78">
        <f t="shared" si="42"/>
        <v>0</v>
      </c>
      <c r="CP42" s="78">
        <f t="shared" si="42"/>
        <v>0</v>
      </c>
      <c r="CQ42" s="78">
        <f t="shared" si="42"/>
        <v>0</v>
      </c>
      <c r="CR42" s="78">
        <f t="shared" si="43"/>
        <v>0</v>
      </c>
      <c r="CS42" s="78">
        <f t="shared" si="43"/>
        <v>0</v>
      </c>
      <c r="CT42" s="78">
        <f t="shared" si="43"/>
        <v>0</v>
      </c>
      <c r="CU42" s="78">
        <f t="shared" si="43"/>
        <v>0</v>
      </c>
      <c r="CV42" s="78">
        <f t="shared" si="43"/>
        <v>0</v>
      </c>
      <c r="CW42" s="78">
        <f t="shared" si="43"/>
        <v>0</v>
      </c>
      <c r="CX42" s="78">
        <f t="shared" si="43"/>
        <v>0</v>
      </c>
      <c r="CY42" s="78">
        <f t="shared" si="43"/>
        <v>0</v>
      </c>
      <c r="CZ42" s="78">
        <f t="shared" si="43"/>
        <v>0</v>
      </c>
      <c r="DA42" s="78">
        <f t="shared" si="43"/>
        <v>0</v>
      </c>
      <c r="DB42" s="78">
        <f t="shared" si="44"/>
        <v>0</v>
      </c>
      <c r="DC42" s="78">
        <f t="shared" si="44"/>
        <v>0</v>
      </c>
      <c r="DD42" s="78">
        <f t="shared" si="44"/>
        <v>0</v>
      </c>
      <c r="DE42" s="78">
        <f t="shared" si="44"/>
        <v>0</v>
      </c>
      <c r="DF42" s="78">
        <f t="shared" si="44"/>
        <v>0</v>
      </c>
      <c r="DG42" s="78">
        <f t="shared" si="44"/>
        <v>0</v>
      </c>
      <c r="DH42" s="78">
        <f t="shared" si="44"/>
        <v>0</v>
      </c>
      <c r="DI42" s="78">
        <f t="shared" si="44"/>
        <v>0</v>
      </c>
      <c r="DJ42" s="78">
        <f t="shared" si="44"/>
        <v>0</v>
      </c>
      <c r="DK42" s="78">
        <f t="shared" si="44"/>
        <v>0</v>
      </c>
      <c r="DL42" s="78">
        <f t="shared" si="45"/>
        <v>0</v>
      </c>
      <c r="DM42" s="78">
        <f t="shared" si="45"/>
        <v>0</v>
      </c>
      <c r="DN42" s="78">
        <f t="shared" si="45"/>
        <v>0</v>
      </c>
      <c r="DO42" s="78">
        <f t="shared" si="45"/>
        <v>0</v>
      </c>
      <c r="DP42" s="78">
        <f t="shared" si="45"/>
        <v>0</v>
      </c>
      <c r="DQ42" s="78">
        <f t="shared" si="45"/>
        <v>0</v>
      </c>
      <c r="DR42" s="78">
        <f t="shared" si="45"/>
        <v>0</v>
      </c>
      <c r="DS42" s="78">
        <f t="shared" si="45"/>
        <v>0</v>
      </c>
      <c r="DT42" s="78">
        <f t="shared" si="45"/>
        <v>0</v>
      </c>
      <c r="DU42" s="78">
        <f t="shared" si="45"/>
        <v>0</v>
      </c>
      <c r="DV42" s="78">
        <f t="shared" si="46"/>
        <v>0</v>
      </c>
      <c r="DW42" s="78">
        <f t="shared" si="46"/>
        <v>0</v>
      </c>
      <c r="DX42" s="78">
        <f t="shared" si="46"/>
        <v>0</v>
      </c>
      <c r="DY42" s="78">
        <f t="shared" si="46"/>
        <v>0</v>
      </c>
      <c r="DZ42" s="78">
        <f t="shared" si="46"/>
        <v>0</v>
      </c>
      <c r="EA42" s="78">
        <f t="shared" si="46"/>
        <v>0</v>
      </c>
      <c r="EB42" s="78">
        <f t="shared" si="46"/>
        <v>0</v>
      </c>
      <c r="EC42" s="78">
        <f t="shared" si="46"/>
        <v>0</v>
      </c>
      <c r="ED42" s="78">
        <f t="shared" si="46"/>
        <v>0</v>
      </c>
      <c r="EE42" s="78">
        <f t="shared" si="46"/>
        <v>0</v>
      </c>
      <c r="EF42" s="78">
        <f t="shared" si="46"/>
        <v>0</v>
      </c>
      <c r="EG42" s="78">
        <f t="shared" si="46"/>
        <v>0</v>
      </c>
      <c r="EH42" s="78">
        <f t="shared" si="46"/>
        <v>0</v>
      </c>
      <c r="EI42" s="78">
        <f t="shared" si="46"/>
        <v>0</v>
      </c>
    </row>
    <row r="43" spans="2:139">
      <c r="B43" s="32" t="str">
        <f>GenValidation!L9</f>
        <v>Landscaping / Grounds</v>
      </c>
      <c r="C43" s="32"/>
      <c r="D43" s="78"/>
      <c r="E43" s="78">
        <f>SUMIF(ProformaCat,$B43,'Operating Calculations'!C$88:C$107)*(E$5&lt;=MAX(YrOfExit,1))</f>
        <v>-16000</v>
      </c>
      <c r="F43" s="78">
        <f>SUMIF(ProformaCat,$B43,'Operating Calculations'!D$88:D$107)*(F$5&lt;=MAX(YrOfExit,1))</f>
        <v>-16000</v>
      </c>
      <c r="G43" s="78">
        <f>SUMIF(ProformaCat,$B43,'Operating Calculations'!E$88:E$107)*(G$5&lt;=MAX(YrOfExit,1))</f>
        <v>-16000</v>
      </c>
      <c r="H43" s="78">
        <f>SUMIF(ProformaCat,$B43,'Operating Calculations'!F$88:F$107)*(H$5&lt;=MAX(YrOfExit,1))</f>
        <v>-16000</v>
      </c>
      <c r="I43" s="78">
        <f>SUMIF(ProformaCat,$B43,'Operating Calculations'!G$88:G$107)*(I$5&lt;=MAX(YrOfExit,1))</f>
        <v>-16000</v>
      </c>
      <c r="J43" s="78">
        <f>SUMIF(ProformaCat,$B43,'Operating Calculations'!H$88:H$107)*(J$5&lt;=MAX(YrOfExit,1))</f>
        <v>-16000</v>
      </c>
      <c r="K43" s="78">
        <f>SUMIF(ProformaCat,$B43,'Operating Calculations'!I$88:I$107)*(K$5&lt;=MAX(YrOfExit,1))</f>
        <v>-16000</v>
      </c>
      <c r="L43" s="78">
        <f>SUMIF(ProformaCat,$B43,'Operating Calculations'!J$88:J$107)*(L$5&lt;=MAX(YrOfExit,1))</f>
        <v>0</v>
      </c>
      <c r="M43" s="78">
        <f>SUMIF(ProformaCat,$B43,'Operating Calculations'!K$88:K$107)*(M$5&lt;=MAX(YrOfExit,1))</f>
        <v>0</v>
      </c>
      <c r="N43" s="78">
        <f>SUMIF(ProformaCat,$B43,'Operating Calculations'!L$88:L$107)*(N$5&lt;=MAX(YrOfExit,1))</f>
        <v>0</v>
      </c>
      <c r="O43" s="145">
        <f t="shared" si="38"/>
        <v>-112000</v>
      </c>
      <c r="Q43" s="78">
        <f>SUMIF(ProformaCat,$B43,'Operating Calculations'!O$88:O$107)</f>
        <v>-16000</v>
      </c>
      <c r="S43" s="27"/>
      <c r="T43" s="78">
        <f>SUMIF(ProformaCat,$B43,'Operating Calculations'!R$88:R$107)*(T$6&lt;=MAX(YrOfExit,1))</f>
        <v>-1333.3333333333333</v>
      </c>
      <c r="U43" s="78">
        <f>SUMIF(ProformaCat,$B43,'Operating Calculations'!S$88:S$107)*(U$6&lt;=MAX(YrOfExit,1))</f>
        <v>-1333.3333333333333</v>
      </c>
      <c r="V43" s="78">
        <f>SUMIF(ProformaCat,$B43,'Operating Calculations'!T$88:T$107)*(V$6&lt;=MAX(YrOfExit,1))</f>
        <v>-1333.3333333333333</v>
      </c>
      <c r="W43" s="78">
        <f>SUMIF(ProformaCat,$B43,'Operating Calculations'!U$88:U$107)*(W$6&lt;=MAX(YrOfExit,1))</f>
        <v>-1333.3333333333333</v>
      </c>
      <c r="X43" s="78">
        <f>SUMIF(ProformaCat,$B43,'Operating Calculations'!V$88:V$107)*(X$6&lt;=MAX(YrOfExit,1))</f>
        <v>-1333.3333333333333</v>
      </c>
      <c r="Y43" s="78">
        <f>SUMIF(ProformaCat,$B43,'Operating Calculations'!W$88:W$107)*(Y$6&lt;=MAX(YrOfExit,1))</f>
        <v>-1333.3333333333333</v>
      </c>
      <c r="Z43" s="78">
        <f>SUMIF(ProformaCat,$B43,'Operating Calculations'!X$88:X$107)*(Z$6&lt;=MAX(YrOfExit,1))</f>
        <v>-1333.3333333333333</v>
      </c>
      <c r="AA43" s="78">
        <f>SUMIF(ProformaCat,$B43,'Operating Calculations'!Y$88:Y$107)*(AA$6&lt;=MAX(YrOfExit,1))</f>
        <v>-1333.3333333333333</v>
      </c>
      <c r="AB43" s="78">
        <f>SUMIF(ProformaCat,$B43,'Operating Calculations'!Z$88:Z$107)*(AB$6&lt;=MAX(YrOfExit,1))</f>
        <v>-1333.3333333333333</v>
      </c>
      <c r="AC43" s="78">
        <f>SUMIF(ProformaCat,$B43,'Operating Calculations'!AA$88:AA$107)*(AC$6&lt;=MAX(YrOfExit,1))</f>
        <v>-1333.3333333333333</v>
      </c>
      <c r="AD43" s="78">
        <f>SUMIF(ProformaCat,$B43,'Operating Calculations'!AB$88:AB$107)*(AD$6&lt;=MAX(YrOfExit,1))</f>
        <v>-1333.3333333333333</v>
      </c>
      <c r="AE43" s="78">
        <f>SUMIF(ProformaCat,$B43,'Operating Calculations'!AC$88:AC$107)*(AE$6&lt;=MAX(YrOfExit,1))</f>
        <v>-1333.3333333333333</v>
      </c>
      <c r="AF43" s="78">
        <f>SUMIF(ProformaCat,$B43,'Operating Calculations'!AD$88:AD$107)*(AF$6&lt;=MAX(YrOfExit,1))</f>
        <v>-1333.3333333333333</v>
      </c>
      <c r="AG43" s="78">
        <f>SUMIF(ProformaCat,$B43,'Operating Calculations'!AE$88:AE$107)*(AG$6&lt;=MAX(YrOfExit,1))</f>
        <v>-1333.3333333333333</v>
      </c>
      <c r="AH43" s="78">
        <f>SUMIF(ProformaCat,$B43,'Operating Calculations'!AF$88:AF$107)*(AH$6&lt;=MAX(YrOfExit,1))</f>
        <v>-1333.3333333333333</v>
      </c>
      <c r="AI43" s="78">
        <f>SUMIF(ProformaCat,$B43,'Operating Calculations'!AG$88:AG$107)*(AI$6&lt;=MAX(YrOfExit,1))</f>
        <v>-1333.3333333333333</v>
      </c>
      <c r="AJ43" s="78">
        <f>SUMIF(ProformaCat,$B43,'Operating Calculations'!AH$88:AH$107)*(AJ$6&lt;=MAX(YrOfExit,1))</f>
        <v>-1333.3333333333333</v>
      </c>
      <c r="AK43" s="78">
        <f>SUMIF(ProformaCat,$B43,'Operating Calculations'!AI$88:AI$107)*(AK$6&lt;=MAX(YrOfExit,1))</f>
        <v>-1333.3333333333333</v>
      </c>
      <c r="AL43" s="78">
        <f>SUMIF(ProformaCat,$B43,'Operating Calculations'!AJ$88:AJ$107)*(AL$6&lt;=MAX(YrOfExit,1))</f>
        <v>-1333.3333333333333</v>
      </c>
      <c r="AM43" s="78">
        <f>SUMIF(ProformaCat,$B43,'Operating Calculations'!AK$88:AK$107)*(AM$6&lt;=MAX(YrOfExit,1))</f>
        <v>-1333.3333333333333</v>
      </c>
      <c r="AN43" s="78">
        <f>SUMIF(ProformaCat,$B43,'Operating Calculations'!AL$88:AL$107)*(AN$6&lt;=MAX(YrOfExit,1))</f>
        <v>-1333.3333333333333</v>
      </c>
      <c r="AO43" s="78">
        <f>SUMIF(ProformaCat,$B43,'Operating Calculations'!AM$88:AM$107)*(AO$6&lt;=MAX(YrOfExit,1))</f>
        <v>-1333.3333333333333</v>
      </c>
      <c r="AP43" s="78">
        <f>SUMIF(ProformaCat,$B43,'Operating Calculations'!AN$88:AN$107)*(AP$6&lt;=MAX(YrOfExit,1))</f>
        <v>-1333.3333333333333</v>
      </c>
      <c r="AQ43" s="78">
        <f>SUMIF(ProformaCat,$B43,'Operating Calculations'!AO$88:AO$107)*(AQ$6&lt;=MAX(YrOfExit,1))</f>
        <v>-1333.3333333333333</v>
      </c>
      <c r="AR43" s="78">
        <f>SUMIF(ProformaCat,$B43,'Operating Calculations'!AP$88:AP$107)*(AR$6&lt;=MAX(YrOfExit,1))</f>
        <v>-1333.3333333333333</v>
      </c>
      <c r="AS43" s="78">
        <f>SUMIF(ProformaCat,$B43,'Operating Calculations'!AQ$88:AQ$107)*(AS$6&lt;=MAX(YrOfExit,1))</f>
        <v>-1333.3333333333333</v>
      </c>
      <c r="AT43" s="78">
        <f>SUMIF(ProformaCat,$B43,'Operating Calculations'!AR$88:AR$107)*(AT$6&lt;=MAX(YrOfExit,1))</f>
        <v>-1333.3333333333333</v>
      </c>
      <c r="AU43" s="78">
        <f>SUMIF(ProformaCat,$B43,'Operating Calculations'!AS$88:AS$107)*(AU$6&lt;=MAX(YrOfExit,1))</f>
        <v>-1333.3333333333333</v>
      </c>
      <c r="AV43" s="78">
        <f>SUMIF(ProformaCat,$B43,'Operating Calculations'!AT$88:AT$107)*(AV$6&lt;=MAX(YrOfExit,1))</f>
        <v>-1333.3333333333333</v>
      </c>
      <c r="AW43" s="78">
        <f>SUMIF(ProformaCat,$B43,'Operating Calculations'!AU$88:AU$107)*(AW$6&lt;=MAX(YrOfExit,1))</f>
        <v>-1333.3333333333333</v>
      </c>
      <c r="AX43" s="78">
        <f>SUMIF(ProformaCat,$B43,'Operating Calculations'!AV$88:AV$107)*(AX$6&lt;=MAX(YrOfExit,1))</f>
        <v>-1333.3333333333333</v>
      </c>
      <c r="AY43" s="78">
        <f>SUMIF(ProformaCat,$B43,'Operating Calculations'!AW$88:AW$107)*(AY$6&lt;=MAX(YrOfExit,1))</f>
        <v>-1333.3333333333333</v>
      </c>
      <c r="AZ43" s="78">
        <f>SUMIF(ProformaCat,$B43,'Operating Calculations'!AX$88:AX$107)*(AZ$6&lt;=MAX(YrOfExit,1))</f>
        <v>-1333.3333333333333</v>
      </c>
      <c r="BA43" s="78">
        <f>SUMIF(ProformaCat,$B43,'Operating Calculations'!AY$88:AY$107)*(BA$6&lt;=MAX(YrOfExit,1))</f>
        <v>-1333.3333333333333</v>
      </c>
      <c r="BB43" s="78">
        <f>SUMIF(ProformaCat,$B43,'Operating Calculations'!AZ$88:AZ$107)*(BB$6&lt;=MAX(YrOfExit,1))</f>
        <v>-1333.3333333333333</v>
      </c>
      <c r="BC43" s="78">
        <f>SUMIF(ProformaCat,$B43,'Operating Calculations'!BA$88:BA$107)*(BC$6&lt;=MAX(YrOfExit,1))</f>
        <v>-1333.3333333333333</v>
      </c>
      <c r="BD43" s="206">
        <f t="shared" si="39"/>
        <v>-1333.3333333333333</v>
      </c>
      <c r="BE43" s="78">
        <f t="shared" si="39"/>
        <v>-1333.3333333333333</v>
      </c>
      <c r="BF43" s="78">
        <f t="shared" si="39"/>
        <v>-1333.3333333333333</v>
      </c>
      <c r="BG43" s="78">
        <f t="shared" si="39"/>
        <v>-1333.3333333333333</v>
      </c>
      <c r="BH43" s="78">
        <f t="shared" si="39"/>
        <v>-1333.3333333333333</v>
      </c>
      <c r="BI43" s="78">
        <f t="shared" si="39"/>
        <v>-1333.3333333333333</v>
      </c>
      <c r="BJ43" s="78">
        <f t="shared" si="39"/>
        <v>-1333.3333333333333</v>
      </c>
      <c r="BK43" s="78">
        <f t="shared" si="39"/>
        <v>-1333.3333333333333</v>
      </c>
      <c r="BL43" s="78">
        <f t="shared" si="39"/>
        <v>-1333.3333333333333</v>
      </c>
      <c r="BM43" s="78">
        <f t="shared" si="39"/>
        <v>-1333.3333333333333</v>
      </c>
      <c r="BN43" s="78">
        <f t="shared" si="40"/>
        <v>-1333.3333333333333</v>
      </c>
      <c r="BO43" s="78">
        <f t="shared" si="40"/>
        <v>-1333.3333333333333</v>
      </c>
      <c r="BP43" s="78">
        <f t="shared" si="40"/>
        <v>-1333.3333333333333</v>
      </c>
      <c r="BQ43" s="78">
        <f t="shared" si="40"/>
        <v>-1333.3333333333333</v>
      </c>
      <c r="BR43" s="78">
        <f t="shared" si="40"/>
        <v>-1333.3333333333333</v>
      </c>
      <c r="BS43" s="78">
        <f t="shared" si="40"/>
        <v>-1333.3333333333333</v>
      </c>
      <c r="BT43" s="78">
        <f t="shared" si="40"/>
        <v>-1333.3333333333333</v>
      </c>
      <c r="BU43" s="78">
        <f t="shared" si="40"/>
        <v>-1333.3333333333333</v>
      </c>
      <c r="BV43" s="78">
        <f t="shared" si="40"/>
        <v>-1333.3333333333333</v>
      </c>
      <c r="BW43" s="78">
        <f t="shared" si="40"/>
        <v>-1333.3333333333333</v>
      </c>
      <c r="BX43" s="78">
        <f t="shared" si="41"/>
        <v>-1333.3333333333333</v>
      </c>
      <c r="BY43" s="78">
        <f t="shared" si="41"/>
        <v>-1333.3333333333333</v>
      </c>
      <c r="BZ43" s="78">
        <f t="shared" si="41"/>
        <v>-1333.3333333333333</v>
      </c>
      <c r="CA43" s="78">
        <f t="shared" si="41"/>
        <v>-1333.3333333333333</v>
      </c>
      <c r="CB43" s="78">
        <f t="shared" si="41"/>
        <v>-1333.3333333333333</v>
      </c>
      <c r="CC43" s="78">
        <f t="shared" si="41"/>
        <v>-1333.3333333333333</v>
      </c>
      <c r="CD43" s="78">
        <f t="shared" si="41"/>
        <v>-1333.3333333333333</v>
      </c>
      <c r="CE43" s="78">
        <f t="shared" si="41"/>
        <v>-1333.3333333333333</v>
      </c>
      <c r="CF43" s="78">
        <f t="shared" si="41"/>
        <v>-1333.3333333333333</v>
      </c>
      <c r="CG43" s="78">
        <f t="shared" si="41"/>
        <v>-1333.3333333333333</v>
      </c>
      <c r="CH43" s="78">
        <f t="shared" si="42"/>
        <v>-1333.3333333333333</v>
      </c>
      <c r="CI43" s="78">
        <f t="shared" si="42"/>
        <v>-1333.3333333333333</v>
      </c>
      <c r="CJ43" s="78">
        <f t="shared" si="42"/>
        <v>-1333.3333333333333</v>
      </c>
      <c r="CK43" s="78">
        <f t="shared" si="42"/>
        <v>-1333.3333333333333</v>
      </c>
      <c r="CL43" s="78">
        <f t="shared" si="42"/>
        <v>-1333.3333333333333</v>
      </c>
      <c r="CM43" s="78">
        <f t="shared" si="42"/>
        <v>-1333.3333333333333</v>
      </c>
      <c r="CN43" s="78">
        <f t="shared" si="42"/>
        <v>-1333.3333333333333</v>
      </c>
      <c r="CO43" s="78">
        <f t="shared" si="42"/>
        <v>-1333.3333333333333</v>
      </c>
      <c r="CP43" s="78">
        <f t="shared" si="42"/>
        <v>-1333.3333333333333</v>
      </c>
      <c r="CQ43" s="78">
        <f t="shared" si="42"/>
        <v>-1333.3333333333333</v>
      </c>
      <c r="CR43" s="78">
        <f t="shared" si="43"/>
        <v>-1333.3333333333333</v>
      </c>
      <c r="CS43" s="78">
        <f t="shared" si="43"/>
        <v>-1333.3333333333333</v>
      </c>
      <c r="CT43" s="78">
        <f t="shared" si="43"/>
        <v>-1333.3333333333333</v>
      </c>
      <c r="CU43" s="78">
        <f t="shared" si="43"/>
        <v>-1333.3333333333333</v>
      </c>
      <c r="CV43" s="78">
        <f t="shared" si="43"/>
        <v>-1333.3333333333333</v>
      </c>
      <c r="CW43" s="78">
        <f t="shared" si="43"/>
        <v>-1333.3333333333333</v>
      </c>
      <c r="CX43" s="78">
        <f t="shared" si="43"/>
        <v>-1333.3333333333333</v>
      </c>
      <c r="CY43" s="78">
        <f t="shared" si="43"/>
        <v>-1333.3333333333333</v>
      </c>
      <c r="CZ43" s="78">
        <f t="shared" si="43"/>
        <v>0</v>
      </c>
      <c r="DA43" s="78">
        <f t="shared" si="43"/>
        <v>0</v>
      </c>
      <c r="DB43" s="78">
        <f t="shared" si="44"/>
        <v>0</v>
      </c>
      <c r="DC43" s="78">
        <f t="shared" si="44"/>
        <v>0</v>
      </c>
      <c r="DD43" s="78">
        <f t="shared" si="44"/>
        <v>0</v>
      </c>
      <c r="DE43" s="78">
        <f t="shared" si="44"/>
        <v>0</v>
      </c>
      <c r="DF43" s="78">
        <f t="shared" si="44"/>
        <v>0</v>
      </c>
      <c r="DG43" s="78">
        <f t="shared" si="44"/>
        <v>0</v>
      </c>
      <c r="DH43" s="78">
        <f t="shared" si="44"/>
        <v>0</v>
      </c>
      <c r="DI43" s="78">
        <f t="shared" si="44"/>
        <v>0</v>
      </c>
      <c r="DJ43" s="78">
        <f t="shared" si="44"/>
        <v>0</v>
      </c>
      <c r="DK43" s="78">
        <f t="shared" si="44"/>
        <v>0</v>
      </c>
      <c r="DL43" s="78">
        <f t="shared" si="45"/>
        <v>0</v>
      </c>
      <c r="DM43" s="78">
        <f t="shared" si="45"/>
        <v>0</v>
      </c>
      <c r="DN43" s="78">
        <f t="shared" si="45"/>
        <v>0</v>
      </c>
      <c r="DO43" s="78">
        <f t="shared" si="45"/>
        <v>0</v>
      </c>
      <c r="DP43" s="78">
        <f t="shared" si="45"/>
        <v>0</v>
      </c>
      <c r="DQ43" s="78">
        <f t="shared" si="45"/>
        <v>0</v>
      </c>
      <c r="DR43" s="78">
        <f t="shared" si="45"/>
        <v>0</v>
      </c>
      <c r="DS43" s="78">
        <f t="shared" si="45"/>
        <v>0</v>
      </c>
      <c r="DT43" s="78">
        <f t="shared" si="45"/>
        <v>0</v>
      </c>
      <c r="DU43" s="78">
        <f t="shared" si="45"/>
        <v>0</v>
      </c>
      <c r="DV43" s="78">
        <f t="shared" si="46"/>
        <v>0</v>
      </c>
      <c r="DW43" s="78">
        <f t="shared" si="46"/>
        <v>0</v>
      </c>
      <c r="DX43" s="78">
        <f t="shared" si="46"/>
        <v>0</v>
      </c>
      <c r="DY43" s="78">
        <f t="shared" si="46"/>
        <v>0</v>
      </c>
      <c r="DZ43" s="78">
        <f t="shared" si="46"/>
        <v>0</v>
      </c>
      <c r="EA43" s="78">
        <f t="shared" si="46"/>
        <v>0</v>
      </c>
      <c r="EB43" s="78">
        <f t="shared" si="46"/>
        <v>0</v>
      </c>
      <c r="EC43" s="78">
        <f t="shared" si="46"/>
        <v>0</v>
      </c>
      <c r="ED43" s="78">
        <f t="shared" si="46"/>
        <v>0</v>
      </c>
      <c r="EE43" s="78">
        <f t="shared" si="46"/>
        <v>0</v>
      </c>
      <c r="EF43" s="78">
        <f t="shared" si="46"/>
        <v>0</v>
      </c>
      <c r="EG43" s="78">
        <f t="shared" si="46"/>
        <v>0</v>
      </c>
      <c r="EH43" s="78">
        <f t="shared" si="46"/>
        <v>0</v>
      </c>
      <c r="EI43" s="78">
        <f t="shared" si="46"/>
        <v>0</v>
      </c>
    </row>
    <row r="44" spans="2:139">
      <c r="B44" s="32" t="str">
        <f>GenValidation!L10</f>
        <v>Personnel</v>
      </c>
      <c r="C44" s="32"/>
      <c r="D44" s="78"/>
      <c r="E44" s="78">
        <f>(SUMIF(ProformaCat,$B44,'Operating Calculations'!C$88:C$107)+Input!$G$153*'Operating Calculations'!C$94)*(E$5&lt;=MAX(YrOfExit,1))</f>
        <v>-146700</v>
      </c>
      <c r="F44" s="78">
        <f>(SUMIF(ProformaCat,$B44,'Operating Calculations'!D$88:D$107)+Input!$G$153*'Operating Calculations'!D$94)*(F$5&lt;=MAX(YrOfExit,1))</f>
        <v>-146700</v>
      </c>
      <c r="G44" s="78">
        <f>(SUMIF(ProformaCat,$B44,'Operating Calculations'!E$88:E$107)+Input!$G$153*'Operating Calculations'!E$94)*(G$5&lt;=MAX(YrOfExit,1))</f>
        <v>-146700</v>
      </c>
      <c r="H44" s="78">
        <f>(SUMIF(ProformaCat,$B44,'Operating Calculations'!F$88:F$107)+Input!$G$153*'Operating Calculations'!F$94)*(H$5&lt;=MAX(YrOfExit,1))</f>
        <v>-146700</v>
      </c>
      <c r="I44" s="78">
        <f>(SUMIF(ProformaCat,$B44,'Operating Calculations'!G$88:G$107)+Input!$G$153*'Operating Calculations'!G$94)*(I$5&lt;=MAX(YrOfExit,1))</f>
        <v>-146700</v>
      </c>
      <c r="J44" s="78">
        <f>(SUMIF(ProformaCat,$B44,'Operating Calculations'!H$88:H$107)+Input!$G$153*'Operating Calculations'!H$94)*(J$5&lt;=MAX(YrOfExit,1))</f>
        <v>-146700</v>
      </c>
      <c r="K44" s="78">
        <f>(SUMIF(ProformaCat,$B44,'Operating Calculations'!I$88:I$107)+Input!$G$153*'Operating Calculations'!I$94)*(K$5&lt;=MAX(YrOfExit,1))</f>
        <v>-146700</v>
      </c>
      <c r="L44" s="78">
        <f>(SUMIF(ProformaCat,$B44,'Operating Calculations'!J$88:J$107)+Input!$G$153*'Operating Calculations'!J$94)*(L$5&lt;=MAX(YrOfExit,1))</f>
        <v>0</v>
      </c>
      <c r="M44" s="78">
        <f>(SUMIF(ProformaCat,$B44,'Operating Calculations'!K$88:K$107)+Input!$G$153*'Operating Calculations'!K$94)*(M$5&lt;=MAX(YrOfExit,1))</f>
        <v>0</v>
      </c>
      <c r="N44" s="78">
        <f>(SUMIF(ProformaCat,$B44,'Operating Calculations'!L$88:L$107)+Input!$G$153*'Operating Calculations'!L$94)*(N$5&lt;=MAX(YrOfExit,1))</f>
        <v>0</v>
      </c>
      <c r="O44" s="145">
        <f t="shared" si="38"/>
        <v>-1026900</v>
      </c>
      <c r="Q44" s="78">
        <f>SUMIF(ProformaCat,$B44,'Operating Calculations'!O$88:O$107)+Input!$G$153*'Operating Calculations'!O$94</f>
        <v>-146700</v>
      </c>
      <c r="S44" s="27"/>
      <c r="T44" s="78">
        <f>(SUMIF(ProformaCat,$B44,'Operating Calculations'!R$88:R$107)+Input!$G$153*'Operating Calculations'!R$94)*(T$6&lt;=MAX(YrOfExit,1))</f>
        <v>-12225</v>
      </c>
      <c r="U44" s="78">
        <f>(SUMIF(ProformaCat,$B44,'Operating Calculations'!S$88:S$107)+Input!$G$153*'Operating Calculations'!S$94)*(U$6&lt;=MAX(YrOfExit,1))</f>
        <v>-12225</v>
      </c>
      <c r="V44" s="78">
        <f>(SUMIF(ProformaCat,$B44,'Operating Calculations'!T$88:T$107)+Input!$G$153*'Operating Calculations'!T$94)*(V$6&lt;=MAX(YrOfExit,1))</f>
        <v>-12225</v>
      </c>
      <c r="W44" s="78">
        <f>(SUMIF(ProformaCat,$B44,'Operating Calculations'!U$88:U$107)+Input!$G$153*'Operating Calculations'!U$94)*(W$6&lt;=MAX(YrOfExit,1))</f>
        <v>-12225</v>
      </c>
      <c r="X44" s="78">
        <f>(SUMIF(ProformaCat,$B44,'Operating Calculations'!V$88:V$107)+Input!$G$153*'Operating Calculations'!V$94)*(X$6&lt;=MAX(YrOfExit,1))</f>
        <v>-12225</v>
      </c>
      <c r="Y44" s="78">
        <f>(SUMIF(ProformaCat,$B44,'Operating Calculations'!W$88:W$107)+Input!$G$153*'Operating Calculations'!W$94)*(Y$6&lt;=MAX(YrOfExit,1))</f>
        <v>-12225</v>
      </c>
      <c r="Z44" s="78">
        <f>(SUMIF(ProformaCat,$B44,'Operating Calculations'!X$88:X$107)+Input!$G$153*'Operating Calculations'!X$94)*(Z$6&lt;=MAX(YrOfExit,1))</f>
        <v>-12225</v>
      </c>
      <c r="AA44" s="78">
        <f>(SUMIF(ProformaCat,$B44,'Operating Calculations'!Y$88:Y$107)+Input!$G$153*'Operating Calculations'!Y$94)*(AA$6&lt;=MAX(YrOfExit,1))</f>
        <v>-12225</v>
      </c>
      <c r="AB44" s="78">
        <f>(SUMIF(ProformaCat,$B44,'Operating Calculations'!Z$88:Z$107)+Input!$G$153*'Operating Calculations'!Z$94)*(AB$6&lt;=MAX(YrOfExit,1))</f>
        <v>-12225</v>
      </c>
      <c r="AC44" s="78">
        <f>(SUMIF(ProformaCat,$B44,'Operating Calculations'!AA$88:AA$107)+Input!$G$153*'Operating Calculations'!AA$94)*(AC$6&lt;=MAX(YrOfExit,1))</f>
        <v>-12225</v>
      </c>
      <c r="AD44" s="78">
        <f>(SUMIF(ProformaCat,$B44,'Operating Calculations'!AB$88:AB$107)+Input!$G$153*'Operating Calculations'!AB$94)*(AD$6&lt;=MAX(YrOfExit,1))</f>
        <v>-12225</v>
      </c>
      <c r="AE44" s="78">
        <f>(SUMIF(ProformaCat,$B44,'Operating Calculations'!AC$88:AC$107)+Input!$G$153*'Operating Calculations'!AC$94)*(AE$6&lt;=MAX(YrOfExit,1))</f>
        <v>-12225</v>
      </c>
      <c r="AF44" s="78">
        <f>(SUMIF(ProformaCat,$B44,'Operating Calculations'!AD$88:AD$107)+Input!$G$153*'Operating Calculations'!AD$94)*(AF$6&lt;=MAX(YrOfExit,1))</f>
        <v>-12225</v>
      </c>
      <c r="AG44" s="78">
        <f>(SUMIF(ProformaCat,$B44,'Operating Calculations'!AE$88:AE$107)+Input!$G$153*'Operating Calculations'!AE$94)*(AG$6&lt;=MAX(YrOfExit,1))</f>
        <v>-12225</v>
      </c>
      <c r="AH44" s="78">
        <f>(SUMIF(ProformaCat,$B44,'Operating Calculations'!AF$88:AF$107)+Input!$G$153*'Operating Calculations'!AF$94)*(AH$6&lt;=MAX(YrOfExit,1))</f>
        <v>-12225</v>
      </c>
      <c r="AI44" s="78">
        <f>(SUMIF(ProformaCat,$B44,'Operating Calculations'!AG$88:AG$107)+Input!$G$153*'Operating Calculations'!AG$94)*(AI$6&lt;=MAX(YrOfExit,1))</f>
        <v>-12225</v>
      </c>
      <c r="AJ44" s="78">
        <f>(SUMIF(ProformaCat,$B44,'Operating Calculations'!AH$88:AH$107)+Input!$G$153*'Operating Calculations'!AH$94)*(AJ$6&lt;=MAX(YrOfExit,1))</f>
        <v>-12225</v>
      </c>
      <c r="AK44" s="78">
        <f>(SUMIF(ProformaCat,$B44,'Operating Calculations'!AI$88:AI$107)+Input!$G$153*'Operating Calculations'!AI$94)*(AK$6&lt;=MAX(YrOfExit,1))</f>
        <v>-12225</v>
      </c>
      <c r="AL44" s="78">
        <f>(SUMIF(ProformaCat,$B44,'Operating Calculations'!AJ$88:AJ$107)+Input!$G$153*'Operating Calculations'!AJ$94)*(AL$6&lt;=MAX(YrOfExit,1))</f>
        <v>-12225</v>
      </c>
      <c r="AM44" s="78">
        <f>(SUMIF(ProformaCat,$B44,'Operating Calculations'!AK$88:AK$107)+Input!$G$153*'Operating Calculations'!AK$94)*(AM$6&lt;=MAX(YrOfExit,1))</f>
        <v>-12225</v>
      </c>
      <c r="AN44" s="78">
        <f>(SUMIF(ProformaCat,$B44,'Operating Calculations'!AL$88:AL$107)+Input!$G$153*'Operating Calculations'!AL$94)*(AN$6&lt;=MAX(YrOfExit,1))</f>
        <v>-12225</v>
      </c>
      <c r="AO44" s="78">
        <f>(SUMIF(ProformaCat,$B44,'Operating Calculations'!AM$88:AM$107)+Input!$G$153*'Operating Calculations'!AM$94)*(AO$6&lt;=MAX(YrOfExit,1))</f>
        <v>-12225</v>
      </c>
      <c r="AP44" s="78">
        <f>(SUMIF(ProformaCat,$B44,'Operating Calculations'!AN$88:AN$107)+Input!$G$153*'Operating Calculations'!AN$94)*(AP$6&lt;=MAX(YrOfExit,1))</f>
        <v>-12225</v>
      </c>
      <c r="AQ44" s="78">
        <f>(SUMIF(ProformaCat,$B44,'Operating Calculations'!AO$88:AO$107)+Input!$G$153*'Operating Calculations'!AO$94)*(AQ$6&lt;=MAX(YrOfExit,1))</f>
        <v>-12225</v>
      </c>
      <c r="AR44" s="78">
        <f>(SUMIF(ProformaCat,$B44,'Operating Calculations'!AP$88:AP$107)+Input!$G$153*'Operating Calculations'!AP$94)*(AR$6&lt;=MAX(YrOfExit,1))</f>
        <v>-12225</v>
      </c>
      <c r="AS44" s="78">
        <f>(SUMIF(ProformaCat,$B44,'Operating Calculations'!AQ$88:AQ$107)+Input!$G$153*'Operating Calculations'!AQ$94)*(AS$6&lt;=MAX(YrOfExit,1))</f>
        <v>-12225</v>
      </c>
      <c r="AT44" s="78">
        <f>(SUMIF(ProformaCat,$B44,'Operating Calculations'!AR$88:AR$107)+Input!$G$153*'Operating Calculations'!AR$94)*(AT$6&lt;=MAX(YrOfExit,1))</f>
        <v>-12225</v>
      </c>
      <c r="AU44" s="78">
        <f>(SUMIF(ProformaCat,$B44,'Operating Calculations'!AS$88:AS$107)+Input!$G$153*'Operating Calculations'!AS$94)*(AU$6&lt;=MAX(YrOfExit,1))</f>
        <v>-12225</v>
      </c>
      <c r="AV44" s="78">
        <f>(SUMIF(ProformaCat,$B44,'Operating Calculations'!AT$88:AT$107)+Input!$G$153*'Operating Calculations'!AT$94)*(AV$6&lt;=MAX(YrOfExit,1))</f>
        <v>-12225</v>
      </c>
      <c r="AW44" s="78">
        <f>(SUMIF(ProformaCat,$B44,'Operating Calculations'!AU$88:AU$107)+Input!$G$153*'Operating Calculations'!AU$94)*(AW$6&lt;=MAX(YrOfExit,1))</f>
        <v>-12225</v>
      </c>
      <c r="AX44" s="78">
        <f>(SUMIF(ProformaCat,$B44,'Operating Calculations'!AV$88:AV$107)+Input!$G$153*'Operating Calculations'!AV$94)*(AX$6&lt;=MAX(YrOfExit,1))</f>
        <v>-12225</v>
      </c>
      <c r="AY44" s="78">
        <f>(SUMIF(ProformaCat,$B44,'Operating Calculations'!AW$88:AW$107)+Input!$G$153*'Operating Calculations'!AW$94)*(AY$6&lt;=MAX(YrOfExit,1))</f>
        <v>-12225</v>
      </c>
      <c r="AZ44" s="78">
        <f>(SUMIF(ProformaCat,$B44,'Operating Calculations'!AX$88:AX$107)+Input!$G$153*'Operating Calculations'!AX$94)*(AZ$6&lt;=MAX(YrOfExit,1))</f>
        <v>-12225</v>
      </c>
      <c r="BA44" s="78">
        <f>(SUMIF(ProformaCat,$B44,'Operating Calculations'!AY$88:AY$107)+Input!$G$153*'Operating Calculations'!AY$94)*(BA$6&lt;=MAX(YrOfExit,1))</f>
        <v>-12225</v>
      </c>
      <c r="BB44" s="78">
        <f>(SUMIF(ProformaCat,$B44,'Operating Calculations'!AZ$88:AZ$107)+Input!$G$153*'Operating Calculations'!AZ$94)*(BB$6&lt;=MAX(YrOfExit,1))</f>
        <v>-12225</v>
      </c>
      <c r="BC44" s="78">
        <f>(SUMIF(ProformaCat,$B44,'Operating Calculations'!BA$88:BA$107)+Input!$G$153*'Operating Calculations'!BA$94)*(BC$6&lt;=MAX(YrOfExit,1))</f>
        <v>-12225</v>
      </c>
      <c r="BD44" s="206">
        <f t="shared" si="39"/>
        <v>-12225</v>
      </c>
      <c r="BE44" s="78">
        <f t="shared" si="39"/>
        <v>-12225</v>
      </c>
      <c r="BF44" s="78">
        <f t="shared" si="39"/>
        <v>-12225</v>
      </c>
      <c r="BG44" s="78">
        <f t="shared" si="39"/>
        <v>-12225</v>
      </c>
      <c r="BH44" s="78">
        <f t="shared" si="39"/>
        <v>-12225</v>
      </c>
      <c r="BI44" s="78">
        <f t="shared" si="39"/>
        <v>-12225</v>
      </c>
      <c r="BJ44" s="78">
        <f t="shared" si="39"/>
        <v>-12225</v>
      </c>
      <c r="BK44" s="78">
        <f t="shared" si="39"/>
        <v>-12225</v>
      </c>
      <c r="BL44" s="78">
        <f t="shared" si="39"/>
        <v>-12225</v>
      </c>
      <c r="BM44" s="78">
        <f t="shared" si="39"/>
        <v>-12225</v>
      </c>
      <c r="BN44" s="78">
        <f t="shared" si="40"/>
        <v>-12225</v>
      </c>
      <c r="BO44" s="78">
        <f t="shared" si="40"/>
        <v>-12225</v>
      </c>
      <c r="BP44" s="78">
        <f t="shared" si="40"/>
        <v>-12225</v>
      </c>
      <c r="BQ44" s="78">
        <f t="shared" si="40"/>
        <v>-12225</v>
      </c>
      <c r="BR44" s="78">
        <f t="shared" si="40"/>
        <v>-12225</v>
      </c>
      <c r="BS44" s="78">
        <f t="shared" si="40"/>
        <v>-12225</v>
      </c>
      <c r="BT44" s="78">
        <f t="shared" si="40"/>
        <v>-12225</v>
      </c>
      <c r="BU44" s="78">
        <f t="shared" si="40"/>
        <v>-12225</v>
      </c>
      <c r="BV44" s="78">
        <f t="shared" si="40"/>
        <v>-12225</v>
      </c>
      <c r="BW44" s="78">
        <f t="shared" si="40"/>
        <v>-12225</v>
      </c>
      <c r="BX44" s="78">
        <f t="shared" si="41"/>
        <v>-12225</v>
      </c>
      <c r="BY44" s="78">
        <f t="shared" si="41"/>
        <v>-12225</v>
      </c>
      <c r="BZ44" s="78">
        <f t="shared" si="41"/>
        <v>-12225</v>
      </c>
      <c r="CA44" s="78">
        <f t="shared" si="41"/>
        <v>-12225</v>
      </c>
      <c r="CB44" s="78">
        <f t="shared" si="41"/>
        <v>-12225</v>
      </c>
      <c r="CC44" s="78">
        <f t="shared" si="41"/>
        <v>-12225</v>
      </c>
      <c r="CD44" s="78">
        <f t="shared" si="41"/>
        <v>-12225</v>
      </c>
      <c r="CE44" s="78">
        <f t="shared" si="41"/>
        <v>-12225</v>
      </c>
      <c r="CF44" s="78">
        <f t="shared" si="41"/>
        <v>-12225</v>
      </c>
      <c r="CG44" s="78">
        <f t="shared" si="41"/>
        <v>-12225</v>
      </c>
      <c r="CH44" s="78">
        <f t="shared" si="42"/>
        <v>-12225</v>
      </c>
      <c r="CI44" s="78">
        <f t="shared" si="42"/>
        <v>-12225</v>
      </c>
      <c r="CJ44" s="78">
        <f t="shared" si="42"/>
        <v>-12225</v>
      </c>
      <c r="CK44" s="78">
        <f t="shared" si="42"/>
        <v>-12225</v>
      </c>
      <c r="CL44" s="78">
        <f t="shared" si="42"/>
        <v>-12225</v>
      </c>
      <c r="CM44" s="78">
        <f t="shared" si="42"/>
        <v>-12225</v>
      </c>
      <c r="CN44" s="78">
        <f t="shared" si="42"/>
        <v>-12225</v>
      </c>
      <c r="CO44" s="78">
        <f t="shared" si="42"/>
        <v>-12225</v>
      </c>
      <c r="CP44" s="78">
        <f t="shared" si="42"/>
        <v>-12225</v>
      </c>
      <c r="CQ44" s="78">
        <f t="shared" si="42"/>
        <v>-12225</v>
      </c>
      <c r="CR44" s="78">
        <f t="shared" si="43"/>
        <v>-12225</v>
      </c>
      <c r="CS44" s="78">
        <f t="shared" si="43"/>
        <v>-12225</v>
      </c>
      <c r="CT44" s="78">
        <f t="shared" si="43"/>
        <v>-12225</v>
      </c>
      <c r="CU44" s="78">
        <f t="shared" si="43"/>
        <v>-12225</v>
      </c>
      <c r="CV44" s="78">
        <f t="shared" si="43"/>
        <v>-12225</v>
      </c>
      <c r="CW44" s="78">
        <f t="shared" si="43"/>
        <v>-12225</v>
      </c>
      <c r="CX44" s="78">
        <f t="shared" si="43"/>
        <v>-12225</v>
      </c>
      <c r="CY44" s="78">
        <f t="shared" si="43"/>
        <v>-12225</v>
      </c>
      <c r="CZ44" s="78">
        <f t="shared" si="43"/>
        <v>0</v>
      </c>
      <c r="DA44" s="78">
        <f t="shared" si="43"/>
        <v>0</v>
      </c>
      <c r="DB44" s="78">
        <f t="shared" si="44"/>
        <v>0</v>
      </c>
      <c r="DC44" s="78">
        <f t="shared" si="44"/>
        <v>0</v>
      </c>
      <c r="DD44" s="78">
        <f t="shared" si="44"/>
        <v>0</v>
      </c>
      <c r="DE44" s="78">
        <f t="shared" si="44"/>
        <v>0</v>
      </c>
      <c r="DF44" s="78">
        <f t="shared" si="44"/>
        <v>0</v>
      </c>
      <c r="DG44" s="78">
        <f t="shared" si="44"/>
        <v>0</v>
      </c>
      <c r="DH44" s="78">
        <f t="shared" si="44"/>
        <v>0</v>
      </c>
      <c r="DI44" s="78">
        <f t="shared" si="44"/>
        <v>0</v>
      </c>
      <c r="DJ44" s="78">
        <f t="shared" si="44"/>
        <v>0</v>
      </c>
      <c r="DK44" s="78">
        <f t="shared" si="44"/>
        <v>0</v>
      </c>
      <c r="DL44" s="78">
        <f t="shared" si="45"/>
        <v>0</v>
      </c>
      <c r="DM44" s="78">
        <f t="shared" si="45"/>
        <v>0</v>
      </c>
      <c r="DN44" s="78">
        <f t="shared" si="45"/>
        <v>0</v>
      </c>
      <c r="DO44" s="78">
        <f t="shared" si="45"/>
        <v>0</v>
      </c>
      <c r="DP44" s="78">
        <f t="shared" si="45"/>
        <v>0</v>
      </c>
      <c r="DQ44" s="78">
        <f t="shared" si="45"/>
        <v>0</v>
      </c>
      <c r="DR44" s="78">
        <f t="shared" si="45"/>
        <v>0</v>
      </c>
      <c r="DS44" s="78">
        <f t="shared" si="45"/>
        <v>0</v>
      </c>
      <c r="DT44" s="78">
        <f t="shared" si="45"/>
        <v>0</v>
      </c>
      <c r="DU44" s="78">
        <f t="shared" si="45"/>
        <v>0</v>
      </c>
      <c r="DV44" s="78">
        <f t="shared" si="46"/>
        <v>0</v>
      </c>
      <c r="DW44" s="78">
        <f t="shared" si="46"/>
        <v>0</v>
      </c>
      <c r="DX44" s="78">
        <f t="shared" si="46"/>
        <v>0</v>
      </c>
      <c r="DY44" s="78">
        <f t="shared" si="46"/>
        <v>0</v>
      </c>
      <c r="DZ44" s="78">
        <f t="shared" si="46"/>
        <v>0</v>
      </c>
      <c r="EA44" s="78">
        <f t="shared" si="46"/>
        <v>0</v>
      </c>
      <c r="EB44" s="78">
        <f t="shared" si="46"/>
        <v>0</v>
      </c>
      <c r="EC44" s="78">
        <f t="shared" si="46"/>
        <v>0</v>
      </c>
      <c r="ED44" s="78">
        <f t="shared" si="46"/>
        <v>0</v>
      </c>
      <c r="EE44" s="78">
        <f t="shared" si="46"/>
        <v>0</v>
      </c>
      <c r="EF44" s="78">
        <f t="shared" si="46"/>
        <v>0</v>
      </c>
      <c r="EG44" s="78">
        <f t="shared" si="46"/>
        <v>0</v>
      </c>
      <c r="EH44" s="78">
        <f t="shared" si="46"/>
        <v>0</v>
      </c>
      <c r="EI44" s="78">
        <f t="shared" si="46"/>
        <v>0</v>
      </c>
    </row>
    <row r="45" spans="2:139">
      <c r="B45" s="32" t="str">
        <f>GenValidation!L11</f>
        <v>Marketing / Advertising</v>
      </c>
      <c r="C45" s="32"/>
      <c r="D45" s="78"/>
      <c r="E45" s="78">
        <f>(SUMIF(ProformaCat,$B45,'Operating Calculations'!C$88:C$107)+Input!$I$153*'Operating Calculations'!C$94)*(E$5&lt;=MAX(YrOfExit,1))</f>
        <v>0</v>
      </c>
      <c r="F45" s="78">
        <f>(SUMIF(ProformaCat,$B45,'Operating Calculations'!D$88:D$107)+Input!$I$153*'Operating Calculations'!D$94)*(F$5&lt;=MAX(YrOfExit,1))</f>
        <v>0</v>
      </c>
      <c r="G45" s="78">
        <f>(SUMIF(ProformaCat,$B45,'Operating Calculations'!E$88:E$107)+Input!$I$153*'Operating Calculations'!E$94)*(G$5&lt;=MAX(YrOfExit,1))</f>
        <v>0</v>
      </c>
      <c r="H45" s="78">
        <f>(SUMIF(ProformaCat,$B45,'Operating Calculations'!F$88:F$107)+Input!$I$153*'Operating Calculations'!F$94)*(H$5&lt;=MAX(YrOfExit,1))</f>
        <v>0</v>
      </c>
      <c r="I45" s="78">
        <f>(SUMIF(ProformaCat,$B45,'Operating Calculations'!G$88:G$107)+Input!$I$153*'Operating Calculations'!G$94)*(I$5&lt;=MAX(YrOfExit,1))</f>
        <v>0</v>
      </c>
      <c r="J45" s="78">
        <f>(SUMIF(ProformaCat,$B45,'Operating Calculations'!H$88:H$107)+Input!$I$153*'Operating Calculations'!H$94)*(J$5&lt;=MAX(YrOfExit,1))</f>
        <v>0</v>
      </c>
      <c r="K45" s="78">
        <f>(SUMIF(ProformaCat,$B45,'Operating Calculations'!I$88:I$107)+Input!$I$153*'Operating Calculations'!I$94)*(K$5&lt;=MAX(YrOfExit,1))</f>
        <v>0</v>
      </c>
      <c r="L45" s="78">
        <f>(SUMIF(ProformaCat,$B45,'Operating Calculations'!J$88:J$107)+Input!$I$153*'Operating Calculations'!J$94)*(L$5&lt;=MAX(YrOfExit,1))</f>
        <v>0</v>
      </c>
      <c r="M45" s="78">
        <f>(SUMIF(ProformaCat,$B45,'Operating Calculations'!K$88:K$107)+Input!$I$153*'Operating Calculations'!K$94)*(M$5&lt;=MAX(YrOfExit,1))</f>
        <v>0</v>
      </c>
      <c r="N45" s="78">
        <f>(SUMIF(ProformaCat,$B45,'Operating Calculations'!L$88:L$107)+Input!$I$153*'Operating Calculations'!L$94)*(N$5&lt;=MAX(YrOfExit,1))</f>
        <v>0</v>
      </c>
      <c r="O45" s="145">
        <f t="shared" si="38"/>
        <v>0</v>
      </c>
      <c r="P45" s="202"/>
      <c r="Q45" s="78">
        <f>SUMIF(ProformaCat,$B45,'Operating Calculations'!O$88:O$107)+Input!$I$153*'Operating Calculations'!O$94</f>
        <v>0</v>
      </c>
      <c r="S45" s="27"/>
      <c r="T45" s="78">
        <f>(SUMIF(ProformaCat,$B45,'Operating Calculations'!R$88:R$107)+Input!$I$153*'Operating Calculations'!R$94)*(T$6&lt;=MAX(YrOfExit,1))</f>
        <v>0</v>
      </c>
      <c r="U45" s="78">
        <f>(SUMIF(ProformaCat,$B45,'Operating Calculations'!S$88:S$107)+Input!$I$153*'Operating Calculations'!S$94)*(U$6&lt;=MAX(YrOfExit,1))</f>
        <v>0</v>
      </c>
      <c r="V45" s="78">
        <f>(SUMIF(ProformaCat,$B45,'Operating Calculations'!T$88:T$107)+Input!$I$153*'Operating Calculations'!T$94)*(V$6&lt;=MAX(YrOfExit,1))</f>
        <v>0</v>
      </c>
      <c r="W45" s="78">
        <f>(SUMIF(ProformaCat,$B45,'Operating Calculations'!U$88:U$107)+Input!$I$153*'Operating Calculations'!U$94)*(W$6&lt;=MAX(YrOfExit,1))</f>
        <v>0</v>
      </c>
      <c r="X45" s="78">
        <f>(SUMIF(ProformaCat,$B45,'Operating Calculations'!V$88:V$107)+Input!$I$153*'Operating Calculations'!V$94)*(X$6&lt;=MAX(YrOfExit,1))</f>
        <v>0</v>
      </c>
      <c r="Y45" s="78">
        <f>(SUMIF(ProformaCat,$B45,'Operating Calculations'!W$88:W$107)+Input!$I$153*'Operating Calculations'!W$94)*(Y$6&lt;=MAX(YrOfExit,1))</f>
        <v>0</v>
      </c>
      <c r="Z45" s="78">
        <f>(SUMIF(ProformaCat,$B45,'Operating Calculations'!X$88:X$107)+Input!$I$153*'Operating Calculations'!X$94)*(Z$6&lt;=MAX(YrOfExit,1))</f>
        <v>0</v>
      </c>
      <c r="AA45" s="78">
        <f>(SUMIF(ProformaCat,$B45,'Operating Calculations'!Y$88:Y$107)+Input!$I$153*'Operating Calculations'!Y$94)*(AA$6&lt;=MAX(YrOfExit,1))</f>
        <v>0</v>
      </c>
      <c r="AB45" s="78">
        <f>(SUMIF(ProformaCat,$B45,'Operating Calculations'!Z$88:Z$107)+Input!$I$153*'Operating Calculations'!Z$94)*(AB$6&lt;=MAX(YrOfExit,1))</f>
        <v>0</v>
      </c>
      <c r="AC45" s="78">
        <f>(SUMIF(ProformaCat,$B45,'Operating Calculations'!AA$88:AA$107)+Input!$I$153*'Operating Calculations'!AA$94)*(AC$6&lt;=MAX(YrOfExit,1))</f>
        <v>0</v>
      </c>
      <c r="AD45" s="78">
        <f>(SUMIF(ProformaCat,$B45,'Operating Calculations'!AB$88:AB$107)+Input!$I$153*'Operating Calculations'!AB$94)*(AD$6&lt;=MAX(YrOfExit,1))</f>
        <v>0</v>
      </c>
      <c r="AE45" s="78">
        <f>(SUMIF(ProformaCat,$B45,'Operating Calculations'!AC$88:AC$107)+Input!$I$153*'Operating Calculations'!AC$94)*(AE$6&lt;=MAX(YrOfExit,1))</f>
        <v>0</v>
      </c>
      <c r="AF45" s="78">
        <f>(SUMIF(ProformaCat,$B45,'Operating Calculations'!AD$88:AD$107)+Input!$I$153*'Operating Calculations'!AD$94)*(AF$6&lt;=MAX(YrOfExit,1))</f>
        <v>0</v>
      </c>
      <c r="AG45" s="78">
        <f>(SUMIF(ProformaCat,$B45,'Operating Calculations'!AE$88:AE$107)+Input!$I$153*'Operating Calculations'!AE$94)*(AG$6&lt;=MAX(YrOfExit,1))</f>
        <v>0</v>
      </c>
      <c r="AH45" s="78">
        <f>(SUMIF(ProformaCat,$B45,'Operating Calculations'!AF$88:AF$107)+Input!$I$153*'Operating Calculations'!AF$94)*(AH$6&lt;=MAX(YrOfExit,1))</f>
        <v>0</v>
      </c>
      <c r="AI45" s="78">
        <f>(SUMIF(ProformaCat,$B45,'Operating Calculations'!AG$88:AG$107)+Input!$I$153*'Operating Calculations'!AG$94)*(AI$6&lt;=MAX(YrOfExit,1))</f>
        <v>0</v>
      </c>
      <c r="AJ45" s="78">
        <f>(SUMIF(ProformaCat,$B45,'Operating Calculations'!AH$88:AH$107)+Input!$I$153*'Operating Calculations'!AH$94)*(AJ$6&lt;=MAX(YrOfExit,1))</f>
        <v>0</v>
      </c>
      <c r="AK45" s="78">
        <f>(SUMIF(ProformaCat,$B45,'Operating Calculations'!AI$88:AI$107)+Input!$I$153*'Operating Calculations'!AI$94)*(AK$6&lt;=MAX(YrOfExit,1))</f>
        <v>0</v>
      </c>
      <c r="AL45" s="78">
        <f>(SUMIF(ProformaCat,$B45,'Operating Calculations'!AJ$88:AJ$107)+Input!$I$153*'Operating Calculations'!AJ$94)*(AL$6&lt;=MAX(YrOfExit,1))</f>
        <v>0</v>
      </c>
      <c r="AM45" s="78">
        <f>(SUMIF(ProformaCat,$B45,'Operating Calculations'!AK$88:AK$107)+Input!$I$153*'Operating Calculations'!AK$94)*(AM$6&lt;=MAX(YrOfExit,1))</f>
        <v>0</v>
      </c>
      <c r="AN45" s="78">
        <f>(SUMIF(ProformaCat,$B45,'Operating Calculations'!AL$88:AL$107)+Input!$I$153*'Operating Calculations'!AL$94)*(AN$6&lt;=MAX(YrOfExit,1))</f>
        <v>0</v>
      </c>
      <c r="AO45" s="78">
        <f>(SUMIF(ProformaCat,$B45,'Operating Calculations'!AM$88:AM$107)+Input!$I$153*'Operating Calculations'!AM$94)*(AO$6&lt;=MAX(YrOfExit,1))</f>
        <v>0</v>
      </c>
      <c r="AP45" s="78">
        <f>(SUMIF(ProformaCat,$B45,'Operating Calculations'!AN$88:AN$107)+Input!$I$153*'Operating Calculations'!AN$94)*(AP$6&lt;=MAX(YrOfExit,1))</f>
        <v>0</v>
      </c>
      <c r="AQ45" s="78">
        <f>(SUMIF(ProformaCat,$B45,'Operating Calculations'!AO$88:AO$107)+Input!$I$153*'Operating Calculations'!AO$94)*(AQ$6&lt;=MAX(YrOfExit,1))</f>
        <v>0</v>
      </c>
      <c r="AR45" s="78">
        <f>(SUMIF(ProformaCat,$B45,'Operating Calculations'!AP$88:AP$107)+Input!$I$153*'Operating Calculations'!AP$94)*(AR$6&lt;=MAX(YrOfExit,1))</f>
        <v>0</v>
      </c>
      <c r="AS45" s="78">
        <f>(SUMIF(ProformaCat,$B45,'Operating Calculations'!AQ$88:AQ$107)+Input!$I$153*'Operating Calculations'!AQ$94)*(AS$6&lt;=MAX(YrOfExit,1))</f>
        <v>0</v>
      </c>
      <c r="AT45" s="78">
        <f>(SUMIF(ProformaCat,$B45,'Operating Calculations'!AR$88:AR$107)+Input!$I$153*'Operating Calculations'!AR$94)*(AT$6&lt;=MAX(YrOfExit,1))</f>
        <v>0</v>
      </c>
      <c r="AU45" s="78">
        <f>(SUMIF(ProformaCat,$B45,'Operating Calculations'!AS$88:AS$107)+Input!$I$153*'Operating Calculations'!AS$94)*(AU$6&lt;=MAX(YrOfExit,1))</f>
        <v>0</v>
      </c>
      <c r="AV45" s="78">
        <f>(SUMIF(ProformaCat,$B45,'Operating Calculations'!AT$88:AT$107)+Input!$I$153*'Operating Calculations'!AT$94)*(AV$6&lt;=MAX(YrOfExit,1))</f>
        <v>0</v>
      </c>
      <c r="AW45" s="78">
        <f>(SUMIF(ProformaCat,$B45,'Operating Calculations'!AU$88:AU$107)+Input!$I$153*'Operating Calculations'!AU$94)*(AW$6&lt;=MAX(YrOfExit,1))</f>
        <v>0</v>
      </c>
      <c r="AX45" s="78">
        <f>(SUMIF(ProformaCat,$B45,'Operating Calculations'!AV$88:AV$107)+Input!$I$153*'Operating Calculations'!AV$94)*(AX$6&lt;=MAX(YrOfExit,1))</f>
        <v>0</v>
      </c>
      <c r="AY45" s="78">
        <f>(SUMIF(ProformaCat,$B45,'Operating Calculations'!AW$88:AW$107)+Input!$I$153*'Operating Calculations'!AW$94)*(AY$6&lt;=MAX(YrOfExit,1))</f>
        <v>0</v>
      </c>
      <c r="AZ45" s="78">
        <f>(SUMIF(ProformaCat,$B45,'Operating Calculations'!AX$88:AX$107)+Input!$I$153*'Operating Calculations'!AX$94)*(AZ$6&lt;=MAX(YrOfExit,1))</f>
        <v>0</v>
      </c>
      <c r="BA45" s="78">
        <f>(SUMIF(ProformaCat,$B45,'Operating Calculations'!AY$88:AY$107)+Input!$I$153*'Operating Calculations'!AY$94)*(BA$6&lt;=MAX(YrOfExit,1))</f>
        <v>0</v>
      </c>
      <c r="BB45" s="78">
        <f>(SUMIF(ProformaCat,$B45,'Operating Calculations'!AZ$88:AZ$107)+Input!$I$153*'Operating Calculations'!AZ$94)*(BB$6&lt;=MAX(YrOfExit,1))</f>
        <v>0</v>
      </c>
      <c r="BC45" s="78">
        <f>(SUMIF(ProformaCat,$B45,'Operating Calculations'!BA$88:BA$107)+Input!$I$153*'Operating Calculations'!BA$94)*(BC$6&lt;=MAX(YrOfExit,1))</f>
        <v>0</v>
      </c>
      <c r="BD45" s="206">
        <f t="shared" si="39"/>
        <v>0</v>
      </c>
      <c r="BE45" s="78">
        <f t="shared" si="39"/>
        <v>0</v>
      </c>
      <c r="BF45" s="78">
        <f t="shared" si="39"/>
        <v>0</v>
      </c>
      <c r="BG45" s="78">
        <f t="shared" si="39"/>
        <v>0</v>
      </c>
      <c r="BH45" s="78">
        <f t="shared" si="39"/>
        <v>0</v>
      </c>
      <c r="BI45" s="78">
        <f t="shared" si="39"/>
        <v>0</v>
      </c>
      <c r="BJ45" s="78">
        <f t="shared" si="39"/>
        <v>0</v>
      </c>
      <c r="BK45" s="78">
        <f t="shared" si="39"/>
        <v>0</v>
      </c>
      <c r="BL45" s="78">
        <f t="shared" si="39"/>
        <v>0</v>
      </c>
      <c r="BM45" s="78">
        <f t="shared" si="39"/>
        <v>0</v>
      </c>
      <c r="BN45" s="78">
        <f t="shared" si="40"/>
        <v>0</v>
      </c>
      <c r="BO45" s="78">
        <f t="shared" si="40"/>
        <v>0</v>
      </c>
      <c r="BP45" s="78">
        <f t="shared" si="40"/>
        <v>0</v>
      </c>
      <c r="BQ45" s="78">
        <f t="shared" si="40"/>
        <v>0</v>
      </c>
      <c r="BR45" s="78">
        <f t="shared" si="40"/>
        <v>0</v>
      </c>
      <c r="BS45" s="78">
        <f t="shared" si="40"/>
        <v>0</v>
      </c>
      <c r="BT45" s="78">
        <f t="shared" si="40"/>
        <v>0</v>
      </c>
      <c r="BU45" s="78">
        <f t="shared" si="40"/>
        <v>0</v>
      </c>
      <c r="BV45" s="78">
        <f t="shared" si="40"/>
        <v>0</v>
      </c>
      <c r="BW45" s="78">
        <f t="shared" si="40"/>
        <v>0</v>
      </c>
      <c r="BX45" s="78">
        <f t="shared" si="41"/>
        <v>0</v>
      </c>
      <c r="BY45" s="78">
        <f t="shared" si="41"/>
        <v>0</v>
      </c>
      <c r="BZ45" s="78">
        <f t="shared" si="41"/>
        <v>0</v>
      </c>
      <c r="CA45" s="78">
        <f t="shared" si="41"/>
        <v>0</v>
      </c>
      <c r="CB45" s="78">
        <f t="shared" si="41"/>
        <v>0</v>
      </c>
      <c r="CC45" s="78">
        <f t="shared" si="41"/>
        <v>0</v>
      </c>
      <c r="CD45" s="78">
        <f t="shared" si="41"/>
        <v>0</v>
      </c>
      <c r="CE45" s="78">
        <f t="shared" si="41"/>
        <v>0</v>
      </c>
      <c r="CF45" s="78">
        <f t="shared" si="41"/>
        <v>0</v>
      </c>
      <c r="CG45" s="78">
        <f t="shared" si="41"/>
        <v>0</v>
      </c>
      <c r="CH45" s="78">
        <f t="shared" si="42"/>
        <v>0</v>
      </c>
      <c r="CI45" s="78">
        <f t="shared" si="42"/>
        <v>0</v>
      </c>
      <c r="CJ45" s="78">
        <f t="shared" si="42"/>
        <v>0</v>
      </c>
      <c r="CK45" s="78">
        <f t="shared" si="42"/>
        <v>0</v>
      </c>
      <c r="CL45" s="78">
        <f t="shared" si="42"/>
        <v>0</v>
      </c>
      <c r="CM45" s="78">
        <f t="shared" si="42"/>
        <v>0</v>
      </c>
      <c r="CN45" s="78">
        <f t="shared" si="42"/>
        <v>0</v>
      </c>
      <c r="CO45" s="78">
        <f t="shared" si="42"/>
        <v>0</v>
      </c>
      <c r="CP45" s="78">
        <f t="shared" si="42"/>
        <v>0</v>
      </c>
      <c r="CQ45" s="78">
        <f t="shared" si="42"/>
        <v>0</v>
      </c>
      <c r="CR45" s="78">
        <f t="shared" si="43"/>
        <v>0</v>
      </c>
      <c r="CS45" s="78">
        <f t="shared" si="43"/>
        <v>0</v>
      </c>
      <c r="CT45" s="78">
        <f t="shared" si="43"/>
        <v>0</v>
      </c>
      <c r="CU45" s="78">
        <f t="shared" si="43"/>
        <v>0</v>
      </c>
      <c r="CV45" s="78">
        <f t="shared" si="43"/>
        <v>0</v>
      </c>
      <c r="CW45" s="78">
        <f t="shared" si="43"/>
        <v>0</v>
      </c>
      <c r="CX45" s="78">
        <f t="shared" si="43"/>
        <v>0</v>
      </c>
      <c r="CY45" s="78">
        <f t="shared" si="43"/>
        <v>0</v>
      </c>
      <c r="CZ45" s="78">
        <f t="shared" si="43"/>
        <v>0</v>
      </c>
      <c r="DA45" s="78">
        <f t="shared" si="43"/>
        <v>0</v>
      </c>
      <c r="DB45" s="78">
        <f t="shared" si="44"/>
        <v>0</v>
      </c>
      <c r="DC45" s="78">
        <f t="shared" si="44"/>
        <v>0</v>
      </c>
      <c r="DD45" s="78">
        <f t="shared" si="44"/>
        <v>0</v>
      </c>
      <c r="DE45" s="78">
        <f t="shared" si="44"/>
        <v>0</v>
      </c>
      <c r="DF45" s="78">
        <f t="shared" si="44"/>
        <v>0</v>
      </c>
      <c r="DG45" s="78">
        <f t="shared" si="44"/>
        <v>0</v>
      </c>
      <c r="DH45" s="78">
        <f t="shared" si="44"/>
        <v>0</v>
      </c>
      <c r="DI45" s="78">
        <f t="shared" si="44"/>
        <v>0</v>
      </c>
      <c r="DJ45" s="78">
        <f t="shared" si="44"/>
        <v>0</v>
      </c>
      <c r="DK45" s="78">
        <f t="shared" si="44"/>
        <v>0</v>
      </c>
      <c r="DL45" s="78">
        <f t="shared" si="45"/>
        <v>0</v>
      </c>
      <c r="DM45" s="78">
        <f t="shared" si="45"/>
        <v>0</v>
      </c>
      <c r="DN45" s="78">
        <f t="shared" si="45"/>
        <v>0</v>
      </c>
      <c r="DO45" s="78">
        <f t="shared" si="45"/>
        <v>0</v>
      </c>
      <c r="DP45" s="78">
        <f t="shared" si="45"/>
        <v>0</v>
      </c>
      <c r="DQ45" s="78">
        <f t="shared" si="45"/>
        <v>0</v>
      </c>
      <c r="DR45" s="78">
        <f t="shared" si="45"/>
        <v>0</v>
      </c>
      <c r="DS45" s="78">
        <f t="shared" si="45"/>
        <v>0</v>
      </c>
      <c r="DT45" s="78">
        <f t="shared" si="45"/>
        <v>0</v>
      </c>
      <c r="DU45" s="78">
        <f t="shared" si="45"/>
        <v>0</v>
      </c>
      <c r="DV45" s="78">
        <f t="shared" si="46"/>
        <v>0</v>
      </c>
      <c r="DW45" s="78">
        <f t="shared" si="46"/>
        <v>0</v>
      </c>
      <c r="DX45" s="78">
        <f t="shared" si="46"/>
        <v>0</v>
      </c>
      <c r="DY45" s="78">
        <f t="shared" si="46"/>
        <v>0</v>
      </c>
      <c r="DZ45" s="78">
        <f t="shared" si="46"/>
        <v>0</v>
      </c>
      <c r="EA45" s="78">
        <f t="shared" si="46"/>
        <v>0</v>
      </c>
      <c r="EB45" s="78">
        <f t="shared" si="46"/>
        <v>0</v>
      </c>
      <c r="EC45" s="78">
        <f t="shared" si="46"/>
        <v>0</v>
      </c>
      <c r="ED45" s="78">
        <f t="shared" si="46"/>
        <v>0</v>
      </c>
      <c r="EE45" s="78">
        <f t="shared" si="46"/>
        <v>0</v>
      </c>
      <c r="EF45" s="78">
        <f t="shared" si="46"/>
        <v>0</v>
      </c>
      <c r="EG45" s="78">
        <f t="shared" si="46"/>
        <v>0</v>
      </c>
      <c r="EH45" s="78">
        <f t="shared" si="46"/>
        <v>0</v>
      </c>
      <c r="EI45" s="78">
        <f t="shared" si="46"/>
        <v>0</v>
      </c>
    </row>
    <row r="46" spans="2:139">
      <c r="B46" s="32" t="str">
        <f>GenValidation!L12</f>
        <v>Administrative</v>
      </c>
      <c r="C46" s="32"/>
      <c r="D46" s="78"/>
      <c r="E46" s="78">
        <f>SUMIF(ProformaCat,$B46,'Operating Calculations'!C$88:C$107)*(E$5&lt;=MAX(YrOfExit,1))</f>
        <v>0</v>
      </c>
      <c r="F46" s="78">
        <f>SUMIF(ProformaCat,$B46,'Operating Calculations'!D$88:D$107)*(F$5&lt;=MAX(YrOfExit,1))</f>
        <v>0</v>
      </c>
      <c r="G46" s="78">
        <f>SUMIF(ProformaCat,$B46,'Operating Calculations'!E$88:E$107)*(G$5&lt;=MAX(YrOfExit,1))</f>
        <v>0</v>
      </c>
      <c r="H46" s="78">
        <f>SUMIF(ProformaCat,$B46,'Operating Calculations'!F$88:F$107)*(H$5&lt;=MAX(YrOfExit,1))</f>
        <v>0</v>
      </c>
      <c r="I46" s="78">
        <f>SUMIF(ProformaCat,$B46,'Operating Calculations'!G$88:G$107)*(I$5&lt;=MAX(YrOfExit,1))</f>
        <v>0</v>
      </c>
      <c r="J46" s="78">
        <f>SUMIF(ProformaCat,$B46,'Operating Calculations'!H$88:H$107)*(J$5&lt;=MAX(YrOfExit,1))</f>
        <v>0</v>
      </c>
      <c r="K46" s="78">
        <f>SUMIF(ProformaCat,$B46,'Operating Calculations'!I$88:I$107)*(K$5&lt;=MAX(YrOfExit,1))</f>
        <v>0</v>
      </c>
      <c r="L46" s="78">
        <f>SUMIF(ProformaCat,$B46,'Operating Calculations'!J$88:J$107)*(L$5&lt;=MAX(YrOfExit,1))</f>
        <v>0</v>
      </c>
      <c r="M46" s="78">
        <f>SUMIF(ProformaCat,$B46,'Operating Calculations'!K$88:K$107)*(M$5&lt;=MAX(YrOfExit,1))</f>
        <v>0</v>
      </c>
      <c r="N46" s="78">
        <f>SUMIF(ProformaCat,$B46,'Operating Calculations'!L$88:L$107)*(N$5&lt;=MAX(YrOfExit,1))</f>
        <v>0</v>
      </c>
      <c r="O46" s="145">
        <f t="shared" si="38"/>
        <v>0</v>
      </c>
      <c r="Q46" s="78">
        <f>SUMIF(ProformaCat,$B46,'Operating Calculations'!O$88:O$107)</f>
        <v>0</v>
      </c>
      <c r="S46" s="27"/>
      <c r="T46" s="78">
        <f>SUMIF(ProformaCat,$B46,'Operating Calculations'!R$88:R$107)*(T$6&lt;=MAX(YrOfExit,1))</f>
        <v>0</v>
      </c>
      <c r="U46" s="78">
        <f>SUMIF(ProformaCat,$B46,'Operating Calculations'!S$88:S$107)*(U$6&lt;=MAX(YrOfExit,1))</f>
        <v>0</v>
      </c>
      <c r="V46" s="78">
        <f>SUMIF(ProformaCat,$B46,'Operating Calculations'!T$88:T$107)*(V$6&lt;=MAX(YrOfExit,1))</f>
        <v>0</v>
      </c>
      <c r="W46" s="78">
        <f>SUMIF(ProformaCat,$B46,'Operating Calculations'!U$88:U$107)*(W$6&lt;=MAX(YrOfExit,1))</f>
        <v>0</v>
      </c>
      <c r="X46" s="78">
        <f>SUMIF(ProformaCat,$B46,'Operating Calculations'!V$88:V$107)*(X$6&lt;=MAX(YrOfExit,1))</f>
        <v>0</v>
      </c>
      <c r="Y46" s="78">
        <f>SUMIF(ProformaCat,$B46,'Operating Calculations'!W$88:W$107)*(Y$6&lt;=MAX(YrOfExit,1))</f>
        <v>0</v>
      </c>
      <c r="Z46" s="78">
        <f>SUMIF(ProformaCat,$B46,'Operating Calculations'!X$88:X$107)*(Z$6&lt;=MAX(YrOfExit,1))</f>
        <v>0</v>
      </c>
      <c r="AA46" s="78">
        <f>SUMIF(ProformaCat,$B46,'Operating Calculations'!Y$88:Y$107)*(AA$6&lt;=MAX(YrOfExit,1))</f>
        <v>0</v>
      </c>
      <c r="AB46" s="78">
        <f>SUMIF(ProformaCat,$B46,'Operating Calculations'!Z$88:Z$107)*(AB$6&lt;=MAX(YrOfExit,1))</f>
        <v>0</v>
      </c>
      <c r="AC46" s="78">
        <f>SUMIF(ProformaCat,$B46,'Operating Calculations'!AA$88:AA$107)*(AC$6&lt;=MAX(YrOfExit,1))</f>
        <v>0</v>
      </c>
      <c r="AD46" s="78">
        <f>SUMIF(ProformaCat,$B46,'Operating Calculations'!AB$88:AB$107)*(AD$6&lt;=MAX(YrOfExit,1))</f>
        <v>0</v>
      </c>
      <c r="AE46" s="78">
        <f>SUMIF(ProformaCat,$B46,'Operating Calculations'!AC$88:AC$107)*(AE$6&lt;=MAX(YrOfExit,1))</f>
        <v>0</v>
      </c>
      <c r="AF46" s="78">
        <f>SUMIF(ProformaCat,$B46,'Operating Calculations'!AD$88:AD$107)*(AF$6&lt;=MAX(YrOfExit,1))</f>
        <v>0</v>
      </c>
      <c r="AG46" s="78">
        <f>SUMIF(ProformaCat,$B46,'Operating Calculations'!AE$88:AE$107)*(AG$6&lt;=MAX(YrOfExit,1))</f>
        <v>0</v>
      </c>
      <c r="AH46" s="78">
        <f>SUMIF(ProformaCat,$B46,'Operating Calculations'!AF$88:AF$107)*(AH$6&lt;=MAX(YrOfExit,1))</f>
        <v>0</v>
      </c>
      <c r="AI46" s="78">
        <f>SUMIF(ProformaCat,$B46,'Operating Calculations'!AG$88:AG$107)*(AI$6&lt;=MAX(YrOfExit,1))</f>
        <v>0</v>
      </c>
      <c r="AJ46" s="78">
        <f>SUMIF(ProformaCat,$B46,'Operating Calculations'!AH$88:AH$107)*(AJ$6&lt;=MAX(YrOfExit,1))</f>
        <v>0</v>
      </c>
      <c r="AK46" s="78">
        <f>SUMIF(ProformaCat,$B46,'Operating Calculations'!AI$88:AI$107)*(AK$6&lt;=MAX(YrOfExit,1))</f>
        <v>0</v>
      </c>
      <c r="AL46" s="78">
        <f>SUMIF(ProformaCat,$B46,'Operating Calculations'!AJ$88:AJ$107)*(AL$6&lt;=MAX(YrOfExit,1))</f>
        <v>0</v>
      </c>
      <c r="AM46" s="78">
        <f>SUMIF(ProformaCat,$B46,'Operating Calculations'!AK$88:AK$107)*(AM$6&lt;=MAX(YrOfExit,1))</f>
        <v>0</v>
      </c>
      <c r="AN46" s="78">
        <f>SUMIF(ProformaCat,$B46,'Operating Calculations'!AL$88:AL$107)*(AN$6&lt;=MAX(YrOfExit,1))</f>
        <v>0</v>
      </c>
      <c r="AO46" s="78">
        <f>SUMIF(ProformaCat,$B46,'Operating Calculations'!AM$88:AM$107)*(AO$6&lt;=MAX(YrOfExit,1))</f>
        <v>0</v>
      </c>
      <c r="AP46" s="78">
        <f>SUMIF(ProformaCat,$B46,'Operating Calculations'!AN$88:AN$107)*(AP$6&lt;=MAX(YrOfExit,1))</f>
        <v>0</v>
      </c>
      <c r="AQ46" s="78">
        <f>SUMIF(ProformaCat,$B46,'Operating Calculations'!AO$88:AO$107)*(AQ$6&lt;=MAX(YrOfExit,1))</f>
        <v>0</v>
      </c>
      <c r="AR46" s="78">
        <f>SUMIF(ProformaCat,$B46,'Operating Calculations'!AP$88:AP$107)*(AR$6&lt;=MAX(YrOfExit,1))</f>
        <v>0</v>
      </c>
      <c r="AS46" s="78">
        <f>SUMIF(ProformaCat,$B46,'Operating Calculations'!AQ$88:AQ$107)*(AS$6&lt;=MAX(YrOfExit,1))</f>
        <v>0</v>
      </c>
      <c r="AT46" s="78">
        <f>SUMIF(ProformaCat,$B46,'Operating Calculations'!AR$88:AR$107)*(AT$6&lt;=MAX(YrOfExit,1))</f>
        <v>0</v>
      </c>
      <c r="AU46" s="78">
        <f>SUMIF(ProformaCat,$B46,'Operating Calculations'!AS$88:AS$107)*(AU$6&lt;=MAX(YrOfExit,1))</f>
        <v>0</v>
      </c>
      <c r="AV46" s="78">
        <f>SUMIF(ProformaCat,$B46,'Operating Calculations'!AT$88:AT$107)*(AV$6&lt;=MAX(YrOfExit,1))</f>
        <v>0</v>
      </c>
      <c r="AW46" s="78">
        <f>SUMIF(ProformaCat,$B46,'Operating Calculations'!AU$88:AU$107)*(AW$6&lt;=MAX(YrOfExit,1))</f>
        <v>0</v>
      </c>
      <c r="AX46" s="78">
        <f>SUMIF(ProformaCat,$B46,'Operating Calculations'!AV$88:AV$107)*(AX$6&lt;=MAX(YrOfExit,1))</f>
        <v>0</v>
      </c>
      <c r="AY46" s="78">
        <f>SUMIF(ProformaCat,$B46,'Operating Calculations'!AW$88:AW$107)*(AY$6&lt;=MAX(YrOfExit,1))</f>
        <v>0</v>
      </c>
      <c r="AZ46" s="78">
        <f>SUMIF(ProformaCat,$B46,'Operating Calculations'!AX$88:AX$107)*(AZ$6&lt;=MAX(YrOfExit,1))</f>
        <v>0</v>
      </c>
      <c r="BA46" s="78">
        <f>SUMIF(ProformaCat,$B46,'Operating Calculations'!AY$88:AY$107)*(BA$6&lt;=MAX(YrOfExit,1))</f>
        <v>0</v>
      </c>
      <c r="BB46" s="78">
        <f>SUMIF(ProformaCat,$B46,'Operating Calculations'!AZ$88:AZ$107)*(BB$6&lt;=MAX(YrOfExit,1))</f>
        <v>0</v>
      </c>
      <c r="BC46" s="78">
        <f>SUMIF(ProformaCat,$B46,'Operating Calculations'!BA$88:BA$107)*(BC$6&lt;=MAX(YrOfExit,1))</f>
        <v>0</v>
      </c>
      <c r="BD46" s="206">
        <f t="shared" si="39"/>
        <v>0</v>
      </c>
      <c r="BE46" s="78">
        <f t="shared" si="39"/>
        <v>0</v>
      </c>
      <c r="BF46" s="78">
        <f t="shared" si="39"/>
        <v>0</v>
      </c>
      <c r="BG46" s="78">
        <f t="shared" si="39"/>
        <v>0</v>
      </c>
      <c r="BH46" s="78">
        <f t="shared" si="39"/>
        <v>0</v>
      </c>
      <c r="BI46" s="78">
        <f t="shared" si="39"/>
        <v>0</v>
      </c>
      <c r="BJ46" s="78">
        <f t="shared" si="39"/>
        <v>0</v>
      </c>
      <c r="BK46" s="78">
        <f t="shared" si="39"/>
        <v>0</v>
      </c>
      <c r="BL46" s="78">
        <f t="shared" si="39"/>
        <v>0</v>
      </c>
      <c r="BM46" s="78">
        <f t="shared" si="39"/>
        <v>0</v>
      </c>
      <c r="BN46" s="78">
        <f t="shared" si="40"/>
        <v>0</v>
      </c>
      <c r="BO46" s="78">
        <f t="shared" si="40"/>
        <v>0</v>
      </c>
      <c r="BP46" s="78">
        <f t="shared" si="40"/>
        <v>0</v>
      </c>
      <c r="BQ46" s="78">
        <f t="shared" si="40"/>
        <v>0</v>
      </c>
      <c r="BR46" s="78">
        <f t="shared" si="40"/>
        <v>0</v>
      </c>
      <c r="BS46" s="78">
        <f t="shared" si="40"/>
        <v>0</v>
      </c>
      <c r="BT46" s="78">
        <f t="shared" si="40"/>
        <v>0</v>
      </c>
      <c r="BU46" s="78">
        <f t="shared" si="40"/>
        <v>0</v>
      </c>
      <c r="BV46" s="78">
        <f t="shared" si="40"/>
        <v>0</v>
      </c>
      <c r="BW46" s="78">
        <f t="shared" si="40"/>
        <v>0</v>
      </c>
      <c r="BX46" s="78">
        <f t="shared" si="41"/>
        <v>0</v>
      </c>
      <c r="BY46" s="78">
        <f t="shared" si="41"/>
        <v>0</v>
      </c>
      <c r="BZ46" s="78">
        <f t="shared" si="41"/>
        <v>0</v>
      </c>
      <c r="CA46" s="78">
        <f t="shared" si="41"/>
        <v>0</v>
      </c>
      <c r="CB46" s="78">
        <f t="shared" si="41"/>
        <v>0</v>
      </c>
      <c r="CC46" s="78">
        <f t="shared" si="41"/>
        <v>0</v>
      </c>
      <c r="CD46" s="78">
        <f t="shared" si="41"/>
        <v>0</v>
      </c>
      <c r="CE46" s="78">
        <f t="shared" si="41"/>
        <v>0</v>
      </c>
      <c r="CF46" s="78">
        <f t="shared" si="41"/>
        <v>0</v>
      </c>
      <c r="CG46" s="78">
        <f t="shared" si="41"/>
        <v>0</v>
      </c>
      <c r="CH46" s="78">
        <f t="shared" si="42"/>
        <v>0</v>
      </c>
      <c r="CI46" s="78">
        <f t="shared" si="42"/>
        <v>0</v>
      </c>
      <c r="CJ46" s="78">
        <f t="shared" si="42"/>
        <v>0</v>
      </c>
      <c r="CK46" s="78">
        <f t="shared" si="42"/>
        <v>0</v>
      </c>
      <c r="CL46" s="78">
        <f t="shared" si="42"/>
        <v>0</v>
      </c>
      <c r="CM46" s="78">
        <f t="shared" si="42"/>
        <v>0</v>
      </c>
      <c r="CN46" s="78">
        <f t="shared" si="42"/>
        <v>0</v>
      </c>
      <c r="CO46" s="78">
        <f t="shared" si="42"/>
        <v>0</v>
      </c>
      <c r="CP46" s="78">
        <f t="shared" si="42"/>
        <v>0</v>
      </c>
      <c r="CQ46" s="78">
        <f t="shared" si="42"/>
        <v>0</v>
      </c>
      <c r="CR46" s="78">
        <f t="shared" si="43"/>
        <v>0</v>
      </c>
      <c r="CS46" s="78">
        <f t="shared" si="43"/>
        <v>0</v>
      </c>
      <c r="CT46" s="78">
        <f t="shared" si="43"/>
        <v>0</v>
      </c>
      <c r="CU46" s="78">
        <f t="shared" si="43"/>
        <v>0</v>
      </c>
      <c r="CV46" s="78">
        <f t="shared" si="43"/>
        <v>0</v>
      </c>
      <c r="CW46" s="78">
        <f t="shared" si="43"/>
        <v>0</v>
      </c>
      <c r="CX46" s="78">
        <f t="shared" si="43"/>
        <v>0</v>
      </c>
      <c r="CY46" s="78">
        <f t="shared" si="43"/>
        <v>0</v>
      </c>
      <c r="CZ46" s="78">
        <f t="shared" si="43"/>
        <v>0</v>
      </c>
      <c r="DA46" s="78">
        <f t="shared" si="43"/>
        <v>0</v>
      </c>
      <c r="DB46" s="78">
        <f t="shared" si="44"/>
        <v>0</v>
      </c>
      <c r="DC46" s="78">
        <f t="shared" si="44"/>
        <v>0</v>
      </c>
      <c r="DD46" s="78">
        <f t="shared" si="44"/>
        <v>0</v>
      </c>
      <c r="DE46" s="78">
        <f t="shared" si="44"/>
        <v>0</v>
      </c>
      <c r="DF46" s="78">
        <f t="shared" si="44"/>
        <v>0</v>
      </c>
      <c r="DG46" s="78">
        <f t="shared" si="44"/>
        <v>0</v>
      </c>
      <c r="DH46" s="78">
        <f t="shared" si="44"/>
        <v>0</v>
      </c>
      <c r="DI46" s="78">
        <f t="shared" si="44"/>
        <v>0</v>
      </c>
      <c r="DJ46" s="78">
        <f t="shared" si="44"/>
        <v>0</v>
      </c>
      <c r="DK46" s="78">
        <f t="shared" si="44"/>
        <v>0</v>
      </c>
      <c r="DL46" s="78">
        <f t="shared" si="45"/>
        <v>0</v>
      </c>
      <c r="DM46" s="78">
        <f t="shared" si="45"/>
        <v>0</v>
      </c>
      <c r="DN46" s="78">
        <f t="shared" si="45"/>
        <v>0</v>
      </c>
      <c r="DO46" s="78">
        <f t="shared" si="45"/>
        <v>0</v>
      </c>
      <c r="DP46" s="78">
        <f t="shared" si="45"/>
        <v>0</v>
      </c>
      <c r="DQ46" s="78">
        <f t="shared" si="45"/>
        <v>0</v>
      </c>
      <c r="DR46" s="78">
        <f t="shared" si="45"/>
        <v>0</v>
      </c>
      <c r="DS46" s="78">
        <f t="shared" si="45"/>
        <v>0</v>
      </c>
      <c r="DT46" s="78">
        <f t="shared" si="45"/>
        <v>0</v>
      </c>
      <c r="DU46" s="78">
        <f t="shared" si="45"/>
        <v>0</v>
      </c>
      <c r="DV46" s="78">
        <f t="shared" si="46"/>
        <v>0</v>
      </c>
      <c r="DW46" s="78">
        <f t="shared" si="46"/>
        <v>0</v>
      </c>
      <c r="DX46" s="78">
        <f t="shared" si="46"/>
        <v>0</v>
      </c>
      <c r="DY46" s="78">
        <f t="shared" si="46"/>
        <v>0</v>
      </c>
      <c r="DZ46" s="78">
        <f t="shared" si="46"/>
        <v>0</v>
      </c>
      <c r="EA46" s="78">
        <f t="shared" si="46"/>
        <v>0</v>
      </c>
      <c r="EB46" s="78">
        <f t="shared" si="46"/>
        <v>0</v>
      </c>
      <c r="EC46" s="78">
        <f t="shared" si="46"/>
        <v>0</v>
      </c>
      <c r="ED46" s="78">
        <f t="shared" si="46"/>
        <v>0</v>
      </c>
      <c r="EE46" s="78">
        <f t="shared" si="46"/>
        <v>0</v>
      </c>
      <c r="EF46" s="78">
        <f t="shared" si="46"/>
        <v>0</v>
      </c>
      <c r="EG46" s="78">
        <f t="shared" si="46"/>
        <v>0</v>
      </c>
      <c r="EH46" s="78">
        <f t="shared" si="46"/>
        <v>0</v>
      </c>
      <c r="EI46" s="78">
        <f t="shared" si="46"/>
        <v>0</v>
      </c>
    </row>
    <row r="47" spans="2:139">
      <c r="B47" s="32" t="str">
        <f>GenValidation!L13</f>
        <v>Utilities</v>
      </c>
      <c r="C47" s="32"/>
      <c r="D47" s="78"/>
      <c r="E47" s="78">
        <f>SUMIF(ProformaCat,$B47,'Operating Calculations'!C$88:C$107)*(E$5&lt;=MAX(YrOfExit,1))</f>
        <v>0</v>
      </c>
      <c r="F47" s="78">
        <f>SUMIF(ProformaCat,$B47,'Operating Calculations'!D$88:D$107)*(F$5&lt;=MAX(YrOfExit,1))</f>
        <v>0</v>
      </c>
      <c r="G47" s="78">
        <f>SUMIF(ProformaCat,$B47,'Operating Calculations'!E$88:E$107)*(G$5&lt;=MAX(YrOfExit,1))</f>
        <v>0</v>
      </c>
      <c r="H47" s="78">
        <f>SUMIF(ProformaCat,$B47,'Operating Calculations'!F$88:F$107)*(H$5&lt;=MAX(YrOfExit,1))</f>
        <v>0</v>
      </c>
      <c r="I47" s="78">
        <f>SUMIF(ProformaCat,$B47,'Operating Calculations'!G$88:G$107)*(I$5&lt;=MAX(YrOfExit,1))</f>
        <v>0</v>
      </c>
      <c r="J47" s="78">
        <f>SUMIF(ProformaCat,$B47,'Operating Calculations'!H$88:H$107)*(J$5&lt;=MAX(YrOfExit,1))</f>
        <v>0</v>
      </c>
      <c r="K47" s="78">
        <f>SUMIF(ProformaCat,$B47,'Operating Calculations'!I$88:I$107)*(K$5&lt;=MAX(YrOfExit,1))</f>
        <v>0</v>
      </c>
      <c r="L47" s="78">
        <f>SUMIF(ProformaCat,$B47,'Operating Calculations'!J$88:J$107)*(L$5&lt;=MAX(YrOfExit,1))</f>
        <v>0</v>
      </c>
      <c r="M47" s="78">
        <f>SUMIF(ProformaCat,$B47,'Operating Calculations'!K$88:K$107)*(M$5&lt;=MAX(YrOfExit,1))</f>
        <v>0</v>
      </c>
      <c r="N47" s="78">
        <f>SUMIF(ProformaCat,$B47,'Operating Calculations'!L$88:L$107)*(N$5&lt;=MAX(YrOfExit,1))</f>
        <v>0</v>
      </c>
      <c r="O47" s="145">
        <f t="shared" si="38"/>
        <v>0</v>
      </c>
      <c r="Q47" s="78">
        <f>SUMIF(ProformaCat,$B47,'Operating Calculations'!O$88:O$107)</f>
        <v>0</v>
      </c>
      <c r="S47" s="27"/>
      <c r="T47" s="78">
        <f>SUMIF(ProformaCat,$B47,'Operating Calculations'!R$88:R$107)*(T$6&lt;=MAX(YrOfExit,1))</f>
        <v>0</v>
      </c>
      <c r="U47" s="78">
        <f>SUMIF(ProformaCat,$B47,'Operating Calculations'!S$88:S$107)*(U$6&lt;=MAX(YrOfExit,1))</f>
        <v>0</v>
      </c>
      <c r="V47" s="78">
        <f>SUMIF(ProformaCat,$B47,'Operating Calculations'!T$88:T$107)*(V$6&lt;=MAX(YrOfExit,1))</f>
        <v>0</v>
      </c>
      <c r="W47" s="78">
        <f>SUMIF(ProformaCat,$B47,'Operating Calculations'!U$88:U$107)*(W$6&lt;=MAX(YrOfExit,1))</f>
        <v>0</v>
      </c>
      <c r="X47" s="78">
        <f>SUMIF(ProformaCat,$B47,'Operating Calculations'!V$88:V$107)*(X$6&lt;=MAX(YrOfExit,1))</f>
        <v>0</v>
      </c>
      <c r="Y47" s="78">
        <f>SUMIF(ProformaCat,$B47,'Operating Calculations'!W$88:W$107)*(Y$6&lt;=MAX(YrOfExit,1))</f>
        <v>0</v>
      </c>
      <c r="Z47" s="78">
        <f>SUMIF(ProformaCat,$B47,'Operating Calculations'!X$88:X$107)*(Z$6&lt;=MAX(YrOfExit,1))</f>
        <v>0</v>
      </c>
      <c r="AA47" s="78">
        <f>SUMIF(ProformaCat,$B47,'Operating Calculations'!Y$88:Y$107)*(AA$6&lt;=MAX(YrOfExit,1))</f>
        <v>0</v>
      </c>
      <c r="AB47" s="78">
        <f>SUMIF(ProformaCat,$B47,'Operating Calculations'!Z$88:Z$107)*(AB$6&lt;=MAX(YrOfExit,1))</f>
        <v>0</v>
      </c>
      <c r="AC47" s="78">
        <f>SUMIF(ProformaCat,$B47,'Operating Calculations'!AA$88:AA$107)*(AC$6&lt;=MAX(YrOfExit,1))</f>
        <v>0</v>
      </c>
      <c r="AD47" s="78">
        <f>SUMIF(ProformaCat,$B47,'Operating Calculations'!AB$88:AB$107)*(AD$6&lt;=MAX(YrOfExit,1))</f>
        <v>0</v>
      </c>
      <c r="AE47" s="78">
        <f>SUMIF(ProformaCat,$B47,'Operating Calculations'!AC$88:AC$107)*(AE$6&lt;=MAX(YrOfExit,1))</f>
        <v>0</v>
      </c>
      <c r="AF47" s="78">
        <f>SUMIF(ProformaCat,$B47,'Operating Calculations'!AD$88:AD$107)*(AF$6&lt;=MAX(YrOfExit,1))</f>
        <v>0</v>
      </c>
      <c r="AG47" s="78">
        <f>SUMIF(ProformaCat,$B47,'Operating Calculations'!AE$88:AE$107)*(AG$6&lt;=MAX(YrOfExit,1))</f>
        <v>0</v>
      </c>
      <c r="AH47" s="78">
        <f>SUMIF(ProformaCat,$B47,'Operating Calculations'!AF$88:AF$107)*(AH$6&lt;=MAX(YrOfExit,1))</f>
        <v>0</v>
      </c>
      <c r="AI47" s="78">
        <f>SUMIF(ProformaCat,$B47,'Operating Calculations'!AG$88:AG$107)*(AI$6&lt;=MAX(YrOfExit,1))</f>
        <v>0</v>
      </c>
      <c r="AJ47" s="78">
        <f>SUMIF(ProformaCat,$B47,'Operating Calculations'!AH$88:AH$107)*(AJ$6&lt;=MAX(YrOfExit,1))</f>
        <v>0</v>
      </c>
      <c r="AK47" s="78">
        <f>SUMIF(ProformaCat,$B47,'Operating Calculations'!AI$88:AI$107)*(AK$6&lt;=MAX(YrOfExit,1))</f>
        <v>0</v>
      </c>
      <c r="AL47" s="78">
        <f>SUMIF(ProformaCat,$B47,'Operating Calculations'!AJ$88:AJ$107)*(AL$6&lt;=MAX(YrOfExit,1))</f>
        <v>0</v>
      </c>
      <c r="AM47" s="78">
        <f>SUMIF(ProformaCat,$B47,'Operating Calculations'!AK$88:AK$107)*(AM$6&lt;=MAX(YrOfExit,1))</f>
        <v>0</v>
      </c>
      <c r="AN47" s="78">
        <f>SUMIF(ProformaCat,$B47,'Operating Calculations'!AL$88:AL$107)*(AN$6&lt;=MAX(YrOfExit,1))</f>
        <v>0</v>
      </c>
      <c r="AO47" s="78">
        <f>SUMIF(ProformaCat,$B47,'Operating Calculations'!AM$88:AM$107)*(AO$6&lt;=MAX(YrOfExit,1))</f>
        <v>0</v>
      </c>
      <c r="AP47" s="78">
        <f>SUMIF(ProformaCat,$B47,'Operating Calculations'!AN$88:AN$107)*(AP$6&lt;=MAX(YrOfExit,1))</f>
        <v>0</v>
      </c>
      <c r="AQ47" s="78">
        <f>SUMIF(ProformaCat,$B47,'Operating Calculations'!AO$88:AO$107)*(AQ$6&lt;=MAX(YrOfExit,1))</f>
        <v>0</v>
      </c>
      <c r="AR47" s="78">
        <f>SUMIF(ProformaCat,$B47,'Operating Calculations'!AP$88:AP$107)*(AR$6&lt;=MAX(YrOfExit,1))</f>
        <v>0</v>
      </c>
      <c r="AS47" s="78">
        <f>SUMIF(ProformaCat,$B47,'Operating Calculations'!AQ$88:AQ$107)*(AS$6&lt;=MAX(YrOfExit,1))</f>
        <v>0</v>
      </c>
      <c r="AT47" s="78">
        <f>SUMIF(ProformaCat,$B47,'Operating Calculations'!AR$88:AR$107)*(AT$6&lt;=MAX(YrOfExit,1))</f>
        <v>0</v>
      </c>
      <c r="AU47" s="78">
        <f>SUMIF(ProformaCat,$B47,'Operating Calculations'!AS$88:AS$107)*(AU$6&lt;=MAX(YrOfExit,1))</f>
        <v>0</v>
      </c>
      <c r="AV47" s="78">
        <f>SUMIF(ProformaCat,$B47,'Operating Calculations'!AT$88:AT$107)*(AV$6&lt;=MAX(YrOfExit,1))</f>
        <v>0</v>
      </c>
      <c r="AW47" s="78">
        <f>SUMIF(ProformaCat,$B47,'Operating Calculations'!AU$88:AU$107)*(AW$6&lt;=MAX(YrOfExit,1))</f>
        <v>0</v>
      </c>
      <c r="AX47" s="78">
        <f>SUMIF(ProformaCat,$B47,'Operating Calculations'!AV$88:AV$107)*(AX$6&lt;=MAX(YrOfExit,1))</f>
        <v>0</v>
      </c>
      <c r="AY47" s="78">
        <f>SUMIF(ProformaCat,$B47,'Operating Calculations'!AW$88:AW$107)*(AY$6&lt;=MAX(YrOfExit,1))</f>
        <v>0</v>
      </c>
      <c r="AZ47" s="78">
        <f>SUMIF(ProformaCat,$B47,'Operating Calculations'!AX$88:AX$107)*(AZ$6&lt;=MAX(YrOfExit,1))</f>
        <v>0</v>
      </c>
      <c r="BA47" s="78">
        <f>SUMIF(ProformaCat,$B47,'Operating Calculations'!AY$88:AY$107)*(BA$6&lt;=MAX(YrOfExit,1))</f>
        <v>0</v>
      </c>
      <c r="BB47" s="78">
        <f>SUMIF(ProformaCat,$B47,'Operating Calculations'!AZ$88:AZ$107)*(BB$6&lt;=MAX(YrOfExit,1))</f>
        <v>0</v>
      </c>
      <c r="BC47" s="78">
        <f>SUMIF(ProformaCat,$B47,'Operating Calculations'!BA$88:BA$107)*(BC$6&lt;=MAX(YrOfExit,1))</f>
        <v>0</v>
      </c>
      <c r="BD47" s="206">
        <f t="shared" si="39"/>
        <v>0</v>
      </c>
      <c r="BE47" s="78">
        <f t="shared" si="39"/>
        <v>0</v>
      </c>
      <c r="BF47" s="78">
        <f t="shared" si="39"/>
        <v>0</v>
      </c>
      <c r="BG47" s="78">
        <f t="shared" si="39"/>
        <v>0</v>
      </c>
      <c r="BH47" s="78">
        <f t="shared" si="39"/>
        <v>0</v>
      </c>
      <c r="BI47" s="78">
        <f t="shared" si="39"/>
        <v>0</v>
      </c>
      <c r="BJ47" s="78">
        <f t="shared" si="39"/>
        <v>0</v>
      </c>
      <c r="BK47" s="78">
        <f t="shared" si="39"/>
        <v>0</v>
      </c>
      <c r="BL47" s="78">
        <f t="shared" si="39"/>
        <v>0</v>
      </c>
      <c r="BM47" s="78">
        <f t="shared" si="39"/>
        <v>0</v>
      </c>
      <c r="BN47" s="78">
        <f t="shared" si="40"/>
        <v>0</v>
      </c>
      <c r="BO47" s="78">
        <f t="shared" si="40"/>
        <v>0</v>
      </c>
      <c r="BP47" s="78">
        <f t="shared" si="40"/>
        <v>0</v>
      </c>
      <c r="BQ47" s="78">
        <f t="shared" si="40"/>
        <v>0</v>
      </c>
      <c r="BR47" s="78">
        <f t="shared" si="40"/>
        <v>0</v>
      </c>
      <c r="BS47" s="78">
        <f t="shared" si="40"/>
        <v>0</v>
      </c>
      <c r="BT47" s="78">
        <f t="shared" si="40"/>
        <v>0</v>
      </c>
      <c r="BU47" s="78">
        <f t="shared" si="40"/>
        <v>0</v>
      </c>
      <c r="BV47" s="78">
        <f t="shared" si="40"/>
        <v>0</v>
      </c>
      <c r="BW47" s="78">
        <f t="shared" si="40"/>
        <v>0</v>
      </c>
      <c r="BX47" s="78">
        <f t="shared" si="41"/>
        <v>0</v>
      </c>
      <c r="BY47" s="78">
        <f t="shared" si="41"/>
        <v>0</v>
      </c>
      <c r="BZ47" s="78">
        <f t="shared" si="41"/>
        <v>0</v>
      </c>
      <c r="CA47" s="78">
        <f t="shared" si="41"/>
        <v>0</v>
      </c>
      <c r="CB47" s="78">
        <f t="shared" si="41"/>
        <v>0</v>
      </c>
      <c r="CC47" s="78">
        <f t="shared" si="41"/>
        <v>0</v>
      </c>
      <c r="CD47" s="78">
        <f t="shared" si="41"/>
        <v>0</v>
      </c>
      <c r="CE47" s="78">
        <f t="shared" si="41"/>
        <v>0</v>
      </c>
      <c r="CF47" s="78">
        <f t="shared" si="41"/>
        <v>0</v>
      </c>
      <c r="CG47" s="78">
        <f t="shared" si="41"/>
        <v>0</v>
      </c>
      <c r="CH47" s="78">
        <f t="shared" si="42"/>
        <v>0</v>
      </c>
      <c r="CI47" s="78">
        <f t="shared" si="42"/>
        <v>0</v>
      </c>
      <c r="CJ47" s="78">
        <f t="shared" si="42"/>
        <v>0</v>
      </c>
      <c r="CK47" s="78">
        <f t="shared" si="42"/>
        <v>0</v>
      </c>
      <c r="CL47" s="78">
        <f t="shared" si="42"/>
        <v>0</v>
      </c>
      <c r="CM47" s="78">
        <f t="shared" si="42"/>
        <v>0</v>
      </c>
      <c r="CN47" s="78">
        <f t="shared" si="42"/>
        <v>0</v>
      </c>
      <c r="CO47" s="78">
        <f t="shared" si="42"/>
        <v>0</v>
      </c>
      <c r="CP47" s="78">
        <f t="shared" si="42"/>
        <v>0</v>
      </c>
      <c r="CQ47" s="78">
        <f t="shared" si="42"/>
        <v>0</v>
      </c>
      <c r="CR47" s="78">
        <f t="shared" si="43"/>
        <v>0</v>
      </c>
      <c r="CS47" s="78">
        <f t="shared" si="43"/>
        <v>0</v>
      </c>
      <c r="CT47" s="78">
        <f t="shared" si="43"/>
        <v>0</v>
      </c>
      <c r="CU47" s="78">
        <f t="shared" si="43"/>
        <v>0</v>
      </c>
      <c r="CV47" s="78">
        <f t="shared" si="43"/>
        <v>0</v>
      </c>
      <c r="CW47" s="78">
        <f t="shared" si="43"/>
        <v>0</v>
      </c>
      <c r="CX47" s="78">
        <f t="shared" si="43"/>
        <v>0</v>
      </c>
      <c r="CY47" s="78">
        <f t="shared" si="43"/>
        <v>0</v>
      </c>
      <c r="CZ47" s="78">
        <f t="shared" si="43"/>
        <v>0</v>
      </c>
      <c r="DA47" s="78">
        <f t="shared" si="43"/>
        <v>0</v>
      </c>
      <c r="DB47" s="78">
        <f t="shared" si="44"/>
        <v>0</v>
      </c>
      <c r="DC47" s="78">
        <f t="shared" si="44"/>
        <v>0</v>
      </c>
      <c r="DD47" s="78">
        <f t="shared" si="44"/>
        <v>0</v>
      </c>
      <c r="DE47" s="78">
        <f t="shared" si="44"/>
        <v>0</v>
      </c>
      <c r="DF47" s="78">
        <f t="shared" si="44"/>
        <v>0</v>
      </c>
      <c r="DG47" s="78">
        <f t="shared" si="44"/>
        <v>0</v>
      </c>
      <c r="DH47" s="78">
        <f t="shared" si="44"/>
        <v>0</v>
      </c>
      <c r="DI47" s="78">
        <f t="shared" si="44"/>
        <v>0</v>
      </c>
      <c r="DJ47" s="78">
        <f t="shared" si="44"/>
        <v>0</v>
      </c>
      <c r="DK47" s="78">
        <f t="shared" si="44"/>
        <v>0</v>
      </c>
      <c r="DL47" s="78">
        <f t="shared" si="45"/>
        <v>0</v>
      </c>
      <c r="DM47" s="78">
        <f t="shared" si="45"/>
        <v>0</v>
      </c>
      <c r="DN47" s="78">
        <f t="shared" si="45"/>
        <v>0</v>
      </c>
      <c r="DO47" s="78">
        <f t="shared" si="45"/>
        <v>0</v>
      </c>
      <c r="DP47" s="78">
        <f t="shared" si="45"/>
        <v>0</v>
      </c>
      <c r="DQ47" s="78">
        <f t="shared" si="45"/>
        <v>0</v>
      </c>
      <c r="DR47" s="78">
        <f t="shared" si="45"/>
        <v>0</v>
      </c>
      <c r="DS47" s="78">
        <f t="shared" si="45"/>
        <v>0</v>
      </c>
      <c r="DT47" s="78">
        <f t="shared" si="45"/>
        <v>0</v>
      </c>
      <c r="DU47" s="78">
        <f t="shared" si="45"/>
        <v>0</v>
      </c>
      <c r="DV47" s="78">
        <f t="shared" si="46"/>
        <v>0</v>
      </c>
      <c r="DW47" s="78">
        <f t="shared" si="46"/>
        <v>0</v>
      </c>
      <c r="DX47" s="78">
        <f t="shared" si="46"/>
        <v>0</v>
      </c>
      <c r="DY47" s="78">
        <f t="shared" si="46"/>
        <v>0</v>
      </c>
      <c r="DZ47" s="78">
        <f t="shared" si="46"/>
        <v>0</v>
      </c>
      <c r="EA47" s="78">
        <f t="shared" si="46"/>
        <v>0</v>
      </c>
      <c r="EB47" s="78">
        <f t="shared" si="46"/>
        <v>0</v>
      </c>
      <c r="EC47" s="78">
        <f t="shared" si="46"/>
        <v>0</v>
      </c>
      <c r="ED47" s="78">
        <f t="shared" si="46"/>
        <v>0</v>
      </c>
      <c r="EE47" s="78">
        <f t="shared" si="46"/>
        <v>0</v>
      </c>
      <c r="EF47" s="78">
        <f t="shared" si="46"/>
        <v>0</v>
      </c>
      <c r="EG47" s="78">
        <f t="shared" si="46"/>
        <v>0</v>
      </c>
      <c r="EH47" s="78">
        <f t="shared" si="46"/>
        <v>0</v>
      </c>
      <c r="EI47" s="78">
        <f t="shared" si="46"/>
        <v>0</v>
      </c>
    </row>
    <row r="48" spans="2:139">
      <c r="B48" s="32" t="str">
        <f>GenValidation!L14</f>
        <v>Insurance</v>
      </c>
      <c r="C48" s="32"/>
      <c r="D48" s="78"/>
      <c r="E48" s="78">
        <f>SUMIF(ProformaCat,$B48,'Operating Calculations'!C$88:C$107)*(E$5&lt;=MAX(YrOfExit,1))</f>
        <v>0</v>
      </c>
      <c r="F48" s="78">
        <f>SUMIF(ProformaCat,$B48,'Operating Calculations'!D$88:D$107)*(F$5&lt;=MAX(YrOfExit,1))</f>
        <v>0</v>
      </c>
      <c r="G48" s="78">
        <f>SUMIF(ProformaCat,$B48,'Operating Calculations'!E$88:E$107)*(G$5&lt;=MAX(YrOfExit,1))</f>
        <v>0</v>
      </c>
      <c r="H48" s="78">
        <f>SUMIF(ProformaCat,$B48,'Operating Calculations'!F$88:F$107)*(H$5&lt;=MAX(YrOfExit,1))</f>
        <v>0</v>
      </c>
      <c r="I48" s="78">
        <f>SUMIF(ProformaCat,$B48,'Operating Calculations'!G$88:G$107)*(I$5&lt;=MAX(YrOfExit,1))</f>
        <v>0</v>
      </c>
      <c r="J48" s="78">
        <f>SUMIF(ProformaCat,$B48,'Operating Calculations'!H$88:H$107)*(J$5&lt;=MAX(YrOfExit,1))</f>
        <v>0</v>
      </c>
      <c r="K48" s="78">
        <f>SUMIF(ProformaCat,$B48,'Operating Calculations'!I$88:I$107)*(K$5&lt;=MAX(YrOfExit,1))</f>
        <v>0</v>
      </c>
      <c r="L48" s="78">
        <f>SUMIF(ProformaCat,$B48,'Operating Calculations'!J$88:J$107)*(L$5&lt;=MAX(YrOfExit,1))</f>
        <v>0</v>
      </c>
      <c r="M48" s="78">
        <f>SUMIF(ProformaCat,$B48,'Operating Calculations'!K$88:K$107)*(M$5&lt;=MAX(YrOfExit,1))</f>
        <v>0</v>
      </c>
      <c r="N48" s="78">
        <f>SUMIF(ProformaCat,$B48,'Operating Calculations'!L$88:L$107)*(N$5&lt;=MAX(YrOfExit,1))</f>
        <v>0</v>
      </c>
      <c r="O48" s="145">
        <f t="shared" si="38"/>
        <v>0</v>
      </c>
      <c r="Q48" s="78">
        <f>SUMIF(ProformaCat,$B48,'Operating Calculations'!O$88:O$107)</f>
        <v>0</v>
      </c>
      <c r="S48" s="27"/>
      <c r="T48" s="78">
        <f>SUMIF(ProformaCat,$B48,'Operating Calculations'!R$88:R$107)*(T$6&lt;=MAX(YrOfExit,1))</f>
        <v>0</v>
      </c>
      <c r="U48" s="78">
        <f>SUMIF(ProformaCat,$B48,'Operating Calculations'!S$88:S$107)*(U$6&lt;=MAX(YrOfExit,1))</f>
        <v>0</v>
      </c>
      <c r="V48" s="78">
        <f>SUMIF(ProformaCat,$B48,'Operating Calculations'!T$88:T$107)*(V$6&lt;=MAX(YrOfExit,1))</f>
        <v>0</v>
      </c>
      <c r="W48" s="78">
        <f>SUMIF(ProformaCat,$B48,'Operating Calculations'!U$88:U$107)*(W$6&lt;=MAX(YrOfExit,1))</f>
        <v>0</v>
      </c>
      <c r="X48" s="78">
        <f>SUMIF(ProformaCat,$B48,'Operating Calculations'!V$88:V$107)*(X$6&lt;=MAX(YrOfExit,1))</f>
        <v>0</v>
      </c>
      <c r="Y48" s="78">
        <f>SUMIF(ProformaCat,$B48,'Operating Calculations'!W$88:W$107)*(Y$6&lt;=MAX(YrOfExit,1))</f>
        <v>0</v>
      </c>
      <c r="Z48" s="78">
        <f>SUMIF(ProformaCat,$B48,'Operating Calculations'!X$88:X$107)*(Z$6&lt;=MAX(YrOfExit,1))</f>
        <v>0</v>
      </c>
      <c r="AA48" s="78">
        <f>SUMIF(ProformaCat,$B48,'Operating Calculations'!Y$88:Y$107)*(AA$6&lt;=MAX(YrOfExit,1))</f>
        <v>0</v>
      </c>
      <c r="AB48" s="78">
        <f>SUMIF(ProformaCat,$B48,'Operating Calculations'!Z$88:Z$107)*(AB$6&lt;=MAX(YrOfExit,1))</f>
        <v>0</v>
      </c>
      <c r="AC48" s="78">
        <f>SUMIF(ProformaCat,$B48,'Operating Calculations'!AA$88:AA$107)*(AC$6&lt;=MAX(YrOfExit,1))</f>
        <v>0</v>
      </c>
      <c r="AD48" s="78">
        <f>SUMIF(ProformaCat,$B48,'Operating Calculations'!AB$88:AB$107)*(AD$6&lt;=MAX(YrOfExit,1))</f>
        <v>0</v>
      </c>
      <c r="AE48" s="78">
        <f>SUMIF(ProformaCat,$B48,'Operating Calculations'!AC$88:AC$107)*(AE$6&lt;=MAX(YrOfExit,1))</f>
        <v>0</v>
      </c>
      <c r="AF48" s="78">
        <f>SUMIF(ProformaCat,$B48,'Operating Calculations'!AD$88:AD$107)*(AF$6&lt;=MAX(YrOfExit,1))</f>
        <v>0</v>
      </c>
      <c r="AG48" s="78">
        <f>SUMIF(ProformaCat,$B48,'Operating Calculations'!AE$88:AE$107)*(AG$6&lt;=MAX(YrOfExit,1))</f>
        <v>0</v>
      </c>
      <c r="AH48" s="78">
        <f>SUMIF(ProformaCat,$B48,'Operating Calculations'!AF$88:AF$107)*(AH$6&lt;=MAX(YrOfExit,1))</f>
        <v>0</v>
      </c>
      <c r="AI48" s="78">
        <f>SUMIF(ProformaCat,$B48,'Operating Calculations'!AG$88:AG$107)*(AI$6&lt;=MAX(YrOfExit,1))</f>
        <v>0</v>
      </c>
      <c r="AJ48" s="78">
        <f>SUMIF(ProformaCat,$B48,'Operating Calculations'!AH$88:AH$107)*(AJ$6&lt;=MAX(YrOfExit,1))</f>
        <v>0</v>
      </c>
      <c r="AK48" s="78">
        <f>SUMIF(ProformaCat,$B48,'Operating Calculations'!AI$88:AI$107)*(AK$6&lt;=MAX(YrOfExit,1))</f>
        <v>0</v>
      </c>
      <c r="AL48" s="78">
        <f>SUMIF(ProformaCat,$B48,'Operating Calculations'!AJ$88:AJ$107)*(AL$6&lt;=MAX(YrOfExit,1))</f>
        <v>0</v>
      </c>
      <c r="AM48" s="78">
        <f>SUMIF(ProformaCat,$B48,'Operating Calculations'!AK$88:AK$107)*(AM$6&lt;=MAX(YrOfExit,1))</f>
        <v>0</v>
      </c>
      <c r="AN48" s="78">
        <f>SUMIF(ProformaCat,$B48,'Operating Calculations'!AL$88:AL$107)*(AN$6&lt;=MAX(YrOfExit,1))</f>
        <v>0</v>
      </c>
      <c r="AO48" s="78">
        <f>SUMIF(ProformaCat,$B48,'Operating Calculations'!AM$88:AM$107)*(AO$6&lt;=MAX(YrOfExit,1))</f>
        <v>0</v>
      </c>
      <c r="AP48" s="78">
        <f>SUMIF(ProformaCat,$B48,'Operating Calculations'!AN$88:AN$107)*(AP$6&lt;=MAX(YrOfExit,1))</f>
        <v>0</v>
      </c>
      <c r="AQ48" s="78">
        <f>SUMIF(ProformaCat,$B48,'Operating Calculations'!AO$88:AO$107)*(AQ$6&lt;=MAX(YrOfExit,1))</f>
        <v>0</v>
      </c>
      <c r="AR48" s="78">
        <f>SUMIF(ProformaCat,$B48,'Operating Calculations'!AP$88:AP$107)*(AR$6&lt;=MAX(YrOfExit,1))</f>
        <v>0</v>
      </c>
      <c r="AS48" s="78">
        <f>SUMIF(ProformaCat,$B48,'Operating Calculations'!AQ$88:AQ$107)*(AS$6&lt;=MAX(YrOfExit,1))</f>
        <v>0</v>
      </c>
      <c r="AT48" s="78">
        <f>SUMIF(ProformaCat,$B48,'Operating Calculations'!AR$88:AR$107)*(AT$6&lt;=MAX(YrOfExit,1))</f>
        <v>0</v>
      </c>
      <c r="AU48" s="78">
        <f>SUMIF(ProformaCat,$B48,'Operating Calculations'!AS$88:AS$107)*(AU$6&lt;=MAX(YrOfExit,1))</f>
        <v>0</v>
      </c>
      <c r="AV48" s="78">
        <f>SUMIF(ProformaCat,$B48,'Operating Calculations'!AT$88:AT$107)*(AV$6&lt;=MAX(YrOfExit,1))</f>
        <v>0</v>
      </c>
      <c r="AW48" s="78">
        <f>SUMIF(ProformaCat,$B48,'Operating Calculations'!AU$88:AU$107)*(AW$6&lt;=MAX(YrOfExit,1))</f>
        <v>0</v>
      </c>
      <c r="AX48" s="78">
        <f>SUMIF(ProformaCat,$B48,'Operating Calculations'!AV$88:AV$107)*(AX$6&lt;=MAX(YrOfExit,1))</f>
        <v>0</v>
      </c>
      <c r="AY48" s="78">
        <f>SUMIF(ProformaCat,$B48,'Operating Calculations'!AW$88:AW$107)*(AY$6&lt;=MAX(YrOfExit,1))</f>
        <v>0</v>
      </c>
      <c r="AZ48" s="78">
        <f>SUMIF(ProformaCat,$B48,'Operating Calculations'!AX$88:AX$107)*(AZ$6&lt;=MAX(YrOfExit,1))</f>
        <v>0</v>
      </c>
      <c r="BA48" s="78">
        <f>SUMIF(ProformaCat,$B48,'Operating Calculations'!AY$88:AY$107)*(BA$6&lt;=MAX(YrOfExit,1))</f>
        <v>0</v>
      </c>
      <c r="BB48" s="78">
        <f>SUMIF(ProformaCat,$B48,'Operating Calculations'!AZ$88:AZ$107)*(BB$6&lt;=MAX(YrOfExit,1))</f>
        <v>0</v>
      </c>
      <c r="BC48" s="78">
        <f>SUMIF(ProformaCat,$B48,'Operating Calculations'!BA$88:BA$107)*(BC$6&lt;=MAX(YrOfExit,1))</f>
        <v>0</v>
      </c>
      <c r="BD48" s="206">
        <f t="shared" si="39"/>
        <v>0</v>
      </c>
      <c r="BE48" s="78">
        <f t="shared" si="39"/>
        <v>0</v>
      </c>
      <c r="BF48" s="78">
        <f t="shared" si="39"/>
        <v>0</v>
      </c>
      <c r="BG48" s="78">
        <f t="shared" si="39"/>
        <v>0</v>
      </c>
      <c r="BH48" s="78">
        <f t="shared" si="39"/>
        <v>0</v>
      </c>
      <c r="BI48" s="78">
        <f t="shared" si="39"/>
        <v>0</v>
      </c>
      <c r="BJ48" s="78">
        <f t="shared" si="39"/>
        <v>0</v>
      </c>
      <c r="BK48" s="78">
        <f t="shared" si="39"/>
        <v>0</v>
      </c>
      <c r="BL48" s="78">
        <f t="shared" si="39"/>
        <v>0</v>
      </c>
      <c r="BM48" s="78">
        <f t="shared" si="39"/>
        <v>0</v>
      </c>
      <c r="BN48" s="78">
        <f t="shared" si="40"/>
        <v>0</v>
      </c>
      <c r="BO48" s="78">
        <f t="shared" si="40"/>
        <v>0</v>
      </c>
      <c r="BP48" s="78">
        <f t="shared" si="40"/>
        <v>0</v>
      </c>
      <c r="BQ48" s="78">
        <f t="shared" si="40"/>
        <v>0</v>
      </c>
      <c r="BR48" s="78">
        <f t="shared" si="40"/>
        <v>0</v>
      </c>
      <c r="BS48" s="78">
        <f t="shared" si="40"/>
        <v>0</v>
      </c>
      <c r="BT48" s="78">
        <f t="shared" si="40"/>
        <v>0</v>
      </c>
      <c r="BU48" s="78">
        <f t="shared" si="40"/>
        <v>0</v>
      </c>
      <c r="BV48" s="78">
        <f t="shared" si="40"/>
        <v>0</v>
      </c>
      <c r="BW48" s="78">
        <f t="shared" si="40"/>
        <v>0</v>
      </c>
      <c r="BX48" s="78">
        <f t="shared" si="41"/>
        <v>0</v>
      </c>
      <c r="BY48" s="78">
        <f t="shared" si="41"/>
        <v>0</v>
      </c>
      <c r="BZ48" s="78">
        <f t="shared" si="41"/>
        <v>0</v>
      </c>
      <c r="CA48" s="78">
        <f t="shared" si="41"/>
        <v>0</v>
      </c>
      <c r="CB48" s="78">
        <f t="shared" si="41"/>
        <v>0</v>
      </c>
      <c r="CC48" s="78">
        <f t="shared" si="41"/>
        <v>0</v>
      </c>
      <c r="CD48" s="78">
        <f t="shared" si="41"/>
        <v>0</v>
      </c>
      <c r="CE48" s="78">
        <f t="shared" si="41"/>
        <v>0</v>
      </c>
      <c r="CF48" s="78">
        <f t="shared" si="41"/>
        <v>0</v>
      </c>
      <c r="CG48" s="78">
        <f t="shared" si="41"/>
        <v>0</v>
      </c>
      <c r="CH48" s="78">
        <f t="shared" si="42"/>
        <v>0</v>
      </c>
      <c r="CI48" s="78">
        <f t="shared" si="42"/>
        <v>0</v>
      </c>
      <c r="CJ48" s="78">
        <f t="shared" si="42"/>
        <v>0</v>
      </c>
      <c r="CK48" s="78">
        <f t="shared" si="42"/>
        <v>0</v>
      </c>
      <c r="CL48" s="78">
        <f t="shared" si="42"/>
        <v>0</v>
      </c>
      <c r="CM48" s="78">
        <f t="shared" si="42"/>
        <v>0</v>
      </c>
      <c r="CN48" s="78">
        <f t="shared" si="42"/>
        <v>0</v>
      </c>
      <c r="CO48" s="78">
        <f t="shared" si="42"/>
        <v>0</v>
      </c>
      <c r="CP48" s="78">
        <f t="shared" si="42"/>
        <v>0</v>
      </c>
      <c r="CQ48" s="78">
        <f t="shared" si="42"/>
        <v>0</v>
      </c>
      <c r="CR48" s="78">
        <f t="shared" si="43"/>
        <v>0</v>
      </c>
      <c r="CS48" s="78">
        <f t="shared" si="43"/>
        <v>0</v>
      </c>
      <c r="CT48" s="78">
        <f t="shared" si="43"/>
        <v>0</v>
      </c>
      <c r="CU48" s="78">
        <f t="shared" si="43"/>
        <v>0</v>
      </c>
      <c r="CV48" s="78">
        <f t="shared" si="43"/>
        <v>0</v>
      </c>
      <c r="CW48" s="78">
        <f t="shared" si="43"/>
        <v>0</v>
      </c>
      <c r="CX48" s="78">
        <f t="shared" si="43"/>
        <v>0</v>
      </c>
      <c r="CY48" s="78">
        <f t="shared" si="43"/>
        <v>0</v>
      </c>
      <c r="CZ48" s="78">
        <f t="shared" si="43"/>
        <v>0</v>
      </c>
      <c r="DA48" s="78">
        <f t="shared" si="43"/>
        <v>0</v>
      </c>
      <c r="DB48" s="78">
        <f t="shared" si="44"/>
        <v>0</v>
      </c>
      <c r="DC48" s="78">
        <f t="shared" si="44"/>
        <v>0</v>
      </c>
      <c r="DD48" s="78">
        <f t="shared" si="44"/>
        <v>0</v>
      </c>
      <c r="DE48" s="78">
        <f t="shared" si="44"/>
        <v>0</v>
      </c>
      <c r="DF48" s="78">
        <f t="shared" si="44"/>
        <v>0</v>
      </c>
      <c r="DG48" s="78">
        <f t="shared" si="44"/>
        <v>0</v>
      </c>
      <c r="DH48" s="78">
        <f t="shared" si="44"/>
        <v>0</v>
      </c>
      <c r="DI48" s="78">
        <f t="shared" si="44"/>
        <v>0</v>
      </c>
      <c r="DJ48" s="78">
        <f t="shared" si="44"/>
        <v>0</v>
      </c>
      <c r="DK48" s="78">
        <f t="shared" si="44"/>
        <v>0</v>
      </c>
      <c r="DL48" s="78">
        <f t="shared" si="45"/>
        <v>0</v>
      </c>
      <c r="DM48" s="78">
        <f t="shared" si="45"/>
        <v>0</v>
      </c>
      <c r="DN48" s="78">
        <f t="shared" si="45"/>
        <v>0</v>
      </c>
      <c r="DO48" s="78">
        <f t="shared" si="45"/>
        <v>0</v>
      </c>
      <c r="DP48" s="78">
        <f t="shared" si="45"/>
        <v>0</v>
      </c>
      <c r="DQ48" s="78">
        <f t="shared" si="45"/>
        <v>0</v>
      </c>
      <c r="DR48" s="78">
        <f t="shared" si="45"/>
        <v>0</v>
      </c>
      <c r="DS48" s="78">
        <f t="shared" si="45"/>
        <v>0</v>
      </c>
      <c r="DT48" s="78">
        <f t="shared" si="45"/>
        <v>0</v>
      </c>
      <c r="DU48" s="78">
        <f t="shared" si="45"/>
        <v>0</v>
      </c>
      <c r="DV48" s="78">
        <f t="shared" si="46"/>
        <v>0</v>
      </c>
      <c r="DW48" s="78">
        <f t="shared" si="46"/>
        <v>0</v>
      </c>
      <c r="DX48" s="78">
        <f t="shared" si="46"/>
        <v>0</v>
      </c>
      <c r="DY48" s="78">
        <f t="shared" si="46"/>
        <v>0</v>
      </c>
      <c r="DZ48" s="78">
        <f t="shared" si="46"/>
        <v>0</v>
      </c>
      <c r="EA48" s="78">
        <f t="shared" si="46"/>
        <v>0</v>
      </c>
      <c r="EB48" s="78">
        <f t="shared" si="46"/>
        <v>0</v>
      </c>
      <c r="EC48" s="78">
        <f t="shared" si="46"/>
        <v>0</v>
      </c>
      <c r="ED48" s="78">
        <f t="shared" si="46"/>
        <v>0</v>
      </c>
      <c r="EE48" s="78">
        <f t="shared" si="46"/>
        <v>0</v>
      </c>
      <c r="EF48" s="78">
        <f t="shared" si="46"/>
        <v>0</v>
      </c>
      <c r="EG48" s="78">
        <f t="shared" si="46"/>
        <v>0</v>
      </c>
      <c r="EH48" s="78">
        <f t="shared" si="46"/>
        <v>0</v>
      </c>
      <c r="EI48" s="78">
        <f t="shared" si="46"/>
        <v>0</v>
      </c>
    </row>
    <row r="49" spans="2:139">
      <c r="B49" s="32" t="str">
        <f>GenValidation!L15</f>
        <v>Real Estate Taxes</v>
      </c>
      <c r="C49" s="32"/>
      <c r="D49" s="78"/>
      <c r="E49" s="78">
        <f>SUMIF(ProformaCat,$B49,'Operating Calculations'!C$88:C$107)*(E$5&lt;=MAX(YrOfExit,1))</f>
        <v>-182667</v>
      </c>
      <c r="F49" s="78">
        <f>SUMIF(ProformaCat,$B49,'Operating Calculations'!D$88:D$107)*(F$5&lt;=MAX(YrOfExit,1))</f>
        <v>-182667</v>
      </c>
      <c r="G49" s="78">
        <f>SUMIF(ProformaCat,$B49,'Operating Calculations'!E$88:E$107)*(G$5&lt;=MAX(YrOfExit,1))</f>
        <v>-182667</v>
      </c>
      <c r="H49" s="78">
        <f>SUMIF(ProformaCat,$B49,'Operating Calculations'!F$88:F$107)*(H$5&lt;=MAX(YrOfExit,1))</f>
        <v>-182667</v>
      </c>
      <c r="I49" s="78">
        <f>SUMIF(ProformaCat,$B49,'Operating Calculations'!G$88:G$107)*(I$5&lt;=MAX(YrOfExit,1))</f>
        <v>-182667</v>
      </c>
      <c r="J49" s="78">
        <f>SUMIF(ProformaCat,$B49,'Operating Calculations'!H$88:H$107)*(J$5&lt;=MAX(YrOfExit,1))</f>
        <v>-182667</v>
      </c>
      <c r="K49" s="78">
        <f>SUMIF(ProformaCat,$B49,'Operating Calculations'!I$88:I$107)*(K$5&lt;=MAX(YrOfExit,1))</f>
        <v>-182667</v>
      </c>
      <c r="L49" s="78">
        <f>SUMIF(ProformaCat,$B49,'Operating Calculations'!J$88:J$107)*(L$5&lt;=MAX(YrOfExit,1))</f>
        <v>0</v>
      </c>
      <c r="M49" s="78">
        <f>SUMIF(ProformaCat,$B49,'Operating Calculations'!K$88:K$107)*(M$5&lt;=MAX(YrOfExit,1))</f>
        <v>0</v>
      </c>
      <c r="N49" s="78">
        <f>SUMIF(ProformaCat,$B49,'Operating Calculations'!L$88:L$107)*(N$5&lt;=MAX(YrOfExit,1))</f>
        <v>0</v>
      </c>
      <c r="O49" s="145">
        <f t="shared" si="38"/>
        <v>-1278669</v>
      </c>
      <c r="Q49" s="78">
        <f>SUMIF(ProformaCat,$B49,'Operating Calculations'!O$88:O$107)</f>
        <v>-182667</v>
      </c>
      <c r="S49" s="27"/>
      <c r="T49" s="78">
        <f>SUMIF(ProformaCat,$B49,'Operating Calculations'!R$88:R$107)*(T$6&lt;=MAX(YrOfExit,1))</f>
        <v>-15222.25</v>
      </c>
      <c r="U49" s="78">
        <f>SUMIF(ProformaCat,$B49,'Operating Calculations'!S$88:S$107)*(U$6&lt;=MAX(YrOfExit,1))</f>
        <v>-15222.25</v>
      </c>
      <c r="V49" s="78">
        <f>SUMIF(ProformaCat,$B49,'Operating Calculations'!T$88:T$107)*(V$6&lt;=MAX(YrOfExit,1))</f>
        <v>-15222.25</v>
      </c>
      <c r="W49" s="78">
        <f>SUMIF(ProformaCat,$B49,'Operating Calculations'!U$88:U$107)*(W$6&lt;=MAX(YrOfExit,1))</f>
        <v>-15222.25</v>
      </c>
      <c r="X49" s="78">
        <f>SUMIF(ProformaCat,$B49,'Operating Calculations'!V$88:V$107)*(X$6&lt;=MAX(YrOfExit,1))</f>
        <v>-15222.25</v>
      </c>
      <c r="Y49" s="78">
        <f>SUMIF(ProformaCat,$B49,'Operating Calculations'!W$88:W$107)*(Y$6&lt;=MAX(YrOfExit,1))</f>
        <v>-15222.25</v>
      </c>
      <c r="Z49" s="78">
        <f>SUMIF(ProformaCat,$B49,'Operating Calculations'!X$88:X$107)*(Z$6&lt;=MAX(YrOfExit,1))</f>
        <v>-15222.25</v>
      </c>
      <c r="AA49" s="78">
        <f>SUMIF(ProformaCat,$B49,'Operating Calculations'!Y$88:Y$107)*(AA$6&lt;=MAX(YrOfExit,1))</f>
        <v>-15222.25</v>
      </c>
      <c r="AB49" s="78">
        <f>SUMIF(ProformaCat,$B49,'Operating Calculations'!Z$88:Z$107)*(AB$6&lt;=MAX(YrOfExit,1))</f>
        <v>-15222.25</v>
      </c>
      <c r="AC49" s="78">
        <f>SUMIF(ProformaCat,$B49,'Operating Calculations'!AA$88:AA$107)*(AC$6&lt;=MAX(YrOfExit,1))</f>
        <v>-15222.25</v>
      </c>
      <c r="AD49" s="78">
        <f>SUMIF(ProformaCat,$B49,'Operating Calculations'!AB$88:AB$107)*(AD$6&lt;=MAX(YrOfExit,1))</f>
        <v>-15222.25</v>
      </c>
      <c r="AE49" s="78">
        <f>SUMIF(ProformaCat,$B49,'Operating Calculations'!AC$88:AC$107)*(AE$6&lt;=MAX(YrOfExit,1))</f>
        <v>-15222.25</v>
      </c>
      <c r="AF49" s="78">
        <f>SUMIF(ProformaCat,$B49,'Operating Calculations'!AD$88:AD$107)*(AF$6&lt;=MAX(YrOfExit,1))</f>
        <v>-15222.25</v>
      </c>
      <c r="AG49" s="78">
        <f>SUMIF(ProformaCat,$B49,'Operating Calculations'!AE$88:AE$107)*(AG$6&lt;=MAX(YrOfExit,1))</f>
        <v>-15222.25</v>
      </c>
      <c r="AH49" s="78">
        <f>SUMIF(ProformaCat,$B49,'Operating Calculations'!AF$88:AF$107)*(AH$6&lt;=MAX(YrOfExit,1))</f>
        <v>-15222.25</v>
      </c>
      <c r="AI49" s="78">
        <f>SUMIF(ProformaCat,$B49,'Operating Calculations'!AG$88:AG$107)*(AI$6&lt;=MAX(YrOfExit,1))</f>
        <v>-15222.25</v>
      </c>
      <c r="AJ49" s="78">
        <f>SUMIF(ProformaCat,$B49,'Operating Calculations'!AH$88:AH$107)*(AJ$6&lt;=MAX(YrOfExit,1))</f>
        <v>-15222.25</v>
      </c>
      <c r="AK49" s="78">
        <f>SUMIF(ProformaCat,$B49,'Operating Calculations'!AI$88:AI$107)*(AK$6&lt;=MAX(YrOfExit,1))</f>
        <v>-15222.25</v>
      </c>
      <c r="AL49" s="78">
        <f>SUMIF(ProformaCat,$B49,'Operating Calculations'!AJ$88:AJ$107)*(AL$6&lt;=MAX(YrOfExit,1))</f>
        <v>-15222.25</v>
      </c>
      <c r="AM49" s="78">
        <f>SUMIF(ProformaCat,$B49,'Operating Calculations'!AK$88:AK$107)*(AM$6&lt;=MAX(YrOfExit,1))</f>
        <v>-15222.25</v>
      </c>
      <c r="AN49" s="78">
        <f>SUMIF(ProformaCat,$B49,'Operating Calculations'!AL$88:AL$107)*(AN$6&lt;=MAX(YrOfExit,1))</f>
        <v>-15222.25</v>
      </c>
      <c r="AO49" s="78">
        <f>SUMIF(ProformaCat,$B49,'Operating Calculations'!AM$88:AM$107)*(AO$6&lt;=MAX(YrOfExit,1))</f>
        <v>-15222.25</v>
      </c>
      <c r="AP49" s="78">
        <f>SUMIF(ProformaCat,$B49,'Operating Calculations'!AN$88:AN$107)*(AP$6&lt;=MAX(YrOfExit,1))</f>
        <v>-15222.25</v>
      </c>
      <c r="AQ49" s="78">
        <f>SUMIF(ProformaCat,$B49,'Operating Calculations'!AO$88:AO$107)*(AQ$6&lt;=MAX(YrOfExit,1))</f>
        <v>-15222.25</v>
      </c>
      <c r="AR49" s="78">
        <f>SUMIF(ProformaCat,$B49,'Operating Calculations'!AP$88:AP$107)*(AR$6&lt;=MAX(YrOfExit,1))</f>
        <v>-15222.25</v>
      </c>
      <c r="AS49" s="78">
        <f>SUMIF(ProformaCat,$B49,'Operating Calculations'!AQ$88:AQ$107)*(AS$6&lt;=MAX(YrOfExit,1))</f>
        <v>-15222.25</v>
      </c>
      <c r="AT49" s="78">
        <f>SUMIF(ProformaCat,$B49,'Operating Calculations'!AR$88:AR$107)*(AT$6&lt;=MAX(YrOfExit,1))</f>
        <v>-15222.25</v>
      </c>
      <c r="AU49" s="78">
        <f>SUMIF(ProformaCat,$B49,'Operating Calculations'!AS$88:AS$107)*(AU$6&lt;=MAX(YrOfExit,1))</f>
        <v>-15222.25</v>
      </c>
      <c r="AV49" s="78">
        <f>SUMIF(ProformaCat,$B49,'Operating Calculations'!AT$88:AT$107)*(AV$6&lt;=MAX(YrOfExit,1))</f>
        <v>-15222.25</v>
      </c>
      <c r="AW49" s="78">
        <f>SUMIF(ProformaCat,$B49,'Operating Calculations'!AU$88:AU$107)*(AW$6&lt;=MAX(YrOfExit,1))</f>
        <v>-15222.25</v>
      </c>
      <c r="AX49" s="78">
        <f>SUMIF(ProformaCat,$B49,'Operating Calculations'!AV$88:AV$107)*(AX$6&lt;=MAX(YrOfExit,1))</f>
        <v>-15222.25</v>
      </c>
      <c r="AY49" s="78">
        <f>SUMIF(ProformaCat,$B49,'Operating Calculations'!AW$88:AW$107)*(AY$6&lt;=MAX(YrOfExit,1))</f>
        <v>-15222.25</v>
      </c>
      <c r="AZ49" s="78">
        <f>SUMIF(ProformaCat,$B49,'Operating Calculations'!AX$88:AX$107)*(AZ$6&lt;=MAX(YrOfExit,1))</f>
        <v>-15222.25</v>
      </c>
      <c r="BA49" s="78">
        <f>SUMIF(ProformaCat,$B49,'Operating Calculations'!AY$88:AY$107)*(BA$6&lt;=MAX(YrOfExit,1))</f>
        <v>-15222.25</v>
      </c>
      <c r="BB49" s="78">
        <f>SUMIF(ProformaCat,$B49,'Operating Calculations'!AZ$88:AZ$107)*(BB$6&lt;=MAX(YrOfExit,1))</f>
        <v>-15222.25</v>
      </c>
      <c r="BC49" s="78">
        <f>SUMIF(ProformaCat,$B49,'Operating Calculations'!BA$88:BA$107)*(BC$6&lt;=MAX(YrOfExit,1))</f>
        <v>-15222.25</v>
      </c>
      <c r="BD49" s="206">
        <f t="shared" si="39"/>
        <v>-15222.25</v>
      </c>
      <c r="BE49" s="78">
        <f t="shared" si="39"/>
        <v>-15222.25</v>
      </c>
      <c r="BF49" s="78">
        <f t="shared" si="39"/>
        <v>-15222.25</v>
      </c>
      <c r="BG49" s="78">
        <f t="shared" si="39"/>
        <v>-15222.25</v>
      </c>
      <c r="BH49" s="78">
        <f t="shared" si="39"/>
        <v>-15222.25</v>
      </c>
      <c r="BI49" s="78">
        <f t="shared" si="39"/>
        <v>-15222.25</v>
      </c>
      <c r="BJ49" s="78">
        <f t="shared" si="39"/>
        <v>-15222.25</v>
      </c>
      <c r="BK49" s="78">
        <f t="shared" si="39"/>
        <v>-15222.25</v>
      </c>
      <c r="BL49" s="78">
        <f t="shared" si="39"/>
        <v>-15222.25</v>
      </c>
      <c r="BM49" s="78">
        <f t="shared" si="39"/>
        <v>-15222.25</v>
      </c>
      <c r="BN49" s="78">
        <f t="shared" si="40"/>
        <v>-15222.25</v>
      </c>
      <c r="BO49" s="78">
        <f t="shared" si="40"/>
        <v>-15222.25</v>
      </c>
      <c r="BP49" s="78">
        <f t="shared" si="40"/>
        <v>-15222.25</v>
      </c>
      <c r="BQ49" s="78">
        <f t="shared" si="40"/>
        <v>-15222.25</v>
      </c>
      <c r="BR49" s="78">
        <f t="shared" si="40"/>
        <v>-15222.25</v>
      </c>
      <c r="BS49" s="78">
        <f t="shared" si="40"/>
        <v>-15222.25</v>
      </c>
      <c r="BT49" s="78">
        <f t="shared" si="40"/>
        <v>-15222.25</v>
      </c>
      <c r="BU49" s="78">
        <f t="shared" si="40"/>
        <v>-15222.25</v>
      </c>
      <c r="BV49" s="78">
        <f t="shared" si="40"/>
        <v>-15222.25</v>
      </c>
      <c r="BW49" s="78">
        <f t="shared" si="40"/>
        <v>-15222.25</v>
      </c>
      <c r="BX49" s="78">
        <f t="shared" si="41"/>
        <v>-15222.25</v>
      </c>
      <c r="BY49" s="78">
        <f t="shared" si="41"/>
        <v>-15222.25</v>
      </c>
      <c r="BZ49" s="78">
        <f t="shared" si="41"/>
        <v>-15222.25</v>
      </c>
      <c r="CA49" s="78">
        <f t="shared" si="41"/>
        <v>-15222.25</v>
      </c>
      <c r="CB49" s="78">
        <f t="shared" si="41"/>
        <v>-15222.25</v>
      </c>
      <c r="CC49" s="78">
        <f t="shared" si="41"/>
        <v>-15222.25</v>
      </c>
      <c r="CD49" s="78">
        <f t="shared" si="41"/>
        <v>-15222.25</v>
      </c>
      <c r="CE49" s="78">
        <f t="shared" si="41"/>
        <v>-15222.25</v>
      </c>
      <c r="CF49" s="78">
        <f t="shared" si="41"/>
        <v>-15222.25</v>
      </c>
      <c r="CG49" s="78">
        <f t="shared" si="41"/>
        <v>-15222.25</v>
      </c>
      <c r="CH49" s="78">
        <f t="shared" si="42"/>
        <v>-15222.25</v>
      </c>
      <c r="CI49" s="78">
        <f t="shared" si="42"/>
        <v>-15222.25</v>
      </c>
      <c r="CJ49" s="78">
        <f t="shared" si="42"/>
        <v>-15222.25</v>
      </c>
      <c r="CK49" s="78">
        <f t="shared" si="42"/>
        <v>-15222.25</v>
      </c>
      <c r="CL49" s="78">
        <f t="shared" si="42"/>
        <v>-15222.25</v>
      </c>
      <c r="CM49" s="78">
        <f t="shared" si="42"/>
        <v>-15222.25</v>
      </c>
      <c r="CN49" s="78">
        <f t="shared" si="42"/>
        <v>-15222.25</v>
      </c>
      <c r="CO49" s="78">
        <f t="shared" si="42"/>
        <v>-15222.25</v>
      </c>
      <c r="CP49" s="78">
        <f t="shared" si="42"/>
        <v>-15222.25</v>
      </c>
      <c r="CQ49" s="78">
        <f t="shared" si="42"/>
        <v>-15222.25</v>
      </c>
      <c r="CR49" s="78">
        <f t="shared" si="43"/>
        <v>-15222.25</v>
      </c>
      <c r="CS49" s="78">
        <f t="shared" si="43"/>
        <v>-15222.25</v>
      </c>
      <c r="CT49" s="78">
        <f t="shared" si="43"/>
        <v>-15222.25</v>
      </c>
      <c r="CU49" s="78">
        <f t="shared" si="43"/>
        <v>-15222.25</v>
      </c>
      <c r="CV49" s="78">
        <f t="shared" si="43"/>
        <v>-15222.25</v>
      </c>
      <c r="CW49" s="78">
        <f t="shared" si="43"/>
        <v>-15222.25</v>
      </c>
      <c r="CX49" s="78">
        <f t="shared" si="43"/>
        <v>-15222.25</v>
      </c>
      <c r="CY49" s="78">
        <f t="shared" si="43"/>
        <v>-15222.25</v>
      </c>
      <c r="CZ49" s="78">
        <f t="shared" si="43"/>
        <v>0</v>
      </c>
      <c r="DA49" s="78">
        <f t="shared" si="43"/>
        <v>0</v>
      </c>
      <c r="DB49" s="78">
        <f t="shared" si="44"/>
        <v>0</v>
      </c>
      <c r="DC49" s="78">
        <f t="shared" si="44"/>
        <v>0</v>
      </c>
      <c r="DD49" s="78">
        <f t="shared" si="44"/>
        <v>0</v>
      </c>
      <c r="DE49" s="78">
        <f t="shared" si="44"/>
        <v>0</v>
      </c>
      <c r="DF49" s="78">
        <f t="shared" si="44"/>
        <v>0</v>
      </c>
      <c r="DG49" s="78">
        <f t="shared" si="44"/>
        <v>0</v>
      </c>
      <c r="DH49" s="78">
        <f t="shared" si="44"/>
        <v>0</v>
      </c>
      <c r="DI49" s="78">
        <f t="shared" si="44"/>
        <v>0</v>
      </c>
      <c r="DJ49" s="78">
        <f t="shared" si="44"/>
        <v>0</v>
      </c>
      <c r="DK49" s="78">
        <f t="shared" si="44"/>
        <v>0</v>
      </c>
      <c r="DL49" s="78">
        <f t="shared" si="45"/>
        <v>0</v>
      </c>
      <c r="DM49" s="78">
        <f t="shared" si="45"/>
        <v>0</v>
      </c>
      <c r="DN49" s="78">
        <f t="shared" si="45"/>
        <v>0</v>
      </c>
      <c r="DO49" s="78">
        <f t="shared" si="45"/>
        <v>0</v>
      </c>
      <c r="DP49" s="78">
        <f t="shared" si="45"/>
        <v>0</v>
      </c>
      <c r="DQ49" s="78">
        <f t="shared" si="45"/>
        <v>0</v>
      </c>
      <c r="DR49" s="78">
        <f t="shared" si="45"/>
        <v>0</v>
      </c>
      <c r="DS49" s="78">
        <f t="shared" si="45"/>
        <v>0</v>
      </c>
      <c r="DT49" s="78">
        <f t="shared" si="45"/>
        <v>0</v>
      </c>
      <c r="DU49" s="78">
        <f t="shared" si="45"/>
        <v>0</v>
      </c>
      <c r="DV49" s="78">
        <f t="shared" si="46"/>
        <v>0</v>
      </c>
      <c r="DW49" s="78">
        <f t="shared" si="46"/>
        <v>0</v>
      </c>
      <c r="DX49" s="78">
        <f t="shared" si="46"/>
        <v>0</v>
      </c>
      <c r="DY49" s="78">
        <f t="shared" si="46"/>
        <v>0</v>
      </c>
      <c r="DZ49" s="78">
        <f t="shared" si="46"/>
        <v>0</v>
      </c>
      <c r="EA49" s="78">
        <f t="shared" si="46"/>
        <v>0</v>
      </c>
      <c r="EB49" s="78">
        <f t="shared" si="46"/>
        <v>0</v>
      </c>
      <c r="EC49" s="78">
        <f t="shared" si="46"/>
        <v>0</v>
      </c>
      <c r="ED49" s="78">
        <f t="shared" si="46"/>
        <v>0</v>
      </c>
      <c r="EE49" s="78">
        <f t="shared" si="46"/>
        <v>0</v>
      </c>
      <c r="EF49" s="78">
        <f t="shared" si="46"/>
        <v>0</v>
      </c>
      <c r="EG49" s="78">
        <f t="shared" si="46"/>
        <v>0</v>
      </c>
      <c r="EH49" s="78">
        <f t="shared" si="46"/>
        <v>0</v>
      </c>
      <c r="EI49" s="78">
        <f t="shared" si="46"/>
        <v>0</v>
      </c>
    </row>
    <row r="50" spans="2:139">
      <c r="B50" s="32" t="str">
        <f>GenValidation!L16</f>
        <v>Property Management Fee</v>
      </c>
      <c r="C50" s="32"/>
      <c r="D50" s="78"/>
      <c r="E50" s="78">
        <f>SUMIF(ProformaCat,$B50,'Operating Calculations'!C$88:C$107)*(E$5&lt;=MAX(YrOfExit,1))</f>
        <v>0</v>
      </c>
      <c r="F50" s="78">
        <f>SUMIF(ProformaCat,$B50,'Operating Calculations'!D$88:D$107)*(F$5&lt;=MAX(YrOfExit,1))</f>
        <v>0</v>
      </c>
      <c r="G50" s="78">
        <f>SUMIF(ProformaCat,$B50,'Operating Calculations'!E$88:E$107)*(G$5&lt;=MAX(YrOfExit,1))</f>
        <v>0</v>
      </c>
      <c r="H50" s="78">
        <f>SUMIF(ProformaCat,$B50,'Operating Calculations'!F$88:F$107)*(H$5&lt;=MAX(YrOfExit,1))</f>
        <v>0</v>
      </c>
      <c r="I50" s="78">
        <f>SUMIF(ProformaCat,$B50,'Operating Calculations'!G$88:G$107)*(I$5&lt;=MAX(YrOfExit,1))</f>
        <v>0</v>
      </c>
      <c r="J50" s="78">
        <f>SUMIF(ProformaCat,$B50,'Operating Calculations'!H$88:H$107)*(J$5&lt;=MAX(YrOfExit,1))</f>
        <v>0</v>
      </c>
      <c r="K50" s="78">
        <f>SUMIF(ProformaCat,$B50,'Operating Calculations'!I$88:I$107)*(K$5&lt;=MAX(YrOfExit,1))</f>
        <v>0</v>
      </c>
      <c r="L50" s="78">
        <f>SUMIF(ProformaCat,$B50,'Operating Calculations'!J$88:J$107)*(L$5&lt;=MAX(YrOfExit,1))</f>
        <v>0</v>
      </c>
      <c r="M50" s="78">
        <f>SUMIF(ProformaCat,$B50,'Operating Calculations'!K$88:K$107)*(M$5&lt;=MAX(YrOfExit,1))</f>
        <v>0</v>
      </c>
      <c r="N50" s="78">
        <f>SUMIF(ProformaCat,$B50,'Operating Calculations'!L$88:L$107)*(N$5&lt;=MAX(YrOfExit,1))</f>
        <v>0</v>
      </c>
      <c r="O50" s="145">
        <f t="shared" si="38"/>
        <v>0</v>
      </c>
      <c r="Q50" s="78">
        <f>SUMIF(ProformaCat,$B50,'Operating Calculations'!O$88:O$107)</f>
        <v>0</v>
      </c>
      <c r="S50" s="27"/>
      <c r="T50" s="78">
        <f>SUMIF(ProformaCat,$B50,'Operating Calculations'!R$88:R$107)*(T$6&lt;=MAX(YrOfExit,1))</f>
        <v>0</v>
      </c>
      <c r="U50" s="78">
        <f>SUMIF(ProformaCat,$B50,'Operating Calculations'!S$88:S$107)*(U$6&lt;=MAX(YrOfExit,1))</f>
        <v>0</v>
      </c>
      <c r="V50" s="78">
        <f>SUMIF(ProformaCat,$B50,'Operating Calculations'!T$88:T$107)*(V$6&lt;=MAX(YrOfExit,1))</f>
        <v>0</v>
      </c>
      <c r="W50" s="78">
        <f>SUMIF(ProformaCat,$B50,'Operating Calculations'!U$88:U$107)*(W$6&lt;=MAX(YrOfExit,1))</f>
        <v>0</v>
      </c>
      <c r="X50" s="78">
        <f>SUMIF(ProformaCat,$B50,'Operating Calculations'!V$88:V$107)*(X$6&lt;=MAX(YrOfExit,1))</f>
        <v>0</v>
      </c>
      <c r="Y50" s="78">
        <f>SUMIF(ProformaCat,$B50,'Operating Calculations'!W$88:W$107)*(Y$6&lt;=MAX(YrOfExit,1))</f>
        <v>0</v>
      </c>
      <c r="Z50" s="78">
        <f>SUMIF(ProformaCat,$B50,'Operating Calculations'!X$88:X$107)*(Z$6&lt;=MAX(YrOfExit,1))</f>
        <v>0</v>
      </c>
      <c r="AA50" s="78">
        <f>SUMIF(ProformaCat,$B50,'Operating Calculations'!Y$88:Y$107)*(AA$6&lt;=MAX(YrOfExit,1))</f>
        <v>0</v>
      </c>
      <c r="AB50" s="78">
        <f>SUMIF(ProformaCat,$B50,'Operating Calculations'!Z$88:Z$107)*(AB$6&lt;=MAX(YrOfExit,1))</f>
        <v>0</v>
      </c>
      <c r="AC50" s="78">
        <f>SUMIF(ProformaCat,$B50,'Operating Calculations'!AA$88:AA$107)*(AC$6&lt;=MAX(YrOfExit,1))</f>
        <v>0</v>
      </c>
      <c r="AD50" s="78">
        <f>SUMIF(ProformaCat,$B50,'Operating Calculations'!AB$88:AB$107)*(AD$6&lt;=MAX(YrOfExit,1))</f>
        <v>0</v>
      </c>
      <c r="AE50" s="78">
        <f>SUMIF(ProformaCat,$B50,'Operating Calculations'!AC$88:AC$107)*(AE$6&lt;=MAX(YrOfExit,1))</f>
        <v>0</v>
      </c>
      <c r="AF50" s="78">
        <f>SUMIF(ProformaCat,$B50,'Operating Calculations'!AD$88:AD$107)*(AF$6&lt;=MAX(YrOfExit,1))</f>
        <v>0</v>
      </c>
      <c r="AG50" s="78">
        <f>SUMIF(ProformaCat,$B50,'Operating Calculations'!AE$88:AE$107)*(AG$6&lt;=MAX(YrOfExit,1))</f>
        <v>0</v>
      </c>
      <c r="AH50" s="78">
        <f>SUMIF(ProformaCat,$B50,'Operating Calculations'!AF$88:AF$107)*(AH$6&lt;=MAX(YrOfExit,1))</f>
        <v>0</v>
      </c>
      <c r="AI50" s="78">
        <f>SUMIF(ProformaCat,$B50,'Operating Calculations'!AG$88:AG$107)*(AI$6&lt;=MAX(YrOfExit,1))</f>
        <v>0</v>
      </c>
      <c r="AJ50" s="78">
        <f>SUMIF(ProformaCat,$B50,'Operating Calculations'!AH$88:AH$107)*(AJ$6&lt;=MAX(YrOfExit,1))</f>
        <v>0</v>
      </c>
      <c r="AK50" s="78">
        <f>SUMIF(ProformaCat,$B50,'Operating Calculations'!AI$88:AI$107)*(AK$6&lt;=MAX(YrOfExit,1))</f>
        <v>0</v>
      </c>
      <c r="AL50" s="78">
        <f>SUMIF(ProformaCat,$B50,'Operating Calculations'!AJ$88:AJ$107)*(AL$6&lt;=MAX(YrOfExit,1))</f>
        <v>0</v>
      </c>
      <c r="AM50" s="78">
        <f>SUMIF(ProformaCat,$B50,'Operating Calculations'!AK$88:AK$107)*(AM$6&lt;=MAX(YrOfExit,1))</f>
        <v>0</v>
      </c>
      <c r="AN50" s="78">
        <f>SUMIF(ProformaCat,$B50,'Operating Calculations'!AL$88:AL$107)*(AN$6&lt;=MAX(YrOfExit,1))</f>
        <v>0</v>
      </c>
      <c r="AO50" s="78">
        <f>SUMIF(ProformaCat,$B50,'Operating Calculations'!AM$88:AM$107)*(AO$6&lt;=MAX(YrOfExit,1))</f>
        <v>0</v>
      </c>
      <c r="AP50" s="78">
        <f>SUMIF(ProformaCat,$B50,'Operating Calculations'!AN$88:AN$107)*(AP$6&lt;=MAX(YrOfExit,1))</f>
        <v>0</v>
      </c>
      <c r="AQ50" s="78">
        <f>SUMIF(ProformaCat,$B50,'Operating Calculations'!AO$88:AO$107)*(AQ$6&lt;=MAX(YrOfExit,1))</f>
        <v>0</v>
      </c>
      <c r="AR50" s="78">
        <f>SUMIF(ProformaCat,$B50,'Operating Calculations'!AP$88:AP$107)*(AR$6&lt;=MAX(YrOfExit,1))</f>
        <v>0</v>
      </c>
      <c r="AS50" s="78">
        <f>SUMIF(ProformaCat,$B50,'Operating Calculations'!AQ$88:AQ$107)*(AS$6&lt;=MAX(YrOfExit,1))</f>
        <v>0</v>
      </c>
      <c r="AT50" s="78">
        <f>SUMIF(ProformaCat,$B50,'Operating Calculations'!AR$88:AR$107)*(AT$6&lt;=MAX(YrOfExit,1))</f>
        <v>0</v>
      </c>
      <c r="AU50" s="78">
        <f>SUMIF(ProformaCat,$B50,'Operating Calculations'!AS$88:AS$107)*(AU$6&lt;=MAX(YrOfExit,1))</f>
        <v>0</v>
      </c>
      <c r="AV50" s="78">
        <f>SUMIF(ProformaCat,$B50,'Operating Calculations'!AT$88:AT$107)*(AV$6&lt;=MAX(YrOfExit,1))</f>
        <v>0</v>
      </c>
      <c r="AW50" s="78">
        <f>SUMIF(ProformaCat,$B50,'Operating Calculations'!AU$88:AU$107)*(AW$6&lt;=MAX(YrOfExit,1))</f>
        <v>0</v>
      </c>
      <c r="AX50" s="78">
        <f>SUMIF(ProformaCat,$B50,'Operating Calculations'!AV$88:AV$107)*(AX$6&lt;=MAX(YrOfExit,1))</f>
        <v>0</v>
      </c>
      <c r="AY50" s="78">
        <f>SUMIF(ProformaCat,$B50,'Operating Calculations'!AW$88:AW$107)*(AY$6&lt;=MAX(YrOfExit,1))</f>
        <v>0</v>
      </c>
      <c r="AZ50" s="78">
        <f>SUMIF(ProformaCat,$B50,'Operating Calculations'!AX$88:AX$107)*(AZ$6&lt;=MAX(YrOfExit,1))</f>
        <v>0</v>
      </c>
      <c r="BA50" s="78">
        <f>SUMIF(ProformaCat,$B50,'Operating Calculations'!AY$88:AY$107)*(BA$6&lt;=MAX(YrOfExit,1))</f>
        <v>0</v>
      </c>
      <c r="BB50" s="78">
        <f>SUMIF(ProformaCat,$B50,'Operating Calculations'!AZ$88:AZ$107)*(BB$6&lt;=MAX(YrOfExit,1))</f>
        <v>0</v>
      </c>
      <c r="BC50" s="78">
        <f>SUMIF(ProformaCat,$B50,'Operating Calculations'!BA$88:BA$107)*(BC$6&lt;=MAX(YrOfExit,1))</f>
        <v>0</v>
      </c>
      <c r="BD50" s="206">
        <f t="shared" si="39"/>
        <v>0</v>
      </c>
      <c r="BE50" s="78">
        <f t="shared" si="39"/>
        <v>0</v>
      </c>
      <c r="BF50" s="78">
        <f t="shared" si="39"/>
        <v>0</v>
      </c>
      <c r="BG50" s="78">
        <f t="shared" si="39"/>
        <v>0</v>
      </c>
      <c r="BH50" s="78">
        <f t="shared" si="39"/>
        <v>0</v>
      </c>
      <c r="BI50" s="78">
        <f t="shared" si="39"/>
        <v>0</v>
      </c>
      <c r="BJ50" s="78">
        <f t="shared" si="39"/>
        <v>0</v>
      </c>
      <c r="BK50" s="78">
        <f t="shared" si="39"/>
        <v>0</v>
      </c>
      <c r="BL50" s="78">
        <f t="shared" si="39"/>
        <v>0</v>
      </c>
      <c r="BM50" s="78">
        <f t="shared" si="39"/>
        <v>0</v>
      </c>
      <c r="BN50" s="78">
        <f t="shared" si="40"/>
        <v>0</v>
      </c>
      <c r="BO50" s="78">
        <f t="shared" si="40"/>
        <v>0</v>
      </c>
      <c r="BP50" s="78">
        <f t="shared" si="40"/>
        <v>0</v>
      </c>
      <c r="BQ50" s="78">
        <f t="shared" si="40"/>
        <v>0</v>
      </c>
      <c r="BR50" s="78">
        <f t="shared" si="40"/>
        <v>0</v>
      </c>
      <c r="BS50" s="78">
        <f t="shared" si="40"/>
        <v>0</v>
      </c>
      <c r="BT50" s="78">
        <f t="shared" si="40"/>
        <v>0</v>
      </c>
      <c r="BU50" s="78">
        <f t="shared" si="40"/>
        <v>0</v>
      </c>
      <c r="BV50" s="78">
        <f t="shared" si="40"/>
        <v>0</v>
      </c>
      <c r="BW50" s="78">
        <f t="shared" si="40"/>
        <v>0</v>
      </c>
      <c r="BX50" s="78">
        <f t="shared" si="41"/>
        <v>0</v>
      </c>
      <c r="BY50" s="78">
        <f t="shared" si="41"/>
        <v>0</v>
      </c>
      <c r="BZ50" s="78">
        <f t="shared" si="41"/>
        <v>0</v>
      </c>
      <c r="CA50" s="78">
        <f t="shared" si="41"/>
        <v>0</v>
      </c>
      <c r="CB50" s="78">
        <f t="shared" si="41"/>
        <v>0</v>
      </c>
      <c r="CC50" s="78">
        <f t="shared" si="41"/>
        <v>0</v>
      </c>
      <c r="CD50" s="78">
        <f t="shared" si="41"/>
        <v>0</v>
      </c>
      <c r="CE50" s="78">
        <f t="shared" si="41"/>
        <v>0</v>
      </c>
      <c r="CF50" s="78">
        <f t="shared" si="41"/>
        <v>0</v>
      </c>
      <c r="CG50" s="78">
        <f t="shared" si="41"/>
        <v>0</v>
      </c>
      <c r="CH50" s="78">
        <f t="shared" si="42"/>
        <v>0</v>
      </c>
      <c r="CI50" s="78">
        <f t="shared" si="42"/>
        <v>0</v>
      </c>
      <c r="CJ50" s="78">
        <f t="shared" si="42"/>
        <v>0</v>
      </c>
      <c r="CK50" s="78">
        <f t="shared" si="42"/>
        <v>0</v>
      </c>
      <c r="CL50" s="78">
        <f t="shared" si="42"/>
        <v>0</v>
      </c>
      <c r="CM50" s="78">
        <f t="shared" si="42"/>
        <v>0</v>
      </c>
      <c r="CN50" s="78">
        <f t="shared" si="42"/>
        <v>0</v>
      </c>
      <c r="CO50" s="78">
        <f t="shared" si="42"/>
        <v>0</v>
      </c>
      <c r="CP50" s="78">
        <f t="shared" si="42"/>
        <v>0</v>
      </c>
      <c r="CQ50" s="78">
        <f t="shared" si="42"/>
        <v>0</v>
      </c>
      <c r="CR50" s="78">
        <f t="shared" si="43"/>
        <v>0</v>
      </c>
      <c r="CS50" s="78">
        <f t="shared" si="43"/>
        <v>0</v>
      </c>
      <c r="CT50" s="78">
        <f t="shared" si="43"/>
        <v>0</v>
      </c>
      <c r="CU50" s="78">
        <f t="shared" si="43"/>
        <v>0</v>
      </c>
      <c r="CV50" s="78">
        <f t="shared" si="43"/>
        <v>0</v>
      </c>
      <c r="CW50" s="78">
        <f t="shared" si="43"/>
        <v>0</v>
      </c>
      <c r="CX50" s="78">
        <f t="shared" si="43"/>
        <v>0</v>
      </c>
      <c r="CY50" s="78">
        <f t="shared" si="43"/>
        <v>0</v>
      </c>
      <c r="CZ50" s="78">
        <f t="shared" si="43"/>
        <v>0</v>
      </c>
      <c r="DA50" s="78">
        <f t="shared" si="43"/>
        <v>0</v>
      </c>
      <c r="DB50" s="78">
        <f t="shared" si="44"/>
        <v>0</v>
      </c>
      <c r="DC50" s="78">
        <f t="shared" si="44"/>
        <v>0</v>
      </c>
      <c r="DD50" s="78">
        <f t="shared" si="44"/>
        <v>0</v>
      </c>
      <c r="DE50" s="78">
        <f t="shared" si="44"/>
        <v>0</v>
      </c>
      <c r="DF50" s="78">
        <f t="shared" si="44"/>
        <v>0</v>
      </c>
      <c r="DG50" s="78">
        <f t="shared" si="44"/>
        <v>0</v>
      </c>
      <c r="DH50" s="78">
        <f t="shared" si="44"/>
        <v>0</v>
      </c>
      <c r="DI50" s="78">
        <f t="shared" si="44"/>
        <v>0</v>
      </c>
      <c r="DJ50" s="78">
        <f t="shared" si="44"/>
        <v>0</v>
      </c>
      <c r="DK50" s="78">
        <f t="shared" si="44"/>
        <v>0</v>
      </c>
      <c r="DL50" s="78">
        <f t="shared" si="45"/>
        <v>0</v>
      </c>
      <c r="DM50" s="78">
        <f t="shared" si="45"/>
        <v>0</v>
      </c>
      <c r="DN50" s="78">
        <f t="shared" si="45"/>
        <v>0</v>
      </c>
      <c r="DO50" s="78">
        <f t="shared" si="45"/>
        <v>0</v>
      </c>
      <c r="DP50" s="78">
        <f t="shared" si="45"/>
        <v>0</v>
      </c>
      <c r="DQ50" s="78">
        <f t="shared" si="45"/>
        <v>0</v>
      </c>
      <c r="DR50" s="78">
        <f t="shared" si="45"/>
        <v>0</v>
      </c>
      <c r="DS50" s="78">
        <f t="shared" si="45"/>
        <v>0</v>
      </c>
      <c r="DT50" s="78">
        <f t="shared" si="45"/>
        <v>0</v>
      </c>
      <c r="DU50" s="78">
        <f t="shared" si="45"/>
        <v>0</v>
      </c>
      <c r="DV50" s="78">
        <f t="shared" si="46"/>
        <v>0</v>
      </c>
      <c r="DW50" s="78">
        <f t="shared" si="46"/>
        <v>0</v>
      </c>
      <c r="DX50" s="78">
        <f t="shared" si="46"/>
        <v>0</v>
      </c>
      <c r="DY50" s="78">
        <f t="shared" si="46"/>
        <v>0</v>
      </c>
      <c r="DZ50" s="78">
        <f t="shared" si="46"/>
        <v>0</v>
      </c>
      <c r="EA50" s="78">
        <f t="shared" si="46"/>
        <v>0</v>
      </c>
      <c r="EB50" s="78">
        <f t="shared" si="46"/>
        <v>0</v>
      </c>
      <c r="EC50" s="78">
        <f t="shared" si="46"/>
        <v>0</v>
      </c>
      <c r="ED50" s="78">
        <f t="shared" si="46"/>
        <v>0</v>
      </c>
      <c r="EE50" s="78">
        <f t="shared" si="46"/>
        <v>0</v>
      </c>
      <c r="EF50" s="78">
        <f t="shared" si="46"/>
        <v>0</v>
      </c>
      <c r="EG50" s="78">
        <f t="shared" si="46"/>
        <v>0</v>
      </c>
      <c r="EH50" s="78">
        <f t="shared" si="46"/>
        <v>0</v>
      </c>
      <c r="EI50" s="78">
        <f t="shared" si="46"/>
        <v>0</v>
      </c>
    </row>
    <row r="51" spans="2:139">
      <c r="B51" s="32" t="str">
        <f>GenValidation!L17</f>
        <v>Other Operating Expenses</v>
      </c>
      <c r="C51" s="32"/>
      <c r="D51" s="78"/>
      <c r="E51" s="78">
        <f>SUMIF(ProformaCat,$B51,'Operating Calculations'!C$88:C$107)*(E$5&lt;=MAX(YrOfExit,1))</f>
        <v>0</v>
      </c>
      <c r="F51" s="78">
        <f>SUMIF(ProformaCat,$B51,'Operating Calculations'!D$88:D$107)*(F$5&lt;=MAX(YrOfExit,1))</f>
        <v>0</v>
      </c>
      <c r="G51" s="78">
        <f>SUMIF(ProformaCat,$B51,'Operating Calculations'!E$88:E$107)*(G$5&lt;=MAX(YrOfExit,1))</f>
        <v>0</v>
      </c>
      <c r="H51" s="78">
        <f>SUMIF(ProformaCat,$B51,'Operating Calculations'!F$88:F$107)*(H$5&lt;=MAX(YrOfExit,1))</f>
        <v>0</v>
      </c>
      <c r="I51" s="78">
        <f>SUMIF(ProformaCat,$B51,'Operating Calculations'!G$88:G$107)*(I$5&lt;=MAX(YrOfExit,1))</f>
        <v>0</v>
      </c>
      <c r="J51" s="78">
        <f>SUMIF(ProformaCat,$B51,'Operating Calculations'!H$88:H$107)*(J$5&lt;=MAX(YrOfExit,1))</f>
        <v>0</v>
      </c>
      <c r="K51" s="78">
        <f>SUMIF(ProformaCat,$B51,'Operating Calculations'!I$88:I$107)*(K$5&lt;=MAX(YrOfExit,1))</f>
        <v>0</v>
      </c>
      <c r="L51" s="78">
        <f>SUMIF(ProformaCat,$B51,'Operating Calculations'!J$88:J$107)*(L$5&lt;=MAX(YrOfExit,1))</f>
        <v>0</v>
      </c>
      <c r="M51" s="78">
        <f>SUMIF(ProformaCat,$B51,'Operating Calculations'!K$88:K$107)*(M$5&lt;=MAX(YrOfExit,1))</f>
        <v>0</v>
      </c>
      <c r="N51" s="78">
        <f>SUMIF(ProformaCat,$B51,'Operating Calculations'!L$88:L$107)*(N$5&lt;=MAX(YrOfExit,1))</f>
        <v>0</v>
      </c>
      <c r="O51" s="145">
        <f t="shared" si="38"/>
        <v>0</v>
      </c>
      <c r="Q51" s="78">
        <f>SUMIF(ProformaCat,$B51,'Operating Calculations'!O$88:O$107)</f>
        <v>0</v>
      </c>
      <c r="S51" s="27"/>
      <c r="T51" s="78">
        <f>SUMIF(ProformaCat,$B51,'Operating Calculations'!R$88:R$107)*(T$6&lt;=MAX(YrOfExit,1))</f>
        <v>0</v>
      </c>
      <c r="U51" s="78">
        <f>SUMIF(ProformaCat,$B51,'Operating Calculations'!S$88:S$107)*(U$6&lt;=MAX(YrOfExit,1))</f>
        <v>0</v>
      </c>
      <c r="V51" s="78">
        <f>SUMIF(ProformaCat,$B51,'Operating Calculations'!T$88:T$107)*(V$6&lt;=MAX(YrOfExit,1))</f>
        <v>0</v>
      </c>
      <c r="W51" s="78">
        <f>SUMIF(ProformaCat,$B51,'Operating Calculations'!U$88:U$107)*(W$6&lt;=MAX(YrOfExit,1))</f>
        <v>0</v>
      </c>
      <c r="X51" s="78">
        <f>SUMIF(ProformaCat,$B51,'Operating Calculations'!V$88:V$107)*(X$6&lt;=MAX(YrOfExit,1))</f>
        <v>0</v>
      </c>
      <c r="Y51" s="78">
        <f>SUMIF(ProformaCat,$B51,'Operating Calculations'!W$88:W$107)*(Y$6&lt;=MAX(YrOfExit,1))</f>
        <v>0</v>
      </c>
      <c r="Z51" s="78">
        <f>SUMIF(ProformaCat,$B51,'Operating Calculations'!X$88:X$107)*(Z$6&lt;=MAX(YrOfExit,1))</f>
        <v>0</v>
      </c>
      <c r="AA51" s="78">
        <f>SUMIF(ProformaCat,$B51,'Operating Calculations'!Y$88:Y$107)*(AA$6&lt;=MAX(YrOfExit,1))</f>
        <v>0</v>
      </c>
      <c r="AB51" s="78">
        <f>SUMIF(ProformaCat,$B51,'Operating Calculations'!Z$88:Z$107)*(AB$6&lt;=MAX(YrOfExit,1))</f>
        <v>0</v>
      </c>
      <c r="AC51" s="78">
        <f>SUMIF(ProformaCat,$B51,'Operating Calculations'!AA$88:AA$107)*(AC$6&lt;=MAX(YrOfExit,1))</f>
        <v>0</v>
      </c>
      <c r="AD51" s="78">
        <f>SUMIF(ProformaCat,$B51,'Operating Calculations'!AB$88:AB$107)*(AD$6&lt;=MAX(YrOfExit,1))</f>
        <v>0</v>
      </c>
      <c r="AE51" s="78">
        <f>SUMIF(ProformaCat,$B51,'Operating Calculations'!AC$88:AC$107)*(AE$6&lt;=MAX(YrOfExit,1))</f>
        <v>0</v>
      </c>
      <c r="AF51" s="78">
        <f>SUMIF(ProformaCat,$B51,'Operating Calculations'!AD$88:AD$107)*(AF$6&lt;=MAX(YrOfExit,1))</f>
        <v>0</v>
      </c>
      <c r="AG51" s="78">
        <f>SUMIF(ProformaCat,$B51,'Operating Calculations'!AE$88:AE$107)*(AG$6&lt;=MAX(YrOfExit,1))</f>
        <v>0</v>
      </c>
      <c r="AH51" s="78">
        <f>SUMIF(ProformaCat,$B51,'Operating Calculations'!AF$88:AF$107)*(AH$6&lt;=MAX(YrOfExit,1))</f>
        <v>0</v>
      </c>
      <c r="AI51" s="78">
        <f>SUMIF(ProformaCat,$B51,'Operating Calculations'!AG$88:AG$107)*(AI$6&lt;=MAX(YrOfExit,1))</f>
        <v>0</v>
      </c>
      <c r="AJ51" s="78">
        <f>SUMIF(ProformaCat,$B51,'Operating Calculations'!AH$88:AH$107)*(AJ$6&lt;=MAX(YrOfExit,1))</f>
        <v>0</v>
      </c>
      <c r="AK51" s="78">
        <f>SUMIF(ProformaCat,$B51,'Operating Calculations'!AI$88:AI$107)*(AK$6&lt;=MAX(YrOfExit,1))</f>
        <v>0</v>
      </c>
      <c r="AL51" s="78">
        <f>SUMIF(ProformaCat,$B51,'Operating Calculations'!AJ$88:AJ$107)*(AL$6&lt;=MAX(YrOfExit,1))</f>
        <v>0</v>
      </c>
      <c r="AM51" s="78">
        <f>SUMIF(ProformaCat,$B51,'Operating Calculations'!AK$88:AK$107)*(AM$6&lt;=MAX(YrOfExit,1))</f>
        <v>0</v>
      </c>
      <c r="AN51" s="78">
        <f>SUMIF(ProformaCat,$B51,'Operating Calculations'!AL$88:AL$107)*(AN$6&lt;=MAX(YrOfExit,1))</f>
        <v>0</v>
      </c>
      <c r="AO51" s="78">
        <f>SUMIF(ProformaCat,$B51,'Operating Calculations'!AM$88:AM$107)*(AO$6&lt;=MAX(YrOfExit,1))</f>
        <v>0</v>
      </c>
      <c r="AP51" s="78">
        <f>SUMIF(ProformaCat,$B51,'Operating Calculations'!AN$88:AN$107)*(AP$6&lt;=MAX(YrOfExit,1))</f>
        <v>0</v>
      </c>
      <c r="AQ51" s="78">
        <f>SUMIF(ProformaCat,$B51,'Operating Calculations'!AO$88:AO$107)*(AQ$6&lt;=MAX(YrOfExit,1))</f>
        <v>0</v>
      </c>
      <c r="AR51" s="78">
        <f>SUMIF(ProformaCat,$B51,'Operating Calculations'!AP$88:AP$107)*(AR$6&lt;=MAX(YrOfExit,1))</f>
        <v>0</v>
      </c>
      <c r="AS51" s="78">
        <f>SUMIF(ProformaCat,$B51,'Operating Calculations'!AQ$88:AQ$107)*(AS$6&lt;=MAX(YrOfExit,1))</f>
        <v>0</v>
      </c>
      <c r="AT51" s="78">
        <f>SUMIF(ProformaCat,$B51,'Operating Calculations'!AR$88:AR$107)*(AT$6&lt;=MAX(YrOfExit,1))</f>
        <v>0</v>
      </c>
      <c r="AU51" s="78">
        <f>SUMIF(ProformaCat,$B51,'Operating Calculations'!AS$88:AS$107)*(AU$6&lt;=MAX(YrOfExit,1))</f>
        <v>0</v>
      </c>
      <c r="AV51" s="78">
        <f>SUMIF(ProformaCat,$B51,'Operating Calculations'!AT$88:AT$107)*(AV$6&lt;=MAX(YrOfExit,1))</f>
        <v>0</v>
      </c>
      <c r="AW51" s="78">
        <f>SUMIF(ProformaCat,$B51,'Operating Calculations'!AU$88:AU$107)*(AW$6&lt;=MAX(YrOfExit,1))</f>
        <v>0</v>
      </c>
      <c r="AX51" s="78">
        <f>SUMIF(ProformaCat,$B51,'Operating Calculations'!AV$88:AV$107)*(AX$6&lt;=MAX(YrOfExit,1))</f>
        <v>0</v>
      </c>
      <c r="AY51" s="78">
        <f>SUMIF(ProformaCat,$B51,'Operating Calculations'!AW$88:AW$107)*(AY$6&lt;=MAX(YrOfExit,1))</f>
        <v>0</v>
      </c>
      <c r="AZ51" s="78">
        <f>SUMIF(ProformaCat,$B51,'Operating Calculations'!AX$88:AX$107)*(AZ$6&lt;=MAX(YrOfExit,1))</f>
        <v>0</v>
      </c>
      <c r="BA51" s="78">
        <f>SUMIF(ProformaCat,$B51,'Operating Calculations'!AY$88:AY$107)*(BA$6&lt;=MAX(YrOfExit,1))</f>
        <v>0</v>
      </c>
      <c r="BB51" s="78">
        <f>SUMIF(ProformaCat,$B51,'Operating Calculations'!AZ$88:AZ$107)*(BB$6&lt;=MAX(YrOfExit,1))</f>
        <v>0</v>
      </c>
      <c r="BC51" s="78">
        <f>SUMIF(ProformaCat,$B51,'Operating Calculations'!BA$88:BA$107)*(BC$6&lt;=MAX(YrOfExit,1))</f>
        <v>0</v>
      </c>
      <c r="BD51" s="206">
        <f t="shared" si="39"/>
        <v>0</v>
      </c>
      <c r="BE51" s="78">
        <f t="shared" si="39"/>
        <v>0</v>
      </c>
      <c r="BF51" s="78">
        <f t="shared" si="39"/>
        <v>0</v>
      </c>
      <c r="BG51" s="78">
        <f t="shared" si="39"/>
        <v>0</v>
      </c>
      <c r="BH51" s="78">
        <f t="shared" si="39"/>
        <v>0</v>
      </c>
      <c r="BI51" s="78">
        <f t="shared" si="39"/>
        <v>0</v>
      </c>
      <c r="BJ51" s="78">
        <f t="shared" si="39"/>
        <v>0</v>
      </c>
      <c r="BK51" s="78">
        <f t="shared" si="39"/>
        <v>0</v>
      </c>
      <c r="BL51" s="78">
        <f t="shared" si="39"/>
        <v>0</v>
      </c>
      <c r="BM51" s="78">
        <f t="shared" si="39"/>
        <v>0</v>
      </c>
      <c r="BN51" s="78">
        <f t="shared" si="40"/>
        <v>0</v>
      </c>
      <c r="BO51" s="78">
        <f t="shared" si="40"/>
        <v>0</v>
      </c>
      <c r="BP51" s="78">
        <f t="shared" si="40"/>
        <v>0</v>
      </c>
      <c r="BQ51" s="78">
        <f t="shared" si="40"/>
        <v>0</v>
      </c>
      <c r="BR51" s="78">
        <f t="shared" si="40"/>
        <v>0</v>
      </c>
      <c r="BS51" s="78">
        <f t="shared" si="40"/>
        <v>0</v>
      </c>
      <c r="BT51" s="78">
        <f t="shared" si="40"/>
        <v>0</v>
      </c>
      <c r="BU51" s="78">
        <f t="shared" si="40"/>
        <v>0</v>
      </c>
      <c r="BV51" s="78">
        <f t="shared" si="40"/>
        <v>0</v>
      </c>
      <c r="BW51" s="78">
        <f t="shared" si="40"/>
        <v>0</v>
      </c>
      <c r="BX51" s="78">
        <f t="shared" si="41"/>
        <v>0</v>
      </c>
      <c r="BY51" s="78">
        <f t="shared" si="41"/>
        <v>0</v>
      </c>
      <c r="BZ51" s="78">
        <f t="shared" si="41"/>
        <v>0</v>
      </c>
      <c r="CA51" s="78">
        <f t="shared" si="41"/>
        <v>0</v>
      </c>
      <c r="CB51" s="78">
        <f t="shared" si="41"/>
        <v>0</v>
      </c>
      <c r="CC51" s="78">
        <f t="shared" si="41"/>
        <v>0</v>
      </c>
      <c r="CD51" s="78">
        <f t="shared" si="41"/>
        <v>0</v>
      </c>
      <c r="CE51" s="78">
        <f t="shared" si="41"/>
        <v>0</v>
      </c>
      <c r="CF51" s="78">
        <f t="shared" si="41"/>
        <v>0</v>
      </c>
      <c r="CG51" s="78">
        <f t="shared" si="41"/>
        <v>0</v>
      </c>
      <c r="CH51" s="78">
        <f t="shared" si="42"/>
        <v>0</v>
      </c>
      <c r="CI51" s="78">
        <f t="shared" si="42"/>
        <v>0</v>
      </c>
      <c r="CJ51" s="78">
        <f t="shared" si="42"/>
        <v>0</v>
      </c>
      <c r="CK51" s="78">
        <f t="shared" si="42"/>
        <v>0</v>
      </c>
      <c r="CL51" s="78">
        <f t="shared" si="42"/>
        <v>0</v>
      </c>
      <c r="CM51" s="78">
        <f t="shared" si="42"/>
        <v>0</v>
      </c>
      <c r="CN51" s="78">
        <f t="shared" si="42"/>
        <v>0</v>
      </c>
      <c r="CO51" s="78">
        <f t="shared" si="42"/>
        <v>0</v>
      </c>
      <c r="CP51" s="78">
        <f t="shared" si="42"/>
        <v>0</v>
      </c>
      <c r="CQ51" s="78">
        <f t="shared" si="42"/>
        <v>0</v>
      </c>
      <c r="CR51" s="78">
        <f t="shared" si="43"/>
        <v>0</v>
      </c>
      <c r="CS51" s="78">
        <f t="shared" si="43"/>
        <v>0</v>
      </c>
      <c r="CT51" s="78">
        <f t="shared" si="43"/>
        <v>0</v>
      </c>
      <c r="CU51" s="78">
        <f t="shared" si="43"/>
        <v>0</v>
      </c>
      <c r="CV51" s="78">
        <f t="shared" si="43"/>
        <v>0</v>
      </c>
      <c r="CW51" s="78">
        <f t="shared" si="43"/>
        <v>0</v>
      </c>
      <c r="CX51" s="78">
        <f t="shared" si="43"/>
        <v>0</v>
      </c>
      <c r="CY51" s="78">
        <f t="shared" si="43"/>
        <v>0</v>
      </c>
      <c r="CZ51" s="78">
        <f t="shared" si="43"/>
        <v>0</v>
      </c>
      <c r="DA51" s="78">
        <f t="shared" si="43"/>
        <v>0</v>
      </c>
      <c r="DB51" s="78">
        <f t="shared" si="44"/>
        <v>0</v>
      </c>
      <c r="DC51" s="78">
        <f t="shared" si="44"/>
        <v>0</v>
      </c>
      <c r="DD51" s="78">
        <f t="shared" si="44"/>
        <v>0</v>
      </c>
      <c r="DE51" s="78">
        <f t="shared" si="44"/>
        <v>0</v>
      </c>
      <c r="DF51" s="78">
        <f t="shared" si="44"/>
        <v>0</v>
      </c>
      <c r="DG51" s="78">
        <f t="shared" si="44"/>
        <v>0</v>
      </c>
      <c r="DH51" s="78">
        <f t="shared" si="44"/>
        <v>0</v>
      </c>
      <c r="DI51" s="78">
        <f t="shared" si="44"/>
        <v>0</v>
      </c>
      <c r="DJ51" s="78">
        <f t="shared" si="44"/>
        <v>0</v>
      </c>
      <c r="DK51" s="78">
        <f t="shared" si="44"/>
        <v>0</v>
      </c>
      <c r="DL51" s="78">
        <f t="shared" si="45"/>
        <v>0</v>
      </c>
      <c r="DM51" s="78">
        <f t="shared" si="45"/>
        <v>0</v>
      </c>
      <c r="DN51" s="78">
        <f t="shared" si="45"/>
        <v>0</v>
      </c>
      <c r="DO51" s="78">
        <f t="shared" si="45"/>
        <v>0</v>
      </c>
      <c r="DP51" s="78">
        <f t="shared" si="45"/>
        <v>0</v>
      </c>
      <c r="DQ51" s="78">
        <f t="shared" si="45"/>
        <v>0</v>
      </c>
      <c r="DR51" s="78">
        <f t="shared" si="45"/>
        <v>0</v>
      </c>
      <c r="DS51" s="78">
        <f t="shared" si="45"/>
        <v>0</v>
      </c>
      <c r="DT51" s="78">
        <f t="shared" si="45"/>
        <v>0</v>
      </c>
      <c r="DU51" s="78">
        <f t="shared" si="45"/>
        <v>0</v>
      </c>
      <c r="DV51" s="78">
        <f t="shared" si="46"/>
        <v>0</v>
      </c>
      <c r="DW51" s="78">
        <f t="shared" si="46"/>
        <v>0</v>
      </c>
      <c r="DX51" s="78">
        <f t="shared" si="46"/>
        <v>0</v>
      </c>
      <c r="DY51" s="78">
        <f t="shared" si="46"/>
        <v>0</v>
      </c>
      <c r="DZ51" s="78">
        <f t="shared" si="46"/>
        <v>0</v>
      </c>
      <c r="EA51" s="78">
        <f t="shared" si="46"/>
        <v>0</v>
      </c>
      <c r="EB51" s="78">
        <f t="shared" si="46"/>
        <v>0</v>
      </c>
      <c r="EC51" s="78">
        <f t="shared" si="46"/>
        <v>0</v>
      </c>
      <c r="ED51" s="78">
        <f t="shared" si="46"/>
        <v>0</v>
      </c>
      <c r="EE51" s="78">
        <f t="shared" si="46"/>
        <v>0</v>
      </c>
      <c r="EF51" s="78">
        <f t="shared" si="46"/>
        <v>0</v>
      </c>
      <c r="EG51" s="78">
        <f t="shared" si="46"/>
        <v>0</v>
      </c>
      <c r="EH51" s="78">
        <f t="shared" si="46"/>
        <v>0</v>
      </c>
      <c r="EI51" s="78">
        <f t="shared" si="46"/>
        <v>0</v>
      </c>
    </row>
    <row r="52" spans="2:139">
      <c r="B52" s="32" t="str">
        <f>GenValidation!L18</f>
        <v>Reimbursements</v>
      </c>
      <c r="C52" s="32"/>
      <c r="D52" s="78"/>
      <c r="E52" s="78">
        <f>ROUND(('Operating Calculations'!C136-E29),)*(E$5&lt;=MAX(YrOfExit,1))</f>
        <v>0</v>
      </c>
      <c r="F52" s="78">
        <f>ROUND(('Operating Calculations'!D136-F29),)*(F$5&lt;=MAX(YrOfExit,1))</f>
        <v>0</v>
      </c>
      <c r="G52" s="78">
        <f>ROUND(('Operating Calculations'!E136-G29),)*(G$5&lt;=MAX(YrOfExit,1))</f>
        <v>0</v>
      </c>
      <c r="H52" s="78">
        <f>ROUND(('Operating Calculations'!F136-H29),)*(H$5&lt;=MAX(YrOfExit,1))</f>
        <v>0</v>
      </c>
      <c r="I52" s="78">
        <f>ROUND(('Operating Calculations'!G136-I29),)*(I$5&lt;=MAX(YrOfExit,1))</f>
        <v>0</v>
      </c>
      <c r="J52" s="78">
        <f>ROUND(('Operating Calculations'!H136-J29),)*(J$5&lt;=MAX(YrOfExit,1))</f>
        <v>0</v>
      </c>
      <c r="K52" s="78">
        <f>ROUND(('Operating Calculations'!I136-K29),)*(K$5&lt;=MAX(YrOfExit,1))</f>
        <v>0</v>
      </c>
      <c r="L52" s="78">
        <f>ROUND(('Operating Calculations'!J136-L29),)*(L$5&lt;=MAX(YrOfExit,1))</f>
        <v>0</v>
      </c>
      <c r="M52" s="78">
        <f>ROUND(('Operating Calculations'!K136-M29),)*(M$5&lt;=MAX(YrOfExit,1))</f>
        <v>0</v>
      </c>
      <c r="N52" s="78">
        <f>ROUND(('Operating Calculations'!L136-N29),)*(N$5&lt;=MAX(YrOfExit,1))</f>
        <v>0</v>
      </c>
      <c r="O52" s="145">
        <f t="shared" si="38"/>
        <v>0</v>
      </c>
      <c r="Q52" s="78">
        <f>'Operating Calculations'!O136-Q29</f>
        <v>0</v>
      </c>
      <c r="S52" s="27"/>
      <c r="T52" s="78">
        <f>'Operating Calculations'!R136-T29</f>
        <v>0</v>
      </c>
      <c r="U52" s="78">
        <f>'Operating Calculations'!S136-U29</f>
        <v>0</v>
      </c>
      <c r="V52" s="78">
        <f>'Operating Calculations'!T136-V29</f>
        <v>0</v>
      </c>
      <c r="W52" s="78">
        <f>'Operating Calculations'!U136-W29</f>
        <v>0</v>
      </c>
      <c r="X52" s="78">
        <f>'Operating Calculations'!V136-X29</f>
        <v>0</v>
      </c>
      <c r="Y52" s="78">
        <f>'Operating Calculations'!W136-Y29</f>
        <v>0</v>
      </c>
      <c r="Z52" s="78">
        <f>'Operating Calculations'!X136-Z29</f>
        <v>0</v>
      </c>
      <c r="AA52" s="78">
        <f>'Operating Calculations'!Y136-AA29</f>
        <v>0</v>
      </c>
      <c r="AB52" s="78">
        <f>'Operating Calculations'!Z136-AB29</f>
        <v>0</v>
      </c>
      <c r="AC52" s="78">
        <f>'Operating Calculations'!AA136-AC29</f>
        <v>0</v>
      </c>
      <c r="AD52" s="78">
        <f>'Operating Calculations'!AB136-AD29</f>
        <v>0</v>
      </c>
      <c r="AE52" s="78">
        <f>'Operating Calculations'!AC136-AE29</f>
        <v>0</v>
      </c>
      <c r="AF52" s="78">
        <f>'Operating Calculations'!AD136-AF29</f>
        <v>0</v>
      </c>
      <c r="AG52" s="78">
        <f>'Operating Calculations'!AE136-AG29</f>
        <v>0</v>
      </c>
      <c r="AH52" s="78">
        <f>'Operating Calculations'!AF136-AH29</f>
        <v>0</v>
      </c>
      <c r="AI52" s="78">
        <f>'Operating Calculations'!AG136-AI29</f>
        <v>0</v>
      </c>
      <c r="AJ52" s="78">
        <f>'Operating Calculations'!AH136-AJ29</f>
        <v>0</v>
      </c>
      <c r="AK52" s="78">
        <f>'Operating Calculations'!AI136-AK29</f>
        <v>0</v>
      </c>
      <c r="AL52" s="78">
        <f>'Operating Calculations'!AJ136-AL29</f>
        <v>0</v>
      </c>
      <c r="AM52" s="78">
        <f>'Operating Calculations'!AK136-AM29</f>
        <v>0</v>
      </c>
      <c r="AN52" s="78">
        <f>'Operating Calculations'!AL136-AN29</f>
        <v>0</v>
      </c>
      <c r="AO52" s="78">
        <f>'Operating Calculations'!AM136-AO29</f>
        <v>0</v>
      </c>
      <c r="AP52" s="78">
        <f>'Operating Calculations'!AN136-AP29</f>
        <v>0</v>
      </c>
      <c r="AQ52" s="78">
        <f>'Operating Calculations'!AO136-AQ29</f>
        <v>0</v>
      </c>
      <c r="AR52" s="78">
        <f>'Operating Calculations'!AP136-AR29</f>
        <v>0</v>
      </c>
      <c r="AS52" s="78">
        <f>'Operating Calculations'!AQ136-AS29</f>
        <v>0</v>
      </c>
      <c r="AT52" s="78">
        <f>'Operating Calculations'!AR136-AT29</f>
        <v>0</v>
      </c>
      <c r="AU52" s="78">
        <f>'Operating Calculations'!AS136-AU29</f>
        <v>0</v>
      </c>
      <c r="AV52" s="78">
        <f>'Operating Calculations'!AT136-AV29</f>
        <v>0</v>
      </c>
      <c r="AW52" s="78">
        <f>'Operating Calculations'!AU136-AW29</f>
        <v>0</v>
      </c>
      <c r="AX52" s="78">
        <f>'Operating Calculations'!AV136-AX29</f>
        <v>0</v>
      </c>
      <c r="AY52" s="78">
        <f>'Operating Calculations'!AW136-AY29</f>
        <v>0</v>
      </c>
      <c r="AZ52" s="78">
        <f>'Operating Calculations'!AX136-AZ29</f>
        <v>0</v>
      </c>
      <c r="BA52" s="78">
        <f>'Operating Calculations'!AY136-BA29</f>
        <v>0</v>
      </c>
      <c r="BB52" s="78">
        <f>'Operating Calculations'!AZ136-BB29</f>
        <v>0</v>
      </c>
      <c r="BC52" s="78">
        <f>'Operating Calculations'!BA136-BC29</f>
        <v>0</v>
      </c>
      <c r="BD52" s="206">
        <f t="shared" si="39"/>
        <v>0</v>
      </c>
      <c r="BE52" s="78">
        <f t="shared" si="39"/>
        <v>0</v>
      </c>
      <c r="BF52" s="78">
        <f t="shared" si="39"/>
        <v>0</v>
      </c>
      <c r="BG52" s="78">
        <f t="shared" si="39"/>
        <v>0</v>
      </c>
      <c r="BH52" s="78">
        <f t="shared" si="39"/>
        <v>0</v>
      </c>
      <c r="BI52" s="78">
        <f t="shared" si="39"/>
        <v>0</v>
      </c>
      <c r="BJ52" s="78">
        <f t="shared" si="39"/>
        <v>0</v>
      </c>
      <c r="BK52" s="78">
        <f t="shared" si="39"/>
        <v>0</v>
      </c>
      <c r="BL52" s="78">
        <f t="shared" si="39"/>
        <v>0</v>
      </c>
      <c r="BM52" s="78">
        <f t="shared" si="39"/>
        <v>0</v>
      </c>
      <c r="BN52" s="78">
        <f t="shared" si="40"/>
        <v>0</v>
      </c>
      <c r="BO52" s="78">
        <f t="shared" si="40"/>
        <v>0</v>
      </c>
      <c r="BP52" s="78">
        <f t="shared" si="40"/>
        <v>0</v>
      </c>
      <c r="BQ52" s="78">
        <f t="shared" si="40"/>
        <v>0</v>
      </c>
      <c r="BR52" s="78">
        <f t="shared" si="40"/>
        <v>0</v>
      </c>
      <c r="BS52" s="78">
        <f t="shared" si="40"/>
        <v>0</v>
      </c>
      <c r="BT52" s="78">
        <f t="shared" si="40"/>
        <v>0</v>
      </c>
      <c r="BU52" s="78">
        <f t="shared" si="40"/>
        <v>0</v>
      </c>
      <c r="BV52" s="78">
        <f t="shared" si="40"/>
        <v>0</v>
      </c>
      <c r="BW52" s="78">
        <f t="shared" si="40"/>
        <v>0</v>
      </c>
      <c r="BX52" s="78">
        <f t="shared" si="41"/>
        <v>0</v>
      </c>
      <c r="BY52" s="78">
        <f t="shared" si="41"/>
        <v>0</v>
      </c>
      <c r="BZ52" s="78">
        <f t="shared" si="41"/>
        <v>0</v>
      </c>
      <c r="CA52" s="78">
        <f t="shared" si="41"/>
        <v>0</v>
      </c>
      <c r="CB52" s="78">
        <f t="shared" si="41"/>
        <v>0</v>
      </c>
      <c r="CC52" s="78">
        <f t="shared" si="41"/>
        <v>0</v>
      </c>
      <c r="CD52" s="78">
        <f t="shared" si="41"/>
        <v>0</v>
      </c>
      <c r="CE52" s="78">
        <f t="shared" si="41"/>
        <v>0</v>
      </c>
      <c r="CF52" s="78">
        <f t="shared" si="41"/>
        <v>0</v>
      </c>
      <c r="CG52" s="78">
        <f t="shared" si="41"/>
        <v>0</v>
      </c>
      <c r="CH52" s="78">
        <f t="shared" si="42"/>
        <v>0</v>
      </c>
      <c r="CI52" s="78">
        <f t="shared" si="42"/>
        <v>0</v>
      </c>
      <c r="CJ52" s="78">
        <f t="shared" si="42"/>
        <v>0</v>
      </c>
      <c r="CK52" s="78">
        <f t="shared" si="42"/>
        <v>0</v>
      </c>
      <c r="CL52" s="78">
        <f t="shared" si="42"/>
        <v>0</v>
      </c>
      <c r="CM52" s="78">
        <f t="shared" si="42"/>
        <v>0</v>
      </c>
      <c r="CN52" s="78">
        <f t="shared" si="42"/>
        <v>0</v>
      </c>
      <c r="CO52" s="78">
        <f t="shared" si="42"/>
        <v>0</v>
      </c>
      <c r="CP52" s="78">
        <f t="shared" si="42"/>
        <v>0</v>
      </c>
      <c r="CQ52" s="78">
        <f t="shared" si="42"/>
        <v>0</v>
      </c>
      <c r="CR52" s="78">
        <f t="shared" si="43"/>
        <v>0</v>
      </c>
      <c r="CS52" s="78">
        <f t="shared" si="43"/>
        <v>0</v>
      </c>
      <c r="CT52" s="78">
        <f t="shared" si="43"/>
        <v>0</v>
      </c>
      <c r="CU52" s="78">
        <f t="shared" si="43"/>
        <v>0</v>
      </c>
      <c r="CV52" s="78">
        <f t="shared" si="43"/>
        <v>0</v>
      </c>
      <c r="CW52" s="78">
        <f t="shared" si="43"/>
        <v>0</v>
      </c>
      <c r="CX52" s="78">
        <f t="shared" si="43"/>
        <v>0</v>
      </c>
      <c r="CY52" s="78">
        <f t="shared" si="43"/>
        <v>0</v>
      </c>
      <c r="CZ52" s="78">
        <f t="shared" si="43"/>
        <v>0</v>
      </c>
      <c r="DA52" s="78">
        <f t="shared" si="43"/>
        <v>0</v>
      </c>
      <c r="DB52" s="78">
        <f t="shared" si="44"/>
        <v>0</v>
      </c>
      <c r="DC52" s="78">
        <f t="shared" si="44"/>
        <v>0</v>
      </c>
      <c r="DD52" s="78">
        <f t="shared" si="44"/>
        <v>0</v>
      </c>
      <c r="DE52" s="78">
        <f t="shared" si="44"/>
        <v>0</v>
      </c>
      <c r="DF52" s="78">
        <f t="shared" si="44"/>
        <v>0</v>
      </c>
      <c r="DG52" s="78">
        <f t="shared" si="44"/>
        <v>0</v>
      </c>
      <c r="DH52" s="78">
        <f t="shared" si="44"/>
        <v>0</v>
      </c>
      <c r="DI52" s="78">
        <f t="shared" si="44"/>
        <v>0</v>
      </c>
      <c r="DJ52" s="78">
        <f t="shared" si="44"/>
        <v>0</v>
      </c>
      <c r="DK52" s="78">
        <f t="shared" si="44"/>
        <v>0</v>
      </c>
      <c r="DL52" s="78">
        <f t="shared" si="45"/>
        <v>0</v>
      </c>
      <c r="DM52" s="78">
        <f t="shared" si="45"/>
        <v>0</v>
      </c>
      <c r="DN52" s="78">
        <f t="shared" si="45"/>
        <v>0</v>
      </c>
      <c r="DO52" s="78">
        <f t="shared" si="45"/>
        <v>0</v>
      </c>
      <c r="DP52" s="78">
        <f t="shared" si="45"/>
        <v>0</v>
      </c>
      <c r="DQ52" s="78">
        <f t="shared" si="45"/>
        <v>0</v>
      </c>
      <c r="DR52" s="78">
        <f t="shared" si="45"/>
        <v>0</v>
      </c>
      <c r="DS52" s="78">
        <f t="shared" si="45"/>
        <v>0</v>
      </c>
      <c r="DT52" s="78">
        <f t="shared" si="45"/>
        <v>0</v>
      </c>
      <c r="DU52" s="78">
        <f t="shared" si="45"/>
        <v>0</v>
      </c>
      <c r="DV52" s="78">
        <f t="shared" si="46"/>
        <v>0</v>
      </c>
      <c r="DW52" s="78">
        <f t="shared" si="46"/>
        <v>0</v>
      </c>
      <c r="DX52" s="78">
        <f t="shared" si="46"/>
        <v>0</v>
      </c>
      <c r="DY52" s="78">
        <f t="shared" si="46"/>
        <v>0</v>
      </c>
      <c r="DZ52" s="78">
        <f t="shared" si="46"/>
        <v>0</v>
      </c>
      <c r="EA52" s="78">
        <f t="shared" si="46"/>
        <v>0</v>
      </c>
      <c r="EB52" s="78">
        <f t="shared" si="46"/>
        <v>0</v>
      </c>
      <c r="EC52" s="78">
        <f t="shared" si="46"/>
        <v>0</v>
      </c>
      <c r="ED52" s="78">
        <f t="shared" si="46"/>
        <v>0</v>
      </c>
      <c r="EE52" s="78">
        <f t="shared" si="46"/>
        <v>0</v>
      </c>
      <c r="EF52" s="78">
        <f t="shared" si="46"/>
        <v>0</v>
      </c>
      <c r="EG52" s="78">
        <f t="shared" si="46"/>
        <v>0</v>
      </c>
      <c r="EH52" s="78">
        <f t="shared" si="46"/>
        <v>0</v>
      </c>
      <c r="EI52" s="78">
        <f t="shared" si="46"/>
        <v>0</v>
      </c>
    </row>
    <row r="53" spans="2:139">
      <c r="B53" s="32"/>
      <c r="C53" s="32"/>
      <c r="D53" s="78"/>
      <c r="E53" s="78"/>
      <c r="F53" s="78"/>
      <c r="G53" s="78"/>
      <c r="H53" s="78"/>
      <c r="I53" s="78"/>
      <c r="J53" s="78"/>
      <c r="K53" s="78"/>
      <c r="L53" s="78"/>
      <c r="M53" s="78"/>
      <c r="N53" s="78"/>
      <c r="O53" s="842"/>
      <c r="Q53" s="78"/>
      <c r="S53" s="27"/>
      <c r="T53" s="78"/>
      <c r="U53" s="78"/>
      <c r="V53" s="78"/>
      <c r="W53" s="78"/>
      <c r="X53" s="78"/>
      <c r="Y53" s="78"/>
      <c r="Z53" s="78"/>
      <c r="AA53" s="78"/>
      <c r="AB53" s="78"/>
      <c r="AC53" s="78"/>
      <c r="AD53" s="78"/>
      <c r="AE53" s="78"/>
      <c r="AF53" s="78"/>
      <c r="AG53" s="78"/>
      <c r="AH53" s="78"/>
      <c r="AI53" s="78"/>
      <c r="AJ53" s="78"/>
      <c r="AK53" s="78"/>
      <c r="AL53" s="78"/>
      <c r="AM53" s="78"/>
      <c r="AN53" s="78"/>
      <c r="AO53" s="78"/>
      <c r="AP53" s="78"/>
      <c r="AQ53" s="78"/>
      <c r="AR53" s="78"/>
      <c r="AS53" s="78"/>
      <c r="AT53" s="78"/>
      <c r="AU53" s="78"/>
      <c r="AV53" s="78"/>
      <c r="AW53" s="78"/>
      <c r="AX53" s="78"/>
      <c r="AY53" s="78"/>
      <c r="AZ53" s="78"/>
      <c r="BA53" s="78"/>
      <c r="BB53" s="78"/>
      <c r="BC53" s="78"/>
      <c r="BD53" s="78"/>
      <c r="BE53" s="78"/>
      <c r="BF53" s="78"/>
      <c r="BG53" s="78"/>
      <c r="BH53" s="78"/>
      <c r="BI53" s="78"/>
      <c r="BJ53" s="78"/>
      <c r="BK53" s="78"/>
      <c r="BL53" s="78"/>
      <c r="BM53" s="78"/>
      <c r="BN53" s="78"/>
      <c r="BO53" s="78"/>
      <c r="BP53" s="78"/>
      <c r="BQ53" s="78"/>
      <c r="BR53" s="78"/>
      <c r="BS53" s="78"/>
      <c r="BT53" s="78"/>
      <c r="BU53" s="78"/>
      <c r="BV53" s="78"/>
      <c r="BW53" s="78"/>
      <c r="BX53" s="78"/>
      <c r="BY53" s="78"/>
      <c r="BZ53" s="78"/>
      <c r="CA53" s="78"/>
      <c r="CB53" s="78"/>
      <c r="CC53" s="78"/>
      <c r="CD53" s="78"/>
      <c r="CE53" s="78"/>
      <c r="CF53" s="78"/>
      <c r="CG53" s="78"/>
      <c r="CH53" s="78"/>
      <c r="CI53" s="78"/>
      <c r="CJ53" s="78"/>
      <c r="CK53" s="78"/>
      <c r="CL53" s="78"/>
      <c r="CM53" s="78"/>
      <c r="CN53" s="78"/>
      <c r="CO53" s="78"/>
      <c r="CP53" s="78"/>
      <c r="CQ53" s="78"/>
      <c r="CR53" s="78"/>
      <c r="CS53" s="78"/>
      <c r="CT53" s="78"/>
      <c r="CU53" s="78"/>
      <c r="CV53" s="78"/>
      <c r="CW53" s="78"/>
      <c r="CX53" s="78"/>
      <c r="CY53" s="78"/>
      <c r="CZ53" s="78"/>
      <c r="DA53" s="78"/>
      <c r="DB53" s="78"/>
      <c r="DC53" s="78"/>
      <c r="DD53" s="78"/>
      <c r="DE53" s="78"/>
      <c r="DF53" s="78"/>
      <c r="DG53" s="78"/>
      <c r="DH53" s="78"/>
      <c r="DI53" s="78"/>
      <c r="DJ53" s="78"/>
      <c r="DK53" s="78"/>
      <c r="DL53" s="78"/>
      <c r="DM53" s="78"/>
      <c r="DN53" s="78"/>
      <c r="DO53" s="78"/>
      <c r="DP53" s="78"/>
      <c r="DQ53" s="78"/>
      <c r="DR53" s="78"/>
      <c r="DS53" s="78"/>
      <c r="DT53" s="78"/>
      <c r="DU53" s="78"/>
      <c r="DV53" s="78"/>
      <c r="DW53" s="78"/>
      <c r="DX53" s="78"/>
      <c r="DY53" s="78"/>
      <c r="DZ53" s="78"/>
      <c r="EA53" s="78"/>
      <c r="EB53" s="78"/>
      <c r="EC53" s="78"/>
      <c r="ED53" s="78"/>
      <c r="EE53" s="78"/>
      <c r="EF53" s="78"/>
      <c r="EG53" s="78"/>
      <c r="EH53" s="78"/>
      <c r="EI53" s="78"/>
    </row>
    <row r="54" spans="2:139">
      <c r="B54" s="198" t="s">
        <v>127</v>
      </c>
      <c r="C54" s="198"/>
      <c r="D54" s="169"/>
      <c r="E54" s="694">
        <f t="shared" ref="E54:O54" si="47">SUBTOTAL(9,E39:E53)</f>
        <v>-439367</v>
      </c>
      <c r="F54" s="694">
        <f t="shared" si="47"/>
        <v>-439367</v>
      </c>
      <c r="G54" s="694">
        <f t="shared" si="47"/>
        <v>-439367</v>
      </c>
      <c r="H54" s="694">
        <f t="shared" si="47"/>
        <v>-439367</v>
      </c>
      <c r="I54" s="694">
        <f t="shared" si="47"/>
        <v>-439367</v>
      </c>
      <c r="J54" s="694">
        <f t="shared" si="47"/>
        <v>-439367</v>
      </c>
      <c r="K54" s="694">
        <f t="shared" si="47"/>
        <v>-439367</v>
      </c>
      <c r="L54" s="694">
        <f t="shared" si="47"/>
        <v>0</v>
      </c>
      <c r="M54" s="694">
        <f t="shared" si="47"/>
        <v>0</v>
      </c>
      <c r="N54" s="694">
        <f t="shared" si="47"/>
        <v>0</v>
      </c>
      <c r="O54" s="91">
        <f t="shared" si="47"/>
        <v>-3075569</v>
      </c>
      <c r="Q54" s="694">
        <f>SUBTOTAL(9,Q39:Q53)</f>
        <v>-439367</v>
      </c>
      <c r="S54" s="169"/>
      <c r="T54" s="694">
        <f t="shared" ref="T54:AY54" si="48">SUBTOTAL(9,T39:T53)</f>
        <v>-36613.916666666664</v>
      </c>
      <c r="U54" s="694">
        <f t="shared" si="48"/>
        <v>-36613.916666666664</v>
      </c>
      <c r="V54" s="694">
        <f t="shared" si="48"/>
        <v>-36613.916666666664</v>
      </c>
      <c r="W54" s="694">
        <f t="shared" si="48"/>
        <v>-36613.916666666664</v>
      </c>
      <c r="X54" s="694">
        <f t="shared" si="48"/>
        <v>-36613.916666666664</v>
      </c>
      <c r="Y54" s="694">
        <f t="shared" si="48"/>
        <v>-36613.916666666664</v>
      </c>
      <c r="Z54" s="694">
        <f t="shared" si="48"/>
        <v>-36613.916666666664</v>
      </c>
      <c r="AA54" s="694">
        <f t="shared" si="48"/>
        <v>-36613.916666666664</v>
      </c>
      <c r="AB54" s="694">
        <f t="shared" si="48"/>
        <v>-36613.916666666664</v>
      </c>
      <c r="AC54" s="694">
        <f t="shared" si="48"/>
        <v>-36613.916666666664</v>
      </c>
      <c r="AD54" s="694">
        <f t="shared" si="48"/>
        <v>-36613.916666666664</v>
      </c>
      <c r="AE54" s="694">
        <f t="shared" si="48"/>
        <v>-36613.916666666664</v>
      </c>
      <c r="AF54" s="694">
        <f t="shared" si="48"/>
        <v>-36613.916666666664</v>
      </c>
      <c r="AG54" s="694">
        <f t="shared" si="48"/>
        <v>-36613.916666666664</v>
      </c>
      <c r="AH54" s="694">
        <f t="shared" si="48"/>
        <v>-36613.916666666664</v>
      </c>
      <c r="AI54" s="694">
        <f t="shared" si="48"/>
        <v>-36613.916666666664</v>
      </c>
      <c r="AJ54" s="694">
        <f t="shared" si="48"/>
        <v>-36613.916666666664</v>
      </c>
      <c r="AK54" s="694">
        <f t="shared" si="48"/>
        <v>-36613.916666666664</v>
      </c>
      <c r="AL54" s="694">
        <f t="shared" si="48"/>
        <v>-36613.916666666664</v>
      </c>
      <c r="AM54" s="694">
        <f t="shared" si="48"/>
        <v>-36613.916666666664</v>
      </c>
      <c r="AN54" s="694">
        <f t="shared" si="48"/>
        <v>-36613.916666666664</v>
      </c>
      <c r="AO54" s="694">
        <f t="shared" si="48"/>
        <v>-36613.916666666664</v>
      </c>
      <c r="AP54" s="694">
        <f t="shared" si="48"/>
        <v>-36613.916666666664</v>
      </c>
      <c r="AQ54" s="694">
        <f t="shared" si="48"/>
        <v>-36613.916666666664</v>
      </c>
      <c r="AR54" s="694">
        <f t="shared" si="48"/>
        <v>-36613.916666666664</v>
      </c>
      <c r="AS54" s="694">
        <f t="shared" si="48"/>
        <v>-36613.916666666664</v>
      </c>
      <c r="AT54" s="694">
        <f t="shared" si="48"/>
        <v>-36613.916666666664</v>
      </c>
      <c r="AU54" s="694">
        <f t="shared" si="48"/>
        <v>-36613.916666666664</v>
      </c>
      <c r="AV54" s="694">
        <f t="shared" si="48"/>
        <v>-36613.916666666664</v>
      </c>
      <c r="AW54" s="694">
        <f t="shared" si="48"/>
        <v>-36613.916666666664</v>
      </c>
      <c r="AX54" s="694">
        <f t="shared" si="48"/>
        <v>-36613.916666666664</v>
      </c>
      <c r="AY54" s="694">
        <f t="shared" si="48"/>
        <v>-36613.916666666664</v>
      </c>
      <c r="AZ54" s="694">
        <f t="shared" ref="AZ54:CE54" si="49">SUBTOTAL(9,AZ39:AZ53)</f>
        <v>-36613.916666666664</v>
      </c>
      <c r="BA54" s="694">
        <f t="shared" si="49"/>
        <v>-36613.916666666664</v>
      </c>
      <c r="BB54" s="694">
        <f t="shared" si="49"/>
        <v>-36613.916666666664</v>
      </c>
      <c r="BC54" s="694">
        <f t="shared" si="49"/>
        <v>-36613.916666666664</v>
      </c>
      <c r="BD54" s="694">
        <f t="shared" si="49"/>
        <v>-36613.916666666664</v>
      </c>
      <c r="BE54" s="694">
        <f t="shared" si="49"/>
        <v>-36613.916666666664</v>
      </c>
      <c r="BF54" s="694">
        <f t="shared" si="49"/>
        <v>-36613.916666666664</v>
      </c>
      <c r="BG54" s="694">
        <f t="shared" si="49"/>
        <v>-36613.916666666664</v>
      </c>
      <c r="BH54" s="694">
        <f t="shared" si="49"/>
        <v>-36613.916666666664</v>
      </c>
      <c r="BI54" s="694">
        <f t="shared" si="49"/>
        <v>-36613.916666666664</v>
      </c>
      <c r="BJ54" s="694">
        <f t="shared" si="49"/>
        <v>-36613.916666666664</v>
      </c>
      <c r="BK54" s="694">
        <f t="shared" si="49"/>
        <v>-36613.916666666664</v>
      </c>
      <c r="BL54" s="694">
        <f t="shared" si="49"/>
        <v>-36613.916666666664</v>
      </c>
      <c r="BM54" s="694">
        <f t="shared" si="49"/>
        <v>-36613.916666666664</v>
      </c>
      <c r="BN54" s="694">
        <f t="shared" si="49"/>
        <v>-36613.916666666664</v>
      </c>
      <c r="BO54" s="694">
        <f t="shared" si="49"/>
        <v>-36613.916666666664</v>
      </c>
      <c r="BP54" s="694">
        <f t="shared" si="49"/>
        <v>-36613.916666666664</v>
      </c>
      <c r="BQ54" s="694">
        <f t="shared" si="49"/>
        <v>-36613.916666666664</v>
      </c>
      <c r="BR54" s="694">
        <f t="shared" si="49"/>
        <v>-36613.916666666664</v>
      </c>
      <c r="BS54" s="694">
        <f t="shared" si="49"/>
        <v>-36613.916666666664</v>
      </c>
      <c r="BT54" s="694">
        <f t="shared" si="49"/>
        <v>-36613.916666666664</v>
      </c>
      <c r="BU54" s="694">
        <f t="shared" si="49"/>
        <v>-36613.916666666664</v>
      </c>
      <c r="BV54" s="694">
        <f t="shared" si="49"/>
        <v>-36613.916666666664</v>
      </c>
      <c r="BW54" s="694">
        <f t="shared" si="49"/>
        <v>-36613.916666666664</v>
      </c>
      <c r="BX54" s="694">
        <f t="shared" si="49"/>
        <v>-36613.916666666664</v>
      </c>
      <c r="BY54" s="694">
        <f t="shared" si="49"/>
        <v>-36613.916666666664</v>
      </c>
      <c r="BZ54" s="694">
        <f t="shared" si="49"/>
        <v>-36613.916666666664</v>
      </c>
      <c r="CA54" s="694">
        <f t="shared" si="49"/>
        <v>-36613.916666666664</v>
      </c>
      <c r="CB54" s="694">
        <f t="shared" si="49"/>
        <v>-36613.916666666664</v>
      </c>
      <c r="CC54" s="694">
        <f t="shared" si="49"/>
        <v>-36613.916666666664</v>
      </c>
      <c r="CD54" s="694">
        <f t="shared" si="49"/>
        <v>-36613.916666666664</v>
      </c>
      <c r="CE54" s="694">
        <f t="shared" si="49"/>
        <v>-36613.916666666664</v>
      </c>
      <c r="CF54" s="694">
        <f t="shared" ref="CF54:DK54" si="50">SUBTOTAL(9,CF39:CF53)</f>
        <v>-36613.916666666664</v>
      </c>
      <c r="CG54" s="694">
        <f t="shared" si="50"/>
        <v>-36613.916666666664</v>
      </c>
      <c r="CH54" s="694">
        <f t="shared" si="50"/>
        <v>-36613.916666666664</v>
      </c>
      <c r="CI54" s="694">
        <f t="shared" si="50"/>
        <v>-36613.916666666664</v>
      </c>
      <c r="CJ54" s="694">
        <f t="shared" si="50"/>
        <v>-36613.916666666664</v>
      </c>
      <c r="CK54" s="694">
        <f t="shared" si="50"/>
        <v>-36613.916666666664</v>
      </c>
      <c r="CL54" s="694">
        <f t="shared" si="50"/>
        <v>-36613.916666666664</v>
      </c>
      <c r="CM54" s="694">
        <f t="shared" si="50"/>
        <v>-36613.916666666664</v>
      </c>
      <c r="CN54" s="694">
        <f t="shared" si="50"/>
        <v>-36613.916666666664</v>
      </c>
      <c r="CO54" s="694">
        <f t="shared" si="50"/>
        <v>-36613.916666666664</v>
      </c>
      <c r="CP54" s="694">
        <f t="shared" si="50"/>
        <v>-36613.916666666664</v>
      </c>
      <c r="CQ54" s="694">
        <f t="shared" si="50"/>
        <v>-36613.916666666664</v>
      </c>
      <c r="CR54" s="694">
        <f t="shared" si="50"/>
        <v>-36613.916666666664</v>
      </c>
      <c r="CS54" s="694">
        <f t="shared" si="50"/>
        <v>-36613.916666666664</v>
      </c>
      <c r="CT54" s="694">
        <f t="shared" si="50"/>
        <v>-36613.916666666664</v>
      </c>
      <c r="CU54" s="694">
        <f t="shared" si="50"/>
        <v>-36613.916666666664</v>
      </c>
      <c r="CV54" s="694">
        <f t="shared" si="50"/>
        <v>-36613.916666666664</v>
      </c>
      <c r="CW54" s="694">
        <f t="shared" si="50"/>
        <v>-36613.916666666664</v>
      </c>
      <c r="CX54" s="694">
        <f t="shared" si="50"/>
        <v>-36613.916666666664</v>
      </c>
      <c r="CY54" s="694">
        <f t="shared" si="50"/>
        <v>-36613.916666666664</v>
      </c>
      <c r="CZ54" s="694">
        <f t="shared" si="50"/>
        <v>0</v>
      </c>
      <c r="DA54" s="694">
        <f t="shared" si="50"/>
        <v>0</v>
      </c>
      <c r="DB54" s="694">
        <f t="shared" si="50"/>
        <v>0</v>
      </c>
      <c r="DC54" s="694">
        <f t="shared" si="50"/>
        <v>0</v>
      </c>
      <c r="DD54" s="694">
        <f t="shared" si="50"/>
        <v>0</v>
      </c>
      <c r="DE54" s="694">
        <f t="shared" si="50"/>
        <v>0</v>
      </c>
      <c r="DF54" s="694">
        <f t="shared" si="50"/>
        <v>0</v>
      </c>
      <c r="DG54" s="694">
        <f t="shared" si="50"/>
        <v>0</v>
      </c>
      <c r="DH54" s="694">
        <f t="shared" si="50"/>
        <v>0</v>
      </c>
      <c r="DI54" s="694">
        <f t="shared" si="50"/>
        <v>0</v>
      </c>
      <c r="DJ54" s="694">
        <f t="shared" si="50"/>
        <v>0</v>
      </c>
      <c r="DK54" s="694">
        <f t="shared" si="50"/>
        <v>0</v>
      </c>
      <c r="DL54" s="694">
        <f t="shared" ref="DL54:EQ54" si="51">SUBTOTAL(9,DL39:DL53)</f>
        <v>0</v>
      </c>
      <c r="DM54" s="694">
        <f t="shared" si="51"/>
        <v>0</v>
      </c>
      <c r="DN54" s="694">
        <f t="shared" si="51"/>
        <v>0</v>
      </c>
      <c r="DO54" s="694">
        <f t="shared" si="51"/>
        <v>0</v>
      </c>
      <c r="DP54" s="694">
        <f t="shared" si="51"/>
        <v>0</v>
      </c>
      <c r="DQ54" s="694">
        <f t="shared" si="51"/>
        <v>0</v>
      </c>
      <c r="DR54" s="694">
        <f t="shared" si="51"/>
        <v>0</v>
      </c>
      <c r="DS54" s="694">
        <f t="shared" si="51"/>
        <v>0</v>
      </c>
      <c r="DT54" s="694">
        <f t="shared" si="51"/>
        <v>0</v>
      </c>
      <c r="DU54" s="694">
        <f t="shared" si="51"/>
        <v>0</v>
      </c>
      <c r="DV54" s="694">
        <f t="shared" si="51"/>
        <v>0</v>
      </c>
      <c r="DW54" s="694">
        <f t="shared" si="51"/>
        <v>0</v>
      </c>
      <c r="DX54" s="694">
        <f t="shared" si="51"/>
        <v>0</v>
      </c>
      <c r="DY54" s="694">
        <f t="shared" si="51"/>
        <v>0</v>
      </c>
      <c r="DZ54" s="694">
        <f t="shared" si="51"/>
        <v>0</v>
      </c>
      <c r="EA54" s="694">
        <f t="shared" si="51"/>
        <v>0</v>
      </c>
      <c r="EB54" s="694">
        <f t="shared" si="51"/>
        <v>0</v>
      </c>
      <c r="EC54" s="694">
        <f t="shared" si="51"/>
        <v>0</v>
      </c>
      <c r="ED54" s="694">
        <f t="shared" si="51"/>
        <v>0</v>
      </c>
      <c r="EE54" s="694">
        <f t="shared" si="51"/>
        <v>0</v>
      </c>
      <c r="EF54" s="694">
        <f t="shared" si="51"/>
        <v>0</v>
      </c>
      <c r="EG54" s="694">
        <f t="shared" si="51"/>
        <v>0</v>
      </c>
      <c r="EH54" s="694">
        <f t="shared" si="51"/>
        <v>0</v>
      </c>
      <c r="EI54" s="694">
        <f t="shared" si="51"/>
        <v>0</v>
      </c>
    </row>
    <row r="55" spans="2:139">
      <c r="B55" s="198"/>
      <c r="C55" s="198"/>
      <c r="D55" s="169"/>
      <c r="E55" s="169"/>
      <c r="F55" s="169"/>
      <c r="G55" s="169"/>
      <c r="H55" s="169"/>
      <c r="I55" s="169"/>
      <c r="J55" s="169"/>
      <c r="K55" s="169"/>
      <c r="L55" s="169"/>
      <c r="M55" s="169"/>
      <c r="N55" s="169"/>
      <c r="O55" s="91"/>
      <c r="Q55" s="169"/>
      <c r="S55" s="169"/>
      <c r="T55" s="169"/>
      <c r="U55" s="169"/>
      <c r="V55" s="169"/>
      <c r="W55" s="169"/>
      <c r="X55" s="169"/>
      <c r="Y55" s="169"/>
      <c r="Z55" s="169"/>
      <c r="AA55" s="169"/>
      <c r="AB55" s="169"/>
      <c r="AC55" s="169"/>
      <c r="AD55" s="169"/>
      <c r="AE55" s="169"/>
      <c r="AF55" s="169"/>
      <c r="AG55" s="169"/>
      <c r="AH55" s="169"/>
      <c r="AI55" s="169"/>
      <c r="AJ55" s="169"/>
      <c r="AK55" s="169"/>
      <c r="AL55" s="169"/>
      <c r="AM55" s="169"/>
      <c r="AN55" s="169"/>
      <c r="AO55" s="169"/>
      <c r="AP55" s="169"/>
      <c r="AQ55" s="169"/>
      <c r="AR55" s="169"/>
      <c r="AS55" s="169"/>
      <c r="AT55" s="169"/>
      <c r="AU55" s="169"/>
      <c r="AV55" s="169"/>
      <c r="AW55" s="169"/>
      <c r="AX55" s="169"/>
      <c r="AY55" s="169"/>
      <c r="AZ55" s="169"/>
      <c r="BA55" s="169"/>
      <c r="BB55" s="169"/>
      <c r="BC55" s="169"/>
      <c r="BD55" s="169"/>
      <c r="BE55" s="169"/>
      <c r="BF55" s="169"/>
      <c r="BG55" s="169"/>
      <c r="BH55" s="169"/>
      <c r="BI55" s="169"/>
      <c r="BJ55" s="169"/>
      <c r="BK55" s="169"/>
      <c r="BL55" s="169"/>
      <c r="BM55" s="169"/>
      <c r="BN55" s="169"/>
      <c r="BO55" s="169"/>
      <c r="BP55" s="169"/>
      <c r="BQ55" s="169"/>
      <c r="BR55" s="169"/>
      <c r="BS55" s="169"/>
      <c r="BT55" s="169"/>
      <c r="BU55" s="169"/>
      <c r="BV55" s="169"/>
      <c r="BW55" s="169"/>
      <c r="BX55" s="169"/>
      <c r="BY55" s="169"/>
      <c r="BZ55" s="169"/>
      <c r="CA55" s="169"/>
      <c r="CB55" s="169"/>
      <c r="CC55" s="169"/>
      <c r="CD55" s="169"/>
      <c r="CE55" s="169"/>
      <c r="CF55" s="169"/>
      <c r="CG55" s="169"/>
      <c r="CH55" s="169"/>
      <c r="CI55" s="169"/>
      <c r="CJ55" s="169"/>
      <c r="CK55" s="169"/>
      <c r="CL55" s="169"/>
      <c r="CM55" s="169"/>
      <c r="CN55" s="169"/>
      <c r="CO55" s="169"/>
      <c r="CP55" s="169"/>
      <c r="CQ55" s="169"/>
      <c r="CR55" s="169"/>
      <c r="CS55" s="169"/>
      <c r="CT55" s="169"/>
      <c r="CU55" s="169"/>
      <c r="CV55" s="169"/>
      <c r="CW55" s="169"/>
      <c r="CX55" s="169"/>
      <c r="CY55" s="169"/>
      <c r="CZ55" s="169"/>
      <c r="DA55" s="169"/>
      <c r="DB55" s="169"/>
      <c r="DC55" s="169"/>
      <c r="DD55" s="169"/>
      <c r="DE55" s="169"/>
      <c r="DF55" s="169"/>
      <c r="DG55" s="169"/>
      <c r="DH55" s="169"/>
      <c r="DI55" s="169"/>
      <c r="DJ55" s="169"/>
      <c r="DK55" s="169"/>
      <c r="DL55" s="169"/>
      <c r="DM55" s="169"/>
      <c r="DN55" s="169"/>
      <c r="DO55" s="169"/>
      <c r="DP55" s="169"/>
      <c r="DQ55" s="169"/>
      <c r="DR55" s="169"/>
      <c r="DS55" s="169"/>
      <c r="DT55" s="169"/>
      <c r="DU55" s="169"/>
      <c r="DV55" s="169"/>
      <c r="DW55" s="169"/>
      <c r="DX55" s="169"/>
      <c r="DY55" s="169"/>
      <c r="DZ55" s="169"/>
      <c r="EA55" s="169"/>
      <c r="EB55" s="169"/>
      <c r="EC55" s="169"/>
      <c r="ED55" s="169"/>
      <c r="EE55" s="169"/>
      <c r="EF55" s="169"/>
      <c r="EG55" s="169"/>
      <c r="EH55" s="169"/>
      <c r="EI55" s="169"/>
    </row>
    <row r="58" spans="2:139" s="192" customFormat="1" ht="14.25" customHeight="1" collapsed="1">
      <c r="B58" s="1043" t="s">
        <v>128</v>
      </c>
      <c r="C58" s="196"/>
      <c r="D58" s="196"/>
      <c r="E58" s="196"/>
      <c r="F58" s="197"/>
      <c r="G58" s="197"/>
      <c r="H58" s="197"/>
      <c r="I58" s="197"/>
      <c r="J58" s="197"/>
      <c r="K58" s="197"/>
      <c r="L58" s="197"/>
      <c r="M58" s="197"/>
      <c r="N58" s="197"/>
      <c r="O58" s="197"/>
      <c r="P58"/>
      <c r="Q58" s="197"/>
      <c r="R58"/>
      <c r="S58" s="197"/>
      <c r="T58" s="197"/>
      <c r="U58" s="197"/>
      <c r="V58" s="197"/>
      <c r="W58" s="197"/>
      <c r="X58" s="197"/>
      <c r="Y58" s="197"/>
      <c r="Z58" s="197"/>
      <c r="AA58" s="197"/>
      <c r="AB58" s="197"/>
      <c r="AC58" s="197"/>
      <c r="AD58" s="197"/>
      <c r="AE58" s="197"/>
      <c r="AF58" s="197"/>
      <c r="AG58" s="197"/>
      <c r="AH58" s="197"/>
      <c r="AI58" s="197"/>
      <c r="AJ58" s="197"/>
      <c r="AK58" s="197"/>
      <c r="AL58" s="197"/>
      <c r="AM58" s="197"/>
      <c r="AN58" s="197"/>
      <c r="AO58" s="197"/>
      <c r="AP58" s="197"/>
      <c r="AQ58" s="197"/>
      <c r="AR58" s="197"/>
      <c r="AS58" s="197"/>
      <c r="AT58" s="197"/>
      <c r="AU58" s="197"/>
      <c r="AV58" s="197"/>
      <c r="AW58" s="197"/>
      <c r="AX58" s="197"/>
      <c r="AY58" s="197"/>
      <c r="AZ58" s="197"/>
      <c r="BA58" s="197"/>
      <c r="BB58" s="197"/>
      <c r="BC58" s="843"/>
      <c r="BD58" s="564"/>
      <c r="BE58" s="197"/>
      <c r="BF58" s="197"/>
      <c r="BG58" s="197"/>
      <c r="BH58" s="197"/>
      <c r="BI58" s="197"/>
      <c r="BJ58" s="197"/>
      <c r="BK58" s="197"/>
      <c r="BL58" s="197"/>
      <c r="BM58" s="197"/>
      <c r="BN58" s="197"/>
      <c r="BO58" s="197"/>
      <c r="BP58" s="197"/>
      <c r="BQ58" s="197"/>
      <c r="BR58" s="197"/>
      <c r="BS58" s="197"/>
      <c r="BT58" s="197"/>
      <c r="BU58" s="197"/>
      <c r="BV58" s="197"/>
      <c r="BW58" s="197"/>
      <c r="BX58" s="197"/>
      <c r="BY58" s="197"/>
      <c r="BZ58" s="197"/>
      <c r="CA58" s="197"/>
      <c r="CB58" s="197"/>
      <c r="CC58" s="197"/>
      <c r="CD58" s="197"/>
      <c r="CE58" s="197"/>
      <c r="CF58" s="197"/>
      <c r="CG58" s="197"/>
      <c r="CH58" s="197"/>
      <c r="CI58" s="197"/>
      <c r="CJ58" s="197"/>
      <c r="CK58" s="197"/>
      <c r="CL58" s="197"/>
      <c r="CM58" s="197"/>
      <c r="CN58" s="197"/>
      <c r="CO58" s="197"/>
      <c r="CP58" s="197"/>
      <c r="CQ58" s="197"/>
      <c r="CR58" s="197"/>
      <c r="CS58" s="197"/>
      <c r="CT58" s="197"/>
      <c r="CU58" s="197"/>
      <c r="CV58" s="197"/>
      <c r="CW58" s="197"/>
      <c r="CX58" s="197"/>
      <c r="CY58" s="197"/>
      <c r="CZ58" s="197"/>
      <c r="DA58" s="197"/>
      <c r="DB58" s="197"/>
      <c r="DC58" s="197"/>
      <c r="DD58" s="197"/>
      <c r="DE58" s="197"/>
      <c r="DF58" s="197"/>
      <c r="DG58" s="197"/>
      <c r="DH58" s="197"/>
      <c r="DI58" s="197"/>
      <c r="DJ58" s="197"/>
      <c r="DK58" s="197"/>
      <c r="DL58" s="197"/>
      <c r="DM58" s="197"/>
      <c r="DN58" s="197"/>
      <c r="DO58" s="197"/>
      <c r="DP58" s="197"/>
      <c r="DQ58" s="197"/>
      <c r="DR58" s="197"/>
      <c r="DS58" s="197"/>
      <c r="DT58" s="197"/>
      <c r="DU58" s="197"/>
      <c r="DV58" s="197"/>
      <c r="DW58" s="197"/>
      <c r="DX58" s="197"/>
      <c r="DY58" s="197"/>
      <c r="DZ58" s="197"/>
      <c r="EA58" s="197"/>
      <c r="EB58" s="197"/>
      <c r="EC58" s="197"/>
      <c r="ED58" s="197"/>
      <c r="EE58" s="197"/>
      <c r="EF58" s="197"/>
      <c r="EG58" s="197"/>
      <c r="EH58" s="197"/>
      <c r="EI58" s="197"/>
    </row>
    <row r="59" spans="2:139">
      <c r="B59" s="32" t="s">
        <v>129</v>
      </c>
      <c r="C59" s="32"/>
      <c r="D59" s="78"/>
      <c r="E59" s="78">
        <f t="shared" ref="E59:O59" si="52">SUBTOTAL(9,E18:E54)</f>
        <v>1013735.7586710614</v>
      </c>
      <c r="F59" s="78">
        <f t="shared" si="52"/>
        <v>1056179.4324117121</v>
      </c>
      <c r="G59" s="78">
        <f t="shared" si="52"/>
        <v>1118852.1397523265</v>
      </c>
      <c r="H59" s="78">
        <f t="shared" si="52"/>
        <v>1167400.4878539424</v>
      </c>
      <c r="I59" s="78">
        <f t="shared" si="52"/>
        <v>1217633.7596158781</v>
      </c>
      <c r="J59" s="78">
        <f t="shared" si="52"/>
        <v>1261529.7824043559</v>
      </c>
      <c r="K59" s="78">
        <f t="shared" si="52"/>
        <v>1306742.6858764878</v>
      </c>
      <c r="L59" s="78">
        <f t="shared" si="52"/>
        <v>0</v>
      </c>
      <c r="M59" s="78">
        <f t="shared" si="52"/>
        <v>0</v>
      </c>
      <c r="N59" s="78">
        <f t="shared" si="52"/>
        <v>0</v>
      </c>
      <c r="O59" s="145">
        <f t="shared" si="52"/>
        <v>8142074.0465857666</v>
      </c>
      <c r="Q59" s="78">
        <f>SUBTOTAL(9,Q18:Q54)</f>
        <v>1353311.9764527844</v>
      </c>
      <c r="S59" s="27"/>
      <c r="T59" s="78">
        <f t="shared" ref="T59:AY59" si="53">SUBTOTAL(9,T18:T54)</f>
        <v>84477.979889255148</v>
      </c>
      <c r="U59" s="78">
        <f t="shared" si="53"/>
        <v>84477.979889255148</v>
      </c>
      <c r="V59" s="78">
        <f t="shared" si="53"/>
        <v>84477.979889255148</v>
      </c>
      <c r="W59" s="78">
        <f t="shared" si="53"/>
        <v>84477.979889255148</v>
      </c>
      <c r="X59" s="78">
        <f t="shared" si="53"/>
        <v>84477.979889255148</v>
      </c>
      <c r="Y59" s="78">
        <f t="shared" si="53"/>
        <v>84477.979889255148</v>
      </c>
      <c r="Z59" s="78">
        <f t="shared" si="53"/>
        <v>84477.979889255148</v>
      </c>
      <c r="AA59" s="78">
        <f t="shared" si="53"/>
        <v>84477.979889255148</v>
      </c>
      <c r="AB59" s="78">
        <f t="shared" si="53"/>
        <v>84477.979889255148</v>
      </c>
      <c r="AC59" s="78">
        <f t="shared" si="53"/>
        <v>84477.979889255148</v>
      </c>
      <c r="AD59" s="78">
        <f t="shared" si="53"/>
        <v>84477.979889255148</v>
      </c>
      <c r="AE59" s="78">
        <f t="shared" si="53"/>
        <v>84477.979889255148</v>
      </c>
      <c r="AF59" s="78">
        <f t="shared" si="53"/>
        <v>87033.086713957251</v>
      </c>
      <c r="AG59" s="78">
        <f t="shared" si="53"/>
        <v>87210.626754753146</v>
      </c>
      <c r="AH59" s="78">
        <f t="shared" si="53"/>
        <v>87388.460017360761</v>
      </c>
      <c r="AI59" s="78">
        <f t="shared" si="53"/>
        <v>87566.586986059745</v>
      </c>
      <c r="AJ59" s="78">
        <f t="shared" si="53"/>
        <v>87745.008145929634</v>
      </c>
      <c r="AK59" s="78">
        <f t="shared" si="53"/>
        <v>87923.723982850977</v>
      </c>
      <c r="AL59" s="78">
        <f t="shared" si="53"/>
        <v>88102.73498350702</v>
      </c>
      <c r="AM59" s="78">
        <f t="shared" si="53"/>
        <v>88282.041635384507</v>
      </c>
      <c r="AN59" s="78">
        <f t="shared" si="53"/>
        <v>88461.644426775616</v>
      </c>
      <c r="AO59" s="78">
        <f t="shared" si="53"/>
        <v>88641.543846778673</v>
      </c>
      <c r="AP59" s="78">
        <f t="shared" si="53"/>
        <v>88821.740385300072</v>
      </c>
      <c r="AQ59" s="78">
        <f t="shared" si="53"/>
        <v>89002.234533055191</v>
      </c>
      <c r="AR59" s="78">
        <f t="shared" si="53"/>
        <v>91703.606037454709</v>
      </c>
      <c r="AS59" s="78">
        <f t="shared" si="53"/>
        <v>91980.241408134083</v>
      </c>
      <c r="AT59" s="78">
        <f t="shared" si="53"/>
        <v>92257.559036266102</v>
      </c>
      <c r="AU59" s="78">
        <f t="shared" si="53"/>
        <v>92535.560604481725</v>
      </c>
      <c r="AV59" s="78">
        <f t="shared" si="53"/>
        <v>92814.247799561665</v>
      </c>
      <c r="AW59" s="78">
        <f t="shared" si="53"/>
        <v>93093.622312446765</v>
      </c>
      <c r="AX59" s="78">
        <f t="shared" si="53"/>
        <v>93373.685838248173</v>
      </c>
      <c r="AY59" s="78">
        <f t="shared" si="53"/>
        <v>93654.440076257568</v>
      </c>
      <c r="AZ59" s="78">
        <f t="shared" ref="AZ59:CE59" si="54">SUBTOTAL(9,AZ18:AZ54)</f>
        <v>93935.886729957609</v>
      </c>
      <c r="BA59" s="78">
        <f t="shared" si="54"/>
        <v>94218.027507032166</v>
      </c>
      <c r="BB59" s="78">
        <f t="shared" si="54"/>
        <v>94500.864119376783</v>
      </c>
      <c r="BC59" s="78">
        <f t="shared" si="54"/>
        <v>94784.398283108952</v>
      </c>
      <c r="BD59" s="78">
        <f t="shared" si="54"/>
        <v>95694.716818064364</v>
      </c>
      <c r="BE59" s="78">
        <f t="shared" si="54"/>
        <v>95981.19534461986</v>
      </c>
      <c r="BF59" s="78">
        <f t="shared" si="54"/>
        <v>96268.380404505791</v>
      </c>
      <c r="BG59" s="78">
        <f t="shared" si="54"/>
        <v>96556.273740223987</v>
      </c>
      <c r="BH59" s="78">
        <f t="shared" si="54"/>
        <v>96844.877098573779</v>
      </c>
      <c r="BI59" s="78">
        <f t="shared" si="54"/>
        <v>97134.19223066236</v>
      </c>
      <c r="BJ59" s="78">
        <f t="shared" si="54"/>
        <v>97424.220891915902</v>
      </c>
      <c r="BK59" s="78">
        <f t="shared" si="54"/>
        <v>97714.96484208983</v>
      </c>
      <c r="BL59" s="78">
        <f t="shared" si="54"/>
        <v>98006.425845279533</v>
      </c>
      <c r="BM59" s="78">
        <f t="shared" si="54"/>
        <v>98298.605669931247</v>
      </c>
      <c r="BN59" s="78">
        <f t="shared" si="54"/>
        <v>98591.506088852504</v>
      </c>
      <c r="BO59" s="78">
        <f t="shared" si="54"/>
        <v>98885.12887922331</v>
      </c>
      <c r="BP59" s="78">
        <f t="shared" si="54"/>
        <v>99824.343475076836</v>
      </c>
      <c r="BQ59" s="78">
        <f t="shared" si="54"/>
        <v>100121.0067750274</v>
      </c>
      <c r="BR59" s="78">
        <f t="shared" si="54"/>
        <v>100418.40172670723</v>
      </c>
      <c r="BS59" s="78">
        <f t="shared" si="54"/>
        <v>100716.53013456677</v>
      </c>
      <c r="BT59" s="78">
        <f t="shared" si="54"/>
        <v>101015.39380750692</v>
      </c>
      <c r="BU59" s="78">
        <f t="shared" si="54"/>
        <v>101314.99455888965</v>
      </c>
      <c r="BV59" s="78">
        <f t="shared" si="54"/>
        <v>101615.33420654933</v>
      </c>
      <c r="BW59" s="78">
        <f t="shared" si="54"/>
        <v>101916.41457280342</v>
      </c>
      <c r="BX59" s="78">
        <f t="shared" si="54"/>
        <v>102218.23748446381</v>
      </c>
      <c r="BY59" s="78">
        <f t="shared" si="54"/>
        <v>102520.80477284787</v>
      </c>
      <c r="BZ59" s="78">
        <f t="shared" si="54"/>
        <v>102824.11827378934</v>
      </c>
      <c r="CA59" s="78">
        <f t="shared" si="54"/>
        <v>103128.17982764966</v>
      </c>
      <c r="CB59" s="78">
        <f t="shared" si="54"/>
        <v>103432.99127932928</v>
      </c>
      <c r="CC59" s="78">
        <f t="shared" si="54"/>
        <v>103738.55447827833</v>
      </c>
      <c r="CD59" s="78">
        <f t="shared" si="54"/>
        <v>104044.87127850854</v>
      </c>
      <c r="CE59" s="78">
        <f t="shared" si="54"/>
        <v>104351.9435386039</v>
      </c>
      <c r="CF59" s="78">
        <f t="shared" ref="CF59:DK59" si="55">SUBTOTAL(9,CF18:CF54)</f>
        <v>104659.77312173223</v>
      </c>
      <c r="CG59" s="78">
        <f t="shared" si="55"/>
        <v>104968.36189565645</v>
      </c>
      <c r="CH59" s="78">
        <f t="shared" si="55"/>
        <v>105277.71173274587</v>
      </c>
      <c r="CI59" s="78">
        <f t="shared" si="55"/>
        <v>105587.82450998758</v>
      </c>
      <c r="CJ59" s="78">
        <f t="shared" si="55"/>
        <v>105898.70210899782</v>
      </c>
      <c r="CK59" s="78">
        <f t="shared" si="55"/>
        <v>106210.34641603337</v>
      </c>
      <c r="CL59" s="78">
        <f t="shared" si="55"/>
        <v>106522.75932200308</v>
      </c>
      <c r="CM59" s="78">
        <f t="shared" si="55"/>
        <v>106835.94272247929</v>
      </c>
      <c r="CN59" s="78">
        <f t="shared" si="55"/>
        <v>107149.89851770923</v>
      </c>
      <c r="CO59" s="78">
        <f t="shared" si="55"/>
        <v>107464.62861262681</v>
      </c>
      <c r="CP59" s="78">
        <f t="shared" si="55"/>
        <v>107780.13491686393</v>
      </c>
      <c r="CQ59" s="78">
        <f t="shared" si="55"/>
        <v>108096.41934476214</v>
      </c>
      <c r="CR59" s="78">
        <f t="shared" si="55"/>
        <v>108413.48381538433</v>
      </c>
      <c r="CS59" s="78">
        <f t="shared" si="55"/>
        <v>108731.33025252627</v>
      </c>
      <c r="CT59" s="78">
        <f t="shared" si="55"/>
        <v>109049.96058472837</v>
      </c>
      <c r="CU59" s="78">
        <f t="shared" si="55"/>
        <v>109369.37674528733</v>
      </c>
      <c r="CV59" s="78">
        <f t="shared" si="55"/>
        <v>109689.58067226791</v>
      </c>
      <c r="CW59" s="78">
        <f t="shared" si="55"/>
        <v>110010.57430851454</v>
      </c>
      <c r="CX59" s="78">
        <f t="shared" si="55"/>
        <v>110332.35960166334</v>
      </c>
      <c r="CY59" s="78">
        <f t="shared" si="55"/>
        <v>110654.93850415378</v>
      </c>
      <c r="CZ59" s="78">
        <f t="shared" si="55"/>
        <v>0</v>
      </c>
      <c r="DA59" s="78">
        <f t="shared" si="55"/>
        <v>0</v>
      </c>
      <c r="DB59" s="78">
        <f t="shared" si="55"/>
        <v>0</v>
      </c>
      <c r="DC59" s="78">
        <f t="shared" si="55"/>
        <v>0</v>
      </c>
      <c r="DD59" s="78">
        <f t="shared" si="55"/>
        <v>0</v>
      </c>
      <c r="DE59" s="78">
        <f t="shared" si="55"/>
        <v>0</v>
      </c>
      <c r="DF59" s="78">
        <f t="shared" si="55"/>
        <v>0</v>
      </c>
      <c r="DG59" s="78">
        <f t="shared" si="55"/>
        <v>0</v>
      </c>
      <c r="DH59" s="78">
        <f t="shared" si="55"/>
        <v>0</v>
      </c>
      <c r="DI59" s="78">
        <f t="shared" si="55"/>
        <v>0</v>
      </c>
      <c r="DJ59" s="78">
        <f t="shared" si="55"/>
        <v>0</v>
      </c>
      <c r="DK59" s="78">
        <f t="shared" si="55"/>
        <v>0</v>
      </c>
      <c r="DL59" s="78">
        <f t="shared" ref="DL59:EI59" si="56">SUBTOTAL(9,DL18:DL54)</f>
        <v>0</v>
      </c>
      <c r="DM59" s="78">
        <f t="shared" si="56"/>
        <v>0</v>
      </c>
      <c r="DN59" s="78">
        <f t="shared" si="56"/>
        <v>0</v>
      </c>
      <c r="DO59" s="78">
        <f t="shared" si="56"/>
        <v>0</v>
      </c>
      <c r="DP59" s="78">
        <f t="shared" si="56"/>
        <v>0</v>
      </c>
      <c r="DQ59" s="78">
        <f t="shared" si="56"/>
        <v>0</v>
      </c>
      <c r="DR59" s="78">
        <f t="shared" si="56"/>
        <v>0</v>
      </c>
      <c r="DS59" s="78">
        <f t="shared" si="56"/>
        <v>0</v>
      </c>
      <c r="DT59" s="78">
        <f t="shared" si="56"/>
        <v>0</v>
      </c>
      <c r="DU59" s="78">
        <f t="shared" si="56"/>
        <v>0</v>
      </c>
      <c r="DV59" s="78">
        <f t="shared" si="56"/>
        <v>0</v>
      </c>
      <c r="DW59" s="78">
        <f t="shared" si="56"/>
        <v>0</v>
      </c>
      <c r="DX59" s="78">
        <f t="shared" si="56"/>
        <v>0</v>
      </c>
      <c r="DY59" s="78">
        <f t="shared" si="56"/>
        <v>0</v>
      </c>
      <c r="DZ59" s="78">
        <f t="shared" si="56"/>
        <v>0</v>
      </c>
      <c r="EA59" s="78">
        <f t="shared" si="56"/>
        <v>0</v>
      </c>
      <c r="EB59" s="78">
        <f t="shared" si="56"/>
        <v>0</v>
      </c>
      <c r="EC59" s="78">
        <f t="shared" si="56"/>
        <v>0</v>
      </c>
      <c r="ED59" s="78">
        <f t="shared" si="56"/>
        <v>0</v>
      </c>
      <c r="EE59" s="78">
        <f t="shared" si="56"/>
        <v>0</v>
      </c>
      <c r="EF59" s="78">
        <f t="shared" si="56"/>
        <v>0</v>
      </c>
      <c r="EG59" s="78">
        <f t="shared" si="56"/>
        <v>0</v>
      </c>
      <c r="EH59" s="78">
        <f t="shared" si="56"/>
        <v>0</v>
      </c>
      <c r="EI59" s="78">
        <f t="shared" si="56"/>
        <v>0</v>
      </c>
    </row>
    <row r="60" spans="2:139">
      <c r="B60" s="32" t="s">
        <v>130</v>
      </c>
      <c r="C60" s="32"/>
      <c r="D60" s="78"/>
      <c r="E60" s="78">
        <f>-Input!G171*TotalDealUnits*(E$5&lt;=MAX(YrOfExit,1))</f>
        <v>0</v>
      </c>
      <c r="F60" s="78">
        <f>-Input!H171*TotalDealUnits*(F$5&lt;=MAX(YrOfExit,1))</f>
        <v>0</v>
      </c>
      <c r="G60" s="78">
        <f>-Input!I171*TotalDealUnits*(G$5&lt;=MAX(YrOfExit,1))</f>
        <v>0</v>
      </c>
      <c r="H60" s="78">
        <f>-Input!J171*TotalDealUnits*(H$5&lt;=MAX(YrOfExit,1))</f>
        <v>0</v>
      </c>
      <c r="I60" s="78">
        <f>-Input!K171*TotalDealUnits*(I$5&lt;=MAX(YrOfExit,1))</f>
        <v>0</v>
      </c>
      <c r="J60" s="78">
        <f>-Input!L171*TotalDealUnits*(J$5&lt;=MAX(YrOfExit,1))</f>
        <v>0</v>
      </c>
      <c r="K60" s="78">
        <f>-Input!M171*TotalDealUnits*(K$5&lt;=MAX(YrOfExit,1))</f>
        <v>0</v>
      </c>
      <c r="L60" s="78">
        <f>-Input!N171*TotalDealUnits*(L$5&lt;=MAX(YrOfExit,1))</f>
        <v>0</v>
      </c>
      <c r="M60" s="78">
        <f>-Input!O171*TotalDealUnits*(M$5&lt;=MAX(YrOfExit,1))</f>
        <v>0</v>
      </c>
      <c r="N60" s="78">
        <f>-Input!P171*TotalDealUnits*(N$5&lt;=MAX(YrOfExit,1))</f>
        <v>0</v>
      </c>
      <c r="O60" s="145">
        <f>SUM(D60:N60)</f>
        <v>0</v>
      </c>
      <c r="Q60" s="78">
        <f>-Input!D172*TotalDealUnits*IF(Input!E172=Grown,SUMPRODUCT(FVSCHEDULE(1,Input!G151:P151*(E5:N5&lt;=Q5-1))),1)</f>
        <v>0</v>
      </c>
      <c r="S60" s="27"/>
      <c r="T60" s="78">
        <f t="shared" ref="T60:AY60" si="57">SUMIF($E$5:$N$5,T$6,$E60:$N60)/12</f>
        <v>0</v>
      </c>
      <c r="U60" s="78">
        <f t="shared" si="57"/>
        <v>0</v>
      </c>
      <c r="V60" s="78">
        <f t="shared" si="57"/>
        <v>0</v>
      </c>
      <c r="W60" s="78">
        <f t="shared" si="57"/>
        <v>0</v>
      </c>
      <c r="X60" s="78">
        <f t="shared" si="57"/>
        <v>0</v>
      </c>
      <c r="Y60" s="78">
        <f t="shared" si="57"/>
        <v>0</v>
      </c>
      <c r="Z60" s="78">
        <f t="shared" si="57"/>
        <v>0</v>
      </c>
      <c r="AA60" s="78">
        <f t="shared" si="57"/>
        <v>0</v>
      </c>
      <c r="AB60" s="78">
        <f t="shared" si="57"/>
        <v>0</v>
      </c>
      <c r="AC60" s="78">
        <f t="shared" si="57"/>
        <v>0</v>
      </c>
      <c r="AD60" s="78">
        <f t="shared" si="57"/>
        <v>0</v>
      </c>
      <c r="AE60" s="78">
        <f t="shared" si="57"/>
        <v>0</v>
      </c>
      <c r="AF60" s="78">
        <f t="shared" si="57"/>
        <v>0</v>
      </c>
      <c r="AG60" s="78">
        <f t="shared" si="57"/>
        <v>0</v>
      </c>
      <c r="AH60" s="78">
        <f t="shared" si="57"/>
        <v>0</v>
      </c>
      <c r="AI60" s="78">
        <f t="shared" si="57"/>
        <v>0</v>
      </c>
      <c r="AJ60" s="78">
        <f t="shared" si="57"/>
        <v>0</v>
      </c>
      <c r="AK60" s="78">
        <f t="shared" si="57"/>
        <v>0</v>
      </c>
      <c r="AL60" s="78">
        <f t="shared" si="57"/>
        <v>0</v>
      </c>
      <c r="AM60" s="78">
        <f t="shared" si="57"/>
        <v>0</v>
      </c>
      <c r="AN60" s="78">
        <f t="shared" si="57"/>
        <v>0</v>
      </c>
      <c r="AO60" s="78">
        <f t="shared" si="57"/>
        <v>0</v>
      </c>
      <c r="AP60" s="78">
        <f t="shared" si="57"/>
        <v>0</v>
      </c>
      <c r="AQ60" s="78">
        <f t="shared" si="57"/>
        <v>0</v>
      </c>
      <c r="AR60" s="78">
        <f t="shared" si="57"/>
        <v>0</v>
      </c>
      <c r="AS60" s="78">
        <f t="shared" si="57"/>
        <v>0</v>
      </c>
      <c r="AT60" s="78">
        <f t="shared" si="57"/>
        <v>0</v>
      </c>
      <c r="AU60" s="78">
        <f t="shared" si="57"/>
        <v>0</v>
      </c>
      <c r="AV60" s="78">
        <f t="shared" si="57"/>
        <v>0</v>
      </c>
      <c r="AW60" s="78">
        <f t="shared" si="57"/>
        <v>0</v>
      </c>
      <c r="AX60" s="78">
        <f t="shared" si="57"/>
        <v>0</v>
      </c>
      <c r="AY60" s="78">
        <f t="shared" si="57"/>
        <v>0</v>
      </c>
      <c r="AZ60" s="78">
        <f t="shared" ref="AZ60:CE60" si="58">SUMIF($E$5:$N$5,AZ$6,$E60:$N60)/12</f>
        <v>0</v>
      </c>
      <c r="BA60" s="78">
        <f t="shared" si="58"/>
        <v>0</v>
      </c>
      <c r="BB60" s="78">
        <f t="shared" si="58"/>
        <v>0</v>
      </c>
      <c r="BC60" s="78">
        <f t="shared" si="58"/>
        <v>0</v>
      </c>
      <c r="BD60" s="206">
        <f t="shared" si="58"/>
        <v>0</v>
      </c>
      <c r="BE60" s="78">
        <f t="shared" si="58"/>
        <v>0</v>
      </c>
      <c r="BF60" s="78">
        <f t="shared" si="58"/>
        <v>0</v>
      </c>
      <c r="BG60" s="78">
        <f t="shared" si="58"/>
        <v>0</v>
      </c>
      <c r="BH60" s="78">
        <f t="shared" si="58"/>
        <v>0</v>
      </c>
      <c r="BI60" s="78">
        <f t="shared" si="58"/>
        <v>0</v>
      </c>
      <c r="BJ60" s="78">
        <f t="shared" si="58"/>
        <v>0</v>
      </c>
      <c r="BK60" s="78">
        <f t="shared" si="58"/>
        <v>0</v>
      </c>
      <c r="BL60" s="78">
        <f t="shared" si="58"/>
        <v>0</v>
      </c>
      <c r="BM60" s="78">
        <f t="shared" si="58"/>
        <v>0</v>
      </c>
      <c r="BN60" s="78">
        <f t="shared" si="58"/>
        <v>0</v>
      </c>
      <c r="BO60" s="78">
        <f t="shared" si="58"/>
        <v>0</v>
      </c>
      <c r="BP60" s="78">
        <f t="shared" si="58"/>
        <v>0</v>
      </c>
      <c r="BQ60" s="78">
        <f t="shared" si="58"/>
        <v>0</v>
      </c>
      <c r="BR60" s="78">
        <f t="shared" si="58"/>
        <v>0</v>
      </c>
      <c r="BS60" s="78">
        <f t="shared" si="58"/>
        <v>0</v>
      </c>
      <c r="BT60" s="78">
        <f t="shared" si="58"/>
        <v>0</v>
      </c>
      <c r="BU60" s="78">
        <f t="shared" si="58"/>
        <v>0</v>
      </c>
      <c r="BV60" s="78">
        <f t="shared" si="58"/>
        <v>0</v>
      </c>
      <c r="BW60" s="78">
        <f t="shared" si="58"/>
        <v>0</v>
      </c>
      <c r="BX60" s="78">
        <f t="shared" si="58"/>
        <v>0</v>
      </c>
      <c r="BY60" s="78">
        <f t="shared" si="58"/>
        <v>0</v>
      </c>
      <c r="BZ60" s="78">
        <f t="shared" si="58"/>
        <v>0</v>
      </c>
      <c r="CA60" s="78">
        <f t="shared" si="58"/>
        <v>0</v>
      </c>
      <c r="CB60" s="78">
        <f t="shared" si="58"/>
        <v>0</v>
      </c>
      <c r="CC60" s="78">
        <f t="shared" si="58"/>
        <v>0</v>
      </c>
      <c r="CD60" s="78">
        <f t="shared" si="58"/>
        <v>0</v>
      </c>
      <c r="CE60" s="78">
        <f t="shared" si="58"/>
        <v>0</v>
      </c>
      <c r="CF60" s="78">
        <f t="shared" ref="CF60:DK60" si="59">SUMIF($E$5:$N$5,CF$6,$E60:$N60)/12</f>
        <v>0</v>
      </c>
      <c r="CG60" s="78">
        <f t="shared" si="59"/>
        <v>0</v>
      </c>
      <c r="CH60" s="78">
        <f t="shared" si="59"/>
        <v>0</v>
      </c>
      <c r="CI60" s="78">
        <f t="shared" si="59"/>
        <v>0</v>
      </c>
      <c r="CJ60" s="78">
        <f t="shared" si="59"/>
        <v>0</v>
      </c>
      <c r="CK60" s="78">
        <f t="shared" si="59"/>
        <v>0</v>
      </c>
      <c r="CL60" s="78">
        <f t="shared" si="59"/>
        <v>0</v>
      </c>
      <c r="CM60" s="78">
        <f t="shared" si="59"/>
        <v>0</v>
      </c>
      <c r="CN60" s="78">
        <f t="shared" si="59"/>
        <v>0</v>
      </c>
      <c r="CO60" s="78">
        <f t="shared" si="59"/>
        <v>0</v>
      </c>
      <c r="CP60" s="78">
        <f t="shared" si="59"/>
        <v>0</v>
      </c>
      <c r="CQ60" s="78">
        <f t="shared" si="59"/>
        <v>0</v>
      </c>
      <c r="CR60" s="78">
        <f t="shared" si="59"/>
        <v>0</v>
      </c>
      <c r="CS60" s="78">
        <f t="shared" si="59"/>
        <v>0</v>
      </c>
      <c r="CT60" s="78">
        <f t="shared" si="59"/>
        <v>0</v>
      </c>
      <c r="CU60" s="78">
        <f t="shared" si="59"/>
        <v>0</v>
      </c>
      <c r="CV60" s="78">
        <f t="shared" si="59"/>
        <v>0</v>
      </c>
      <c r="CW60" s="78">
        <f t="shared" si="59"/>
        <v>0</v>
      </c>
      <c r="CX60" s="78">
        <f t="shared" si="59"/>
        <v>0</v>
      </c>
      <c r="CY60" s="78">
        <f t="shared" si="59"/>
        <v>0</v>
      </c>
      <c r="CZ60" s="78">
        <f t="shared" si="59"/>
        <v>0</v>
      </c>
      <c r="DA60" s="78">
        <f t="shared" si="59"/>
        <v>0</v>
      </c>
      <c r="DB60" s="78">
        <f t="shared" si="59"/>
        <v>0</v>
      </c>
      <c r="DC60" s="78">
        <f t="shared" si="59"/>
        <v>0</v>
      </c>
      <c r="DD60" s="78">
        <f t="shared" si="59"/>
        <v>0</v>
      </c>
      <c r="DE60" s="78">
        <f t="shared" si="59"/>
        <v>0</v>
      </c>
      <c r="DF60" s="78">
        <f t="shared" si="59"/>
        <v>0</v>
      </c>
      <c r="DG60" s="78">
        <f t="shared" si="59"/>
        <v>0</v>
      </c>
      <c r="DH60" s="78">
        <f t="shared" si="59"/>
        <v>0</v>
      </c>
      <c r="DI60" s="78">
        <f t="shared" si="59"/>
        <v>0</v>
      </c>
      <c r="DJ60" s="78">
        <f t="shared" si="59"/>
        <v>0</v>
      </c>
      <c r="DK60" s="78">
        <f t="shared" si="59"/>
        <v>0</v>
      </c>
      <c r="DL60" s="78">
        <f t="shared" ref="DL60:EI60" si="60">SUMIF($E$5:$N$5,DL$6,$E60:$N60)/12</f>
        <v>0</v>
      </c>
      <c r="DM60" s="78">
        <f t="shared" si="60"/>
        <v>0</v>
      </c>
      <c r="DN60" s="78">
        <f t="shared" si="60"/>
        <v>0</v>
      </c>
      <c r="DO60" s="78">
        <f t="shared" si="60"/>
        <v>0</v>
      </c>
      <c r="DP60" s="78">
        <f t="shared" si="60"/>
        <v>0</v>
      </c>
      <c r="DQ60" s="78">
        <f t="shared" si="60"/>
        <v>0</v>
      </c>
      <c r="DR60" s="78">
        <f t="shared" si="60"/>
        <v>0</v>
      </c>
      <c r="DS60" s="78">
        <f t="shared" si="60"/>
        <v>0</v>
      </c>
      <c r="DT60" s="78">
        <f t="shared" si="60"/>
        <v>0</v>
      </c>
      <c r="DU60" s="78">
        <f t="shared" si="60"/>
        <v>0</v>
      </c>
      <c r="DV60" s="78">
        <f t="shared" si="60"/>
        <v>0</v>
      </c>
      <c r="DW60" s="78">
        <f t="shared" si="60"/>
        <v>0</v>
      </c>
      <c r="DX60" s="78">
        <f t="shared" si="60"/>
        <v>0</v>
      </c>
      <c r="DY60" s="78">
        <f t="shared" si="60"/>
        <v>0</v>
      </c>
      <c r="DZ60" s="78">
        <f t="shared" si="60"/>
        <v>0</v>
      </c>
      <c r="EA60" s="78">
        <f t="shared" si="60"/>
        <v>0</v>
      </c>
      <c r="EB60" s="78">
        <f t="shared" si="60"/>
        <v>0</v>
      </c>
      <c r="EC60" s="78">
        <f t="shared" si="60"/>
        <v>0</v>
      </c>
      <c r="ED60" s="78">
        <f t="shared" si="60"/>
        <v>0</v>
      </c>
      <c r="EE60" s="78">
        <f t="shared" si="60"/>
        <v>0</v>
      </c>
      <c r="EF60" s="78">
        <f t="shared" si="60"/>
        <v>0</v>
      </c>
      <c r="EG60" s="78">
        <f t="shared" si="60"/>
        <v>0</v>
      </c>
      <c r="EH60" s="78">
        <f t="shared" si="60"/>
        <v>0</v>
      </c>
      <c r="EI60" s="78">
        <f t="shared" si="60"/>
        <v>0</v>
      </c>
    </row>
    <row r="61" spans="2:139">
      <c r="B61" s="32"/>
      <c r="C61" s="32"/>
      <c r="D61" s="78"/>
      <c r="E61" s="78"/>
      <c r="F61" s="78"/>
      <c r="G61" s="78"/>
      <c r="H61" s="78"/>
      <c r="I61" s="78"/>
      <c r="J61" s="78"/>
      <c r="K61" s="78"/>
      <c r="L61" s="78"/>
      <c r="M61" s="78"/>
      <c r="N61" s="78"/>
      <c r="O61" s="842"/>
      <c r="Q61" s="78"/>
      <c r="S61" s="27"/>
      <c r="T61" s="78"/>
      <c r="U61" s="78"/>
      <c r="V61" s="78"/>
      <c r="W61" s="78"/>
      <c r="X61" s="78"/>
      <c r="Y61" s="78"/>
      <c r="Z61" s="78"/>
      <c r="AA61" s="78"/>
      <c r="AB61" s="78"/>
      <c r="AC61" s="78"/>
      <c r="AD61" s="78"/>
      <c r="AE61" s="78"/>
      <c r="AF61" s="78"/>
      <c r="AG61" s="78"/>
      <c r="AH61" s="78"/>
      <c r="AI61" s="78"/>
      <c r="AJ61" s="78"/>
      <c r="AK61" s="78"/>
      <c r="AL61" s="78"/>
      <c r="AM61" s="78"/>
      <c r="AN61" s="78"/>
      <c r="AO61" s="78"/>
      <c r="AP61" s="78"/>
      <c r="AQ61" s="78"/>
      <c r="AR61" s="78"/>
      <c r="AS61" s="78"/>
      <c r="AT61" s="78"/>
      <c r="AU61" s="78"/>
      <c r="AV61" s="78"/>
      <c r="AW61" s="78"/>
      <c r="AX61" s="78"/>
      <c r="AY61" s="78"/>
      <c r="AZ61" s="78"/>
      <c r="BA61" s="78"/>
      <c r="BB61" s="78"/>
      <c r="BC61" s="78"/>
      <c r="BD61" s="78"/>
      <c r="BE61" s="78"/>
      <c r="BF61" s="78"/>
      <c r="BG61" s="78"/>
      <c r="BH61" s="78"/>
      <c r="BI61" s="78"/>
      <c r="BJ61" s="78"/>
      <c r="BK61" s="78"/>
      <c r="BL61" s="78"/>
      <c r="BM61" s="78"/>
      <c r="BN61" s="78"/>
      <c r="BO61" s="78"/>
      <c r="BP61" s="78"/>
      <c r="BQ61" s="78"/>
      <c r="BR61" s="78"/>
      <c r="BS61" s="78"/>
      <c r="BT61" s="78"/>
      <c r="BU61" s="78"/>
      <c r="BV61" s="78"/>
      <c r="BW61" s="78"/>
      <c r="BX61" s="78"/>
      <c r="BY61" s="78"/>
      <c r="BZ61" s="78"/>
      <c r="CA61" s="78"/>
      <c r="CB61" s="78"/>
      <c r="CC61" s="78"/>
      <c r="CD61" s="78"/>
      <c r="CE61" s="78"/>
      <c r="CF61" s="78"/>
      <c r="CG61" s="78"/>
      <c r="CH61" s="78"/>
      <c r="CI61" s="78"/>
      <c r="CJ61" s="78"/>
      <c r="CK61" s="78"/>
      <c r="CL61" s="78"/>
      <c r="CM61" s="78"/>
      <c r="CN61" s="78"/>
      <c r="CO61" s="78"/>
      <c r="CP61" s="78"/>
      <c r="CQ61" s="78"/>
      <c r="CR61" s="78"/>
      <c r="CS61" s="78"/>
      <c r="CT61" s="78"/>
      <c r="CU61" s="78"/>
      <c r="CV61" s="78"/>
      <c r="CW61" s="78"/>
      <c r="CX61" s="78"/>
      <c r="CY61" s="78"/>
      <c r="CZ61" s="78"/>
      <c r="DA61" s="78"/>
      <c r="DB61" s="78"/>
      <c r="DC61" s="78"/>
      <c r="DD61" s="78"/>
      <c r="DE61" s="78"/>
      <c r="DF61" s="78"/>
      <c r="DG61" s="78"/>
      <c r="DH61" s="78"/>
      <c r="DI61" s="78"/>
      <c r="DJ61" s="78"/>
      <c r="DK61" s="78"/>
      <c r="DL61" s="78"/>
      <c r="DM61" s="78"/>
      <c r="DN61" s="78"/>
      <c r="DO61" s="78"/>
      <c r="DP61" s="78"/>
      <c r="DQ61" s="78"/>
      <c r="DR61" s="78"/>
      <c r="DS61" s="78"/>
      <c r="DT61" s="78"/>
      <c r="DU61" s="78"/>
      <c r="DV61" s="78"/>
      <c r="DW61" s="78"/>
      <c r="DX61" s="78"/>
      <c r="DY61" s="78"/>
      <c r="DZ61" s="78"/>
      <c r="EA61" s="78"/>
      <c r="EB61" s="78"/>
      <c r="EC61" s="78"/>
      <c r="ED61" s="78"/>
      <c r="EE61" s="78"/>
      <c r="EF61" s="78"/>
      <c r="EG61" s="78"/>
      <c r="EH61" s="78"/>
      <c r="EI61" s="78"/>
    </row>
    <row r="62" spans="2:139" ht="14.25" customHeight="1">
      <c r="B62" s="198" t="s">
        <v>131</v>
      </c>
      <c r="C62" s="198"/>
      <c r="D62" s="169"/>
      <c r="E62" s="694">
        <f t="shared" ref="E62:O62" si="61">SUBTOTAL(9,E18:E60)</f>
        <v>1013735.7586710614</v>
      </c>
      <c r="F62" s="694">
        <f t="shared" si="61"/>
        <v>1056179.4324117121</v>
      </c>
      <c r="G62" s="694">
        <f t="shared" si="61"/>
        <v>1118852.1397523265</v>
      </c>
      <c r="H62" s="694">
        <f t="shared" si="61"/>
        <v>1167400.4878539424</v>
      </c>
      <c r="I62" s="694">
        <f t="shared" si="61"/>
        <v>1217633.7596158781</v>
      </c>
      <c r="J62" s="694">
        <f t="shared" si="61"/>
        <v>1261529.7824043559</v>
      </c>
      <c r="K62" s="694">
        <f t="shared" si="61"/>
        <v>1306742.6858764878</v>
      </c>
      <c r="L62" s="694">
        <f t="shared" si="61"/>
        <v>0</v>
      </c>
      <c r="M62" s="694">
        <f t="shared" si="61"/>
        <v>0</v>
      </c>
      <c r="N62" s="694">
        <f t="shared" si="61"/>
        <v>0</v>
      </c>
      <c r="O62" s="91">
        <f t="shared" si="61"/>
        <v>8142074.0465857666</v>
      </c>
      <c r="Q62" s="694">
        <f>SUBTOTAL(9,Q18:Q60)</f>
        <v>1353311.9764527844</v>
      </c>
      <c r="S62" s="169"/>
      <c r="T62" s="694">
        <f t="shared" ref="T62:AY62" si="62">SUBTOTAL(9,T18:T60)</f>
        <v>84477.979889255148</v>
      </c>
      <c r="U62" s="694">
        <f t="shared" si="62"/>
        <v>84477.979889255148</v>
      </c>
      <c r="V62" s="694">
        <f t="shared" si="62"/>
        <v>84477.979889255148</v>
      </c>
      <c r="W62" s="694">
        <f t="shared" si="62"/>
        <v>84477.979889255148</v>
      </c>
      <c r="X62" s="694">
        <f t="shared" si="62"/>
        <v>84477.979889255148</v>
      </c>
      <c r="Y62" s="694">
        <f t="shared" si="62"/>
        <v>84477.979889255148</v>
      </c>
      <c r="Z62" s="694">
        <f t="shared" si="62"/>
        <v>84477.979889255148</v>
      </c>
      <c r="AA62" s="694">
        <f t="shared" si="62"/>
        <v>84477.979889255148</v>
      </c>
      <c r="AB62" s="694">
        <f t="shared" si="62"/>
        <v>84477.979889255148</v>
      </c>
      <c r="AC62" s="694">
        <f t="shared" si="62"/>
        <v>84477.979889255148</v>
      </c>
      <c r="AD62" s="694">
        <f t="shared" si="62"/>
        <v>84477.979889255148</v>
      </c>
      <c r="AE62" s="694">
        <f t="shared" si="62"/>
        <v>84477.979889255148</v>
      </c>
      <c r="AF62" s="694">
        <f t="shared" si="62"/>
        <v>87033.086713957251</v>
      </c>
      <c r="AG62" s="694">
        <f t="shared" si="62"/>
        <v>87210.626754753146</v>
      </c>
      <c r="AH62" s="694">
        <f t="shared" si="62"/>
        <v>87388.460017360761</v>
      </c>
      <c r="AI62" s="694">
        <f t="shared" si="62"/>
        <v>87566.586986059745</v>
      </c>
      <c r="AJ62" s="694">
        <f t="shared" si="62"/>
        <v>87745.008145929634</v>
      </c>
      <c r="AK62" s="694">
        <f t="shared" si="62"/>
        <v>87923.723982850977</v>
      </c>
      <c r="AL62" s="694">
        <f t="shared" si="62"/>
        <v>88102.73498350702</v>
      </c>
      <c r="AM62" s="694">
        <f t="shared" si="62"/>
        <v>88282.041635384507</v>
      </c>
      <c r="AN62" s="694">
        <f t="shared" si="62"/>
        <v>88461.644426775616</v>
      </c>
      <c r="AO62" s="694">
        <f t="shared" si="62"/>
        <v>88641.543846778673</v>
      </c>
      <c r="AP62" s="694">
        <f t="shared" si="62"/>
        <v>88821.740385300072</v>
      </c>
      <c r="AQ62" s="694">
        <f t="shared" si="62"/>
        <v>89002.234533055191</v>
      </c>
      <c r="AR62" s="694">
        <f t="shared" si="62"/>
        <v>91703.606037454709</v>
      </c>
      <c r="AS62" s="694">
        <f t="shared" si="62"/>
        <v>91980.241408134083</v>
      </c>
      <c r="AT62" s="694">
        <f t="shared" si="62"/>
        <v>92257.559036266102</v>
      </c>
      <c r="AU62" s="694">
        <f t="shared" si="62"/>
        <v>92535.560604481725</v>
      </c>
      <c r="AV62" s="694">
        <f t="shared" si="62"/>
        <v>92814.247799561665</v>
      </c>
      <c r="AW62" s="694">
        <f t="shared" si="62"/>
        <v>93093.622312446765</v>
      </c>
      <c r="AX62" s="694">
        <f t="shared" si="62"/>
        <v>93373.685838248173</v>
      </c>
      <c r="AY62" s="694">
        <f t="shared" si="62"/>
        <v>93654.440076257568</v>
      </c>
      <c r="AZ62" s="694">
        <f t="shared" ref="AZ62:CE62" si="63">SUBTOTAL(9,AZ18:AZ60)</f>
        <v>93935.886729957609</v>
      </c>
      <c r="BA62" s="694">
        <f t="shared" si="63"/>
        <v>94218.027507032166</v>
      </c>
      <c r="BB62" s="694">
        <f t="shared" si="63"/>
        <v>94500.864119376783</v>
      </c>
      <c r="BC62" s="694">
        <f t="shared" si="63"/>
        <v>94784.398283108952</v>
      </c>
      <c r="BD62" s="694">
        <f t="shared" si="63"/>
        <v>95694.716818064364</v>
      </c>
      <c r="BE62" s="694">
        <f t="shared" si="63"/>
        <v>95981.19534461986</v>
      </c>
      <c r="BF62" s="694">
        <f t="shared" si="63"/>
        <v>96268.380404505791</v>
      </c>
      <c r="BG62" s="694">
        <f t="shared" si="63"/>
        <v>96556.273740223987</v>
      </c>
      <c r="BH62" s="694">
        <f t="shared" si="63"/>
        <v>96844.877098573779</v>
      </c>
      <c r="BI62" s="694">
        <f t="shared" si="63"/>
        <v>97134.19223066236</v>
      </c>
      <c r="BJ62" s="694">
        <f t="shared" si="63"/>
        <v>97424.220891915902</v>
      </c>
      <c r="BK62" s="694">
        <f t="shared" si="63"/>
        <v>97714.96484208983</v>
      </c>
      <c r="BL62" s="694">
        <f t="shared" si="63"/>
        <v>98006.425845279533</v>
      </c>
      <c r="BM62" s="694">
        <f t="shared" si="63"/>
        <v>98298.605669931247</v>
      </c>
      <c r="BN62" s="694">
        <f t="shared" si="63"/>
        <v>98591.506088852504</v>
      </c>
      <c r="BO62" s="694">
        <f t="shared" si="63"/>
        <v>98885.12887922331</v>
      </c>
      <c r="BP62" s="694">
        <f t="shared" si="63"/>
        <v>99824.343475076836</v>
      </c>
      <c r="BQ62" s="694">
        <f t="shared" si="63"/>
        <v>100121.0067750274</v>
      </c>
      <c r="BR62" s="694">
        <f t="shared" si="63"/>
        <v>100418.40172670723</v>
      </c>
      <c r="BS62" s="694">
        <f t="shared" si="63"/>
        <v>100716.53013456677</v>
      </c>
      <c r="BT62" s="694">
        <f t="shared" si="63"/>
        <v>101015.39380750692</v>
      </c>
      <c r="BU62" s="694">
        <f t="shared" si="63"/>
        <v>101314.99455888965</v>
      </c>
      <c r="BV62" s="694">
        <f t="shared" si="63"/>
        <v>101615.33420654933</v>
      </c>
      <c r="BW62" s="694">
        <f t="shared" si="63"/>
        <v>101916.41457280342</v>
      </c>
      <c r="BX62" s="694">
        <f t="shared" si="63"/>
        <v>102218.23748446381</v>
      </c>
      <c r="BY62" s="694">
        <f t="shared" si="63"/>
        <v>102520.80477284787</v>
      </c>
      <c r="BZ62" s="694">
        <f t="shared" si="63"/>
        <v>102824.11827378934</v>
      </c>
      <c r="CA62" s="694">
        <f t="shared" si="63"/>
        <v>103128.17982764966</v>
      </c>
      <c r="CB62" s="694">
        <f t="shared" si="63"/>
        <v>103432.99127932928</v>
      </c>
      <c r="CC62" s="694">
        <f t="shared" si="63"/>
        <v>103738.55447827833</v>
      </c>
      <c r="CD62" s="694">
        <f t="shared" si="63"/>
        <v>104044.87127850854</v>
      </c>
      <c r="CE62" s="694">
        <f t="shared" si="63"/>
        <v>104351.9435386039</v>
      </c>
      <c r="CF62" s="694">
        <f t="shared" ref="CF62:DK62" si="64">SUBTOTAL(9,CF18:CF60)</f>
        <v>104659.77312173223</v>
      </c>
      <c r="CG62" s="694">
        <f t="shared" si="64"/>
        <v>104968.36189565645</v>
      </c>
      <c r="CH62" s="694">
        <f t="shared" si="64"/>
        <v>105277.71173274587</v>
      </c>
      <c r="CI62" s="694">
        <f t="shared" si="64"/>
        <v>105587.82450998758</v>
      </c>
      <c r="CJ62" s="694">
        <f t="shared" si="64"/>
        <v>105898.70210899782</v>
      </c>
      <c r="CK62" s="694">
        <f t="shared" si="64"/>
        <v>106210.34641603337</v>
      </c>
      <c r="CL62" s="694">
        <f t="shared" si="64"/>
        <v>106522.75932200308</v>
      </c>
      <c r="CM62" s="694">
        <f t="shared" si="64"/>
        <v>106835.94272247929</v>
      </c>
      <c r="CN62" s="694">
        <f t="shared" si="64"/>
        <v>107149.89851770923</v>
      </c>
      <c r="CO62" s="694">
        <f t="shared" si="64"/>
        <v>107464.62861262681</v>
      </c>
      <c r="CP62" s="694">
        <f t="shared" si="64"/>
        <v>107780.13491686393</v>
      </c>
      <c r="CQ62" s="694">
        <f t="shared" si="64"/>
        <v>108096.41934476214</v>
      </c>
      <c r="CR62" s="694">
        <f t="shared" si="64"/>
        <v>108413.48381538433</v>
      </c>
      <c r="CS62" s="694">
        <f t="shared" si="64"/>
        <v>108731.33025252627</v>
      </c>
      <c r="CT62" s="694">
        <f t="shared" si="64"/>
        <v>109049.96058472837</v>
      </c>
      <c r="CU62" s="694">
        <f t="shared" si="64"/>
        <v>109369.37674528733</v>
      </c>
      <c r="CV62" s="694">
        <f t="shared" si="64"/>
        <v>109689.58067226791</v>
      </c>
      <c r="CW62" s="694">
        <f t="shared" si="64"/>
        <v>110010.57430851454</v>
      </c>
      <c r="CX62" s="694">
        <f t="shared" si="64"/>
        <v>110332.35960166334</v>
      </c>
      <c r="CY62" s="694">
        <f t="shared" si="64"/>
        <v>110654.93850415378</v>
      </c>
      <c r="CZ62" s="694">
        <f t="shared" si="64"/>
        <v>0</v>
      </c>
      <c r="DA62" s="694">
        <f t="shared" si="64"/>
        <v>0</v>
      </c>
      <c r="DB62" s="694">
        <f t="shared" si="64"/>
        <v>0</v>
      </c>
      <c r="DC62" s="694">
        <f t="shared" si="64"/>
        <v>0</v>
      </c>
      <c r="DD62" s="694">
        <f t="shared" si="64"/>
        <v>0</v>
      </c>
      <c r="DE62" s="694">
        <f t="shared" si="64"/>
        <v>0</v>
      </c>
      <c r="DF62" s="694">
        <f t="shared" si="64"/>
        <v>0</v>
      </c>
      <c r="DG62" s="694">
        <f t="shared" si="64"/>
        <v>0</v>
      </c>
      <c r="DH62" s="694">
        <f t="shared" si="64"/>
        <v>0</v>
      </c>
      <c r="DI62" s="694">
        <f t="shared" si="64"/>
        <v>0</v>
      </c>
      <c r="DJ62" s="694">
        <f t="shared" si="64"/>
        <v>0</v>
      </c>
      <c r="DK62" s="694">
        <f t="shared" si="64"/>
        <v>0</v>
      </c>
      <c r="DL62" s="694">
        <f t="shared" ref="DL62:EI62" si="65">SUBTOTAL(9,DL18:DL60)</f>
        <v>0</v>
      </c>
      <c r="DM62" s="694">
        <f t="shared" si="65"/>
        <v>0</v>
      </c>
      <c r="DN62" s="694">
        <f t="shared" si="65"/>
        <v>0</v>
      </c>
      <c r="DO62" s="694">
        <f t="shared" si="65"/>
        <v>0</v>
      </c>
      <c r="DP62" s="694">
        <f t="shared" si="65"/>
        <v>0</v>
      </c>
      <c r="DQ62" s="694">
        <f t="shared" si="65"/>
        <v>0</v>
      </c>
      <c r="DR62" s="694">
        <f t="shared" si="65"/>
        <v>0</v>
      </c>
      <c r="DS62" s="694">
        <f t="shared" si="65"/>
        <v>0</v>
      </c>
      <c r="DT62" s="694">
        <f t="shared" si="65"/>
        <v>0</v>
      </c>
      <c r="DU62" s="694">
        <f t="shared" si="65"/>
        <v>0</v>
      </c>
      <c r="DV62" s="694">
        <f t="shared" si="65"/>
        <v>0</v>
      </c>
      <c r="DW62" s="694">
        <f t="shared" si="65"/>
        <v>0</v>
      </c>
      <c r="DX62" s="694">
        <f t="shared" si="65"/>
        <v>0</v>
      </c>
      <c r="DY62" s="694">
        <f t="shared" si="65"/>
        <v>0</v>
      </c>
      <c r="DZ62" s="694">
        <f t="shared" si="65"/>
        <v>0</v>
      </c>
      <c r="EA62" s="694">
        <f t="shared" si="65"/>
        <v>0</v>
      </c>
      <c r="EB62" s="694">
        <f t="shared" si="65"/>
        <v>0</v>
      </c>
      <c r="EC62" s="694">
        <f t="shared" si="65"/>
        <v>0</v>
      </c>
      <c r="ED62" s="694">
        <f t="shared" si="65"/>
        <v>0</v>
      </c>
      <c r="EE62" s="694">
        <f t="shared" si="65"/>
        <v>0</v>
      </c>
      <c r="EF62" s="694">
        <f t="shared" si="65"/>
        <v>0</v>
      </c>
      <c r="EG62" s="694">
        <f t="shared" si="65"/>
        <v>0</v>
      </c>
      <c r="EH62" s="694">
        <f t="shared" si="65"/>
        <v>0</v>
      </c>
      <c r="EI62" s="694">
        <f t="shared" si="65"/>
        <v>0</v>
      </c>
    </row>
    <row r="63" spans="2:139" ht="14.25" customHeight="1">
      <c r="B63" s="198"/>
      <c r="C63" s="198"/>
      <c r="D63" s="169"/>
      <c r="E63" s="169"/>
      <c r="F63" s="169"/>
      <c r="G63" s="169"/>
      <c r="H63" s="169"/>
      <c r="I63" s="169"/>
      <c r="J63" s="169"/>
      <c r="K63" s="169"/>
      <c r="L63" s="169"/>
      <c r="M63" s="169"/>
      <c r="N63" s="169"/>
      <c r="O63" s="91"/>
      <c r="Q63" s="169"/>
      <c r="S63" s="169"/>
      <c r="T63" s="169"/>
      <c r="U63" s="169"/>
      <c r="V63" s="169"/>
      <c r="W63" s="169"/>
      <c r="X63" s="169"/>
      <c r="Y63" s="169"/>
      <c r="Z63" s="169"/>
      <c r="AA63" s="169"/>
      <c r="AB63" s="169"/>
      <c r="AC63" s="169"/>
      <c r="AD63" s="169"/>
      <c r="AE63" s="169"/>
      <c r="AF63" s="169"/>
      <c r="AG63" s="169"/>
      <c r="AH63" s="169"/>
      <c r="AI63" s="169"/>
      <c r="AJ63" s="169"/>
      <c r="AK63" s="169"/>
      <c r="AL63" s="169"/>
      <c r="AM63" s="169"/>
      <c r="AN63" s="169"/>
      <c r="AO63" s="169"/>
      <c r="AP63" s="169"/>
      <c r="AQ63" s="169"/>
      <c r="AR63" s="169"/>
      <c r="AS63" s="169"/>
      <c r="AT63" s="169"/>
      <c r="AU63" s="169"/>
      <c r="AV63" s="169"/>
      <c r="AW63" s="169"/>
      <c r="AX63" s="169"/>
      <c r="AY63" s="169"/>
      <c r="AZ63" s="169"/>
      <c r="BA63" s="169"/>
      <c r="BB63" s="169"/>
      <c r="BC63" s="169"/>
      <c r="BD63" s="169"/>
      <c r="BE63" s="169"/>
      <c r="BF63" s="169"/>
      <c r="BG63" s="169"/>
      <c r="BH63" s="169"/>
      <c r="BI63" s="169"/>
      <c r="BJ63" s="169"/>
      <c r="BK63" s="169"/>
      <c r="BL63" s="169"/>
      <c r="BM63" s="169"/>
      <c r="BN63" s="169"/>
      <c r="BO63" s="169"/>
      <c r="BP63" s="169"/>
      <c r="BQ63" s="169"/>
      <c r="BR63" s="169"/>
      <c r="BS63" s="169"/>
      <c r="BT63" s="169"/>
      <c r="BU63" s="169"/>
      <c r="BV63" s="169"/>
      <c r="BW63" s="169"/>
      <c r="BX63" s="169"/>
      <c r="BY63" s="169"/>
      <c r="BZ63" s="169"/>
      <c r="CA63" s="169"/>
      <c r="CB63" s="169"/>
      <c r="CC63" s="169"/>
      <c r="CD63" s="169"/>
      <c r="CE63" s="169"/>
      <c r="CF63" s="169"/>
      <c r="CG63" s="169"/>
      <c r="CH63" s="169"/>
      <c r="CI63" s="169"/>
      <c r="CJ63" s="169"/>
      <c r="CK63" s="169"/>
      <c r="CL63" s="169"/>
      <c r="CM63" s="169"/>
      <c r="CN63" s="169"/>
      <c r="CO63" s="169"/>
      <c r="CP63" s="169"/>
      <c r="CQ63" s="169"/>
      <c r="CR63" s="169"/>
      <c r="CS63" s="169"/>
      <c r="CT63" s="169"/>
      <c r="CU63" s="169"/>
      <c r="CV63" s="169"/>
      <c r="CW63" s="169"/>
      <c r="CX63" s="169"/>
      <c r="CY63" s="169"/>
      <c r="CZ63" s="169"/>
      <c r="DA63" s="169"/>
      <c r="DB63" s="169"/>
      <c r="DC63" s="169"/>
      <c r="DD63" s="169"/>
      <c r="DE63" s="169"/>
      <c r="DF63" s="169"/>
      <c r="DG63" s="169"/>
      <c r="DH63" s="169"/>
      <c r="DI63" s="169"/>
      <c r="DJ63" s="169"/>
      <c r="DK63" s="169"/>
      <c r="DL63" s="169"/>
      <c r="DM63" s="169"/>
      <c r="DN63" s="169"/>
      <c r="DO63" s="169"/>
      <c r="DP63" s="169"/>
      <c r="DQ63" s="169"/>
      <c r="DR63" s="169"/>
      <c r="DS63" s="169"/>
      <c r="DT63" s="169"/>
      <c r="DU63" s="169"/>
      <c r="DV63" s="169"/>
      <c r="DW63" s="169"/>
      <c r="DX63" s="169"/>
      <c r="DY63" s="169"/>
      <c r="DZ63" s="169"/>
      <c r="EA63" s="169"/>
      <c r="EB63" s="169"/>
      <c r="EC63" s="169"/>
      <c r="ED63" s="169"/>
      <c r="EE63" s="169"/>
      <c r="EF63" s="169"/>
      <c r="EG63" s="169"/>
      <c r="EH63" s="169"/>
      <c r="EI63" s="169"/>
    </row>
    <row r="64" spans="2:139" ht="12.75" customHeight="1"/>
    <row r="65" spans="2:140" ht="12.75" customHeight="1"/>
    <row r="66" spans="2:140" s="192" customFormat="1" ht="14.25" customHeight="1" collapsed="1">
      <c r="B66" s="1043" t="s">
        <v>145</v>
      </c>
      <c r="C66" s="196"/>
      <c r="D66" s="196"/>
      <c r="E66" s="196"/>
      <c r="F66" s="197"/>
      <c r="G66" s="197"/>
      <c r="H66" s="197"/>
      <c r="I66" s="197"/>
      <c r="J66" s="197"/>
      <c r="K66" s="197"/>
      <c r="L66" s="197"/>
      <c r="M66" s="197"/>
      <c r="N66" s="197"/>
      <c r="O66" s="197"/>
      <c r="P66"/>
      <c r="Q66"/>
      <c r="R66"/>
      <c r="S66" s="197"/>
      <c r="T66" s="197"/>
      <c r="U66" s="197"/>
      <c r="V66" s="197"/>
      <c r="W66" s="197"/>
      <c r="X66" s="197"/>
      <c r="Y66" s="197"/>
      <c r="Z66" s="197"/>
      <c r="AA66" s="197"/>
      <c r="AB66" s="197"/>
      <c r="AC66" s="197"/>
      <c r="AD66" s="197"/>
      <c r="AE66" s="197"/>
      <c r="AF66" s="197"/>
      <c r="AG66" s="197"/>
      <c r="AH66" s="197"/>
      <c r="AI66" s="197"/>
      <c r="AJ66" s="197"/>
      <c r="AK66" s="197"/>
      <c r="AL66" s="197"/>
      <c r="AM66" s="197"/>
      <c r="AN66" s="197"/>
      <c r="AO66" s="197"/>
      <c r="AP66" s="197"/>
      <c r="AQ66" s="197"/>
      <c r="AR66" s="197"/>
      <c r="AS66" s="197"/>
      <c r="AT66" s="197"/>
      <c r="AU66" s="197"/>
      <c r="AV66" s="197"/>
      <c r="AW66" s="197"/>
      <c r="AX66" s="197"/>
      <c r="AY66" s="197"/>
      <c r="AZ66" s="197"/>
      <c r="BA66" s="197"/>
      <c r="BB66" s="197"/>
      <c r="BC66" s="197"/>
      <c r="BD66" s="197"/>
      <c r="BE66" s="197"/>
      <c r="BF66" s="197"/>
      <c r="BG66" s="197"/>
      <c r="BH66" s="197"/>
      <c r="BI66" s="197"/>
      <c r="BJ66" s="197"/>
      <c r="BK66" s="197"/>
      <c r="BL66" s="197"/>
      <c r="BM66" s="197"/>
      <c r="BN66" s="197"/>
      <c r="BO66" s="197"/>
      <c r="BP66" s="197"/>
      <c r="BQ66" s="197"/>
      <c r="BR66" s="197"/>
      <c r="BS66" s="197"/>
      <c r="BT66" s="197"/>
      <c r="BU66" s="197"/>
      <c r="BV66" s="197"/>
      <c r="BW66" s="197"/>
      <c r="BX66" s="197"/>
      <c r="BY66" s="197"/>
      <c r="BZ66" s="197"/>
      <c r="CA66" s="197"/>
      <c r="CB66" s="197"/>
      <c r="CC66" s="197"/>
      <c r="CD66" s="197"/>
      <c r="CE66" s="197"/>
      <c r="CF66" s="197"/>
      <c r="CG66" s="197"/>
      <c r="CH66" s="197"/>
      <c r="CI66" s="197"/>
      <c r="CJ66" s="197"/>
      <c r="CK66" s="197"/>
      <c r="CL66" s="197"/>
      <c r="CM66" s="197"/>
      <c r="CN66" s="197"/>
      <c r="CO66" s="197"/>
      <c r="CP66" s="197"/>
      <c r="CQ66" s="197"/>
      <c r="CR66" s="197"/>
      <c r="CS66" s="197"/>
      <c r="CT66" s="197"/>
      <c r="CU66" s="197"/>
      <c r="CV66" s="197"/>
      <c r="CW66" s="197"/>
      <c r="CX66" s="197"/>
      <c r="CY66" s="197"/>
      <c r="CZ66" s="197"/>
      <c r="DA66" s="197"/>
      <c r="DB66" s="197"/>
      <c r="DC66" s="197"/>
      <c r="DD66" s="197"/>
      <c r="DE66" s="197"/>
      <c r="DF66" s="197"/>
      <c r="DG66" s="197"/>
      <c r="DH66" s="197"/>
      <c r="DI66" s="197"/>
      <c r="DJ66" s="197"/>
      <c r="DK66" s="197"/>
      <c r="DL66" s="197"/>
      <c r="DM66" s="197"/>
      <c r="DN66" s="197"/>
      <c r="DO66" s="197"/>
      <c r="DP66" s="197"/>
      <c r="DQ66" s="197"/>
      <c r="DR66" s="197"/>
      <c r="DS66" s="197"/>
      <c r="DT66" s="197"/>
      <c r="DU66" s="197"/>
      <c r="DV66" s="197"/>
      <c r="DW66" s="197"/>
      <c r="DX66" s="197"/>
      <c r="DY66" s="197"/>
      <c r="DZ66" s="197"/>
      <c r="EA66" s="197"/>
      <c r="EB66" s="197"/>
      <c r="EC66" s="197"/>
      <c r="ED66" s="197"/>
      <c r="EE66" s="197"/>
      <c r="EF66" s="197"/>
      <c r="EG66" s="197"/>
      <c r="EH66" s="197"/>
      <c r="EI66" s="197"/>
      <c r="EJ66"/>
    </row>
    <row r="67" spans="2:140">
      <c r="B67" s="32" t="s">
        <v>146</v>
      </c>
      <c r="C67" s="32"/>
      <c r="D67" s="27"/>
      <c r="E67" s="78">
        <f>-SUMPRODUCT(Input!$D$78:$D$80,Input!G78:G80)*(E$5&lt;=MAX(YrOfExit,1))</f>
        <v>0</v>
      </c>
      <c r="F67" s="206">
        <f>-SUMPRODUCT(FVSCHEDULE(Input!$D$78:$D$80*Input!H78:H80,InflRate*(CFYears&lt;=E$5)*(RenovCostsInfl=Grown)))*(F$5&lt;=MAX(YrOfExit,1))</f>
        <v>0</v>
      </c>
      <c r="G67" s="78">
        <f>-SUMPRODUCT(FVSCHEDULE(Input!$D$78:$D$80*Input!I78:I80,InflRate*(CFYears&lt;=F$5)*(RenovCostsInfl=Grown)))*(G$5&lt;=MAX(YrOfExit,1))</f>
        <v>0</v>
      </c>
      <c r="H67" s="78">
        <f>-SUMPRODUCT(FVSCHEDULE(Input!$D$78:$D$80*Input!J78:J80,InflRate*(CFYears&lt;=G$5)*(RenovCostsInfl=Grown)))*(H$5&lt;=MAX(YrOfExit,1))</f>
        <v>0</v>
      </c>
      <c r="I67" s="78">
        <f>-SUMPRODUCT(FVSCHEDULE(Input!$D$78:$D$80*Input!K78:K80,InflRate*(CFYears&lt;=H$5)*(RenovCostsInfl=Grown)))*(I$5&lt;=MAX(YrOfExit,1))</f>
        <v>0</v>
      </c>
      <c r="J67" s="78">
        <f>-SUMPRODUCT(FVSCHEDULE(Input!$D$78:$D$80*Input!L78:L80,InflRate*(CFYears&lt;=I$5)*(RenovCostsInfl=Grown)))*(J$5&lt;=MAX(YrOfExit,1))</f>
        <v>0</v>
      </c>
      <c r="K67" s="78">
        <f>-SUMPRODUCT(FVSCHEDULE(Input!$D$78:$D$80*Input!M78:M80,InflRate*(CFYears&lt;=J$5)*(RenovCostsInfl=Grown)))*(K$5&lt;=MAX(YrOfExit,1))</f>
        <v>0</v>
      </c>
      <c r="L67" s="78">
        <f>-SUMPRODUCT(FVSCHEDULE(Input!$D$78:$D$80*Input!N78:N80,InflRate*(CFYears&lt;=K$5)*(RenovCostsInfl=Grown)))*(L$5&lt;=MAX(YrOfExit,1))</f>
        <v>0</v>
      </c>
      <c r="M67" s="78">
        <f>-SUMPRODUCT(FVSCHEDULE(Input!$D$78:$D$80*Input!O78:O80,InflRate*(CFYears&lt;=L$5)*(RenovCostsInfl=Grown)))*(M$5&lt;=MAX(YrOfExit,1))</f>
        <v>0</v>
      </c>
      <c r="N67" s="78">
        <f>-SUMPRODUCT(FVSCHEDULE(Input!$D$78:$D$80*Input!P78:P80,InflRate*(CFYears&lt;=M$5)*(RenovCostsInfl=Grown)))*(N$5&lt;=MAX(YrOfExit,1))</f>
        <v>0</v>
      </c>
      <c r="O67" s="145">
        <f>SUM(D67:N67)</f>
        <v>0</v>
      </c>
      <c r="S67" s="27"/>
      <c r="T67" s="78">
        <f>-SUMPRODUCT(RenovationCost,'Operating Calculations'!R25:R26)*(T$6&lt;=MAX(YrOfExit,1))</f>
        <v>0</v>
      </c>
      <c r="U67" s="78">
        <f>-SUMPRODUCT(RenovationCost,'Operating Calculations'!S25:S26)*(U$6&lt;=MAX(YrOfExit,1))</f>
        <v>0</v>
      </c>
      <c r="V67" s="78">
        <f>-SUMPRODUCT(RenovationCost,'Operating Calculations'!T25:T26)*(V$6&lt;=MAX(YrOfExit,1))</f>
        <v>0</v>
      </c>
      <c r="W67" s="78">
        <f>-SUMPRODUCT(RenovationCost,'Operating Calculations'!U25:U26)*(W$6&lt;=MAX(YrOfExit,1))</f>
        <v>0</v>
      </c>
      <c r="X67" s="78">
        <f>-SUMPRODUCT(RenovationCost,'Operating Calculations'!V25:V26)*(X$6&lt;=MAX(YrOfExit,1))</f>
        <v>0</v>
      </c>
      <c r="Y67" s="78">
        <f>-SUMPRODUCT(RenovationCost,'Operating Calculations'!W25:W26)*(Y$6&lt;=MAX(YrOfExit,1))</f>
        <v>0</v>
      </c>
      <c r="Z67" s="78">
        <f>-SUMPRODUCT(RenovationCost,'Operating Calculations'!X25:X26)*(Z$6&lt;=MAX(YrOfExit,1))</f>
        <v>0</v>
      </c>
      <c r="AA67" s="78">
        <f>-SUMPRODUCT(RenovationCost,'Operating Calculations'!Y25:Y26)*(AA$6&lt;=MAX(YrOfExit,1))</f>
        <v>0</v>
      </c>
      <c r="AB67" s="78">
        <f>-SUMPRODUCT(RenovationCost,'Operating Calculations'!Z25:Z26)*(AB$6&lt;=MAX(YrOfExit,1))</f>
        <v>0</v>
      </c>
      <c r="AC67" s="78">
        <f>-SUMPRODUCT(RenovationCost,'Operating Calculations'!AA25:AA26)*(AC$6&lt;=MAX(YrOfExit,1))</f>
        <v>0</v>
      </c>
      <c r="AD67" s="78">
        <f>-SUMPRODUCT(RenovationCost,'Operating Calculations'!AB25:AB26)*(AD$6&lt;=MAX(YrOfExit,1))</f>
        <v>0</v>
      </c>
      <c r="AE67" s="78">
        <f>-SUMPRODUCT(RenovationCost,'Operating Calculations'!AC25:AC26)*(AE$6&lt;=MAX(YrOfExit,1))</f>
        <v>0</v>
      </c>
      <c r="AF67" s="206">
        <f>-SUMPRODUCT(FVSCHEDULE(RenovationCost*'Operating Calculations'!AD25:AD26,InflRate*(CFYears&lt;=AF$6-1)*(RenovCostsInfl=Grown)))*(AF$6&lt;=MAX(YrOfExit,1))</f>
        <v>0</v>
      </c>
      <c r="AG67" s="78">
        <f>-SUMPRODUCT(FVSCHEDULE(RenovationCost*'Operating Calculations'!AE25:AE26,InflRate*(CFYears&lt;=AG$6-1)*(RenovCostsInfl=Grown)))*(AG$6&lt;=MAX(YrOfExit,1))</f>
        <v>0</v>
      </c>
      <c r="AH67" s="78">
        <f>-SUMPRODUCT(FVSCHEDULE(RenovationCost*'Operating Calculations'!AF25:AF26,InflRate*(CFYears&lt;=AH$6-1)*(RenovCostsInfl=Grown)))*(AH$6&lt;=MAX(YrOfExit,1))</f>
        <v>0</v>
      </c>
      <c r="AI67" s="78">
        <f>-SUMPRODUCT(FVSCHEDULE(RenovationCost*'Operating Calculations'!AG25:AG26,InflRate*(CFYears&lt;=AI$6-1)*(RenovCostsInfl=Grown)))*(AI$6&lt;=MAX(YrOfExit,1))</f>
        <v>0</v>
      </c>
      <c r="AJ67" s="78">
        <f>-SUMPRODUCT(FVSCHEDULE(RenovationCost*'Operating Calculations'!AH25:AH26,InflRate*(CFYears&lt;=AJ$6-1)*(RenovCostsInfl=Grown)))*(AJ$6&lt;=MAX(YrOfExit,1))</f>
        <v>0</v>
      </c>
      <c r="AK67" s="78">
        <f>-SUMPRODUCT(FVSCHEDULE(RenovationCost*'Operating Calculations'!AI25:AI26,InflRate*(CFYears&lt;=AK$6-1)*(RenovCostsInfl=Grown)))*(AK$6&lt;=MAX(YrOfExit,1))</f>
        <v>0</v>
      </c>
      <c r="AL67" s="78">
        <f>-SUMPRODUCT(FVSCHEDULE(RenovationCost*'Operating Calculations'!AJ25:AJ26,InflRate*(CFYears&lt;=AL$6-1)*(RenovCostsInfl=Grown)))*(AL$6&lt;=MAX(YrOfExit,1))</f>
        <v>0</v>
      </c>
      <c r="AM67" s="78">
        <f>-SUMPRODUCT(FVSCHEDULE(RenovationCost*'Operating Calculations'!AK25:AK26,InflRate*(CFYears&lt;=AM$6-1)*(RenovCostsInfl=Grown)))*(AM$6&lt;=MAX(YrOfExit,1))</f>
        <v>0</v>
      </c>
      <c r="AN67" s="78">
        <f>-SUMPRODUCT(FVSCHEDULE(RenovationCost*'Operating Calculations'!AL25:AL26,InflRate*(CFYears&lt;=AN$6-1)*(RenovCostsInfl=Grown)))*(AN$6&lt;=MAX(YrOfExit,1))</f>
        <v>0</v>
      </c>
      <c r="AO67" s="78">
        <f>-SUMPRODUCT(FVSCHEDULE(RenovationCost*'Operating Calculations'!AM25:AM26,InflRate*(CFYears&lt;=AO$6-1)*(RenovCostsInfl=Grown)))*(AO$6&lt;=MAX(YrOfExit,1))</f>
        <v>0</v>
      </c>
      <c r="AP67" s="78">
        <f>-SUMPRODUCT(FVSCHEDULE(RenovationCost*'Operating Calculations'!AN25:AN26,InflRate*(CFYears&lt;=AP$6-1)*(RenovCostsInfl=Grown)))*(AP$6&lt;=MAX(YrOfExit,1))</f>
        <v>0</v>
      </c>
      <c r="AQ67" s="78">
        <f>-SUMPRODUCT(FVSCHEDULE(RenovationCost*'Operating Calculations'!AO25:AO26,InflRate*(CFYears&lt;=AQ$6-1)*(RenovCostsInfl=Grown)))*(AQ$6&lt;=MAX(YrOfExit,1))</f>
        <v>0</v>
      </c>
      <c r="AR67" s="78">
        <f>-SUMPRODUCT(FVSCHEDULE(RenovationCost*'Operating Calculations'!AP25:AP26,InflRate*(CFYears&lt;=AR$6-1)*(RenovCostsInfl=Grown)))*(AR$6&lt;=MAX(YrOfExit,1))</f>
        <v>0</v>
      </c>
      <c r="AS67" s="78">
        <f>-SUMPRODUCT(FVSCHEDULE(RenovationCost*'Operating Calculations'!AQ25:AQ26,InflRate*(CFYears&lt;=AS$6-1)*(RenovCostsInfl=Grown)))*(AS$6&lt;=MAX(YrOfExit,1))</f>
        <v>0</v>
      </c>
      <c r="AT67" s="78">
        <f>-SUMPRODUCT(FVSCHEDULE(RenovationCost*'Operating Calculations'!AR25:AR26,InflRate*(CFYears&lt;=AT$6-1)*(RenovCostsInfl=Grown)))*(AT$6&lt;=MAX(YrOfExit,1))</f>
        <v>0</v>
      </c>
      <c r="AU67" s="78">
        <f>-SUMPRODUCT(FVSCHEDULE(RenovationCost*'Operating Calculations'!AS25:AS26,InflRate*(CFYears&lt;=AU$6-1)*(RenovCostsInfl=Grown)))*(AU$6&lt;=MAX(YrOfExit,1))</f>
        <v>0</v>
      </c>
      <c r="AV67" s="78">
        <f>-SUMPRODUCT(FVSCHEDULE(RenovationCost*'Operating Calculations'!AT25:AT26,InflRate*(CFYears&lt;=AV$6-1)*(RenovCostsInfl=Grown)))*(AV$6&lt;=MAX(YrOfExit,1))</f>
        <v>0</v>
      </c>
      <c r="AW67" s="78">
        <f>-SUMPRODUCT(FVSCHEDULE(RenovationCost*'Operating Calculations'!AU25:AU26,InflRate*(CFYears&lt;=AW$6-1)*(RenovCostsInfl=Grown)))*(AW$6&lt;=MAX(YrOfExit,1))</f>
        <v>0</v>
      </c>
      <c r="AX67" s="78">
        <f>-SUMPRODUCT(FVSCHEDULE(RenovationCost*'Operating Calculations'!AV25:AV26,InflRate*(CFYears&lt;=AX$6-1)*(RenovCostsInfl=Grown)))*(AX$6&lt;=MAX(YrOfExit,1))</f>
        <v>0</v>
      </c>
      <c r="AY67" s="78">
        <f>-SUMPRODUCT(FVSCHEDULE(RenovationCost*'Operating Calculations'!AW25:AW26,InflRate*(CFYears&lt;=AY$6-1)*(RenovCostsInfl=Grown)))*(AY$6&lt;=MAX(YrOfExit,1))</f>
        <v>0</v>
      </c>
      <c r="AZ67" s="78">
        <f>-SUMPRODUCT(FVSCHEDULE(RenovationCost*'Operating Calculations'!AX25:AX26,InflRate*(CFYears&lt;=AZ$6-1)*(RenovCostsInfl=Grown)))*(AZ$6&lt;=MAX(YrOfExit,1))</f>
        <v>0</v>
      </c>
      <c r="BA67" s="78">
        <f>-SUMPRODUCT(FVSCHEDULE(RenovationCost*'Operating Calculations'!AY25:AY26,InflRate*(CFYears&lt;=BA$6-1)*(RenovCostsInfl=Grown)))*(BA$6&lt;=MAX(YrOfExit,1))</f>
        <v>0</v>
      </c>
      <c r="BB67" s="78">
        <f>-SUMPRODUCT(FVSCHEDULE(RenovationCost*'Operating Calculations'!AZ25:AZ26,InflRate*(CFYears&lt;=BB$6-1)*(RenovCostsInfl=Grown)))*(BB$6&lt;=MAX(YrOfExit,1))</f>
        <v>0</v>
      </c>
      <c r="BC67" s="78">
        <f>-SUMPRODUCT(FVSCHEDULE(RenovationCost*'Operating Calculations'!BA25:BA26,InflRate*(CFYears&lt;=BC$6-1)*(RenovCostsInfl=Grown)))*(BC$6&lt;=MAX(YrOfExit,1))</f>
        <v>0</v>
      </c>
      <c r="BD67" s="78">
        <f>-SUMPRODUCT(FVSCHEDULE(RenovationCost*'Operating Calculations'!BB25:BB26,InflRate*(CFYears&lt;=BD$6-1)*(RenovCostsInfl=Grown)))*(BD$6&lt;=MAX(YrOfExit,1))</f>
        <v>0</v>
      </c>
      <c r="BE67" s="78">
        <f>-SUMPRODUCT(FVSCHEDULE(RenovationCost*'Operating Calculations'!BC25:BC26,InflRate*(CFYears&lt;=BE$6-1)*(RenovCostsInfl=Grown)))*(BE$6&lt;=MAX(YrOfExit,1))</f>
        <v>0</v>
      </c>
      <c r="BF67" s="78">
        <f>-SUMPRODUCT(FVSCHEDULE(RenovationCost*'Operating Calculations'!BD25:BD26,InflRate*(CFYears&lt;=BF$6-1)*(RenovCostsInfl=Grown)))*(BF$6&lt;=MAX(YrOfExit,1))</f>
        <v>0</v>
      </c>
      <c r="BG67" s="78">
        <f>-SUMPRODUCT(FVSCHEDULE(RenovationCost*'Operating Calculations'!BE25:BE26,InflRate*(CFYears&lt;=BG$6-1)*(RenovCostsInfl=Grown)))*(BG$6&lt;=MAX(YrOfExit,1))</f>
        <v>0</v>
      </c>
      <c r="BH67" s="78">
        <f>-SUMPRODUCT(FVSCHEDULE(RenovationCost*'Operating Calculations'!BF25:BF26,InflRate*(CFYears&lt;=BH$6-1)*(RenovCostsInfl=Grown)))*(BH$6&lt;=MAX(YrOfExit,1))</f>
        <v>0</v>
      </c>
      <c r="BI67" s="78">
        <f>-SUMPRODUCT(FVSCHEDULE(RenovationCost*'Operating Calculations'!BG25:BG26,InflRate*(CFYears&lt;=BI$6-1)*(RenovCostsInfl=Grown)))*(BI$6&lt;=MAX(YrOfExit,1))</f>
        <v>0</v>
      </c>
      <c r="BJ67" s="78">
        <f>-SUMPRODUCT(FVSCHEDULE(RenovationCost*'Operating Calculations'!BH25:BH26,InflRate*(CFYears&lt;=BJ$6-1)*(RenovCostsInfl=Grown)))*(BJ$6&lt;=MAX(YrOfExit,1))</f>
        <v>0</v>
      </c>
      <c r="BK67" s="78">
        <f>-SUMPRODUCT(FVSCHEDULE(RenovationCost*'Operating Calculations'!BI25:BI26,InflRate*(CFYears&lt;=BK$6-1)*(RenovCostsInfl=Grown)))*(BK$6&lt;=MAX(YrOfExit,1))</f>
        <v>0</v>
      </c>
      <c r="BL67" s="78">
        <f>-SUMPRODUCT(FVSCHEDULE(RenovationCost*'Operating Calculations'!BJ25:BJ26,InflRate*(CFYears&lt;=BL$6-1)*(RenovCostsInfl=Grown)))*(BL$6&lt;=MAX(YrOfExit,1))</f>
        <v>0</v>
      </c>
      <c r="BM67" s="78">
        <f>-SUMPRODUCT(FVSCHEDULE(RenovationCost*'Operating Calculations'!BK25:BK26,InflRate*(CFYears&lt;=BM$6-1)*(RenovCostsInfl=Grown)))*(BM$6&lt;=MAX(YrOfExit,1))</f>
        <v>0</v>
      </c>
      <c r="BN67" s="78">
        <f>-SUMPRODUCT(FVSCHEDULE(RenovationCost*'Operating Calculations'!BL25:BL26,InflRate*(CFYears&lt;=BN$6-1)*(RenovCostsInfl=Grown)))*(BN$6&lt;=MAX(YrOfExit,1))</f>
        <v>0</v>
      </c>
      <c r="BO67" s="78">
        <f>-SUMPRODUCT(FVSCHEDULE(RenovationCost*'Operating Calculations'!BM25:BM26,InflRate*(CFYears&lt;=BO$6-1)*(RenovCostsInfl=Grown)))*(BO$6&lt;=MAX(YrOfExit,1))</f>
        <v>0</v>
      </c>
      <c r="BP67" s="78">
        <f>-SUMPRODUCT(FVSCHEDULE(RenovationCost*'Operating Calculations'!BN25:BN26,InflRate*(CFYears&lt;=BP$6-1)*(RenovCostsInfl=Grown)))*(BP$6&lt;=MAX(YrOfExit,1))</f>
        <v>0</v>
      </c>
      <c r="BQ67" s="78">
        <f>-SUMPRODUCT(FVSCHEDULE(RenovationCost*'Operating Calculations'!BO25:BO26,InflRate*(CFYears&lt;=BQ$6-1)*(RenovCostsInfl=Grown)))*(BQ$6&lt;=MAX(YrOfExit,1))</f>
        <v>0</v>
      </c>
      <c r="BR67" s="78">
        <f>-SUMPRODUCT(FVSCHEDULE(RenovationCost*'Operating Calculations'!BP25:BP26,InflRate*(CFYears&lt;=BR$6-1)*(RenovCostsInfl=Grown)))*(BR$6&lt;=MAX(YrOfExit,1))</f>
        <v>0</v>
      </c>
      <c r="BS67" s="78">
        <f>-SUMPRODUCT(FVSCHEDULE(RenovationCost*'Operating Calculations'!BQ25:BQ26,InflRate*(CFYears&lt;=BS$6-1)*(RenovCostsInfl=Grown)))*(BS$6&lt;=MAX(YrOfExit,1))</f>
        <v>0</v>
      </c>
      <c r="BT67" s="78">
        <f>-SUMPRODUCT(FVSCHEDULE(RenovationCost*'Operating Calculations'!BR25:BR26,InflRate*(CFYears&lt;=BT$6-1)*(RenovCostsInfl=Grown)))*(BT$6&lt;=MAX(YrOfExit,1))</f>
        <v>0</v>
      </c>
      <c r="BU67" s="78">
        <f>-SUMPRODUCT(FVSCHEDULE(RenovationCost*'Operating Calculations'!BS25:BS26,InflRate*(CFYears&lt;=BU$6-1)*(RenovCostsInfl=Grown)))*(BU$6&lt;=MAX(YrOfExit,1))</f>
        <v>0</v>
      </c>
      <c r="BV67" s="78">
        <f>-SUMPRODUCT(FVSCHEDULE(RenovationCost*'Operating Calculations'!BT25:BT26,InflRate*(CFYears&lt;=BV$6-1)*(RenovCostsInfl=Grown)))*(BV$6&lt;=MAX(YrOfExit,1))</f>
        <v>0</v>
      </c>
      <c r="BW67" s="78">
        <f>-SUMPRODUCT(FVSCHEDULE(RenovationCost*'Operating Calculations'!BU25:BU26,InflRate*(CFYears&lt;=BW$6-1)*(RenovCostsInfl=Grown)))*(BW$6&lt;=MAX(YrOfExit,1))</f>
        <v>0</v>
      </c>
      <c r="BX67" s="78">
        <f>-SUMPRODUCT(FVSCHEDULE(RenovationCost*'Operating Calculations'!BV25:BV26,InflRate*(CFYears&lt;=BX$6-1)*(RenovCostsInfl=Grown)))*(BX$6&lt;=MAX(YrOfExit,1))</f>
        <v>0</v>
      </c>
      <c r="BY67" s="78">
        <f>-SUMPRODUCT(FVSCHEDULE(RenovationCost*'Operating Calculations'!BW25:BW26,InflRate*(CFYears&lt;=BY$6-1)*(RenovCostsInfl=Grown)))*(BY$6&lt;=MAX(YrOfExit,1))</f>
        <v>0</v>
      </c>
      <c r="BZ67" s="78">
        <f>-SUMPRODUCT(FVSCHEDULE(RenovationCost*'Operating Calculations'!BX25:BX26,InflRate*(CFYears&lt;=BZ$6-1)*(RenovCostsInfl=Grown)))*(BZ$6&lt;=MAX(YrOfExit,1))</f>
        <v>0</v>
      </c>
      <c r="CA67" s="78">
        <f>-SUMPRODUCT(FVSCHEDULE(RenovationCost*'Operating Calculations'!BY25:BY26,InflRate*(CFYears&lt;=CA$6-1)*(RenovCostsInfl=Grown)))*(CA$6&lt;=MAX(YrOfExit,1))</f>
        <v>0</v>
      </c>
      <c r="CB67" s="78">
        <f>-SUMPRODUCT(FVSCHEDULE(RenovationCost*'Operating Calculations'!BZ25:BZ26,InflRate*(CFYears&lt;=CB$6-1)*(RenovCostsInfl=Grown)))*(CB$6&lt;=MAX(YrOfExit,1))</f>
        <v>0</v>
      </c>
      <c r="CC67" s="78">
        <f>-SUMPRODUCT(FVSCHEDULE(RenovationCost*'Operating Calculations'!CA25:CA26,InflRate*(CFYears&lt;=CC$6-1)*(RenovCostsInfl=Grown)))*(CC$6&lt;=MAX(YrOfExit,1))</f>
        <v>0</v>
      </c>
      <c r="CD67" s="78">
        <f>-SUMPRODUCT(FVSCHEDULE(RenovationCost*'Operating Calculations'!CB25:CB26,InflRate*(CFYears&lt;=CD$6-1)*(RenovCostsInfl=Grown)))*(CD$6&lt;=MAX(YrOfExit,1))</f>
        <v>0</v>
      </c>
      <c r="CE67" s="78">
        <f>-SUMPRODUCT(FVSCHEDULE(RenovationCost*'Operating Calculations'!CC25:CC26,InflRate*(CFYears&lt;=CE$6-1)*(RenovCostsInfl=Grown)))*(CE$6&lt;=MAX(YrOfExit,1))</f>
        <v>0</v>
      </c>
      <c r="CF67" s="78">
        <f>-SUMPRODUCT(FVSCHEDULE(RenovationCost*'Operating Calculations'!CD25:CD26,InflRate*(CFYears&lt;=CF$6-1)*(RenovCostsInfl=Grown)))*(CF$6&lt;=MAX(YrOfExit,1))</f>
        <v>0</v>
      </c>
      <c r="CG67" s="78">
        <f>-SUMPRODUCT(FVSCHEDULE(RenovationCost*'Operating Calculations'!CE25:CE26,InflRate*(CFYears&lt;=CG$6-1)*(RenovCostsInfl=Grown)))*(CG$6&lt;=MAX(YrOfExit,1))</f>
        <v>0</v>
      </c>
      <c r="CH67" s="78">
        <f>-SUMPRODUCT(FVSCHEDULE(RenovationCost*'Operating Calculations'!CF25:CF26,InflRate*(CFYears&lt;=CH$6-1)*(RenovCostsInfl=Grown)))*(CH$6&lt;=MAX(YrOfExit,1))</f>
        <v>0</v>
      </c>
      <c r="CI67" s="78">
        <f>-SUMPRODUCT(FVSCHEDULE(RenovationCost*'Operating Calculations'!CG25:CG26,InflRate*(CFYears&lt;=CI$6-1)*(RenovCostsInfl=Grown)))*(CI$6&lt;=MAX(YrOfExit,1))</f>
        <v>0</v>
      </c>
      <c r="CJ67" s="78">
        <f>-SUMPRODUCT(FVSCHEDULE(RenovationCost*'Operating Calculations'!CH25:CH26,InflRate*(CFYears&lt;=CJ$6-1)*(RenovCostsInfl=Grown)))*(CJ$6&lt;=MAX(YrOfExit,1))</f>
        <v>0</v>
      </c>
      <c r="CK67" s="78">
        <f>-SUMPRODUCT(FVSCHEDULE(RenovationCost*'Operating Calculations'!CI25:CI26,InflRate*(CFYears&lt;=CK$6-1)*(RenovCostsInfl=Grown)))*(CK$6&lt;=MAX(YrOfExit,1))</f>
        <v>0</v>
      </c>
      <c r="CL67" s="78">
        <f>-SUMPRODUCT(FVSCHEDULE(RenovationCost*'Operating Calculations'!CJ25:CJ26,InflRate*(CFYears&lt;=CL$6-1)*(RenovCostsInfl=Grown)))*(CL$6&lt;=MAX(YrOfExit,1))</f>
        <v>0</v>
      </c>
      <c r="CM67" s="78">
        <f>-SUMPRODUCT(FVSCHEDULE(RenovationCost*'Operating Calculations'!CK25:CK26,InflRate*(CFYears&lt;=CM$6-1)*(RenovCostsInfl=Grown)))*(CM$6&lt;=MAX(YrOfExit,1))</f>
        <v>0</v>
      </c>
      <c r="CN67" s="78">
        <f>-SUMPRODUCT(FVSCHEDULE(RenovationCost*'Operating Calculations'!CL25:CL26,InflRate*(CFYears&lt;=CN$6-1)*(RenovCostsInfl=Grown)))*(CN$6&lt;=MAX(YrOfExit,1))</f>
        <v>0</v>
      </c>
      <c r="CO67" s="78">
        <f>-SUMPRODUCT(FVSCHEDULE(RenovationCost*'Operating Calculations'!CM25:CM26,InflRate*(CFYears&lt;=CO$6-1)*(RenovCostsInfl=Grown)))*(CO$6&lt;=MAX(YrOfExit,1))</f>
        <v>0</v>
      </c>
      <c r="CP67" s="78">
        <f>-SUMPRODUCT(FVSCHEDULE(RenovationCost*'Operating Calculations'!CN25:CN26,InflRate*(CFYears&lt;=CP$6-1)*(RenovCostsInfl=Grown)))*(CP$6&lt;=MAX(YrOfExit,1))</f>
        <v>0</v>
      </c>
      <c r="CQ67" s="78">
        <f>-SUMPRODUCT(FVSCHEDULE(RenovationCost*'Operating Calculations'!CO25:CO26,InflRate*(CFYears&lt;=CQ$6-1)*(RenovCostsInfl=Grown)))*(CQ$6&lt;=MAX(YrOfExit,1))</f>
        <v>0</v>
      </c>
      <c r="CR67" s="78">
        <f>-SUMPRODUCT(FVSCHEDULE(RenovationCost*'Operating Calculations'!CP25:CP26,InflRate*(CFYears&lt;=CR$6-1)*(RenovCostsInfl=Grown)))*(CR$6&lt;=MAX(YrOfExit,1))</f>
        <v>0</v>
      </c>
      <c r="CS67" s="78">
        <f>-SUMPRODUCT(FVSCHEDULE(RenovationCost*'Operating Calculations'!CQ25:CQ26,InflRate*(CFYears&lt;=CS$6-1)*(RenovCostsInfl=Grown)))*(CS$6&lt;=MAX(YrOfExit,1))</f>
        <v>0</v>
      </c>
      <c r="CT67" s="78">
        <f>-SUMPRODUCT(FVSCHEDULE(RenovationCost*'Operating Calculations'!CR25:CR26,InflRate*(CFYears&lt;=CT$6-1)*(RenovCostsInfl=Grown)))*(CT$6&lt;=MAX(YrOfExit,1))</f>
        <v>0</v>
      </c>
      <c r="CU67" s="78">
        <f>-SUMPRODUCT(FVSCHEDULE(RenovationCost*'Operating Calculations'!CS25:CS26,InflRate*(CFYears&lt;=CU$6-1)*(RenovCostsInfl=Grown)))*(CU$6&lt;=MAX(YrOfExit,1))</f>
        <v>0</v>
      </c>
      <c r="CV67" s="78">
        <f>-SUMPRODUCT(FVSCHEDULE(RenovationCost*'Operating Calculations'!CT25:CT26,InflRate*(CFYears&lt;=CV$6-1)*(RenovCostsInfl=Grown)))*(CV$6&lt;=MAX(YrOfExit,1))</f>
        <v>0</v>
      </c>
      <c r="CW67" s="78">
        <f>-SUMPRODUCT(FVSCHEDULE(RenovationCost*'Operating Calculations'!CU25:CU26,InflRate*(CFYears&lt;=CW$6-1)*(RenovCostsInfl=Grown)))*(CW$6&lt;=MAX(YrOfExit,1))</f>
        <v>0</v>
      </c>
      <c r="CX67" s="78">
        <f>-SUMPRODUCT(FVSCHEDULE(RenovationCost*'Operating Calculations'!CV25:CV26,InflRate*(CFYears&lt;=CX$6-1)*(RenovCostsInfl=Grown)))*(CX$6&lt;=MAX(YrOfExit,1))</f>
        <v>0</v>
      </c>
      <c r="CY67" s="78">
        <f>-SUMPRODUCT(FVSCHEDULE(RenovationCost*'Operating Calculations'!CW25:CW26,InflRate*(CFYears&lt;=CY$6-1)*(RenovCostsInfl=Grown)))*(CY$6&lt;=MAX(YrOfExit,1))</f>
        <v>0</v>
      </c>
      <c r="CZ67" s="78">
        <f>-SUMPRODUCT(FVSCHEDULE(RenovationCost*'Operating Calculations'!CX25:CX26,InflRate*(CFYears&lt;=CZ$6-1)*(RenovCostsInfl=Grown)))*(CZ$6&lt;=MAX(YrOfExit,1))</f>
        <v>0</v>
      </c>
      <c r="DA67" s="78">
        <f>-SUMPRODUCT(FVSCHEDULE(RenovationCost*'Operating Calculations'!CY25:CY26,InflRate*(CFYears&lt;=DA$6-1)*(RenovCostsInfl=Grown)))*(DA$6&lt;=MAX(YrOfExit,1))</f>
        <v>0</v>
      </c>
      <c r="DB67" s="78">
        <f>-SUMPRODUCT(FVSCHEDULE(RenovationCost*'Operating Calculations'!CZ25:CZ26,InflRate*(CFYears&lt;=DB$6-1)*(RenovCostsInfl=Grown)))*(DB$6&lt;=MAX(YrOfExit,1))</f>
        <v>0</v>
      </c>
      <c r="DC67" s="78">
        <f>-SUMPRODUCT(FVSCHEDULE(RenovationCost*'Operating Calculations'!DA25:DA26,InflRate*(CFYears&lt;=DC$6-1)*(RenovCostsInfl=Grown)))*(DC$6&lt;=MAX(YrOfExit,1))</f>
        <v>0</v>
      </c>
      <c r="DD67" s="78">
        <f>-SUMPRODUCT(FVSCHEDULE(RenovationCost*'Operating Calculations'!DB25:DB26,InflRate*(CFYears&lt;=DD$6-1)*(RenovCostsInfl=Grown)))*(DD$6&lt;=MAX(YrOfExit,1))</f>
        <v>0</v>
      </c>
      <c r="DE67" s="78">
        <f>-SUMPRODUCT(FVSCHEDULE(RenovationCost*'Operating Calculations'!DC25:DC26,InflRate*(CFYears&lt;=DE$6-1)*(RenovCostsInfl=Grown)))*(DE$6&lt;=MAX(YrOfExit,1))</f>
        <v>0</v>
      </c>
      <c r="DF67" s="78">
        <f>-SUMPRODUCT(FVSCHEDULE(RenovationCost*'Operating Calculations'!DD25:DD26,InflRate*(CFYears&lt;=DF$6-1)*(RenovCostsInfl=Grown)))*(DF$6&lt;=MAX(YrOfExit,1))</f>
        <v>0</v>
      </c>
      <c r="DG67" s="78">
        <f>-SUMPRODUCT(FVSCHEDULE(RenovationCost*'Operating Calculations'!DE25:DE26,InflRate*(CFYears&lt;=DG$6-1)*(RenovCostsInfl=Grown)))*(DG$6&lt;=MAX(YrOfExit,1))</f>
        <v>0</v>
      </c>
      <c r="DH67" s="78">
        <f>-SUMPRODUCT(FVSCHEDULE(RenovationCost*'Operating Calculations'!DF25:DF26,InflRate*(CFYears&lt;=DH$6-1)*(RenovCostsInfl=Grown)))*(DH$6&lt;=MAX(YrOfExit,1))</f>
        <v>0</v>
      </c>
      <c r="DI67" s="78">
        <f>-SUMPRODUCT(FVSCHEDULE(RenovationCost*'Operating Calculations'!DG25:DG26,InflRate*(CFYears&lt;=DI$6-1)*(RenovCostsInfl=Grown)))*(DI$6&lt;=MAX(YrOfExit,1))</f>
        <v>0</v>
      </c>
      <c r="DJ67" s="78">
        <f>-SUMPRODUCT(FVSCHEDULE(RenovationCost*'Operating Calculations'!DH25:DH26,InflRate*(CFYears&lt;=DJ$6-1)*(RenovCostsInfl=Grown)))*(DJ$6&lt;=MAX(YrOfExit,1))</f>
        <v>0</v>
      </c>
      <c r="DK67" s="78">
        <f>-SUMPRODUCT(FVSCHEDULE(RenovationCost*'Operating Calculations'!DI25:DI26,InflRate*(CFYears&lt;=DK$6-1)*(RenovCostsInfl=Grown)))*(DK$6&lt;=MAX(YrOfExit,1))</f>
        <v>0</v>
      </c>
      <c r="DL67" s="78">
        <f>-SUMPRODUCT(FVSCHEDULE(RenovationCost*'Operating Calculations'!DJ25:DJ26,InflRate*(CFYears&lt;=DL$6-1)*(RenovCostsInfl=Grown)))*(DL$6&lt;=MAX(YrOfExit,1))</f>
        <v>0</v>
      </c>
      <c r="DM67" s="78">
        <f>-SUMPRODUCT(FVSCHEDULE(RenovationCost*'Operating Calculations'!DK25:DK26,InflRate*(CFYears&lt;=DM$6-1)*(RenovCostsInfl=Grown)))*(DM$6&lt;=MAX(YrOfExit,1))</f>
        <v>0</v>
      </c>
      <c r="DN67" s="78">
        <f>-SUMPRODUCT(FVSCHEDULE(RenovationCost*'Operating Calculations'!DL25:DL26,InflRate*(CFYears&lt;=DN$6-1)*(RenovCostsInfl=Grown)))*(DN$6&lt;=MAX(YrOfExit,1))</f>
        <v>0</v>
      </c>
      <c r="DO67" s="78">
        <f>-SUMPRODUCT(FVSCHEDULE(RenovationCost*'Operating Calculations'!DM25:DM26,InflRate*(CFYears&lt;=DO$6-1)*(RenovCostsInfl=Grown)))*(DO$6&lt;=MAX(YrOfExit,1))</f>
        <v>0</v>
      </c>
      <c r="DP67" s="78">
        <f>-SUMPRODUCT(FVSCHEDULE(RenovationCost*'Operating Calculations'!DN25:DN26,InflRate*(CFYears&lt;=DP$6-1)*(RenovCostsInfl=Grown)))*(DP$6&lt;=MAX(YrOfExit,1))</f>
        <v>0</v>
      </c>
      <c r="DQ67" s="78">
        <f>-SUMPRODUCT(FVSCHEDULE(RenovationCost*'Operating Calculations'!DO25:DO26,InflRate*(CFYears&lt;=DQ$6-1)*(RenovCostsInfl=Grown)))*(DQ$6&lt;=MAX(YrOfExit,1))</f>
        <v>0</v>
      </c>
      <c r="DR67" s="78">
        <f>-SUMPRODUCT(FVSCHEDULE(RenovationCost*'Operating Calculations'!DP25:DP26,InflRate*(CFYears&lt;=DR$6-1)*(RenovCostsInfl=Grown)))*(DR$6&lt;=MAX(YrOfExit,1))</f>
        <v>0</v>
      </c>
      <c r="DS67" s="78">
        <f>-SUMPRODUCT(FVSCHEDULE(RenovationCost*'Operating Calculations'!DQ25:DQ26,InflRate*(CFYears&lt;=DS$6-1)*(RenovCostsInfl=Grown)))*(DS$6&lt;=MAX(YrOfExit,1))</f>
        <v>0</v>
      </c>
      <c r="DT67" s="78">
        <f>-SUMPRODUCT(FVSCHEDULE(RenovationCost*'Operating Calculations'!DR25:DR26,InflRate*(CFYears&lt;=DT$6-1)*(RenovCostsInfl=Grown)))*(DT$6&lt;=MAX(YrOfExit,1))</f>
        <v>0</v>
      </c>
      <c r="DU67" s="78">
        <f>-SUMPRODUCT(FVSCHEDULE(RenovationCost*'Operating Calculations'!DS25:DS26,InflRate*(CFYears&lt;=DU$6-1)*(RenovCostsInfl=Grown)))*(DU$6&lt;=MAX(YrOfExit,1))</f>
        <v>0</v>
      </c>
      <c r="DV67" s="78">
        <f>-SUMPRODUCT(FVSCHEDULE(RenovationCost*'Operating Calculations'!DT25:DT26,InflRate*(CFYears&lt;=DV$6-1)*(RenovCostsInfl=Grown)))*(DV$6&lt;=MAX(YrOfExit,1))</f>
        <v>0</v>
      </c>
      <c r="DW67" s="78">
        <f>-SUMPRODUCT(FVSCHEDULE(RenovationCost*'Operating Calculations'!DU25:DU26,InflRate*(CFYears&lt;=DW$6-1)*(RenovCostsInfl=Grown)))*(DW$6&lt;=MAX(YrOfExit,1))</f>
        <v>0</v>
      </c>
      <c r="DX67" s="78">
        <f>-SUMPRODUCT(FVSCHEDULE(RenovationCost*'Operating Calculations'!DV25:DV26,InflRate*(CFYears&lt;=DX$6-1)*(RenovCostsInfl=Grown)))*(DX$6&lt;=MAX(YrOfExit,1))</f>
        <v>0</v>
      </c>
      <c r="DY67" s="78">
        <f>-SUMPRODUCT(FVSCHEDULE(RenovationCost*'Operating Calculations'!DW25:DW26,InflRate*(CFYears&lt;=DY$6-1)*(RenovCostsInfl=Grown)))*(DY$6&lt;=MAX(YrOfExit,1))</f>
        <v>0</v>
      </c>
      <c r="DZ67" s="78">
        <f>-SUMPRODUCT(FVSCHEDULE(RenovationCost*'Operating Calculations'!DX25:DX26,InflRate*(CFYears&lt;=DZ$6-1)*(RenovCostsInfl=Grown)))*(DZ$6&lt;=MAX(YrOfExit,1))</f>
        <v>0</v>
      </c>
      <c r="EA67" s="78">
        <f>-SUMPRODUCT(FVSCHEDULE(RenovationCost*'Operating Calculations'!DY25:DY26,InflRate*(CFYears&lt;=EA$6-1)*(RenovCostsInfl=Grown)))*(EA$6&lt;=MAX(YrOfExit,1))</f>
        <v>0</v>
      </c>
      <c r="EB67" s="78">
        <f>-SUMPRODUCT(FVSCHEDULE(RenovationCost*'Operating Calculations'!DZ25:DZ26,InflRate*(CFYears&lt;=EB$6-1)*(RenovCostsInfl=Grown)))*(EB$6&lt;=MAX(YrOfExit,1))</f>
        <v>0</v>
      </c>
      <c r="EC67" s="78">
        <f>-SUMPRODUCT(FVSCHEDULE(RenovationCost*'Operating Calculations'!EA25:EA26,InflRate*(CFYears&lt;=EC$6-1)*(RenovCostsInfl=Grown)))*(EC$6&lt;=MAX(YrOfExit,1))</f>
        <v>0</v>
      </c>
      <c r="ED67" s="78">
        <f>-SUMPRODUCT(FVSCHEDULE(RenovationCost*'Operating Calculations'!EB25:EB26,InflRate*(CFYears&lt;=ED$6-1)*(RenovCostsInfl=Grown)))*(ED$6&lt;=MAX(YrOfExit,1))</f>
        <v>0</v>
      </c>
      <c r="EE67" s="78">
        <f>-SUMPRODUCT(FVSCHEDULE(RenovationCost*'Operating Calculations'!EC25:EC26,InflRate*(CFYears&lt;=EE$6-1)*(RenovCostsInfl=Grown)))*(EE$6&lt;=MAX(YrOfExit,1))</f>
        <v>0</v>
      </c>
      <c r="EF67" s="78">
        <f>-SUMPRODUCT(FVSCHEDULE(RenovationCost*'Operating Calculations'!ED25:ED26,InflRate*(CFYears&lt;=EF$6-1)*(RenovCostsInfl=Grown)))*(EF$6&lt;=MAX(YrOfExit,1))</f>
        <v>0</v>
      </c>
      <c r="EG67" s="78">
        <f>-SUMPRODUCT(FVSCHEDULE(RenovationCost*'Operating Calculations'!EE25:EE26,InflRate*(CFYears&lt;=EG$6-1)*(RenovCostsInfl=Grown)))*(EG$6&lt;=MAX(YrOfExit,1))</f>
        <v>0</v>
      </c>
      <c r="EH67" s="78">
        <f>-SUMPRODUCT(FVSCHEDULE(RenovationCost*'Operating Calculations'!EF25:EF26,InflRate*(CFYears&lt;=EH$6-1)*(RenovCostsInfl=Grown)))*(EH$6&lt;=MAX(YrOfExit,1))</f>
        <v>0</v>
      </c>
      <c r="EI67" s="78">
        <f>-SUMPRODUCT(FVSCHEDULE(RenovationCost*'Operating Calculations'!EG25:EG26,InflRate*(CFYears&lt;=EI$6-1)*(RenovCostsInfl=Grown)))*(EI$6&lt;=MAX(YrOfExit,1))</f>
        <v>0</v>
      </c>
    </row>
    <row r="68" spans="2:140">
      <c r="B68" s="32" t="s">
        <v>147</v>
      </c>
      <c r="C68" s="32"/>
      <c r="D68" s="27"/>
      <c r="E68" s="78">
        <f>-SUM(Input!G180:G186)*(E$5&lt;=MAX(YrOfExit,1))</f>
        <v>0</v>
      </c>
      <c r="F68" s="78">
        <f>-SUM(Input!H180:H186)*(F$5&lt;=MAX(YrOfExit,1))</f>
        <v>0</v>
      </c>
      <c r="G68" s="78">
        <f>-SUM(Input!I180:I186)*(G$5&lt;=MAX(YrOfExit,1))</f>
        <v>0</v>
      </c>
      <c r="H68" s="78">
        <f>-SUM(Input!J180:J186)*(H$5&lt;=MAX(YrOfExit,1))</f>
        <v>0</v>
      </c>
      <c r="I68" s="78">
        <f>-SUM(Input!K180:K186)*(I$5&lt;=MAX(YrOfExit,1))</f>
        <v>0</v>
      </c>
      <c r="J68" s="78">
        <f>-SUM(Input!L180:L186)*(J$5&lt;=MAX(YrOfExit,1))</f>
        <v>0</v>
      </c>
      <c r="K68" s="78">
        <f>-SUM(Input!M180:M186)*(K$5&lt;=MAX(YrOfExit,1))</f>
        <v>0</v>
      </c>
      <c r="L68" s="78">
        <f>-SUM(Input!N180:N186)*(L$5&lt;=MAX(YrOfExit,1))</f>
        <v>0</v>
      </c>
      <c r="M68" s="78">
        <f>-SUM(Input!O180:O186)*(M$5&lt;=MAX(YrOfExit,1))</f>
        <v>0</v>
      </c>
      <c r="N68" s="78">
        <f>-SUM(Input!P180:P186)*(N$5&lt;=MAX(YrOfExit,1))</f>
        <v>0</v>
      </c>
      <c r="O68" s="145">
        <f>SUM(D68:N68)</f>
        <v>0</v>
      </c>
      <c r="S68" s="27"/>
      <c r="T68" s="78">
        <f>-SUM(Input!S180:S187)*(T$6&lt;=MAX(YrOfExit,1))</f>
        <v>0</v>
      </c>
      <c r="U68" s="78">
        <f>-SUM(Input!T180:T187)*(U$6&lt;=MAX(YrOfExit,1))</f>
        <v>0</v>
      </c>
      <c r="V68" s="78">
        <f>-SUM(Input!U180:U187)*(V$6&lt;=MAX(YrOfExit,1))</f>
        <v>0</v>
      </c>
      <c r="W68" s="78">
        <f>-SUM(Input!V180:V187)*(W$6&lt;=MAX(YrOfExit,1))</f>
        <v>0</v>
      </c>
      <c r="X68" s="78">
        <f>-SUM(Input!W180:W187)*(X$6&lt;=MAX(YrOfExit,1))</f>
        <v>0</v>
      </c>
      <c r="Y68" s="78">
        <f>-SUM(Input!X180:X187)*(Y$6&lt;=MAX(YrOfExit,1))</f>
        <v>0</v>
      </c>
      <c r="Z68" s="78">
        <f>-SUM(Input!Y180:Y187)*(Z$6&lt;=MAX(YrOfExit,1))</f>
        <v>0</v>
      </c>
      <c r="AA68" s="78">
        <f>-SUM(Input!Z180:Z187)*(AA$6&lt;=MAX(YrOfExit,1))</f>
        <v>0</v>
      </c>
      <c r="AB68" s="78">
        <f>-SUM(Input!AA180:AA187)*(AB$6&lt;=MAX(YrOfExit,1))</f>
        <v>0</v>
      </c>
      <c r="AC68" s="78">
        <f>-SUM(Input!AB180:AB187)*(AC$6&lt;=MAX(YrOfExit,1))</f>
        <v>0</v>
      </c>
      <c r="AD68" s="78">
        <f>-SUM(Input!AC180:AC187)*(AD$6&lt;=MAX(YrOfExit,1))</f>
        <v>0</v>
      </c>
      <c r="AE68" s="78">
        <f>-SUM(Input!AD180:AD187)*(AE$6&lt;=MAX(YrOfExit,1))</f>
        <v>0</v>
      </c>
      <c r="AF68" s="78">
        <f>-SUM(Input!AE180:AE187)*(AF$6&lt;=MAX(YrOfExit,1))</f>
        <v>0</v>
      </c>
      <c r="AG68" s="78">
        <f>-SUM(Input!AF180:AF187)*(AG$6&lt;=MAX(YrOfExit,1))</f>
        <v>0</v>
      </c>
      <c r="AH68" s="78">
        <f>-SUM(Input!AG180:AG187)*(AH$6&lt;=MAX(YrOfExit,1))</f>
        <v>0</v>
      </c>
      <c r="AI68" s="78">
        <f>-SUM(Input!AH180:AH187)*(AI$6&lt;=MAX(YrOfExit,1))</f>
        <v>0</v>
      </c>
      <c r="AJ68" s="78">
        <f>-SUM(Input!AI180:AI187)*(AJ$6&lt;=MAX(YrOfExit,1))</f>
        <v>0</v>
      </c>
      <c r="AK68" s="78">
        <f>-SUM(Input!AJ180:AJ187)*(AK$6&lt;=MAX(YrOfExit,1))</f>
        <v>0</v>
      </c>
      <c r="AL68" s="78">
        <f>-SUM(Input!AK180:AK187)*(AL$6&lt;=MAX(YrOfExit,1))</f>
        <v>0</v>
      </c>
      <c r="AM68" s="78">
        <f>-SUM(Input!AL180:AL187)*(AM$6&lt;=MAX(YrOfExit,1))</f>
        <v>0</v>
      </c>
      <c r="AN68" s="78">
        <f>-SUM(Input!AM180:AM187)*(AN$6&lt;=MAX(YrOfExit,1))</f>
        <v>0</v>
      </c>
      <c r="AO68" s="78">
        <f>-SUM(Input!AN180:AN187)*(AO$6&lt;=MAX(YrOfExit,1))</f>
        <v>0</v>
      </c>
      <c r="AP68" s="78">
        <f>-SUM(Input!AO180:AO187)*(AP$6&lt;=MAX(YrOfExit,1))</f>
        <v>0</v>
      </c>
      <c r="AQ68" s="78">
        <f>-SUM(Input!AP180:AP187)*(AQ$6&lt;=MAX(YrOfExit,1))</f>
        <v>0</v>
      </c>
      <c r="AR68" s="78">
        <f>-SUM(Input!AQ180:AQ187)*(AR$6&lt;=MAX(YrOfExit,1))</f>
        <v>0</v>
      </c>
      <c r="AS68" s="78">
        <f>-SUM(Input!AR180:AR187)*(AS$6&lt;=MAX(YrOfExit,1))</f>
        <v>0</v>
      </c>
      <c r="AT68" s="78">
        <f>-SUM(Input!AS180:AS187)*(AT$6&lt;=MAX(YrOfExit,1))</f>
        <v>0</v>
      </c>
      <c r="AU68" s="78">
        <f>-SUM(Input!AT180:AT187)*(AU$6&lt;=MAX(YrOfExit,1))</f>
        <v>0</v>
      </c>
      <c r="AV68" s="78">
        <f>-SUM(Input!AU180:AU187)*(AV$6&lt;=MAX(YrOfExit,1))</f>
        <v>0</v>
      </c>
      <c r="AW68" s="78">
        <f>-SUM(Input!AV180:AV187)*(AW$6&lt;=MAX(YrOfExit,1))</f>
        <v>0</v>
      </c>
      <c r="AX68" s="78">
        <f>-SUM(Input!AW180:AW187)*(AX$6&lt;=MAX(YrOfExit,1))</f>
        <v>0</v>
      </c>
      <c r="AY68" s="78">
        <f>-SUM(Input!AX180:AX187)*(AY$6&lt;=MAX(YrOfExit,1))</f>
        <v>0</v>
      </c>
      <c r="AZ68" s="78">
        <f>-SUM(Input!AY180:AY187)*(AZ$6&lt;=MAX(YrOfExit,1))</f>
        <v>0</v>
      </c>
      <c r="BA68" s="78">
        <f>-SUM(Input!AZ180:AZ187)*(BA$6&lt;=MAX(YrOfExit,1))</f>
        <v>0</v>
      </c>
      <c r="BB68" s="78">
        <f>-SUM(Input!BA180:BA187)*(BB$6&lt;=MAX(YrOfExit,1))</f>
        <v>0</v>
      </c>
      <c r="BC68" s="78">
        <f>-SUM(Input!BB180:BB187)*(BC$6&lt;=MAX(YrOfExit,1))</f>
        <v>0</v>
      </c>
      <c r="BD68" s="206">
        <f t="shared" ref="BD68:CI68" si="66">SUMIF($E$5:$N$5,BD$6,$E68:$N68)/12</f>
        <v>0</v>
      </c>
      <c r="BE68" s="78">
        <f t="shared" si="66"/>
        <v>0</v>
      </c>
      <c r="BF68" s="78">
        <f t="shared" si="66"/>
        <v>0</v>
      </c>
      <c r="BG68" s="78">
        <f t="shared" si="66"/>
        <v>0</v>
      </c>
      <c r="BH68" s="78">
        <f t="shared" si="66"/>
        <v>0</v>
      </c>
      <c r="BI68" s="78">
        <f t="shared" si="66"/>
        <v>0</v>
      </c>
      <c r="BJ68" s="78">
        <f t="shared" si="66"/>
        <v>0</v>
      </c>
      <c r="BK68" s="78">
        <f t="shared" si="66"/>
        <v>0</v>
      </c>
      <c r="BL68" s="78">
        <f t="shared" si="66"/>
        <v>0</v>
      </c>
      <c r="BM68" s="78">
        <f t="shared" si="66"/>
        <v>0</v>
      </c>
      <c r="BN68" s="78">
        <f t="shared" si="66"/>
        <v>0</v>
      </c>
      <c r="BO68" s="78">
        <f t="shared" si="66"/>
        <v>0</v>
      </c>
      <c r="BP68" s="78">
        <f t="shared" si="66"/>
        <v>0</v>
      </c>
      <c r="BQ68" s="78">
        <f t="shared" si="66"/>
        <v>0</v>
      </c>
      <c r="BR68" s="78">
        <f t="shared" si="66"/>
        <v>0</v>
      </c>
      <c r="BS68" s="78">
        <f t="shared" si="66"/>
        <v>0</v>
      </c>
      <c r="BT68" s="78">
        <f t="shared" si="66"/>
        <v>0</v>
      </c>
      <c r="BU68" s="78">
        <f t="shared" si="66"/>
        <v>0</v>
      </c>
      <c r="BV68" s="78">
        <f t="shared" si="66"/>
        <v>0</v>
      </c>
      <c r="BW68" s="78">
        <f t="shared" si="66"/>
        <v>0</v>
      </c>
      <c r="BX68" s="78">
        <f t="shared" si="66"/>
        <v>0</v>
      </c>
      <c r="BY68" s="78">
        <f t="shared" si="66"/>
        <v>0</v>
      </c>
      <c r="BZ68" s="78">
        <f t="shared" si="66"/>
        <v>0</v>
      </c>
      <c r="CA68" s="78">
        <f t="shared" si="66"/>
        <v>0</v>
      </c>
      <c r="CB68" s="78">
        <f t="shared" si="66"/>
        <v>0</v>
      </c>
      <c r="CC68" s="78">
        <f t="shared" si="66"/>
        <v>0</v>
      </c>
      <c r="CD68" s="78">
        <f t="shared" si="66"/>
        <v>0</v>
      </c>
      <c r="CE68" s="78">
        <f t="shared" si="66"/>
        <v>0</v>
      </c>
      <c r="CF68" s="78">
        <f t="shared" si="66"/>
        <v>0</v>
      </c>
      <c r="CG68" s="78">
        <f t="shared" si="66"/>
        <v>0</v>
      </c>
      <c r="CH68" s="78">
        <f t="shared" si="66"/>
        <v>0</v>
      </c>
      <c r="CI68" s="78">
        <f t="shared" si="66"/>
        <v>0</v>
      </c>
      <c r="CJ68" s="78">
        <f t="shared" ref="CJ68:DO68" si="67">SUMIF($E$5:$N$5,CJ$6,$E68:$N68)/12</f>
        <v>0</v>
      </c>
      <c r="CK68" s="78">
        <f t="shared" si="67"/>
        <v>0</v>
      </c>
      <c r="CL68" s="78">
        <f t="shared" si="67"/>
        <v>0</v>
      </c>
      <c r="CM68" s="78">
        <f t="shared" si="67"/>
        <v>0</v>
      </c>
      <c r="CN68" s="78">
        <f t="shared" si="67"/>
        <v>0</v>
      </c>
      <c r="CO68" s="78">
        <f t="shared" si="67"/>
        <v>0</v>
      </c>
      <c r="CP68" s="78">
        <f t="shared" si="67"/>
        <v>0</v>
      </c>
      <c r="CQ68" s="78">
        <f t="shared" si="67"/>
        <v>0</v>
      </c>
      <c r="CR68" s="78">
        <f t="shared" si="67"/>
        <v>0</v>
      </c>
      <c r="CS68" s="78">
        <f t="shared" si="67"/>
        <v>0</v>
      </c>
      <c r="CT68" s="78">
        <f t="shared" si="67"/>
        <v>0</v>
      </c>
      <c r="CU68" s="78">
        <f t="shared" si="67"/>
        <v>0</v>
      </c>
      <c r="CV68" s="78">
        <f t="shared" si="67"/>
        <v>0</v>
      </c>
      <c r="CW68" s="78">
        <f t="shared" si="67"/>
        <v>0</v>
      </c>
      <c r="CX68" s="78">
        <f t="shared" si="67"/>
        <v>0</v>
      </c>
      <c r="CY68" s="78">
        <f t="shared" si="67"/>
        <v>0</v>
      </c>
      <c r="CZ68" s="78">
        <f t="shared" si="67"/>
        <v>0</v>
      </c>
      <c r="DA68" s="78">
        <f t="shared" si="67"/>
        <v>0</v>
      </c>
      <c r="DB68" s="78">
        <f t="shared" si="67"/>
        <v>0</v>
      </c>
      <c r="DC68" s="78">
        <f t="shared" si="67"/>
        <v>0</v>
      </c>
      <c r="DD68" s="78">
        <f t="shared" si="67"/>
        <v>0</v>
      </c>
      <c r="DE68" s="78">
        <f t="shared" si="67"/>
        <v>0</v>
      </c>
      <c r="DF68" s="78">
        <f t="shared" si="67"/>
        <v>0</v>
      </c>
      <c r="DG68" s="78">
        <f t="shared" si="67"/>
        <v>0</v>
      </c>
      <c r="DH68" s="78">
        <f t="shared" si="67"/>
        <v>0</v>
      </c>
      <c r="DI68" s="78">
        <f t="shared" si="67"/>
        <v>0</v>
      </c>
      <c r="DJ68" s="78">
        <f t="shared" si="67"/>
        <v>0</v>
      </c>
      <c r="DK68" s="78">
        <f t="shared" si="67"/>
        <v>0</v>
      </c>
      <c r="DL68" s="78">
        <f t="shared" si="67"/>
        <v>0</v>
      </c>
      <c r="DM68" s="78">
        <f t="shared" si="67"/>
        <v>0</v>
      </c>
      <c r="DN68" s="78">
        <f t="shared" si="67"/>
        <v>0</v>
      </c>
      <c r="DO68" s="78">
        <f t="shared" si="67"/>
        <v>0</v>
      </c>
      <c r="DP68" s="78">
        <f t="shared" ref="DP68:EI68" si="68">SUMIF($E$5:$N$5,DP$6,$E68:$N68)/12</f>
        <v>0</v>
      </c>
      <c r="DQ68" s="78">
        <f t="shared" si="68"/>
        <v>0</v>
      </c>
      <c r="DR68" s="78">
        <f t="shared" si="68"/>
        <v>0</v>
      </c>
      <c r="DS68" s="78">
        <f t="shared" si="68"/>
        <v>0</v>
      </c>
      <c r="DT68" s="78">
        <f t="shared" si="68"/>
        <v>0</v>
      </c>
      <c r="DU68" s="78">
        <f t="shared" si="68"/>
        <v>0</v>
      </c>
      <c r="DV68" s="78">
        <f t="shared" si="68"/>
        <v>0</v>
      </c>
      <c r="DW68" s="78">
        <f t="shared" si="68"/>
        <v>0</v>
      </c>
      <c r="DX68" s="78">
        <f t="shared" si="68"/>
        <v>0</v>
      </c>
      <c r="DY68" s="78">
        <f t="shared" si="68"/>
        <v>0</v>
      </c>
      <c r="DZ68" s="78">
        <f t="shared" si="68"/>
        <v>0</v>
      </c>
      <c r="EA68" s="78">
        <f t="shared" si="68"/>
        <v>0</v>
      </c>
      <c r="EB68" s="78">
        <f t="shared" si="68"/>
        <v>0</v>
      </c>
      <c r="EC68" s="78">
        <f t="shared" si="68"/>
        <v>0</v>
      </c>
      <c r="ED68" s="78">
        <f t="shared" si="68"/>
        <v>0</v>
      </c>
      <c r="EE68" s="78">
        <f t="shared" si="68"/>
        <v>0</v>
      </c>
      <c r="EF68" s="78">
        <f t="shared" si="68"/>
        <v>0</v>
      </c>
      <c r="EG68" s="78">
        <f t="shared" si="68"/>
        <v>0</v>
      </c>
      <c r="EH68" s="78">
        <f t="shared" si="68"/>
        <v>0</v>
      </c>
      <c r="EI68" s="78">
        <f t="shared" si="68"/>
        <v>0</v>
      </c>
    </row>
    <row r="69" spans="2:140">
      <c r="B69" s="32" t="s">
        <v>148</v>
      </c>
      <c r="C69" s="32"/>
      <c r="D69" s="27"/>
      <c r="E69" s="78">
        <f t="shared" ref="E69:N69" si="69">SUMIF($T$6:$EI$6,E$5,$T69:$EI69)</f>
        <v>0</v>
      </c>
      <c r="F69" s="78">
        <f t="shared" si="69"/>
        <v>0</v>
      </c>
      <c r="G69" s="78">
        <f t="shared" si="69"/>
        <v>0</v>
      </c>
      <c r="H69" s="78">
        <f t="shared" si="69"/>
        <v>0</v>
      </c>
      <c r="I69" s="78">
        <f t="shared" si="69"/>
        <v>0</v>
      </c>
      <c r="J69" s="78">
        <f t="shared" si="69"/>
        <v>0</v>
      </c>
      <c r="K69" s="78">
        <f t="shared" si="69"/>
        <v>0</v>
      </c>
      <c r="L69" s="78">
        <f t="shared" si="69"/>
        <v>0</v>
      </c>
      <c r="M69" s="78">
        <f t="shared" si="69"/>
        <v>0</v>
      </c>
      <c r="N69" s="78">
        <f t="shared" si="69"/>
        <v>0</v>
      </c>
      <c r="O69" s="145">
        <f>SUM(D69:N69)</f>
        <v>0</v>
      </c>
      <c r="P69" s="202"/>
      <c r="S69" s="27"/>
      <c r="T69" s="78">
        <f>-SUM('Commercial CF'!D19:D20)*(T$6&lt;=MAX(YrOfExit,1))</f>
        <v>0</v>
      </c>
      <c r="U69" s="78">
        <f>-SUM('Commercial CF'!E19:E20)*(U$6&lt;=MAX(YrOfExit,1))</f>
        <v>0</v>
      </c>
      <c r="V69" s="78">
        <f>-SUM('Commercial CF'!F19:F20)*(V$6&lt;=MAX(YrOfExit,1))</f>
        <v>0</v>
      </c>
      <c r="W69" s="78">
        <f>-SUM('Commercial CF'!G19:G20)*(W$6&lt;=MAX(YrOfExit,1))</f>
        <v>0</v>
      </c>
      <c r="X69" s="78">
        <f>-SUM('Commercial CF'!H19:H20)*(X$6&lt;=MAX(YrOfExit,1))</f>
        <v>0</v>
      </c>
      <c r="Y69" s="78">
        <f>-SUM('Commercial CF'!I19:I20)*(Y$6&lt;=MAX(YrOfExit,1))</f>
        <v>0</v>
      </c>
      <c r="Z69" s="78">
        <f>-SUM('Commercial CF'!J19:J20)*(Z$6&lt;=MAX(YrOfExit,1))</f>
        <v>0</v>
      </c>
      <c r="AA69" s="78">
        <f>-SUM('Commercial CF'!K19:K20)*(AA$6&lt;=MAX(YrOfExit,1))</f>
        <v>0</v>
      </c>
      <c r="AB69" s="78">
        <f>-SUM('Commercial CF'!L19:L20)*(AB$6&lt;=MAX(YrOfExit,1))</f>
        <v>0</v>
      </c>
      <c r="AC69" s="78">
        <f>-SUM('Commercial CF'!M19:M20)*(AC$6&lt;=MAX(YrOfExit,1))</f>
        <v>0</v>
      </c>
      <c r="AD69" s="78">
        <f>-SUM('Commercial CF'!N19:N20)*(AD$6&lt;=MAX(YrOfExit,1))</f>
        <v>0</v>
      </c>
      <c r="AE69" s="78">
        <f>-SUM('Commercial CF'!O19:O20)*(AE$6&lt;=MAX(YrOfExit,1))</f>
        <v>0</v>
      </c>
      <c r="AF69" s="78">
        <f>-SUM('Commercial CF'!P19:P20)*(AF$6&lt;=MAX(YrOfExit,1))</f>
        <v>0</v>
      </c>
      <c r="AG69" s="78">
        <f>-SUM('Commercial CF'!Q19:Q20)*(AG$6&lt;=MAX(YrOfExit,1))</f>
        <v>0</v>
      </c>
      <c r="AH69" s="78">
        <f>-SUM('Commercial CF'!R19:R20)*(AH$6&lt;=MAX(YrOfExit,1))</f>
        <v>0</v>
      </c>
      <c r="AI69" s="78">
        <f>-SUM('Commercial CF'!S19:S20)*(AI$6&lt;=MAX(YrOfExit,1))</f>
        <v>0</v>
      </c>
      <c r="AJ69" s="78">
        <f>-SUM('Commercial CF'!T19:T20)*(AJ$6&lt;=MAX(YrOfExit,1))</f>
        <v>0</v>
      </c>
      <c r="AK69" s="78">
        <f>-SUM('Commercial CF'!U19:U20)*(AK$6&lt;=MAX(YrOfExit,1))</f>
        <v>0</v>
      </c>
      <c r="AL69" s="78">
        <f>-SUM('Commercial CF'!V19:V20)*(AL$6&lt;=MAX(YrOfExit,1))</f>
        <v>0</v>
      </c>
      <c r="AM69" s="78">
        <f>-SUM('Commercial CF'!W19:W20)*(AM$6&lt;=MAX(YrOfExit,1))</f>
        <v>0</v>
      </c>
      <c r="AN69" s="78">
        <f>-SUM('Commercial CF'!X19:X20)*(AN$6&lt;=MAX(YrOfExit,1))</f>
        <v>0</v>
      </c>
      <c r="AO69" s="78">
        <f>-SUM('Commercial CF'!Y19:Y20)*(AO$6&lt;=MAX(YrOfExit,1))</f>
        <v>0</v>
      </c>
      <c r="AP69" s="78">
        <f>-SUM('Commercial CF'!Z19:Z20)*(AP$6&lt;=MAX(YrOfExit,1))</f>
        <v>0</v>
      </c>
      <c r="AQ69" s="78">
        <f>-SUM('Commercial CF'!AA19:AA20)*(AQ$6&lt;=MAX(YrOfExit,1))</f>
        <v>0</v>
      </c>
      <c r="AR69" s="78">
        <f>-SUM('Commercial CF'!AB19:AB20)*(AR$6&lt;=MAX(YrOfExit,1))</f>
        <v>0</v>
      </c>
      <c r="AS69" s="78">
        <f>-SUM('Commercial CF'!AC19:AC20)*(AS$6&lt;=MAX(YrOfExit,1))</f>
        <v>0</v>
      </c>
      <c r="AT69" s="78">
        <f>-SUM('Commercial CF'!AD19:AD20)*(AT$6&lt;=MAX(YrOfExit,1))</f>
        <v>0</v>
      </c>
      <c r="AU69" s="78">
        <f>-SUM('Commercial CF'!AE19:AE20)*(AU$6&lt;=MAX(YrOfExit,1))</f>
        <v>0</v>
      </c>
      <c r="AV69" s="78">
        <f>-SUM('Commercial CF'!AF19:AF20)*(AV$6&lt;=MAX(YrOfExit,1))</f>
        <v>0</v>
      </c>
      <c r="AW69" s="78">
        <f>-SUM('Commercial CF'!AG19:AG20)*(AW$6&lt;=MAX(YrOfExit,1))</f>
        <v>0</v>
      </c>
      <c r="AX69" s="78">
        <f>-SUM('Commercial CF'!AH19:AH20)*(AX$6&lt;=MAX(YrOfExit,1))</f>
        <v>0</v>
      </c>
      <c r="AY69" s="78">
        <f>-SUM('Commercial CF'!AI19:AI20)*(AY$6&lt;=MAX(YrOfExit,1))</f>
        <v>0</v>
      </c>
      <c r="AZ69" s="78">
        <f>-SUM('Commercial CF'!AJ19:AJ20)*(AZ$6&lt;=MAX(YrOfExit,1))</f>
        <v>0</v>
      </c>
      <c r="BA69" s="78">
        <f>-SUM('Commercial CF'!AK19:AK20)*(BA$6&lt;=MAX(YrOfExit,1))</f>
        <v>0</v>
      </c>
      <c r="BB69" s="78">
        <f>-SUM('Commercial CF'!AL19:AL20)*(BB$6&lt;=MAX(YrOfExit,1))</f>
        <v>0</v>
      </c>
      <c r="BC69" s="78">
        <f>-SUM('Commercial CF'!AM19:AM20)*(BC$6&lt;=MAX(YrOfExit,1))</f>
        <v>0</v>
      </c>
      <c r="BD69" s="78">
        <f>-SUM('Commercial CF'!AN19:AN20)*(BD$6&lt;=MAX(YrOfExit,1))</f>
        <v>0</v>
      </c>
      <c r="BE69" s="78">
        <f>-SUM('Commercial CF'!AO19:AO20)*(BE$6&lt;=MAX(YrOfExit,1))</f>
        <v>0</v>
      </c>
      <c r="BF69" s="78">
        <f>-SUM('Commercial CF'!AP19:AP20)*(BF$6&lt;=MAX(YrOfExit,1))</f>
        <v>0</v>
      </c>
      <c r="BG69" s="78">
        <f>-SUM('Commercial CF'!AQ19:AQ20)*(BG$6&lt;=MAX(YrOfExit,1))</f>
        <v>0</v>
      </c>
      <c r="BH69" s="78">
        <f>-SUM('Commercial CF'!AR19:AR20)*(BH$6&lt;=MAX(YrOfExit,1))</f>
        <v>0</v>
      </c>
      <c r="BI69" s="78">
        <f>-SUM('Commercial CF'!AS19:AS20)*(BI$6&lt;=MAX(YrOfExit,1))</f>
        <v>0</v>
      </c>
      <c r="BJ69" s="78">
        <f>-SUM('Commercial CF'!AT19:AT20)*(BJ$6&lt;=MAX(YrOfExit,1))</f>
        <v>0</v>
      </c>
      <c r="BK69" s="78">
        <f>-SUM('Commercial CF'!AU19:AU20)*(BK$6&lt;=MAX(YrOfExit,1))</f>
        <v>0</v>
      </c>
      <c r="BL69" s="78">
        <f>-SUM('Commercial CF'!AV19:AV20)*(BL$6&lt;=MAX(YrOfExit,1))</f>
        <v>0</v>
      </c>
      <c r="BM69" s="78">
        <f>-SUM('Commercial CF'!AW19:AW20)*(BM$6&lt;=MAX(YrOfExit,1))</f>
        <v>0</v>
      </c>
      <c r="BN69" s="78">
        <f>-SUM('Commercial CF'!AX19:AX20)*(BN$6&lt;=MAX(YrOfExit,1))</f>
        <v>0</v>
      </c>
      <c r="BO69" s="78">
        <f>-SUM('Commercial CF'!AY19:AY20)*(BO$6&lt;=MAX(YrOfExit,1))</f>
        <v>0</v>
      </c>
      <c r="BP69" s="78">
        <f>-SUM('Commercial CF'!AZ19:AZ20)*(BP$6&lt;=MAX(YrOfExit,1))</f>
        <v>0</v>
      </c>
      <c r="BQ69" s="78">
        <f>-SUM('Commercial CF'!BA19:BA20)*(BQ$6&lt;=MAX(YrOfExit,1))</f>
        <v>0</v>
      </c>
      <c r="BR69" s="78">
        <f>-SUM('Commercial CF'!BB19:BB20)*(BR$6&lt;=MAX(YrOfExit,1))</f>
        <v>0</v>
      </c>
      <c r="BS69" s="78">
        <f>-SUM('Commercial CF'!BC19:BC20)*(BS$6&lt;=MAX(YrOfExit,1))</f>
        <v>0</v>
      </c>
      <c r="BT69" s="78">
        <f>-SUM('Commercial CF'!BD19:BD20)*(BT$6&lt;=MAX(YrOfExit,1))</f>
        <v>0</v>
      </c>
      <c r="BU69" s="78">
        <f>-SUM('Commercial CF'!BE19:BE20)*(BU$6&lt;=MAX(YrOfExit,1))</f>
        <v>0</v>
      </c>
      <c r="BV69" s="78">
        <f>-SUM('Commercial CF'!BF19:BF20)*(BV$6&lt;=MAX(YrOfExit,1))</f>
        <v>0</v>
      </c>
      <c r="BW69" s="78">
        <f>-SUM('Commercial CF'!BG19:BG20)*(BW$6&lt;=MAX(YrOfExit,1))</f>
        <v>0</v>
      </c>
      <c r="BX69" s="78">
        <f>-SUM('Commercial CF'!BH19:BH20)*(BX$6&lt;=MAX(YrOfExit,1))</f>
        <v>0</v>
      </c>
      <c r="BY69" s="78">
        <f>-SUM('Commercial CF'!BI19:BI20)*(BY$6&lt;=MAX(YrOfExit,1))</f>
        <v>0</v>
      </c>
      <c r="BZ69" s="78">
        <f>-SUM('Commercial CF'!BJ19:BJ20)*(BZ$6&lt;=MAX(YrOfExit,1))</f>
        <v>0</v>
      </c>
      <c r="CA69" s="78">
        <f>-SUM('Commercial CF'!BK19:BK20)*(CA$6&lt;=MAX(YrOfExit,1))</f>
        <v>0</v>
      </c>
      <c r="CB69" s="78">
        <f>-SUM('Commercial CF'!BL19:BL20)*(CB$6&lt;=MAX(YrOfExit,1))</f>
        <v>0</v>
      </c>
      <c r="CC69" s="78">
        <f>-SUM('Commercial CF'!BM19:BM20)*(CC$6&lt;=MAX(YrOfExit,1))</f>
        <v>0</v>
      </c>
      <c r="CD69" s="78">
        <f>-SUM('Commercial CF'!BN19:BN20)*(CD$6&lt;=MAX(YrOfExit,1))</f>
        <v>0</v>
      </c>
      <c r="CE69" s="78">
        <f>-SUM('Commercial CF'!BO19:BO20)*(CE$6&lt;=MAX(YrOfExit,1))</f>
        <v>0</v>
      </c>
      <c r="CF69" s="78">
        <f>-SUM('Commercial CF'!BP19:BP20)*(CF$6&lt;=MAX(YrOfExit,1))</f>
        <v>0</v>
      </c>
      <c r="CG69" s="78">
        <f>-SUM('Commercial CF'!BQ19:BQ20)*(CG$6&lt;=MAX(YrOfExit,1))</f>
        <v>0</v>
      </c>
      <c r="CH69" s="78">
        <f>-SUM('Commercial CF'!BR19:BR20)*(CH$6&lt;=MAX(YrOfExit,1))</f>
        <v>0</v>
      </c>
      <c r="CI69" s="78">
        <f>-SUM('Commercial CF'!BS19:BS20)*(CI$6&lt;=MAX(YrOfExit,1))</f>
        <v>0</v>
      </c>
      <c r="CJ69" s="78">
        <f>-SUM('Commercial CF'!BT19:BT20)*(CJ$6&lt;=MAX(YrOfExit,1))</f>
        <v>0</v>
      </c>
      <c r="CK69" s="78">
        <f>-SUM('Commercial CF'!BU19:BU20)*(CK$6&lt;=MAX(YrOfExit,1))</f>
        <v>0</v>
      </c>
      <c r="CL69" s="78">
        <f>-SUM('Commercial CF'!BV19:BV20)*(CL$6&lt;=MAX(YrOfExit,1))</f>
        <v>0</v>
      </c>
      <c r="CM69" s="78">
        <f>-SUM('Commercial CF'!BW19:BW20)*(CM$6&lt;=MAX(YrOfExit,1))</f>
        <v>0</v>
      </c>
      <c r="CN69" s="78">
        <f>-SUM('Commercial CF'!BX19:BX20)*(CN$6&lt;=MAX(YrOfExit,1))</f>
        <v>0</v>
      </c>
      <c r="CO69" s="78">
        <f>-SUM('Commercial CF'!BY19:BY20)*(CO$6&lt;=MAX(YrOfExit,1))</f>
        <v>0</v>
      </c>
      <c r="CP69" s="78">
        <f>-SUM('Commercial CF'!BZ19:BZ20)*(CP$6&lt;=MAX(YrOfExit,1))</f>
        <v>0</v>
      </c>
      <c r="CQ69" s="78">
        <f>-SUM('Commercial CF'!CA19:CA20)*(CQ$6&lt;=MAX(YrOfExit,1))</f>
        <v>0</v>
      </c>
      <c r="CR69" s="78">
        <f>-SUM('Commercial CF'!CB19:CB20)*(CR$6&lt;=MAX(YrOfExit,1))</f>
        <v>0</v>
      </c>
      <c r="CS69" s="78">
        <f>-SUM('Commercial CF'!CC19:CC20)*(CS$6&lt;=MAX(YrOfExit,1))</f>
        <v>0</v>
      </c>
      <c r="CT69" s="78">
        <f>-SUM('Commercial CF'!CD19:CD20)*(CT$6&lt;=MAX(YrOfExit,1))</f>
        <v>0</v>
      </c>
      <c r="CU69" s="78">
        <f>-SUM('Commercial CF'!CE19:CE20)*(CU$6&lt;=MAX(YrOfExit,1))</f>
        <v>0</v>
      </c>
      <c r="CV69" s="78">
        <f>-SUM('Commercial CF'!CF19:CF20)*(CV$6&lt;=MAX(YrOfExit,1))</f>
        <v>0</v>
      </c>
      <c r="CW69" s="78">
        <f>-SUM('Commercial CF'!CG19:CG20)*(CW$6&lt;=MAX(YrOfExit,1))</f>
        <v>0</v>
      </c>
      <c r="CX69" s="78">
        <f>-SUM('Commercial CF'!CH19:CH20)*(CX$6&lt;=MAX(YrOfExit,1))</f>
        <v>0</v>
      </c>
      <c r="CY69" s="78">
        <f>-SUM('Commercial CF'!CI19:CI20)*(CY$6&lt;=MAX(YrOfExit,1))</f>
        <v>0</v>
      </c>
      <c r="CZ69" s="78">
        <f>-SUM('Commercial CF'!CJ19:CJ20)*(CZ$6&lt;=MAX(YrOfExit,1))</f>
        <v>0</v>
      </c>
      <c r="DA69" s="78">
        <f>-SUM('Commercial CF'!CK19:CK20)*(DA$6&lt;=MAX(YrOfExit,1))</f>
        <v>0</v>
      </c>
      <c r="DB69" s="78">
        <f>-SUM('Commercial CF'!CL19:CL20)*(DB$6&lt;=MAX(YrOfExit,1))</f>
        <v>0</v>
      </c>
      <c r="DC69" s="78">
        <f>-SUM('Commercial CF'!CM19:CM20)*(DC$6&lt;=MAX(YrOfExit,1))</f>
        <v>0</v>
      </c>
      <c r="DD69" s="78">
        <f>-SUM('Commercial CF'!CN19:CN20)*(DD$6&lt;=MAX(YrOfExit,1))</f>
        <v>0</v>
      </c>
      <c r="DE69" s="78">
        <f>-SUM('Commercial CF'!CO19:CO20)*(DE$6&lt;=MAX(YrOfExit,1))</f>
        <v>0</v>
      </c>
      <c r="DF69" s="78">
        <f>-SUM('Commercial CF'!CP19:CP20)*(DF$6&lt;=MAX(YrOfExit,1))</f>
        <v>0</v>
      </c>
      <c r="DG69" s="78">
        <f>-SUM('Commercial CF'!CQ19:CQ20)*(DG$6&lt;=MAX(YrOfExit,1))</f>
        <v>0</v>
      </c>
      <c r="DH69" s="78">
        <f>-SUM('Commercial CF'!CR19:CR20)*(DH$6&lt;=MAX(YrOfExit,1))</f>
        <v>0</v>
      </c>
      <c r="DI69" s="78">
        <f>-SUM('Commercial CF'!CS19:CS20)*(DI$6&lt;=MAX(YrOfExit,1))</f>
        <v>0</v>
      </c>
      <c r="DJ69" s="78">
        <f>-SUM('Commercial CF'!CT19:CT20)*(DJ$6&lt;=MAX(YrOfExit,1))</f>
        <v>0</v>
      </c>
      <c r="DK69" s="78">
        <f>-SUM('Commercial CF'!CU19:CU20)*(DK$6&lt;=MAX(YrOfExit,1))</f>
        <v>0</v>
      </c>
      <c r="DL69" s="78">
        <f>-SUM('Commercial CF'!CV19:CV20)*(DL$6&lt;=MAX(YrOfExit,1))</f>
        <v>0</v>
      </c>
      <c r="DM69" s="78">
        <f>-SUM('Commercial CF'!CW19:CW20)*(DM$6&lt;=MAX(YrOfExit,1))</f>
        <v>0</v>
      </c>
      <c r="DN69" s="78">
        <f>-SUM('Commercial CF'!CX19:CX20)*(DN$6&lt;=MAX(YrOfExit,1))</f>
        <v>0</v>
      </c>
      <c r="DO69" s="78">
        <f>-SUM('Commercial CF'!CY19:CY20)*(DO$6&lt;=MAX(YrOfExit,1))</f>
        <v>0</v>
      </c>
      <c r="DP69" s="78">
        <f>-SUM('Commercial CF'!CZ19:CZ20)*(DP$6&lt;=MAX(YrOfExit,1))</f>
        <v>0</v>
      </c>
      <c r="DQ69" s="78">
        <f>-SUM('Commercial CF'!DA19:DA20)*(DQ$6&lt;=MAX(YrOfExit,1))</f>
        <v>0</v>
      </c>
      <c r="DR69" s="78">
        <f>-SUM('Commercial CF'!DB19:DB20)*(DR$6&lt;=MAX(YrOfExit,1))</f>
        <v>0</v>
      </c>
      <c r="DS69" s="78">
        <f>-SUM('Commercial CF'!DC19:DC20)*(DS$6&lt;=MAX(YrOfExit,1))</f>
        <v>0</v>
      </c>
      <c r="DT69" s="78">
        <f>-SUM('Commercial CF'!DD19:DD20)*(DT$6&lt;=MAX(YrOfExit,1))</f>
        <v>0</v>
      </c>
      <c r="DU69" s="78">
        <f>-SUM('Commercial CF'!DE19:DE20)*(DU$6&lt;=MAX(YrOfExit,1))</f>
        <v>0</v>
      </c>
      <c r="DV69" s="78">
        <f>-SUM('Commercial CF'!DF19:DF20)*(DV$6&lt;=MAX(YrOfExit,1))</f>
        <v>0</v>
      </c>
      <c r="DW69" s="78">
        <f>-SUM('Commercial CF'!DG19:DG20)*(DW$6&lt;=MAX(YrOfExit,1))</f>
        <v>0</v>
      </c>
      <c r="DX69" s="78">
        <f>-SUM('Commercial CF'!DH19:DH20)*(DX$6&lt;=MAX(YrOfExit,1))</f>
        <v>0</v>
      </c>
      <c r="DY69" s="78">
        <f>-SUM('Commercial CF'!DI19:DI20)*(DY$6&lt;=MAX(YrOfExit,1))</f>
        <v>0</v>
      </c>
      <c r="DZ69" s="78">
        <f>-SUM('Commercial CF'!DJ19:DJ20)*(DZ$6&lt;=MAX(YrOfExit,1))</f>
        <v>0</v>
      </c>
      <c r="EA69" s="78">
        <f>-SUM('Commercial CF'!DK19:DK20)*(EA$6&lt;=MAX(YrOfExit,1))</f>
        <v>0</v>
      </c>
      <c r="EB69" s="78">
        <f>-SUM('Commercial CF'!DL19:DL20)*(EB$6&lt;=MAX(YrOfExit,1))</f>
        <v>0</v>
      </c>
      <c r="EC69" s="78">
        <f>-SUM('Commercial CF'!DM19:DM20)*(EC$6&lt;=MAX(YrOfExit,1))</f>
        <v>0</v>
      </c>
      <c r="ED69" s="78">
        <f>-SUM('Commercial CF'!DN19:DN20)*(ED$6&lt;=MAX(YrOfExit,1))</f>
        <v>0</v>
      </c>
      <c r="EE69" s="78">
        <f>-SUM('Commercial CF'!DO19:DO20)*(EE$6&lt;=MAX(YrOfExit,1))</f>
        <v>0</v>
      </c>
      <c r="EF69" s="78">
        <f>-SUM('Commercial CF'!DP19:DP20)*(EF$6&lt;=MAX(YrOfExit,1))</f>
        <v>0</v>
      </c>
      <c r="EG69" s="78">
        <f>-SUM('Commercial CF'!DQ19:DQ20)*(EG$6&lt;=MAX(YrOfExit,1))</f>
        <v>0</v>
      </c>
      <c r="EH69" s="78">
        <f>-SUM('Commercial CF'!DR19:DR20)*(EH$6&lt;=MAX(YrOfExit,1))</f>
        <v>0</v>
      </c>
      <c r="EI69" s="78">
        <f>-SUM('Commercial CF'!DS19:DS20)*(EI$6&lt;=MAX(YrOfExit,1))</f>
        <v>0</v>
      </c>
    </row>
    <row r="70" spans="2:140">
      <c r="B70" s="32"/>
      <c r="C70" s="32"/>
      <c r="D70" s="27"/>
      <c r="E70" s="78"/>
      <c r="F70" s="78"/>
      <c r="G70" s="78"/>
      <c r="H70" s="78"/>
      <c r="I70" s="78"/>
      <c r="J70" s="78"/>
      <c r="K70" s="78"/>
      <c r="L70" s="78"/>
      <c r="M70" s="78"/>
      <c r="N70" s="78"/>
      <c r="O70" s="842"/>
      <c r="S70" s="78"/>
      <c r="T70" s="78"/>
      <c r="U70" s="78"/>
      <c r="V70" s="78"/>
      <c r="W70" s="78"/>
      <c r="X70" s="78"/>
      <c r="Y70" s="78"/>
      <c r="Z70" s="78"/>
      <c r="AA70" s="78"/>
      <c r="AB70" s="78"/>
      <c r="AC70" s="78"/>
      <c r="AD70" s="78"/>
      <c r="AE70" s="78"/>
      <c r="AF70" s="78"/>
      <c r="AG70" s="78"/>
      <c r="AH70" s="78"/>
      <c r="AI70" s="78"/>
      <c r="AJ70" s="78"/>
      <c r="AK70" s="78"/>
      <c r="AL70" s="78"/>
      <c r="AM70" s="78"/>
      <c r="AN70" s="78"/>
      <c r="AO70" s="78"/>
      <c r="AP70" s="78"/>
      <c r="AQ70" s="78"/>
      <c r="AR70" s="78"/>
      <c r="AS70" s="78"/>
      <c r="AT70" s="78"/>
      <c r="AU70" s="78"/>
      <c r="AV70" s="78"/>
      <c r="AW70" s="78"/>
      <c r="AX70" s="78"/>
      <c r="AY70" s="78"/>
      <c r="AZ70" s="78"/>
      <c r="BA70" s="78"/>
      <c r="BB70" s="78"/>
      <c r="BC70" s="78"/>
      <c r="BD70" s="78"/>
      <c r="BE70" s="78"/>
      <c r="BF70" s="78"/>
      <c r="BG70" s="78"/>
      <c r="BH70" s="78"/>
      <c r="BI70" s="78"/>
      <c r="BJ70" s="78"/>
      <c r="BK70" s="78"/>
      <c r="BL70" s="78"/>
      <c r="BM70" s="78"/>
      <c r="BN70" s="78"/>
      <c r="BO70" s="78"/>
      <c r="BP70" s="78"/>
      <c r="BQ70" s="78"/>
      <c r="BR70" s="78"/>
      <c r="BS70" s="78"/>
      <c r="BT70" s="78"/>
      <c r="BU70" s="78"/>
      <c r="BV70" s="78"/>
      <c r="BW70" s="78"/>
      <c r="BX70" s="78"/>
      <c r="BY70" s="78"/>
      <c r="BZ70" s="78"/>
      <c r="CA70" s="78"/>
      <c r="CB70" s="78"/>
      <c r="CC70" s="78"/>
      <c r="CD70" s="78"/>
      <c r="CE70" s="78"/>
      <c r="CF70" s="78"/>
      <c r="CG70" s="78"/>
      <c r="CH70" s="78"/>
      <c r="CI70" s="78"/>
      <c r="CJ70" s="78"/>
      <c r="CK70" s="78"/>
      <c r="CL70" s="78"/>
      <c r="CM70" s="78"/>
      <c r="CN70" s="78"/>
      <c r="CO70" s="78"/>
      <c r="CP70" s="78"/>
      <c r="CQ70" s="78"/>
      <c r="CR70" s="78"/>
      <c r="CS70" s="78"/>
      <c r="CT70" s="78"/>
      <c r="CU70" s="78"/>
      <c r="CV70" s="78"/>
      <c r="CW70" s="78"/>
      <c r="CX70" s="78"/>
      <c r="CY70" s="78"/>
      <c r="CZ70" s="78"/>
      <c r="DA70" s="78"/>
      <c r="DB70" s="78"/>
      <c r="DC70" s="78"/>
      <c r="DD70" s="78"/>
      <c r="DE70" s="78"/>
      <c r="DF70" s="78"/>
      <c r="DG70" s="78"/>
      <c r="DH70" s="78"/>
      <c r="DI70" s="78"/>
      <c r="DJ70" s="78"/>
      <c r="DK70" s="78"/>
      <c r="DL70" s="78"/>
      <c r="DM70" s="78"/>
      <c r="DN70" s="78"/>
      <c r="DO70" s="78"/>
      <c r="DP70" s="78"/>
      <c r="DQ70" s="78"/>
      <c r="DR70" s="78"/>
      <c r="DS70" s="78"/>
      <c r="DT70" s="78"/>
      <c r="DU70" s="78"/>
      <c r="DV70" s="78"/>
      <c r="DW70" s="78"/>
      <c r="DX70" s="78"/>
      <c r="DY70" s="78"/>
      <c r="DZ70" s="78"/>
      <c r="EA70" s="78"/>
      <c r="EB70" s="78"/>
      <c r="EC70" s="78"/>
      <c r="ED70" s="78"/>
      <c r="EE70" s="78"/>
      <c r="EF70" s="78"/>
      <c r="EG70" s="78"/>
      <c r="EH70" s="78"/>
      <c r="EI70" s="78"/>
    </row>
    <row r="71" spans="2:140">
      <c r="B71" s="153" t="s">
        <v>149</v>
      </c>
      <c r="C71" s="153"/>
      <c r="D71" s="169"/>
      <c r="E71" s="694">
        <f t="shared" ref="E71:O71" si="70">SUBTOTAL(9,E67:E70)</f>
        <v>0</v>
      </c>
      <c r="F71" s="694">
        <f t="shared" si="70"/>
        <v>0</v>
      </c>
      <c r="G71" s="694">
        <f t="shared" si="70"/>
        <v>0</v>
      </c>
      <c r="H71" s="694">
        <f t="shared" si="70"/>
        <v>0</v>
      </c>
      <c r="I71" s="694">
        <f t="shared" si="70"/>
        <v>0</v>
      </c>
      <c r="J71" s="694">
        <f t="shared" si="70"/>
        <v>0</v>
      </c>
      <c r="K71" s="694">
        <f t="shared" si="70"/>
        <v>0</v>
      </c>
      <c r="L71" s="694">
        <f t="shared" si="70"/>
        <v>0</v>
      </c>
      <c r="M71" s="694">
        <f t="shared" si="70"/>
        <v>0</v>
      </c>
      <c r="N71" s="694">
        <f t="shared" si="70"/>
        <v>0</v>
      </c>
      <c r="O71" s="91">
        <f t="shared" si="70"/>
        <v>0</v>
      </c>
      <c r="S71" s="169"/>
      <c r="T71" s="694">
        <f t="shared" ref="T71:AY71" si="71">SUBTOTAL(9,T67:T70)</f>
        <v>0</v>
      </c>
      <c r="U71" s="694">
        <f t="shared" si="71"/>
        <v>0</v>
      </c>
      <c r="V71" s="694">
        <f t="shared" si="71"/>
        <v>0</v>
      </c>
      <c r="W71" s="694">
        <f t="shared" si="71"/>
        <v>0</v>
      </c>
      <c r="X71" s="694">
        <f t="shared" si="71"/>
        <v>0</v>
      </c>
      <c r="Y71" s="694">
        <f t="shared" si="71"/>
        <v>0</v>
      </c>
      <c r="Z71" s="694">
        <f t="shared" si="71"/>
        <v>0</v>
      </c>
      <c r="AA71" s="694">
        <f t="shared" si="71"/>
        <v>0</v>
      </c>
      <c r="AB71" s="694">
        <f t="shared" si="71"/>
        <v>0</v>
      </c>
      <c r="AC71" s="694">
        <f t="shared" si="71"/>
        <v>0</v>
      </c>
      <c r="AD71" s="694">
        <f t="shared" si="71"/>
        <v>0</v>
      </c>
      <c r="AE71" s="694">
        <f t="shared" si="71"/>
        <v>0</v>
      </c>
      <c r="AF71" s="694">
        <f t="shared" si="71"/>
        <v>0</v>
      </c>
      <c r="AG71" s="694">
        <f t="shared" si="71"/>
        <v>0</v>
      </c>
      <c r="AH71" s="694">
        <f t="shared" si="71"/>
        <v>0</v>
      </c>
      <c r="AI71" s="694">
        <f t="shared" si="71"/>
        <v>0</v>
      </c>
      <c r="AJ71" s="694">
        <f t="shared" si="71"/>
        <v>0</v>
      </c>
      <c r="AK71" s="694">
        <f t="shared" si="71"/>
        <v>0</v>
      </c>
      <c r="AL71" s="694">
        <f t="shared" si="71"/>
        <v>0</v>
      </c>
      <c r="AM71" s="694">
        <f t="shared" si="71"/>
        <v>0</v>
      </c>
      <c r="AN71" s="694">
        <f t="shared" si="71"/>
        <v>0</v>
      </c>
      <c r="AO71" s="694">
        <f t="shared" si="71"/>
        <v>0</v>
      </c>
      <c r="AP71" s="694">
        <f t="shared" si="71"/>
        <v>0</v>
      </c>
      <c r="AQ71" s="694">
        <f t="shared" si="71"/>
        <v>0</v>
      </c>
      <c r="AR71" s="694">
        <f t="shared" si="71"/>
        <v>0</v>
      </c>
      <c r="AS71" s="694">
        <f t="shared" si="71"/>
        <v>0</v>
      </c>
      <c r="AT71" s="694">
        <f t="shared" si="71"/>
        <v>0</v>
      </c>
      <c r="AU71" s="694">
        <f t="shared" si="71"/>
        <v>0</v>
      </c>
      <c r="AV71" s="694">
        <f t="shared" si="71"/>
        <v>0</v>
      </c>
      <c r="AW71" s="694">
        <f t="shared" si="71"/>
        <v>0</v>
      </c>
      <c r="AX71" s="694">
        <f t="shared" si="71"/>
        <v>0</v>
      </c>
      <c r="AY71" s="694">
        <f t="shared" si="71"/>
        <v>0</v>
      </c>
      <c r="AZ71" s="694">
        <f t="shared" ref="AZ71:CE71" si="72">SUBTOTAL(9,AZ67:AZ70)</f>
        <v>0</v>
      </c>
      <c r="BA71" s="694">
        <f t="shared" si="72"/>
        <v>0</v>
      </c>
      <c r="BB71" s="694">
        <f t="shared" si="72"/>
        <v>0</v>
      </c>
      <c r="BC71" s="694">
        <f t="shared" si="72"/>
        <v>0</v>
      </c>
      <c r="BD71" s="694">
        <f t="shared" si="72"/>
        <v>0</v>
      </c>
      <c r="BE71" s="694">
        <f t="shared" si="72"/>
        <v>0</v>
      </c>
      <c r="BF71" s="694">
        <f t="shared" si="72"/>
        <v>0</v>
      </c>
      <c r="BG71" s="694">
        <f t="shared" si="72"/>
        <v>0</v>
      </c>
      <c r="BH71" s="694">
        <f t="shared" si="72"/>
        <v>0</v>
      </c>
      <c r="BI71" s="694">
        <f t="shared" si="72"/>
        <v>0</v>
      </c>
      <c r="BJ71" s="694">
        <f t="shared" si="72"/>
        <v>0</v>
      </c>
      <c r="BK71" s="694">
        <f t="shared" si="72"/>
        <v>0</v>
      </c>
      <c r="BL71" s="694">
        <f t="shared" si="72"/>
        <v>0</v>
      </c>
      <c r="BM71" s="694">
        <f t="shared" si="72"/>
        <v>0</v>
      </c>
      <c r="BN71" s="694">
        <f t="shared" si="72"/>
        <v>0</v>
      </c>
      <c r="BO71" s="694">
        <f t="shared" si="72"/>
        <v>0</v>
      </c>
      <c r="BP71" s="694">
        <f t="shared" si="72"/>
        <v>0</v>
      </c>
      <c r="BQ71" s="694">
        <f t="shared" si="72"/>
        <v>0</v>
      </c>
      <c r="BR71" s="694">
        <f t="shared" si="72"/>
        <v>0</v>
      </c>
      <c r="BS71" s="694">
        <f t="shared" si="72"/>
        <v>0</v>
      </c>
      <c r="BT71" s="694">
        <f t="shared" si="72"/>
        <v>0</v>
      </c>
      <c r="BU71" s="694">
        <f t="shared" si="72"/>
        <v>0</v>
      </c>
      <c r="BV71" s="694">
        <f t="shared" si="72"/>
        <v>0</v>
      </c>
      <c r="BW71" s="694">
        <f t="shared" si="72"/>
        <v>0</v>
      </c>
      <c r="BX71" s="694">
        <f t="shared" si="72"/>
        <v>0</v>
      </c>
      <c r="BY71" s="694">
        <f t="shared" si="72"/>
        <v>0</v>
      </c>
      <c r="BZ71" s="694">
        <f t="shared" si="72"/>
        <v>0</v>
      </c>
      <c r="CA71" s="694">
        <f t="shared" si="72"/>
        <v>0</v>
      </c>
      <c r="CB71" s="694">
        <f t="shared" si="72"/>
        <v>0</v>
      </c>
      <c r="CC71" s="694">
        <f t="shared" si="72"/>
        <v>0</v>
      </c>
      <c r="CD71" s="694">
        <f t="shared" si="72"/>
        <v>0</v>
      </c>
      <c r="CE71" s="694">
        <f t="shared" si="72"/>
        <v>0</v>
      </c>
      <c r="CF71" s="694">
        <f t="shared" ref="CF71:DK71" si="73">SUBTOTAL(9,CF67:CF70)</f>
        <v>0</v>
      </c>
      <c r="CG71" s="694">
        <f t="shared" si="73"/>
        <v>0</v>
      </c>
      <c r="CH71" s="694">
        <f t="shared" si="73"/>
        <v>0</v>
      </c>
      <c r="CI71" s="694">
        <f t="shared" si="73"/>
        <v>0</v>
      </c>
      <c r="CJ71" s="694">
        <f t="shared" si="73"/>
        <v>0</v>
      </c>
      <c r="CK71" s="694">
        <f t="shared" si="73"/>
        <v>0</v>
      </c>
      <c r="CL71" s="694">
        <f t="shared" si="73"/>
        <v>0</v>
      </c>
      <c r="CM71" s="694">
        <f t="shared" si="73"/>
        <v>0</v>
      </c>
      <c r="CN71" s="694">
        <f t="shared" si="73"/>
        <v>0</v>
      </c>
      <c r="CO71" s="694">
        <f t="shared" si="73"/>
        <v>0</v>
      </c>
      <c r="CP71" s="694">
        <f t="shared" si="73"/>
        <v>0</v>
      </c>
      <c r="CQ71" s="694">
        <f t="shared" si="73"/>
        <v>0</v>
      </c>
      <c r="CR71" s="694">
        <f t="shared" si="73"/>
        <v>0</v>
      </c>
      <c r="CS71" s="694">
        <f t="shared" si="73"/>
        <v>0</v>
      </c>
      <c r="CT71" s="694">
        <f t="shared" si="73"/>
        <v>0</v>
      </c>
      <c r="CU71" s="694">
        <f t="shared" si="73"/>
        <v>0</v>
      </c>
      <c r="CV71" s="694">
        <f t="shared" si="73"/>
        <v>0</v>
      </c>
      <c r="CW71" s="694">
        <f t="shared" si="73"/>
        <v>0</v>
      </c>
      <c r="CX71" s="694">
        <f t="shared" si="73"/>
        <v>0</v>
      </c>
      <c r="CY71" s="694">
        <f t="shared" si="73"/>
        <v>0</v>
      </c>
      <c r="CZ71" s="694">
        <f t="shared" si="73"/>
        <v>0</v>
      </c>
      <c r="DA71" s="694">
        <f t="shared" si="73"/>
        <v>0</v>
      </c>
      <c r="DB71" s="694">
        <f t="shared" si="73"/>
        <v>0</v>
      </c>
      <c r="DC71" s="694">
        <f t="shared" si="73"/>
        <v>0</v>
      </c>
      <c r="DD71" s="694">
        <f t="shared" si="73"/>
        <v>0</v>
      </c>
      <c r="DE71" s="694">
        <f t="shared" si="73"/>
        <v>0</v>
      </c>
      <c r="DF71" s="694">
        <f t="shared" si="73"/>
        <v>0</v>
      </c>
      <c r="DG71" s="694">
        <f t="shared" si="73"/>
        <v>0</v>
      </c>
      <c r="DH71" s="694">
        <f t="shared" si="73"/>
        <v>0</v>
      </c>
      <c r="DI71" s="694">
        <f t="shared" si="73"/>
        <v>0</v>
      </c>
      <c r="DJ71" s="694">
        <f t="shared" si="73"/>
        <v>0</v>
      </c>
      <c r="DK71" s="694">
        <f t="shared" si="73"/>
        <v>0</v>
      </c>
      <c r="DL71" s="694">
        <f t="shared" ref="DL71:EQ71" si="74">SUBTOTAL(9,DL67:DL70)</f>
        <v>0</v>
      </c>
      <c r="DM71" s="694">
        <f t="shared" si="74"/>
        <v>0</v>
      </c>
      <c r="DN71" s="694">
        <f t="shared" si="74"/>
        <v>0</v>
      </c>
      <c r="DO71" s="694">
        <f t="shared" si="74"/>
        <v>0</v>
      </c>
      <c r="DP71" s="694">
        <f t="shared" si="74"/>
        <v>0</v>
      </c>
      <c r="DQ71" s="694">
        <f t="shared" si="74"/>
        <v>0</v>
      </c>
      <c r="DR71" s="694">
        <f t="shared" si="74"/>
        <v>0</v>
      </c>
      <c r="DS71" s="694">
        <f t="shared" si="74"/>
        <v>0</v>
      </c>
      <c r="DT71" s="694">
        <f t="shared" si="74"/>
        <v>0</v>
      </c>
      <c r="DU71" s="694">
        <f t="shared" si="74"/>
        <v>0</v>
      </c>
      <c r="DV71" s="694">
        <f t="shared" si="74"/>
        <v>0</v>
      </c>
      <c r="DW71" s="694">
        <f t="shared" si="74"/>
        <v>0</v>
      </c>
      <c r="DX71" s="694">
        <f t="shared" si="74"/>
        <v>0</v>
      </c>
      <c r="DY71" s="694">
        <f t="shared" si="74"/>
        <v>0</v>
      </c>
      <c r="DZ71" s="694">
        <f t="shared" si="74"/>
        <v>0</v>
      </c>
      <c r="EA71" s="694">
        <f t="shared" si="74"/>
        <v>0</v>
      </c>
      <c r="EB71" s="694">
        <f t="shared" si="74"/>
        <v>0</v>
      </c>
      <c r="EC71" s="694">
        <f t="shared" si="74"/>
        <v>0</v>
      </c>
      <c r="ED71" s="694">
        <f t="shared" si="74"/>
        <v>0</v>
      </c>
      <c r="EE71" s="694">
        <f t="shared" si="74"/>
        <v>0</v>
      </c>
      <c r="EF71" s="694">
        <f t="shared" si="74"/>
        <v>0</v>
      </c>
      <c r="EG71" s="694">
        <f t="shared" si="74"/>
        <v>0</v>
      </c>
      <c r="EH71" s="694">
        <f t="shared" si="74"/>
        <v>0</v>
      </c>
      <c r="EI71" s="694">
        <f t="shared" si="74"/>
        <v>0</v>
      </c>
    </row>
    <row r="72" spans="2:140" ht="12.75" customHeight="1">
      <c r="B72" s="32" t="s">
        <v>150</v>
      </c>
      <c r="C72" s="27"/>
      <c r="D72" s="78"/>
      <c r="E72" s="78">
        <f t="shared" ref="E72:N72" si="75">SUMIF($S$6:$EI$6,E$5,$S72:$EI72)</f>
        <v>0</v>
      </c>
      <c r="F72" s="78">
        <f t="shared" si="75"/>
        <v>0</v>
      </c>
      <c r="G72" s="78">
        <f t="shared" si="75"/>
        <v>0</v>
      </c>
      <c r="H72" s="78">
        <f t="shared" si="75"/>
        <v>0</v>
      </c>
      <c r="I72" s="78">
        <f t="shared" si="75"/>
        <v>0</v>
      </c>
      <c r="J72" s="78">
        <f t="shared" si="75"/>
        <v>0</v>
      </c>
      <c r="K72" s="78">
        <f t="shared" si="75"/>
        <v>0</v>
      </c>
      <c r="L72" s="78">
        <f t="shared" si="75"/>
        <v>0</v>
      </c>
      <c r="M72" s="78">
        <f t="shared" si="75"/>
        <v>0</v>
      </c>
      <c r="N72" s="78">
        <f t="shared" si="75"/>
        <v>0</v>
      </c>
      <c r="O72" s="145">
        <f>SUM(D72:N72)</f>
        <v>0</v>
      </c>
      <c r="S72" s="78"/>
      <c r="T72" s="78">
        <f t="shared" ref="T72:AY72" si="76">IF($O$12,-T71,)</f>
        <v>0</v>
      </c>
      <c r="U72" s="78">
        <f t="shared" si="76"/>
        <v>0</v>
      </c>
      <c r="V72" s="78">
        <f t="shared" si="76"/>
        <v>0</v>
      </c>
      <c r="W72" s="78">
        <f t="shared" si="76"/>
        <v>0</v>
      </c>
      <c r="X72" s="78">
        <f t="shared" si="76"/>
        <v>0</v>
      </c>
      <c r="Y72" s="78">
        <f t="shared" si="76"/>
        <v>0</v>
      </c>
      <c r="Z72" s="78">
        <f t="shared" si="76"/>
        <v>0</v>
      </c>
      <c r="AA72" s="78">
        <f t="shared" si="76"/>
        <v>0</v>
      </c>
      <c r="AB72" s="78">
        <f t="shared" si="76"/>
        <v>0</v>
      </c>
      <c r="AC72" s="78">
        <f t="shared" si="76"/>
        <v>0</v>
      </c>
      <c r="AD72" s="78">
        <f t="shared" si="76"/>
        <v>0</v>
      </c>
      <c r="AE72" s="78">
        <f t="shared" si="76"/>
        <v>0</v>
      </c>
      <c r="AF72" s="78">
        <f t="shared" si="76"/>
        <v>0</v>
      </c>
      <c r="AG72" s="78">
        <f t="shared" si="76"/>
        <v>0</v>
      </c>
      <c r="AH72" s="78">
        <f t="shared" si="76"/>
        <v>0</v>
      </c>
      <c r="AI72" s="78">
        <f t="shared" si="76"/>
        <v>0</v>
      </c>
      <c r="AJ72" s="78">
        <f t="shared" si="76"/>
        <v>0</v>
      </c>
      <c r="AK72" s="78">
        <f t="shared" si="76"/>
        <v>0</v>
      </c>
      <c r="AL72" s="78">
        <f t="shared" si="76"/>
        <v>0</v>
      </c>
      <c r="AM72" s="78">
        <f t="shared" si="76"/>
        <v>0</v>
      </c>
      <c r="AN72" s="78">
        <f t="shared" si="76"/>
        <v>0</v>
      </c>
      <c r="AO72" s="78">
        <f t="shared" si="76"/>
        <v>0</v>
      </c>
      <c r="AP72" s="78">
        <f t="shared" si="76"/>
        <v>0</v>
      </c>
      <c r="AQ72" s="78">
        <f t="shared" si="76"/>
        <v>0</v>
      </c>
      <c r="AR72" s="78">
        <f t="shared" si="76"/>
        <v>0</v>
      </c>
      <c r="AS72" s="78">
        <f t="shared" si="76"/>
        <v>0</v>
      </c>
      <c r="AT72" s="78">
        <f t="shared" si="76"/>
        <v>0</v>
      </c>
      <c r="AU72" s="78">
        <f t="shared" si="76"/>
        <v>0</v>
      </c>
      <c r="AV72" s="78">
        <f t="shared" si="76"/>
        <v>0</v>
      </c>
      <c r="AW72" s="78">
        <f t="shared" si="76"/>
        <v>0</v>
      </c>
      <c r="AX72" s="78">
        <f t="shared" si="76"/>
        <v>0</v>
      </c>
      <c r="AY72" s="78">
        <f t="shared" si="76"/>
        <v>0</v>
      </c>
      <c r="AZ72" s="78">
        <f t="shared" ref="AZ72:CE72" si="77">IF($O$12,-AZ71,)</f>
        <v>0</v>
      </c>
      <c r="BA72" s="78">
        <f t="shared" si="77"/>
        <v>0</v>
      </c>
      <c r="BB72" s="78">
        <f t="shared" si="77"/>
        <v>0</v>
      </c>
      <c r="BC72" s="78">
        <f t="shared" si="77"/>
        <v>0</v>
      </c>
      <c r="BD72" s="78">
        <f t="shared" si="77"/>
        <v>0</v>
      </c>
      <c r="BE72" s="78">
        <f t="shared" si="77"/>
        <v>0</v>
      </c>
      <c r="BF72" s="78">
        <f t="shared" si="77"/>
        <v>0</v>
      </c>
      <c r="BG72" s="78">
        <f t="shared" si="77"/>
        <v>0</v>
      </c>
      <c r="BH72" s="78">
        <f t="shared" si="77"/>
        <v>0</v>
      </c>
      <c r="BI72" s="78">
        <f t="shared" si="77"/>
        <v>0</v>
      </c>
      <c r="BJ72" s="78">
        <f t="shared" si="77"/>
        <v>0</v>
      </c>
      <c r="BK72" s="78">
        <f t="shared" si="77"/>
        <v>0</v>
      </c>
      <c r="BL72" s="78">
        <f t="shared" si="77"/>
        <v>0</v>
      </c>
      <c r="BM72" s="78">
        <f t="shared" si="77"/>
        <v>0</v>
      </c>
      <c r="BN72" s="78">
        <f t="shared" si="77"/>
        <v>0</v>
      </c>
      <c r="BO72" s="78">
        <f t="shared" si="77"/>
        <v>0</v>
      </c>
      <c r="BP72" s="78">
        <f t="shared" si="77"/>
        <v>0</v>
      </c>
      <c r="BQ72" s="78">
        <f t="shared" si="77"/>
        <v>0</v>
      </c>
      <c r="BR72" s="78">
        <f t="shared" si="77"/>
        <v>0</v>
      </c>
      <c r="BS72" s="78">
        <f t="shared" si="77"/>
        <v>0</v>
      </c>
      <c r="BT72" s="78">
        <f t="shared" si="77"/>
        <v>0</v>
      </c>
      <c r="BU72" s="78">
        <f t="shared" si="77"/>
        <v>0</v>
      </c>
      <c r="BV72" s="78">
        <f t="shared" si="77"/>
        <v>0</v>
      </c>
      <c r="BW72" s="78">
        <f t="shared" si="77"/>
        <v>0</v>
      </c>
      <c r="BX72" s="78">
        <f t="shared" si="77"/>
        <v>0</v>
      </c>
      <c r="BY72" s="78">
        <f t="shared" si="77"/>
        <v>0</v>
      </c>
      <c r="BZ72" s="78">
        <f t="shared" si="77"/>
        <v>0</v>
      </c>
      <c r="CA72" s="78">
        <f t="shared" si="77"/>
        <v>0</v>
      </c>
      <c r="CB72" s="78">
        <f t="shared" si="77"/>
        <v>0</v>
      </c>
      <c r="CC72" s="78">
        <f t="shared" si="77"/>
        <v>0</v>
      </c>
      <c r="CD72" s="78">
        <f t="shared" si="77"/>
        <v>0</v>
      </c>
      <c r="CE72" s="78">
        <f t="shared" si="77"/>
        <v>0</v>
      </c>
      <c r="CF72" s="78">
        <f t="shared" ref="CF72:DK72" si="78">IF($O$12,-CF71,)</f>
        <v>0</v>
      </c>
      <c r="CG72" s="78">
        <f t="shared" si="78"/>
        <v>0</v>
      </c>
      <c r="CH72" s="78">
        <f t="shared" si="78"/>
        <v>0</v>
      </c>
      <c r="CI72" s="78">
        <f t="shared" si="78"/>
        <v>0</v>
      </c>
      <c r="CJ72" s="78">
        <f t="shared" si="78"/>
        <v>0</v>
      </c>
      <c r="CK72" s="78">
        <f t="shared" si="78"/>
        <v>0</v>
      </c>
      <c r="CL72" s="78">
        <f t="shared" si="78"/>
        <v>0</v>
      </c>
      <c r="CM72" s="78">
        <f t="shared" si="78"/>
        <v>0</v>
      </c>
      <c r="CN72" s="78">
        <f t="shared" si="78"/>
        <v>0</v>
      </c>
      <c r="CO72" s="78">
        <f t="shared" si="78"/>
        <v>0</v>
      </c>
      <c r="CP72" s="78">
        <f t="shared" si="78"/>
        <v>0</v>
      </c>
      <c r="CQ72" s="78">
        <f t="shared" si="78"/>
        <v>0</v>
      </c>
      <c r="CR72" s="78">
        <f t="shared" si="78"/>
        <v>0</v>
      </c>
      <c r="CS72" s="78">
        <f t="shared" si="78"/>
        <v>0</v>
      </c>
      <c r="CT72" s="78">
        <f t="shared" si="78"/>
        <v>0</v>
      </c>
      <c r="CU72" s="78">
        <f t="shared" si="78"/>
        <v>0</v>
      </c>
      <c r="CV72" s="78">
        <f t="shared" si="78"/>
        <v>0</v>
      </c>
      <c r="CW72" s="78">
        <f t="shared" si="78"/>
        <v>0</v>
      </c>
      <c r="CX72" s="78">
        <f t="shared" si="78"/>
        <v>0</v>
      </c>
      <c r="CY72" s="78">
        <f t="shared" si="78"/>
        <v>0</v>
      </c>
      <c r="CZ72" s="78">
        <f t="shared" si="78"/>
        <v>0</v>
      </c>
      <c r="DA72" s="78">
        <f t="shared" si="78"/>
        <v>0</v>
      </c>
      <c r="DB72" s="78">
        <f t="shared" si="78"/>
        <v>0</v>
      </c>
      <c r="DC72" s="78">
        <f t="shared" si="78"/>
        <v>0</v>
      </c>
      <c r="DD72" s="78">
        <f t="shared" si="78"/>
        <v>0</v>
      </c>
      <c r="DE72" s="78">
        <f t="shared" si="78"/>
        <v>0</v>
      </c>
      <c r="DF72" s="78">
        <f t="shared" si="78"/>
        <v>0</v>
      </c>
      <c r="DG72" s="78">
        <f t="shared" si="78"/>
        <v>0</v>
      </c>
      <c r="DH72" s="78">
        <f t="shared" si="78"/>
        <v>0</v>
      </c>
      <c r="DI72" s="78">
        <f t="shared" si="78"/>
        <v>0</v>
      </c>
      <c r="DJ72" s="78">
        <f t="shared" si="78"/>
        <v>0</v>
      </c>
      <c r="DK72" s="78">
        <f t="shared" si="78"/>
        <v>0</v>
      </c>
      <c r="DL72" s="78">
        <f t="shared" ref="DL72:EQ72" si="79">IF($O$12,-DL71,)</f>
        <v>0</v>
      </c>
      <c r="DM72" s="78">
        <f t="shared" si="79"/>
        <v>0</v>
      </c>
      <c r="DN72" s="78">
        <f t="shared" si="79"/>
        <v>0</v>
      </c>
      <c r="DO72" s="78">
        <f t="shared" si="79"/>
        <v>0</v>
      </c>
      <c r="DP72" s="78">
        <f t="shared" si="79"/>
        <v>0</v>
      </c>
      <c r="DQ72" s="78">
        <f t="shared" si="79"/>
        <v>0</v>
      </c>
      <c r="DR72" s="78">
        <f t="shared" si="79"/>
        <v>0</v>
      </c>
      <c r="DS72" s="78">
        <f t="shared" si="79"/>
        <v>0</v>
      </c>
      <c r="DT72" s="78">
        <f t="shared" si="79"/>
        <v>0</v>
      </c>
      <c r="DU72" s="78">
        <f t="shared" si="79"/>
        <v>0</v>
      </c>
      <c r="DV72" s="78">
        <f t="shared" si="79"/>
        <v>0</v>
      </c>
      <c r="DW72" s="78">
        <f t="shared" si="79"/>
        <v>0</v>
      </c>
      <c r="DX72" s="78">
        <f t="shared" si="79"/>
        <v>0</v>
      </c>
      <c r="DY72" s="78">
        <f t="shared" si="79"/>
        <v>0</v>
      </c>
      <c r="DZ72" s="78">
        <f t="shared" si="79"/>
        <v>0</v>
      </c>
      <c r="EA72" s="78">
        <f t="shared" si="79"/>
        <v>0</v>
      </c>
      <c r="EB72" s="78">
        <f t="shared" si="79"/>
        <v>0</v>
      </c>
      <c r="EC72" s="78">
        <f t="shared" si="79"/>
        <v>0</v>
      </c>
      <c r="ED72" s="78">
        <f t="shared" si="79"/>
        <v>0</v>
      </c>
      <c r="EE72" s="78">
        <f t="shared" si="79"/>
        <v>0</v>
      </c>
      <c r="EF72" s="78">
        <f t="shared" si="79"/>
        <v>0</v>
      </c>
      <c r="EG72" s="78">
        <f t="shared" si="79"/>
        <v>0</v>
      </c>
      <c r="EH72" s="78">
        <f t="shared" si="79"/>
        <v>0</v>
      </c>
      <c r="EI72" s="78">
        <f t="shared" si="79"/>
        <v>0</v>
      </c>
    </row>
    <row r="73" spans="2:140" ht="12.75" customHeight="1">
      <c r="B73" s="32"/>
      <c r="C73" s="27"/>
      <c r="D73" s="78"/>
      <c r="E73" s="78"/>
      <c r="F73" s="78"/>
      <c r="G73" s="78"/>
      <c r="H73" s="78"/>
      <c r="I73" s="78"/>
      <c r="J73" s="78"/>
      <c r="K73" s="78"/>
      <c r="L73" s="78"/>
      <c r="M73" s="78"/>
      <c r="N73" s="78"/>
      <c r="O73" s="145"/>
      <c r="S73" s="78"/>
      <c r="T73" s="78"/>
      <c r="U73" s="78"/>
      <c r="V73" s="78"/>
      <c r="W73" s="78"/>
      <c r="X73" s="78"/>
      <c r="Y73" s="78"/>
      <c r="Z73" s="78"/>
      <c r="AA73" s="78"/>
      <c r="AB73" s="78"/>
      <c r="AC73" s="78"/>
      <c r="AD73" s="78"/>
      <c r="AE73" s="78"/>
      <c r="AF73" s="78"/>
      <c r="AG73" s="78"/>
      <c r="AH73" s="78"/>
      <c r="AI73" s="78"/>
      <c r="AJ73" s="78"/>
      <c r="AK73" s="78"/>
      <c r="AL73" s="78"/>
      <c r="AM73" s="78"/>
      <c r="AN73" s="78"/>
      <c r="AO73" s="78"/>
      <c r="AP73" s="78"/>
      <c r="AQ73" s="78"/>
      <c r="AR73" s="78"/>
      <c r="AS73" s="78"/>
      <c r="AT73" s="78"/>
      <c r="AU73" s="78"/>
      <c r="AV73" s="78"/>
      <c r="AW73" s="78"/>
      <c r="AX73" s="78"/>
      <c r="AY73" s="78"/>
      <c r="AZ73" s="78"/>
      <c r="BA73" s="78"/>
      <c r="BB73" s="78"/>
      <c r="BC73" s="78"/>
      <c r="BD73" s="78"/>
      <c r="BE73" s="78"/>
      <c r="BF73" s="78"/>
      <c r="BG73" s="78"/>
      <c r="BH73" s="78"/>
      <c r="BI73" s="78"/>
      <c r="BJ73" s="78"/>
      <c r="BK73" s="78"/>
      <c r="BL73" s="78"/>
      <c r="BM73" s="78"/>
      <c r="BN73" s="78"/>
      <c r="BO73" s="78"/>
      <c r="BP73" s="78"/>
      <c r="BQ73" s="78"/>
      <c r="BR73" s="78"/>
      <c r="BS73" s="78"/>
      <c r="BT73" s="78"/>
      <c r="BU73" s="78"/>
      <c r="BV73" s="78"/>
      <c r="BW73" s="78"/>
      <c r="BX73" s="78"/>
      <c r="BY73" s="78"/>
      <c r="BZ73" s="78"/>
      <c r="CA73" s="78"/>
      <c r="CB73" s="78"/>
      <c r="CC73" s="78"/>
      <c r="CD73" s="78"/>
      <c r="CE73" s="78"/>
      <c r="CF73" s="78"/>
      <c r="CG73" s="78"/>
      <c r="CH73" s="78"/>
      <c r="CI73" s="78"/>
      <c r="CJ73" s="78"/>
      <c r="CK73" s="78"/>
      <c r="CL73" s="78"/>
      <c r="CM73" s="78"/>
      <c r="CN73" s="78"/>
      <c r="CO73" s="78"/>
      <c r="CP73" s="78"/>
      <c r="CQ73" s="78"/>
      <c r="CR73" s="78"/>
      <c r="CS73" s="78"/>
      <c r="CT73" s="78"/>
      <c r="CU73" s="78"/>
      <c r="CV73" s="78"/>
      <c r="CW73" s="78"/>
      <c r="CX73" s="78"/>
      <c r="CY73" s="78"/>
      <c r="CZ73" s="78"/>
      <c r="DA73" s="78"/>
      <c r="DB73" s="78"/>
      <c r="DC73" s="78"/>
      <c r="DD73" s="78"/>
      <c r="DE73" s="78"/>
      <c r="DF73" s="78"/>
      <c r="DG73" s="78"/>
      <c r="DH73" s="78"/>
      <c r="DI73" s="78"/>
      <c r="DJ73" s="78"/>
      <c r="DK73" s="78"/>
      <c r="DL73" s="78"/>
      <c r="DM73" s="78"/>
      <c r="DN73" s="78"/>
      <c r="DO73" s="78"/>
      <c r="DP73" s="78"/>
      <c r="DQ73" s="78"/>
      <c r="DR73" s="78"/>
      <c r="DS73" s="78"/>
      <c r="DT73" s="78"/>
      <c r="DU73" s="78"/>
      <c r="DV73" s="78"/>
      <c r="DW73" s="78"/>
      <c r="DX73" s="78"/>
      <c r="DY73" s="78"/>
      <c r="DZ73" s="78"/>
      <c r="EA73" s="78"/>
      <c r="EB73" s="78"/>
      <c r="EC73" s="78"/>
      <c r="ED73" s="78"/>
      <c r="EE73" s="78"/>
      <c r="EF73" s="78"/>
      <c r="EG73" s="78"/>
      <c r="EH73" s="78"/>
      <c r="EI73" s="78"/>
    </row>
    <row r="74" spans="2:140" ht="12.75" customHeight="1"/>
    <row r="75" spans="2:140" ht="12.75" customHeight="1"/>
    <row r="76" spans="2:140" ht="14.25" customHeight="1">
      <c r="B76" s="1043" t="s">
        <v>151</v>
      </c>
      <c r="C76" s="196"/>
      <c r="D76" s="204"/>
      <c r="E76" s="204">
        <f t="shared" ref="E76:O76" si="80">SUBTOTAL(9,E18:E72)</f>
        <v>1013735.7586710614</v>
      </c>
      <c r="F76" s="204">
        <f t="shared" si="80"/>
        <v>1056179.4324117121</v>
      </c>
      <c r="G76" s="204">
        <f t="shared" si="80"/>
        <v>1118852.1397523265</v>
      </c>
      <c r="H76" s="204">
        <f t="shared" si="80"/>
        <v>1167400.4878539424</v>
      </c>
      <c r="I76" s="204">
        <f t="shared" si="80"/>
        <v>1217633.7596158781</v>
      </c>
      <c r="J76" s="204">
        <f t="shared" si="80"/>
        <v>1261529.7824043559</v>
      </c>
      <c r="K76" s="204">
        <f t="shared" si="80"/>
        <v>1306742.6858764878</v>
      </c>
      <c r="L76" s="204">
        <f t="shared" si="80"/>
        <v>0</v>
      </c>
      <c r="M76" s="204">
        <f t="shared" si="80"/>
        <v>0</v>
      </c>
      <c r="N76" s="204">
        <f t="shared" si="80"/>
        <v>0</v>
      </c>
      <c r="O76" s="204">
        <f t="shared" si="80"/>
        <v>8142074.0465857666</v>
      </c>
      <c r="S76" s="204"/>
      <c r="T76" s="204">
        <f t="shared" ref="T76:AY76" si="81">SUBTOTAL(9,T18:T72)</f>
        <v>84477.979889255148</v>
      </c>
      <c r="U76" s="204">
        <f t="shared" si="81"/>
        <v>84477.979889255148</v>
      </c>
      <c r="V76" s="204">
        <f t="shared" si="81"/>
        <v>84477.979889255148</v>
      </c>
      <c r="W76" s="204">
        <f t="shared" si="81"/>
        <v>84477.979889255148</v>
      </c>
      <c r="X76" s="204">
        <f t="shared" si="81"/>
        <v>84477.979889255148</v>
      </c>
      <c r="Y76" s="204">
        <f t="shared" si="81"/>
        <v>84477.979889255148</v>
      </c>
      <c r="Z76" s="204">
        <f t="shared" si="81"/>
        <v>84477.979889255148</v>
      </c>
      <c r="AA76" s="204">
        <f t="shared" si="81"/>
        <v>84477.979889255148</v>
      </c>
      <c r="AB76" s="204">
        <f t="shared" si="81"/>
        <v>84477.979889255148</v>
      </c>
      <c r="AC76" s="204">
        <f t="shared" si="81"/>
        <v>84477.979889255148</v>
      </c>
      <c r="AD76" s="204">
        <f t="shared" si="81"/>
        <v>84477.979889255148</v>
      </c>
      <c r="AE76" s="204">
        <f t="shared" si="81"/>
        <v>84477.979889255148</v>
      </c>
      <c r="AF76" s="204">
        <f t="shared" si="81"/>
        <v>87033.086713957251</v>
      </c>
      <c r="AG76" s="204">
        <f t="shared" si="81"/>
        <v>87210.626754753146</v>
      </c>
      <c r="AH76" s="204">
        <f t="shared" si="81"/>
        <v>87388.460017360761</v>
      </c>
      <c r="AI76" s="204">
        <f t="shared" si="81"/>
        <v>87566.586986059745</v>
      </c>
      <c r="AJ76" s="204">
        <f t="shared" si="81"/>
        <v>87745.008145929634</v>
      </c>
      <c r="AK76" s="204">
        <f t="shared" si="81"/>
        <v>87923.723982850977</v>
      </c>
      <c r="AL76" s="204">
        <f t="shared" si="81"/>
        <v>88102.73498350702</v>
      </c>
      <c r="AM76" s="204">
        <f t="shared" si="81"/>
        <v>88282.041635384507</v>
      </c>
      <c r="AN76" s="204">
        <f t="shared" si="81"/>
        <v>88461.644426775616</v>
      </c>
      <c r="AO76" s="204">
        <f t="shared" si="81"/>
        <v>88641.543846778673</v>
      </c>
      <c r="AP76" s="204">
        <f t="shared" si="81"/>
        <v>88821.740385300072</v>
      </c>
      <c r="AQ76" s="204">
        <f t="shared" si="81"/>
        <v>89002.234533055191</v>
      </c>
      <c r="AR76" s="204">
        <f t="shared" si="81"/>
        <v>91703.606037454709</v>
      </c>
      <c r="AS76" s="204">
        <f t="shared" si="81"/>
        <v>91980.241408134083</v>
      </c>
      <c r="AT76" s="204">
        <f t="shared" si="81"/>
        <v>92257.559036266102</v>
      </c>
      <c r="AU76" s="204">
        <f t="shared" si="81"/>
        <v>92535.560604481725</v>
      </c>
      <c r="AV76" s="204">
        <f t="shared" si="81"/>
        <v>92814.247799561665</v>
      </c>
      <c r="AW76" s="204">
        <f t="shared" si="81"/>
        <v>93093.622312446765</v>
      </c>
      <c r="AX76" s="204">
        <f t="shared" si="81"/>
        <v>93373.685838248173</v>
      </c>
      <c r="AY76" s="204">
        <f t="shared" si="81"/>
        <v>93654.440076257568</v>
      </c>
      <c r="AZ76" s="204">
        <f t="shared" ref="AZ76:CE76" si="82">SUBTOTAL(9,AZ18:AZ72)</f>
        <v>93935.886729957609</v>
      </c>
      <c r="BA76" s="204">
        <f t="shared" si="82"/>
        <v>94218.027507032166</v>
      </c>
      <c r="BB76" s="204">
        <f t="shared" si="82"/>
        <v>94500.864119376783</v>
      </c>
      <c r="BC76" s="204">
        <f t="shared" si="82"/>
        <v>94784.398283108952</v>
      </c>
      <c r="BD76" s="204">
        <f t="shared" si="82"/>
        <v>95694.716818064364</v>
      </c>
      <c r="BE76" s="204">
        <f t="shared" si="82"/>
        <v>95981.19534461986</v>
      </c>
      <c r="BF76" s="204">
        <f t="shared" si="82"/>
        <v>96268.380404505791</v>
      </c>
      <c r="BG76" s="204">
        <f t="shared" si="82"/>
        <v>96556.273740223987</v>
      </c>
      <c r="BH76" s="204">
        <f t="shared" si="82"/>
        <v>96844.877098573779</v>
      </c>
      <c r="BI76" s="204">
        <f t="shared" si="82"/>
        <v>97134.19223066236</v>
      </c>
      <c r="BJ76" s="204">
        <f t="shared" si="82"/>
        <v>97424.220891915902</v>
      </c>
      <c r="BK76" s="204">
        <f t="shared" si="82"/>
        <v>97714.96484208983</v>
      </c>
      <c r="BL76" s="204">
        <f t="shared" si="82"/>
        <v>98006.425845279533</v>
      </c>
      <c r="BM76" s="204">
        <f t="shared" si="82"/>
        <v>98298.605669931247</v>
      </c>
      <c r="BN76" s="204">
        <f t="shared" si="82"/>
        <v>98591.506088852504</v>
      </c>
      <c r="BO76" s="204">
        <f t="shared" si="82"/>
        <v>98885.12887922331</v>
      </c>
      <c r="BP76" s="204">
        <f t="shared" si="82"/>
        <v>99824.343475076836</v>
      </c>
      <c r="BQ76" s="204">
        <f t="shared" si="82"/>
        <v>100121.0067750274</v>
      </c>
      <c r="BR76" s="204">
        <f t="shared" si="82"/>
        <v>100418.40172670723</v>
      </c>
      <c r="BS76" s="204">
        <f t="shared" si="82"/>
        <v>100716.53013456677</v>
      </c>
      <c r="BT76" s="204">
        <f t="shared" si="82"/>
        <v>101015.39380750692</v>
      </c>
      <c r="BU76" s="204">
        <f t="shared" si="82"/>
        <v>101314.99455888965</v>
      </c>
      <c r="BV76" s="204">
        <f t="shared" si="82"/>
        <v>101615.33420654933</v>
      </c>
      <c r="BW76" s="204">
        <f t="shared" si="82"/>
        <v>101916.41457280342</v>
      </c>
      <c r="BX76" s="204">
        <f t="shared" si="82"/>
        <v>102218.23748446381</v>
      </c>
      <c r="BY76" s="204">
        <f t="shared" si="82"/>
        <v>102520.80477284787</v>
      </c>
      <c r="BZ76" s="204">
        <f t="shared" si="82"/>
        <v>102824.11827378934</v>
      </c>
      <c r="CA76" s="204">
        <f t="shared" si="82"/>
        <v>103128.17982764966</v>
      </c>
      <c r="CB76" s="204">
        <f t="shared" si="82"/>
        <v>103432.99127932928</v>
      </c>
      <c r="CC76" s="204">
        <f t="shared" si="82"/>
        <v>103738.55447827833</v>
      </c>
      <c r="CD76" s="204">
        <f t="shared" si="82"/>
        <v>104044.87127850854</v>
      </c>
      <c r="CE76" s="204">
        <f t="shared" si="82"/>
        <v>104351.9435386039</v>
      </c>
      <c r="CF76" s="204">
        <f t="shared" ref="CF76:DK76" si="83">SUBTOTAL(9,CF18:CF72)</f>
        <v>104659.77312173223</v>
      </c>
      <c r="CG76" s="204">
        <f t="shared" si="83"/>
        <v>104968.36189565645</v>
      </c>
      <c r="CH76" s="204">
        <f t="shared" si="83"/>
        <v>105277.71173274587</v>
      </c>
      <c r="CI76" s="204">
        <f t="shared" si="83"/>
        <v>105587.82450998758</v>
      </c>
      <c r="CJ76" s="204">
        <f t="shared" si="83"/>
        <v>105898.70210899782</v>
      </c>
      <c r="CK76" s="204">
        <f t="shared" si="83"/>
        <v>106210.34641603337</v>
      </c>
      <c r="CL76" s="204">
        <f t="shared" si="83"/>
        <v>106522.75932200308</v>
      </c>
      <c r="CM76" s="204">
        <f t="shared" si="83"/>
        <v>106835.94272247929</v>
      </c>
      <c r="CN76" s="204">
        <f t="shared" si="83"/>
        <v>107149.89851770923</v>
      </c>
      <c r="CO76" s="204">
        <f t="shared" si="83"/>
        <v>107464.62861262681</v>
      </c>
      <c r="CP76" s="204">
        <f t="shared" si="83"/>
        <v>107780.13491686393</v>
      </c>
      <c r="CQ76" s="204">
        <f t="shared" si="83"/>
        <v>108096.41934476214</v>
      </c>
      <c r="CR76" s="204">
        <f t="shared" si="83"/>
        <v>108413.48381538433</v>
      </c>
      <c r="CS76" s="204">
        <f t="shared" si="83"/>
        <v>108731.33025252627</v>
      </c>
      <c r="CT76" s="204">
        <f t="shared" si="83"/>
        <v>109049.96058472837</v>
      </c>
      <c r="CU76" s="204">
        <f t="shared" si="83"/>
        <v>109369.37674528733</v>
      </c>
      <c r="CV76" s="204">
        <f t="shared" si="83"/>
        <v>109689.58067226791</v>
      </c>
      <c r="CW76" s="204">
        <f t="shared" si="83"/>
        <v>110010.57430851454</v>
      </c>
      <c r="CX76" s="204">
        <f t="shared" si="83"/>
        <v>110332.35960166334</v>
      </c>
      <c r="CY76" s="204">
        <f t="shared" si="83"/>
        <v>110654.93850415378</v>
      </c>
      <c r="CZ76" s="204">
        <f t="shared" si="83"/>
        <v>0</v>
      </c>
      <c r="DA76" s="204">
        <f t="shared" si="83"/>
        <v>0</v>
      </c>
      <c r="DB76" s="204">
        <f t="shared" si="83"/>
        <v>0</v>
      </c>
      <c r="DC76" s="204">
        <f t="shared" si="83"/>
        <v>0</v>
      </c>
      <c r="DD76" s="204">
        <f t="shared" si="83"/>
        <v>0</v>
      </c>
      <c r="DE76" s="204">
        <f t="shared" si="83"/>
        <v>0</v>
      </c>
      <c r="DF76" s="204">
        <f t="shared" si="83"/>
        <v>0</v>
      </c>
      <c r="DG76" s="204">
        <f t="shared" si="83"/>
        <v>0</v>
      </c>
      <c r="DH76" s="204">
        <f t="shared" si="83"/>
        <v>0</v>
      </c>
      <c r="DI76" s="204">
        <f t="shared" si="83"/>
        <v>0</v>
      </c>
      <c r="DJ76" s="204">
        <f t="shared" si="83"/>
        <v>0</v>
      </c>
      <c r="DK76" s="204">
        <f t="shared" si="83"/>
        <v>0</v>
      </c>
      <c r="DL76" s="204">
        <f t="shared" ref="DL76:EI76" si="84">SUBTOTAL(9,DL18:DL72)</f>
        <v>0</v>
      </c>
      <c r="DM76" s="204">
        <f t="shared" si="84"/>
        <v>0</v>
      </c>
      <c r="DN76" s="204">
        <f t="shared" si="84"/>
        <v>0</v>
      </c>
      <c r="DO76" s="204">
        <f t="shared" si="84"/>
        <v>0</v>
      </c>
      <c r="DP76" s="204">
        <f t="shared" si="84"/>
        <v>0</v>
      </c>
      <c r="DQ76" s="204">
        <f t="shared" si="84"/>
        <v>0</v>
      </c>
      <c r="DR76" s="204">
        <f t="shared" si="84"/>
        <v>0</v>
      </c>
      <c r="DS76" s="204">
        <f t="shared" si="84"/>
        <v>0</v>
      </c>
      <c r="DT76" s="204">
        <f t="shared" si="84"/>
        <v>0</v>
      </c>
      <c r="DU76" s="204">
        <f t="shared" si="84"/>
        <v>0</v>
      </c>
      <c r="DV76" s="204">
        <f t="shared" si="84"/>
        <v>0</v>
      </c>
      <c r="DW76" s="204">
        <f t="shared" si="84"/>
        <v>0</v>
      </c>
      <c r="DX76" s="204">
        <f t="shared" si="84"/>
        <v>0</v>
      </c>
      <c r="DY76" s="204">
        <f t="shared" si="84"/>
        <v>0</v>
      </c>
      <c r="DZ76" s="204">
        <f t="shared" si="84"/>
        <v>0</v>
      </c>
      <c r="EA76" s="204">
        <f t="shared" si="84"/>
        <v>0</v>
      </c>
      <c r="EB76" s="204">
        <f t="shared" si="84"/>
        <v>0</v>
      </c>
      <c r="EC76" s="204">
        <f t="shared" si="84"/>
        <v>0</v>
      </c>
      <c r="ED76" s="204">
        <f t="shared" si="84"/>
        <v>0</v>
      </c>
      <c r="EE76" s="204">
        <f t="shared" si="84"/>
        <v>0</v>
      </c>
      <c r="EF76" s="204">
        <f t="shared" si="84"/>
        <v>0</v>
      </c>
      <c r="EG76" s="204">
        <f t="shared" si="84"/>
        <v>0</v>
      </c>
      <c r="EH76" s="204">
        <f t="shared" si="84"/>
        <v>0</v>
      </c>
      <c r="EI76" s="204">
        <f t="shared" si="84"/>
        <v>0</v>
      </c>
    </row>
    <row r="79" spans="2:140" s="192" customFormat="1" ht="14.25" customHeight="1">
      <c r="B79" s="1043" t="s">
        <v>174</v>
      </c>
      <c r="C79" s="196"/>
      <c r="D79" s="196"/>
      <c r="E79" s="196"/>
      <c r="F79" s="197"/>
      <c r="G79" s="197"/>
      <c r="H79" s="197"/>
      <c r="I79" s="197"/>
      <c r="J79" s="197"/>
      <c r="K79" s="197"/>
      <c r="L79" s="197"/>
      <c r="M79" s="197"/>
      <c r="N79" s="197"/>
      <c r="O79" s="197"/>
      <c r="P79"/>
      <c r="Q79"/>
      <c r="R79"/>
      <c r="S79" s="197"/>
      <c r="T79" s="197"/>
      <c r="U79" s="197"/>
      <c r="V79" s="197"/>
      <c r="W79" s="197"/>
      <c r="X79" s="197"/>
      <c r="Y79" s="197"/>
      <c r="Z79" s="197"/>
      <c r="AA79" s="197"/>
      <c r="AB79" s="197"/>
      <c r="AC79" s="197"/>
      <c r="AD79" s="197"/>
      <c r="AE79" s="197"/>
      <c r="AF79" s="197"/>
      <c r="AG79" s="197"/>
      <c r="AH79" s="197"/>
      <c r="AI79" s="197"/>
      <c r="AJ79" s="197"/>
      <c r="AK79" s="197"/>
      <c r="AL79" s="197"/>
      <c r="AM79" s="197"/>
      <c r="AN79" s="197"/>
      <c r="AO79" s="197"/>
      <c r="AP79" s="197"/>
      <c r="AQ79" s="197"/>
      <c r="AR79" s="197"/>
      <c r="AS79" s="197"/>
      <c r="AT79" s="197"/>
      <c r="AU79" s="197"/>
      <c r="AV79" s="197"/>
      <c r="AW79" s="197"/>
      <c r="AX79" s="197"/>
      <c r="AY79" s="197"/>
      <c r="AZ79" s="197"/>
      <c r="BA79" s="197"/>
      <c r="BB79" s="197"/>
      <c r="BC79" s="197"/>
      <c r="BD79" s="197"/>
      <c r="BE79" s="197"/>
      <c r="BF79" s="197"/>
      <c r="BG79" s="197"/>
      <c r="BH79" s="197"/>
      <c r="BI79" s="197"/>
      <c r="BJ79" s="197"/>
      <c r="BK79" s="197"/>
      <c r="BL79" s="197"/>
      <c r="BM79" s="197"/>
      <c r="BN79" s="197"/>
      <c r="BO79" s="197"/>
      <c r="BP79" s="197"/>
      <c r="BQ79" s="197"/>
      <c r="BR79" s="197"/>
      <c r="BS79" s="197"/>
      <c r="BT79" s="197"/>
      <c r="BU79" s="197"/>
      <c r="BV79" s="197"/>
      <c r="BW79" s="197"/>
      <c r="BX79" s="197"/>
      <c r="BY79" s="197"/>
      <c r="BZ79" s="197"/>
      <c r="CA79" s="197"/>
      <c r="CB79" s="197"/>
      <c r="CC79" s="197"/>
      <c r="CD79" s="197"/>
      <c r="CE79" s="197"/>
      <c r="CF79" s="197"/>
      <c r="CG79" s="197"/>
      <c r="CH79" s="197"/>
      <c r="CI79" s="197"/>
      <c r="CJ79" s="197"/>
      <c r="CK79" s="197"/>
      <c r="CL79" s="197"/>
      <c r="CM79" s="197"/>
      <c r="CN79" s="197"/>
      <c r="CO79" s="197"/>
      <c r="CP79" s="197"/>
      <c r="CQ79" s="197"/>
      <c r="CR79" s="197"/>
      <c r="CS79" s="197"/>
      <c r="CT79" s="197"/>
      <c r="CU79" s="197"/>
      <c r="CV79" s="197"/>
      <c r="CW79" s="197"/>
      <c r="CX79" s="197"/>
      <c r="CY79" s="197"/>
      <c r="CZ79" s="197"/>
      <c r="DA79" s="197"/>
      <c r="DB79" s="197"/>
      <c r="DC79" s="197"/>
      <c r="DD79" s="197"/>
      <c r="DE79" s="197"/>
      <c r="DF79" s="197"/>
      <c r="DG79" s="197"/>
      <c r="DH79" s="197"/>
      <c r="DI79" s="197"/>
      <c r="DJ79" s="197"/>
      <c r="DK79" s="197"/>
      <c r="DL79" s="197"/>
      <c r="DM79" s="197"/>
      <c r="DN79" s="197"/>
      <c r="DO79" s="197"/>
      <c r="DP79" s="197"/>
      <c r="DQ79" s="197"/>
      <c r="DR79" s="197"/>
      <c r="DS79" s="197"/>
      <c r="DT79" s="197"/>
      <c r="DU79" s="197"/>
      <c r="DV79" s="197"/>
      <c r="DW79" s="197"/>
      <c r="DX79" s="197"/>
      <c r="DY79" s="197"/>
      <c r="DZ79" s="197"/>
      <c r="EA79" s="197"/>
      <c r="EB79" s="197"/>
      <c r="EC79" s="197"/>
      <c r="ED79" s="197"/>
      <c r="EE79" s="197"/>
      <c r="EF79" s="197"/>
      <c r="EG79" s="197"/>
      <c r="EH79" s="197"/>
      <c r="EI79" s="197"/>
    </row>
    <row r="80" spans="2:140" ht="12.75" customHeight="1">
      <c r="B80" s="41" t="s">
        <v>175</v>
      </c>
      <c r="C80" s="211"/>
      <c r="D80" s="78"/>
      <c r="E80" s="78">
        <f t="shared" ref="E80:N80" si="85">SalesPrice*(E$5=MAX(YrOfExit,1))</f>
        <v>0</v>
      </c>
      <c r="F80" s="78">
        <f t="shared" si="85"/>
        <v>0</v>
      </c>
      <c r="G80" s="78">
        <f t="shared" si="85"/>
        <v>0</v>
      </c>
      <c r="H80" s="78">
        <f t="shared" si="85"/>
        <v>0</v>
      </c>
      <c r="I80" s="78">
        <f t="shared" si="85"/>
        <v>0</v>
      </c>
      <c r="J80" s="78">
        <f t="shared" si="85"/>
        <v>0</v>
      </c>
      <c r="K80" s="78">
        <f t="shared" si="85"/>
        <v>24605672.299141534</v>
      </c>
      <c r="L80" s="78">
        <f t="shared" si="85"/>
        <v>0</v>
      </c>
      <c r="M80" s="78">
        <f t="shared" si="85"/>
        <v>0</v>
      </c>
      <c r="N80" s="78">
        <f t="shared" si="85"/>
        <v>0</v>
      </c>
      <c r="O80" s="145">
        <f>SUM(D80:N80)</f>
        <v>24605672.299141534</v>
      </c>
      <c r="S80" s="78"/>
      <c r="T80" s="78">
        <f t="shared" ref="T80:AC81" si="86">SUMIF($E$5:$N$5,T$5/12,$E80:$N80)</f>
        <v>0</v>
      </c>
      <c r="U80" s="78">
        <f t="shared" si="86"/>
        <v>0</v>
      </c>
      <c r="V80" s="78">
        <f t="shared" si="86"/>
        <v>0</v>
      </c>
      <c r="W80" s="78">
        <f t="shared" si="86"/>
        <v>0</v>
      </c>
      <c r="X80" s="78">
        <f t="shared" si="86"/>
        <v>0</v>
      </c>
      <c r="Y80" s="78">
        <f t="shared" si="86"/>
        <v>0</v>
      </c>
      <c r="Z80" s="78">
        <f t="shared" si="86"/>
        <v>0</v>
      </c>
      <c r="AA80" s="78">
        <f t="shared" si="86"/>
        <v>0</v>
      </c>
      <c r="AB80" s="78">
        <f t="shared" si="86"/>
        <v>0</v>
      </c>
      <c r="AC80" s="78">
        <f t="shared" si="86"/>
        <v>0</v>
      </c>
      <c r="AD80" s="78">
        <f t="shared" ref="AD80:AM81" si="87">SUMIF($E$5:$N$5,AD$5/12,$E80:$N80)</f>
        <v>0</v>
      </c>
      <c r="AE80" s="78">
        <f t="shared" si="87"/>
        <v>0</v>
      </c>
      <c r="AF80" s="78">
        <f t="shared" si="87"/>
        <v>0</v>
      </c>
      <c r="AG80" s="78">
        <f t="shared" si="87"/>
        <v>0</v>
      </c>
      <c r="AH80" s="78">
        <f t="shared" si="87"/>
        <v>0</v>
      </c>
      <c r="AI80" s="78">
        <f t="shared" si="87"/>
        <v>0</v>
      </c>
      <c r="AJ80" s="78">
        <f t="shared" si="87"/>
        <v>0</v>
      </c>
      <c r="AK80" s="78">
        <f t="shared" si="87"/>
        <v>0</v>
      </c>
      <c r="AL80" s="78">
        <f t="shared" si="87"/>
        <v>0</v>
      </c>
      <c r="AM80" s="78">
        <f t="shared" si="87"/>
        <v>0</v>
      </c>
      <c r="AN80" s="78">
        <f t="shared" ref="AN80:AW81" si="88">SUMIF($E$5:$N$5,AN$5/12,$E80:$N80)</f>
        <v>0</v>
      </c>
      <c r="AO80" s="78">
        <f t="shared" si="88"/>
        <v>0</v>
      </c>
      <c r="AP80" s="78">
        <f t="shared" si="88"/>
        <v>0</v>
      </c>
      <c r="AQ80" s="78">
        <f t="shared" si="88"/>
        <v>0</v>
      </c>
      <c r="AR80" s="78">
        <f t="shared" si="88"/>
        <v>0</v>
      </c>
      <c r="AS80" s="78">
        <f t="shared" si="88"/>
        <v>0</v>
      </c>
      <c r="AT80" s="78">
        <f t="shared" si="88"/>
        <v>0</v>
      </c>
      <c r="AU80" s="78">
        <f t="shared" si="88"/>
        <v>0</v>
      </c>
      <c r="AV80" s="78">
        <f t="shared" si="88"/>
        <v>0</v>
      </c>
      <c r="AW80" s="78">
        <f t="shared" si="88"/>
        <v>0</v>
      </c>
      <c r="AX80" s="78">
        <f t="shared" ref="AX80:BG81" si="89">SUMIF($E$5:$N$5,AX$5/12,$E80:$N80)</f>
        <v>0</v>
      </c>
      <c r="AY80" s="78">
        <f t="shared" si="89"/>
        <v>0</v>
      </c>
      <c r="AZ80" s="78">
        <f t="shared" si="89"/>
        <v>0</v>
      </c>
      <c r="BA80" s="78">
        <f t="shared" si="89"/>
        <v>0</v>
      </c>
      <c r="BB80" s="78">
        <f t="shared" si="89"/>
        <v>0</v>
      </c>
      <c r="BC80" s="78">
        <f t="shared" si="89"/>
        <v>0</v>
      </c>
      <c r="BD80" s="78">
        <f t="shared" si="89"/>
        <v>0</v>
      </c>
      <c r="BE80" s="78">
        <f t="shared" si="89"/>
        <v>0</v>
      </c>
      <c r="BF80" s="78">
        <f t="shared" si="89"/>
        <v>0</v>
      </c>
      <c r="BG80" s="78">
        <f t="shared" si="89"/>
        <v>0</v>
      </c>
      <c r="BH80" s="78">
        <f t="shared" ref="BH80:BQ81" si="90">SUMIF($E$5:$N$5,BH$5/12,$E80:$N80)</f>
        <v>0</v>
      </c>
      <c r="BI80" s="78">
        <f t="shared" si="90"/>
        <v>0</v>
      </c>
      <c r="BJ80" s="78">
        <f t="shared" si="90"/>
        <v>0</v>
      </c>
      <c r="BK80" s="78">
        <f t="shared" si="90"/>
        <v>0</v>
      </c>
      <c r="BL80" s="78">
        <f t="shared" si="90"/>
        <v>0</v>
      </c>
      <c r="BM80" s="78">
        <f t="shared" si="90"/>
        <v>0</v>
      </c>
      <c r="BN80" s="78">
        <f t="shared" si="90"/>
        <v>0</v>
      </c>
      <c r="BO80" s="78">
        <f t="shared" si="90"/>
        <v>0</v>
      </c>
      <c r="BP80" s="78">
        <f t="shared" si="90"/>
        <v>0</v>
      </c>
      <c r="BQ80" s="78">
        <f t="shared" si="90"/>
        <v>0</v>
      </c>
      <c r="BR80" s="78">
        <f t="shared" ref="BR80:CA81" si="91">SUMIF($E$5:$N$5,BR$5/12,$E80:$N80)</f>
        <v>0</v>
      </c>
      <c r="BS80" s="78">
        <f t="shared" si="91"/>
        <v>0</v>
      </c>
      <c r="BT80" s="78">
        <f t="shared" si="91"/>
        <v>0</v>
      </c>
      <c r="BU80" s="78">
        <f t="shared" si="91"/>
        <v>0</v>
      </c>
      <c r="BV80" s="78">
        <f t="shared" si="91"/>
        <v>0</v>
      </c>
      <c r="BW80" s="78">
        <f t="shared" si="91"/>
        <v>0</v>
      </c>
      <c r="BX80" s="78">
        <f t="shared" si="91"/>
        <v>0</v>
      </c>
      <c r="BY80" s="78">
        <f t="shared" si="91"/>
        <v>0</v>
      </c>
      <c r="BZ80" s="78">
        <f t="shared" si="91"/>
        <v>0</v>
      </c>
      <c r="CA80" s="78">
        <f t="shared" si="91"/>
        <v>0</v>
      </c>
      <c r="CB80" s="78">
        <f t="shared" ref="CB80:CK81" si="92">SUMIF($E$5:$N$5,CB$5/12,$E80:$N80)</f>
        <v>0</v>
      </c>
      <c r="CC80" s="78">
        <f t="shared" si="92"/>
        <v>0</v>
      </c>
      <c r="CD80" s="78">
        <f t="shared" si="92"/>
        <v>0</v>
      </c>
      <c r="CE80" s="78">
        <f t="shared" si="92"/>
        <v>0</v>
      </c>
      <c r="CF80" s="78">
        <f t="shared" si="92"/>
        <v>0</v>
      </c>
      <c r="CG80" s="78">
        <f t="shared" si="92"/>
        <v>0</v>
      </c>
      <c r="CH80" s="78">
        <f t="shared" si="92"/>
        <v>0</v>
      </c>
      <c r="CI80" s="78">
        <f t="shared" si="92"/>
        <v>0</v>
      </c>
      <c r="CJ80" s="78">
        <f t="shared" si="92"/>
        <v>0</v>
      </c>
      <c r="CK80" s="78">
        <f t="shared" si="92"/>
        <v>0</v>
      </c>
      <c r="CL80" s="78">
        <f t="shared" ref="CL80:CU81" si="93">SUMIF($E$5:$N$5,CL$5/12,$E80:$N80)</f>
        <v>0</v>
      </c>
      <c r="CM80" s="78">
        <f t="shared" si="93"/>
        <v>0</v>
      </c>
      <c r="CN80" s="78">
        <f t="shared" si="93"/>
        <v>0</v>
      </c>
      <c r="CO80" s="78">
        <f t="shared" si="93"/>
        <v>0</v>
      </c>
      <c r="CP80" s="78">
        <f t="shared" si="93"/>
        <v>0</v>
      </c>
      <c r="CQ80" s="78">
        <f t="shared" si="93"/>
        <v>0</v>
      </c>
      <c r="CR80" s="78">
        <f t="shared" si="93"/>
        <v>0</v>
      </c>
      <c r="CS80" s="78">
        <f t="shared" si="93"/>
        <v>0</v>
      </c>
      <c r="CT80" s="78">
        <f t="shared" si="93"/>
        <v>0</v>
      </c>
      <c r="CU80" s="78">
        <f t="shared" si="93"/>
        <v>0</v>
      </c>
      <c r="CV80" s="78">
        <f t="shared" ref="CV80:DE81" si="94">SUMIF($E$5:$N$5,CV$5/12,$E80:$N80)</f>
        <v>0</v>
      </c>
      <c r="CW80" s="78">
        <f t="shared" si="94"/>
        <v>0</v>
      </c>
      <c r="CX80" s="78">
        <f t="shared" si="94"/>
        <v>0</v>
      </c>
      <c r="CY80" s="78">
        <f t="shared" si="94"/>
        <v>24605672.299141534</v>
      </c>
      <c r="CZ80" s="78">
        <f t="shared" si="94"/>
        <v>0</v>
      </c>
      <c r="DA80" s="78">
        <f t="shared" si="94"/>
        <v>0</v>
      </c>
      <c r="DB80" s="78">
        <f t="shared" si="94"/>
        <v>0</v>
      </c>
      <c r="DC80" s="78">
        <f t="shared" si="94"/>
        <v>0</v>
      </c>
      <c r="DD80" s="78">
        <f t="shared" si="94"/>
        <v>0</v>
      </c>
      <c r="DE80" s="78">
        <f t="shared" si="94"/>
        <v>0</v>
      </c>
      <c r="DF80" s="78">
        <f t="shared" ref="DF80:DO81" si="95">SUMIF($E$5:$N$5,DF$5/12,$E80:$N80)</f>
        <v>0</v>
      </c>
      <c r="DG80" s="78">
        <f t="shared" si="95"/>
        <v>0</v>
      </c>
      <c r="DH80" s="78">
        <f t="shared" si="95"/>
        <v>0</v>
      </c>
      <c r="DI80" s="78">
        <f t="shared" si="95"/>
        <v>0</v>
      </c>
      <c r="DJ80" s="78">
        <f t="shared" si="95"/>
        <v>0</v>
      </c>
      <c r="DK80" s="78">
        <f t="shared" si="95"/>
        <v>0</v>
      </c>
      <c r="DL80" s="78">
        <f t="shared" si="95"/>
        <v>0</v>
      </c>
      <c r="DM80" s="78">
        <f t="shared" si="95"/>
        <v>0</v>
      </c>
      <c r="DN80" s="78">
        <f t="shared" si="95"/>
        <v>0</v>
      </c>
      <c r="DO80" s="78">
        <f t="shared" si="95"/>
        <v>0</v>
      </c>
      <c r="DP80" s="78">
        <f t="shared" ref="DP80:DY81" si="96">SUMIF($E$5:$N$5,DP$5/12,$E80:$N80)</f>
        <v>0</v>
      </c>
      <c r="DQ80" s="78">
        <f t="shared" si="96"/>
        <v>0</v>
      </c>
      <c r="DR80" s="78">
        <f t="shared" si="96"/>
        <v>0</v>
      </c>
      <c r="DS80" s="78">
        <f t="shared" si="96"/>
        <v>0</v>
      </c>
      <c r="DT80" s="78">
        <f t="shared" si="96"/>
        <v>0</v>
      </c>
      <c r="DU80" s="78">
        <f t="shared" si="96"/>
        <v>0</v>
      </c>
      <c r="DV80" s="78">
        <f t="shared" si="96"/>
        <v>0</v>
      </c>
      <c r="DW80" s="78">
        <f t="shared" si="96"/>
        <v>0</v>
      </c>
      <c r="DX80" s="78">
        <f t="shared" si="96"/>
        <v>0</v>
      </c>
      <c r="DY80" s="78">
        <f t="shared" si="96"/>
        <v>0</v>
      </c>
      <c r="DZ80" s="78">
        <f t="shared" ref="DZ80:EI81" si="97">SUMIF($E$5:$N$5,DZ$5/12,$E80:$N80)</f>
        <v>0</v>
      </c>
      <c r="EA80" s="78">
        <f t="shared" si="97"/>
        <v>0</v>
      </c>
      <c r="EB80" s="78">
        <f t="shared" si="97"/>
        <v>0</v>
      </c>
      <c r="EC80" s="78">
        <f t="shared" si="97"/>
        <v>0</v>
      </c>
      <c r="ED80" s="78">
        <f t="shared" si="97"/>
        <v>0</v>
      </c>
      <c r="EE80" s="78">
        <f t="shared" si="97"/>
        <v>0</v>
      </c>
      <c r="EF80" s="78">
        <f t="shared" si="97"/>
        <v>0</v>
      </c>
      <c r="EG80" s="78">
        <f t="shared" si="97"/>
        <v>0</v>
      </c>
      <c r="EH80" s="78">
        <f t="shared" si="97"/>
        <v>0</v>
      </c>
      <c r="EI80" s="78">
        <f t="shared" si="97"/>
        <v>0</v>
      </c>
    </row>
    <row r="81" spans="2:139" ht="12.75" customHeight="1">
      <c r="B81" s="41" t="s">
        <v>176</v>
      </c>
      <c r="C81" s="211"/>
      <c r="D81" s="78"/>
      <c r="E81" s="78">
        <f>-Input!$L$39*(E$5=MAX(YrOfExit,1))</f>
        <v>0</v>
      </c>
      <c r="F81" s="78">
        <f>-Input!$L$39*(F$5=MAX(YrOfExit,1))</f>
        <v>0</v>
      </c>
      <c r="G81" s="78">
        <f>-Input!$L$39*(G$5=MAX(YrOfExit,1))</f>
        <v>0</v>
      </c>
      <c r="H81" s="78">
        <f>-Input!$L$39*(H$5=MAX(YrOfExit,1))</f>
        <v>0</v>
      </c>
      <c r="I81" s="78">
        <f>-Input!$L$39*(I$5=MAX(YrOfExit,1))</f>
        <v>0</v>
      </c>
      <c r="J81" s="78">
        <f>-Input!$L$39*(J$5=MAX(YrOfExit,1))</f>
        <v>0</v>
      </c>
      <c r="K81" s="78">
        <f>-Input!$L$39*(K$5=MAX(YrOfExit,1))</f>
        <v>0</v>
      </c>
      <c r="L81" s="78">
        <f>-Input!$L$39*(L$5=MAX(YrOfExit,1))</f>
        <v>0</v>
      </c>
      <c r="M81" s="78">
        <f>-Input!$L$39*(M$5=MAX(YrOfExit,1))</f>
        <v>0</v>
      </c>
      <c r="N81" s="78">
        <f>-Input!$L$39*(N$5=MAX(YrOfExit,1))</f>
        <v>0</v>
      </c>
      <c r="O81" s="145">
        <f>SUM(D81:N81)</f>
        <v>0</v>
      </c>
      <c r="S81" s="78"/>
      <c r="T81" s="78">
        <f t="shared" si="86"/>
        <v>0</v>
      </c>
      <c r="U81" s="78">
        <f t="shared" si="86"/>
        <v>0</v>
      </c>
      <c r="V81" s="78">
        <f t="shared" si="86"/>
        <v>0</v>
      </c>
      <c r="W81" s="78">
        <f t="shared" si="86"/>
        <v>0</v>
      </c>
      <c r="X81" s="78">
        <f t="shared" si="86"/>
        <v>0</v>
      </c>
      <c r="Y81" s="78">
        <f t="shared" si="86"/>
        <v>0</v>
      </c>
      <c r="Z81" s="78">
        <f t="shared" si="86"/>
        <v>0</v>
      </c>
      <c r="AA81" s="78">
        <f t="shared" si="86"/>
        <v>0</v>
      </c>
      <c r="AB81" s="78">
        <f t="shared" si="86"/>
        <v>0</v>
      </c>
      <c r="AC81" s="78">
        <f t="shared" si="86"/>
        <v>0</v>
      </c>
      <c r="AD81" s="78">
        <f t="shared" si="87"/>
        <v>0</v>
      </c>
      <c r="AE81" s="78">
        <f t="shared" si="87"/>
        <v>0</v>
      </c>
      <c r="AF81" s="78">
        <f t="shared" si="87"/>
        <v>0</v>
      </c>
      <c r="AG81" s="78">
        <f t="shared" si="87"/>
        <v>0</v>
      </c>
      <c r="AH81" s="78">
        <f t="shared" si="87"/>
        <v>0</v>
      </c>
      <c r="AI81" s="78">
        <f t="shared" si="87"/>
        <v>0</v>
      </c>
      <c r="AJ81" s="78">
        <f t="shared" si="87"/>
        <v>0</v>
      </c>
      <c r="AK81" s="78">
        <f t="shared" si="87"/>
        <v>0</v>
      </c>
      <c r="AL81" s="78">
        <f t="shared" si="87"/>
        <v>0</v>
      </c>
      <c r="AM81" s="78">
        <f t="shared" si="87"/>
        <v>0</v>
      </c>
      <c r="AN81" s="78">
        <f t="shared" si="88"/>
        <v>0</v>
      </c>
      <c r="AO81" s="78">
        <f t="shared" si="88"/>
        <v>0</v>
      </c>
      <c r="AP81" s="78">
        <f t="shared" si="88"/>
        <v>0</v>
      </c>
      <c r="AQ81" s="78">
        <f t="shared" si="88"/>
        <v>0</v>
      </c>
      <c r="AR81" s="78">
        <f t="shared" si="88"/>
        <v>0</v>
      </c>
      <c r="AS81" s="78">
        <f t="shared" si="88"/>
        <v>0</v>
      </c>
      <c r="AT81" s="78">
        <f t="shared" si="88"/>
        <v>0</v>
      </c>
      <c r="AU81" s="78">
        <f t="shared" si="88"/>
        <v>0</v>
      </c>
      <c r="AV81" s="78">
        <f t="shared" si="88"/>
        <v>0</v>
      </c>
      <c r="AW81" s="78">
        <f t="shared" si="88"/>
        <v>0</v>
      </c>
      <c r="AX81" s="78">
        <f t="shared" si="89"/>
        <v>0</v>
      </c>
      <c r="AY81" s="78">
        <f t="shared" si="89"/>
        <v>0</v>
      </c>
      <c r="AZ81" s="78">
        <f t="shared" si="89"/>
        <v>0</v>
      </c>
      <c r="BA81" s="78">
        <f t="shared" si="89"/>
        <v>0</v>
      </c>
      <c r="BB81" s="78">
        <f t="shared" si="89"/>
        <v>0</v>
      </c>
      <c r="BC81" s="78">
        <f t="shared" si="89"/>
        <v>0</v>
      </c>
      <c r="BD81" s="78">
        <f t="shared" si="89"/>
        <v>0</v>
      </c>
      <c r="BE81" s="78">
        <f t="shared" si="89"/>
        <v>0</v>
      </c>
      <c r="BF81" s="78">
        <f t="shared" si="89"/>
        <v>0</v>
      </c>
      <c r="BG81" s="78">
        <f t="shared" si="89"/>
        <v>0</v>
      </c>
      <c r="BH81" s="78">
        <f t="shared" si="90"/>
        <v>0</v>
      </c>
      <c r="BI81" s="78">
        <f t="shared" si="90"/>
        <v>0</v>
      </c>
      <c r="BJ81" s="78">
        <f t="shared" si="90"/>
        <v>0</v>
      </c>
      <c r="BK81" s="78">
        <f t="shared" si="90"/>
        <v>0</v>
      </c>
      <c r="BL81" s="78">
        <f t="shared" si="90"/>
        <v>0</v>
      </c>
      <c r="BM81" s="78">
        <f t="shared" si="90"/>
        <v>0</v>
      </c>
      <c r="BN81" s="78">
        <f t="shared" si="90"/>
        <v>0</v>
      </c>
      <c r="BO81" s="78">
        <f t="shared" si="90"/>
        <v>0</v>
      </c>
      <c r="BP81" s="78">
        <f t="shared" si="90"/>
        <v>0</v>
      </c>
      <c r="BQ81" s="78">
        <f t="shared" si="90"/>
        <v>0</v>
      </c>
      <c r="BR81" s="78">
        <f t="shared" si="91"/>
        <v>0</v>
      </c>
      <c r="BS81" s="78">
        <f t="shared" si="91"/>
        <v>0</v>
      </c>
      <c r="BT81" s="78">
        <f t="shared" si="91"/>
        <v>0</v>
      </c>
      <c r="BU81" s="78">
        <f t="shared" si="91"/>
        <v>0</v>
      </c>
      <c r="BV81" s="78">
        <f t="shared" si="91"/>
        <v>0</v>
      </c>
      <c r="BW81" s="78">
        <f t="shared" si="91"/>
        <v>0</v>
      </c>
      <c r="BX81" s="78">
        <f t="shared" si="91"/>
        <v>0</v>
      </c>
      <c r="BY81" s="78">
        <f t="shared" si="91"/>
        <v>0</v>
      </c>
      <c r="BZ81" s="78">
        <f t="shared" si="91"/>
        <v>0</v>
      </c>
      <c r="CA81" s="78">
        <f t="shared" si="91"/>
        <v>0</v>
      </c>
      <c r="CB81" s="78">
        <f t="shared" si="92"/>
        <v>0</v>
      </c>
      <c r="CC81" s="78">
        <f t="shared" si="92"/>
        <v>0</v>
      </c>
      <c r="CD81" s="78">
        <f t="shared" si="92"/>
        <v>0</v>
      </c>
      <c r="CE81" s="78">
        <f t="shared" si="92"/>
        <v>0</v>
      </c>
      <c r="CF81" s="78">
        <f t="shared" si="92"/>
        <v>0</v>
      </c>
      <c r="CG81" s="78">
        <f t="shared" si="92"/>
        <v>0</v>
      </c>
      <c r="CH81" s="78">
        <f t="shared" si="92"/>
        <v>0</v>
      </c>
      <c r="CI81" s="78">
        <f t="shared" si="92"/>
        <v>0</v>
      </c>
      <c r="CJ81" s="78">
        <f t="shared" si="92"/>
        <v>0</v>
      </c>
      <c r="CK81" s="78">
        <f t="shared" si="92"/>
        <v>0</v>
      </c>
      <c r="CL81" s="78">
        <f t="shared" si="93"/>
        <v>0</v>
      </c>
      <c r="CM81" s="78">
        <f t="shared" si="93"/>
        <v>0</v>
      </c>
      <c r="CN81" s="78">
        <f t="shared" si="93"/>
        <v>0</v>
      </c>
      <c r="CO81" s="78">
        <f t="shared" si="93"/>
        <v>0</v>
      </c>
      <c r="CP81" s="78">
        <f t="shared" si="93"/>
        <v>0</v>
      </c>
      <c r="CQ81" s="78">
        <f t="shared" si="93"/>
        <v>0</v>
      </c>
      <c r="CR81" s="78">
        <f t="shared" si="93"/>
        <v>0</v>
      </c>
      <c r="CS81" s="78">
        <f t="shared" si="93"/>
        <v>0</v>
      </c>
      <c r="CT81" s="78">
        <f t="shared" si="93"/>
        <v>0</v>
      </c>
      <c r="CU81" s="78">
        <f t="shared" si="93"/>
        <v>0</v>
      </c>
      <c r="CV81" s="78">
        <f t="shared" si="94"/>
        <v>0</v>
      </c>
      <c r="CW81" s="78">
        <f t="shared" si="94"/>
        <v>0</v>
      </c>
      <c r="CX81" s="78">
        <f t="shared" si="94"/>
        <v>0</v>
      </c>
      <c r="CY81" s="78">
        <f t="shared" si="94"/>
        <v>0</v>
      </c>
      <c r="CZ81" s="78">
        <f t="shared" si="94"/>
        <v>0</v>
      </c>
      <c r="DA81" s="78">
        <f t="shared" si="94"/>
        <v>0</v>
      </c>
      <c r="DB81" s="78">
        <f t="shared" si="94"/>
        <v>0</v>
      </c>
      <c r="DC81" s="78">
        <f t="shared" si="94"/>
        <v>0</v>
      </c>
      <c r="DD81" s="78">
        <f t="shared" si="94"/>
        <v>0</v>
      </c>
      <c r="DE81" s="78">
        <f t="shared" si="94"/>
        <v>0</v>
      </c>
      <c r="DF81" s="78">
        <f t="shared" si="95"/>
        <v>0</v>
      </c>
      <c r="DG81" s="78">
        <f t="shared" si="95"/>
        <v>0</v>
      </c>
      <c r="DH81" s="78">
        <f t="shared" si="95"/>
        <v>0</v>
      </c>
      <c r="DI81" s="78">
        <f t="shared" si="95"/>
        <v>0</v>
      </c>
      <c r="DJ81" s="78">
        <f t="shared" si="95"/>
        <v>0</v>
      </c>
      <c r="DK81" s="78">
        <f t="shared" si="95"/>
        <v>0</v>
      </c>
      <c r="DL81" s="78">
        <f t="shared" si="95"/>
        <v>0</v>
      </c>
      <c r="DM81" s="78">
        <f t="shared" si="95"/>
        <v>0</v>
      </c>
      <c r="DN81" s="78">
        <f t="shared" si="95"/>
        <v>0</v>
      </c>
      <c r="DO81" s="78">
        <f t="shared" si="95"/>
        <v>0</v>
      </c>
      <c r="DP81" s="78">
        <f t="shared" si="96"/>
        <v>0</v>
      </c>
      <c r="DQ81" s="78">
        <f t="shared" si="96"/>
        <v>0</v>
      </c>
      <c r="DR81" s="78">
        <f t="shared" si="96"/>
        <v>0</v>
      </c>
      <c r="DS81" s="78">
        <f t="shared" si="96"/>
        <v>0</v>
      </c>
      <c r="DT81" s="78">
        <f t="shared" si="96"/>
        <v>0</v>
      </c>
      <c r="DU81" s="78">
        <f t="shared" si="96"/>
        <v>0</v>
      </c>
      <c r="DV81" s="78">
        <f t="shared" si="96"/>
        <v>0</v>
      </c>
      <c r="DW81" s="78">
        <f t="shared" si="96"/>
        <v>0</v>
      </c>
      <c r="DX81" s="78">
        <f t="shared" si="96"/>
        <v>0</v>
      </c>
      <c r="DY81" s="78">
        <f t="shared" si="96"/>
        <v>0</v>
      </c>
      <c r="DZ81" s="78">
        <f t="shared" si="97"/>
        <v>0</v>
      </c>
      <c r="EA81" s="78">
        <f t="shared" si="97"/>
        <v>0</v>
      </c>
      <c r="EB81" s="78">
        <f t="shared" si="97"/>
        <v>0</v>
      </c>
      <c r="EC81" s="78">
        <f t="shared" si="97"/>
        <v>0</v>
      </c>
      <c r="ED81" s="78">
        <f t="shared" si="97"/>
        <v>0</v>
      </c>
      <c r="EE81" s="78">
        <f t="shared" si="97"/>
        <v>0</v>
      </c>
      <c r="EF81" s="78">
        <f t="shared" si="97"/>
        <v>0</v>
      </c>
      <c r="EG81" s="78">
        <f t="shared" si="97"/>
        <v>0</v>
      </c>
      <c r="EH81" s="78">
        <f t="shared" si="97"/>
        <v>0</v>
      </c>
      <c r="EI81" s="78">
        <f t="shared" si="97"/>
        <v>0</v>
      </c>
    </row>
    <row r="82" spans="2:139" collapsed="1">
      <c r="B82" s="153" t="s">
        <v>177</v>
      </c>
      <c r="C82" s="209"/>
      <c r="D82" s="169"/>
      <c r="E82" s="694">
        <f t="shared" ref="E82:O82" si="98">SUBTOTAL(9,E80:E81)</f>
        <v>0</v>
      </c>
      <c r="F82" s="694">
        <f t="shared" si="98"/>
        <v>0</v>
      </c>
      <c r="G82" s="694">
        <f t="shared" si="98"/>
        <v>0</v>
      </c>
      <c r="H82" s="694">
        <f t="shared" si="98"/>
        <v>0</v>
      </c>
      <c r="I82" s="694">
        <f t="shared" si="98"/>
        <v>0</v>
      </c>
      <c r="J82" s="694">
        <f t="shared" si="98"/>
        <v>0</v>
      </c>
      <c r="K82" s="694">
        <f t="shared" si="98"/>
        <v>24605672.299141534</v>
      </c>
      <c r="L82" s="694">
        <f t="shared" si="98"/>
        <v>0</v>
      </c>
      <c r="M82" s="694">
        <f t="shared" si="98"/>
        <v>0</v>
      </c>
      <c r="N82" s="694">
        <f t="shared" si="98"/>
        <v>0</v>
      </c>
      <c r="O82" s="713">
        <f t="shared" si="98"/>
        <v>24605672.299141534</v>
      </c>
      <c r="S82" s="169"/>
      <c r="T82" s="694">
        <f t="shared" ref="T82:AY82" si="99">SUBTOTAL(9,T80:T81)</f>
        <v>0</v>
      </c>
      <c r="U82" s="694">
        <f t="shared" si="99"/>
        <v>0</v>
      </c>
      <c r="V82" s="694">
        <f t="shared" si="99"/>
        <v>0</v>
      </c>
      <c r="W82" s="694">
        <f t="shared" si="99"/>
        <v>0</v>
      </c>
      <c r="X82" s="694">
        <f t="shared" si="99"/>
        <v>0</v>
      </c>
      <c r="Y82" s="694">
        <f t="shared" si="99"/>
        <v>0</v>
      </c>
      <c r="Z82" s="694">
        <f t="shared" si="99"/>
        <v>0</v>
      </c>
      <c r="AA82" s="694">
        <f t="shared" si="99"/>
        <v>0</v>
      </c>
      <c r="AB82" s="694">
        <f t="shared" si="99"/>
        <v>0</v>
      </c>
      <c r="AC82" s="694">
        <f t="shared" si="99"/>
        <v>0</v>
      </c>
      <c r="AD82" s="694">
        <f t="shared" si="99"/>
        <v>0</v>
      </c>
      <c r="AE82" s="694">
        <f t="shared" si="99"/>
        <v>0</v>
      </c>
      <c r="AF82" s="694">
        <f t="shared" si="99"/>
        <v>0</v>
      </c>
      <c r="AG82" s="694">
        <f t="shared" si="99"/>
        <v>0</v>
      </c>
      <c r="AH82" s="694">
        <f t="shared" si="99"/>
        <v>0</v>
      </c>
      <c r="AI82" s="694">
        <f t="shared" si="99"/>
        <v>0</v>
      </c>
      <c r="AJ82" s="694">
        <f t="shared" si="99"/>
        <v>0</v>
      </c>
      <c r="AK82" s="694">
        <f t="shared" si="99"/>
        <v>0</v>
      </c>
      <c r="AL82" s="694">
        <f t="shared" si="99"/>
        <v>0</v>
      </c>
      <c r="AM82" s="694">
        <f t="shared" si="99"/>
        <v>0</v>
      </c>
      <c r="AN82" s="694">
        <f t="shared" si="99"/>
        <v>0</v>
      </c>
      <c r="AO82" s="694">
        <f t="shared" si="99"/>
        <v>0</v>
      </c>
      <c r="AP82" s="694">
        <f t="shared" si="99"/>
        <v>0</v>
      </c>
      <c r="AQ82" s="694">
        <f t="shared" si="99"/>
        <v>0</v>
      </c>
      <c r="AR82" s="694">
        <f t="shared" si="99"/>
        <v>0</v>
      </c>
      <c r="AS82" s="694">
        <f t="shared" si="99"/>
        <v>0</v>
      </c>
      <c r="AT82" s="694">
        <f t="shared" si="99"/>
        <v>0</v>
      </c>
      <c r="AU82" s="694">
        <f t="shared" si="99"/>
        <v>0</v>
      </c>
      <c r="AV82" s="694">
        <f t="shared" si="99"/>
        <v>0</v>
      </c>
      <c r="AW82" s="694">
        <f t="shared" si="99"/>
        <v>0</v>
      </c>
      <c r="AX82" s="694">
        <f t="shared" si="99"/>
        <v>0</v>
      </c>
      <c r="AY82" s="694">
        <f t="shared" si="99"/>
        <v>0</v>
      </c>
      <c r="AZ82" s="694">
        <f t="shared" ref="AZ82:CE82" si="100">SUBTOTAL(9,AZ80:AZ81)</f>
        <v>0</v>
      </c>
      <c r="BA82" s="694">
        <f t="shared" si="100"/>
        <v>0</v>
      </c>
      <c r="BB82" s="694">
        <f t="shared" si="100"/>
        <v>0</v>
      </c>
      <c r="BC82" s="694">
        <f t="shared" si="100"/>
        <v>0</v>
      </c>
      <c r="BD82" s="694">
        <f t="shared" si="100"/>
        <v>0</v>
      </c>
      <c r="BE82" s="694">
        <f t="shared" si="100"/>
        <v>0</v>
      </c>
      <c r="BF82" s="694">
        <f t="shared" si="100"/>
        <v>0</v>
      </c>
      <c r="BG82" s="694">
        <f t="shared" si="100"/>
        <v>0</v>
      </c>
      <c r="BH82" s="694">
        <f t="shared" si="100"/>
        <v>0</v>
      </c>
      <c r="BI82" s="694">
        <f t="shared" si="100"/>
        <v>0</v>
      </c>
      <c r="BJ82" s="694">
        <f t="shared" si="100"/>
        <v>0</v>
      </c>
      <c r="BK82" s="694">
        <f t="shared" si="100"/>
        <v>0</v>
      </c>
      <c r="BL82" s="694">
        <f t="shared" si="100"/>
        <v>0</v>
      </c>
      <c r="BM82" s="694">
        <f t="shared" si="100"/>
        <v>0</v>
      </c>
      <c r="BN82" s="694">
        <f t="shared" si="100"/>
        <v>0</v>
      </c>
      <c r="BO82" s="694">
        <f t="shared" si="100"/>
        <v>0</v>
      </c>
      <c r="BP82" s="694">
        <f t="shared" si="100"/>
        <v>0</v>
      </c>
      <c r="BQ82" s="694">
        <f t="shared" si="100"/>
        <v>0</v>
      </c>
      <c r="BR82" s="694">
        <f t="shared" si="100"/>
        <v>0</v>
      </c>
      <c r="BS82" s="694">
        <f t="shared" si="100"/>
        <v>0</v>
      </c>
      <c r="BT82" s="694">
        <f t="shared" si="100"/>
        <v>0</v>
      </c>
      <c r="BU82" s="694">
        <f t="shared" si="100"/>
        <v>0</v>
      </c>
      <c r="BV82" s="694">
        <f t="shared" si="100"/>
        <v>0</v>
      </c>
      <c r="BW82" s="694">
        <f t="shared" si="100"/>
        <v>0</v>
      </c>
      <c r="BX82" s="694">
        <f t="shared" si="100"/>
        <v>0</v>
      </c>
      <c r="BY82" s="694">
        <f t="shared" si="100"/>
        <v>0</v>
      </c>
      <c r="BZ82" s="694">
        <f t="shared" si="100"/>
        <v>0</v>
      </c>
      <c r="CA82" s="694">
        <f t="shared" si="100"/>
        <v>0</v>
      </c>
      <c r="CB82" s="694">
        <f t="shared" si="100"/>
        <v>0</v>
      </c>
      <c r="CC82" s="694">
        <f t="shared" si="100"/>
        <v>0</v>
      </c>
      <c r="CD82" s="694">
        <f t="shared" si="100"/>
        <v>0</v>
      </c>
      <c r="CE82" s="694">
        <f t="shared" si="100"/>
        <v>0</v>
      </c>
      <c r="CF82" s="694">
        <f t="shared" ref="CF82:DK82" si="101">SUBTOTAL(9,CF80:CF81)</f>
        <v>0</v>
      </c>
      <c r="CG82" s="694">
        <f t="shared" si="101"/>
        <v>0</v>
      </c>
      <c r="CH82" s="694">
        <f t="shared" si="101"/>
        <v>0</v>
      </c>
      <c r="CI82" s="694">
        <f t="shared" si="101"/>
        <v>0</v>
      </c>
      <c r="CJ82" s="694">
        <f t="shared" si="101"/>
        <v>0</v>
      </c>
      <c r="CK82" s="694">
        <f t="shared" si="101"/>
        <v>0</v>
      </c>
      <c r="CL82" s="694">
        <f t="shared" si="101"/>
        <v>0</v>
      </c>
      <c r="CM82" s="694">
        <f t="shared" si="101"/>
        <v>0</v>
      </c>
      <c r="CN82" s="694">
        <f t="shared" si="101"/>
        <v>0</v>
      </c>
      <c r="CO82" s="694">
        <f t="shared" si="101"/>
        <v>0</v>
      </c>
      <c r="CP82" s="694">
        <f t="shared" si="101"/>
        <v>0</v>
      </c>
      <c r="CQ82" s="694">
        <f t="shared" si="101"/>
        <v>0</v>
      </c>
      <c r="CR82" s="694">
        <f t="shared" si="101"/>
        <v>0</v>
      </c>
      <c r="CS82" s="694">
        <f t="shared" si="101"/>
        <v>0</v>
      </c>
      <c r="CT82" s="694">
        <f t="shared" si="101"/>
        <v>0</v>
      </c>
      <c r="CU82" s="694">
        <f t="shared" si="101"/>
        <v>0</v>
      </c>
      <c r="CV82" s="694">
        <f t="shared" si="101"/>
        <v>0</v>
      </c>
      <c r="CW82" s="694">
        <f t="shared" si="101"/>
        <v>0</v>
      </c>
      <c r="CX82" s="694">
        <f t="shared" si="101"/>
        <v>0</v>
      </c>
      <c r="CY82" s="694">
        <f t="shared" si="101"/>
        <v>24605672.299141534</v>
      </c>
      <c r="CZ82" s="694">
        <f t="shared" si="101"/>
        <v>0</v>
      </c>
      <c r="DA82" s="694">
        <f t="shared" si="101"/>
        <v>0</v>
      </c>
      <c r="DB82" s="694">
        <f t="shared" si="101"/>
        <v>0</v>
      </c>
      <c r="DC82" s="694">
        <f t="shared" si="101"/>
        <v>0</v>
      </c>
      <c r="DD82" s="694">
        <f t="shared" si="101"/>
        <v>0</v>
      </c>
      <c r="DE82" s="694">
        <f t="shared" si="101"/>
        <v>0</v>
      </c>
      <c r="DF82" s="694">
        <f t="shared" si="101"/>
        <v>0</v>
      </c>
      <c r="DG82" s="694">
        <f t="shared" si="101"/>
        <v>0</v>
      </c>
      <c r="DH82" s="694">
        <f t="shared" si="101"/>
        <v>0</v>
      </c>
      <c r="DI82" s="694">
        <f t="shared" si="101"/>
        <v>0</v>
      </c>
      <c r="DJ82" s="694">
        <f t="shared" si="101"/>
        <v>0</v>
      </c>
      <c r="DK82" s="694">
        <f t="shared" si="101"/>
        <v>0</v>
      </c>
      <c r="DL82" s="694">
        <f t="shared" ref="DL82:EQ82" si="102">SUBTOTAL(9,DL80:DL81)</f>
        <v>0</v>
      </c>
      <c r="DM82" s="694">
        <f t="shared" si="102"/>
        <v>0</v>
      </c>
      <c r="DN82" s="694">
        <f t="shared" si="102"/>
        <v>0</v>
      </c>
      <c r="DO82" s="694">
        <f t="shared" si="102"/>
        <v>0</v>
      </c>
      <c r="DP82" s="694">
        <f t="shared" si="102"/>
        <v>0</v>
      </c>
      <c r="DQ82" s="694">
        <f t="shared" si="102"/>
        <v>0</v>
      </c>
      <c r="DR82" s="694">
        <f t="shared" si="102"/>
        <v>0</v>
      </c>
      <c r="DS82" s="694">
        <f t="shared" si="102"/>
        <v>0</v>
      </c>
      <c r="DT82" s="694">
        <f t="shared" si="102"/>
        <v>0</v>
      </c>
      <c r="DU82" s="694">
        <f t="shared" si="102"/>
        <v>0</v>
      </c>
      <c r="DV82" s="694">
        <f t="shared" si="102"/>
        <v>0</v>
      </c>
      <c r="DW82" s="694">
        <f t="shared" si="102"/>
        <v>0</v>
      </c>
      <c r="DX82" s="694">
        <f t="shared" si="102"/>
        <v>0</v>
      </c>
      <c r="DY82" s="694">
        <f t="shared" si="102"/>
        <v>0</v>
      </c>
      <c r="DZ82" s="694">
        <f t="shared" si="102"/>
        <v>0</v>
      </c>
      <c r="EA82" s="694">
        <f t="shared" si="102"/>
        <v>0</v>
      </c>
      <c r="EB82" s="694">
        <f t="shared" si="102"/>
        <v>0</v>
      </c>
      <c r="EC82" s="694">
        <f t="shared" si="102"/>
        <v>0</v>
      </c>
      <c r="ED82" s="694">
        <f t="shared" si="102"/>
        <v>0</v>
      </c>
      <c r="EE82" s="694">
        <f t="shared" si="102"/>
        <v>0</v>
      </c>
      <c r="EF82" s="694">
        <f t="shared" si="102"/>
        <v>0</v>
      </c>
      <c r="EG82" s="694">
        <f t="shared" si="102"/>
        <v>0</v>
      </c>
      <c r="EH82" s="694">
        <f t="shared" si="102"/>
        <v>0</v>
      </c>
      <c r="EI82" s="694">
        <f t="shared" si="102"/>
        <v>0</v>
      </c>
    </row>
    <row r="83" spans="2:139">
      <c r="B83" s="46"/>
      <c r="C83" s="209"/>
      <c r="D83" s="169"/>
      <c r="E83" s="169"/>
      <c r="F83" s="169"/>
      <c r="G83" s="169"/>
      <c r="H83" s="169"/>
      <c r="I83" s="169"/>
      <c r="J83" s="169"/>
      <c r="K83" s="169"/>
      <c r="L83" s="169"/>
      <c r="M83" s="169"/>
      <c r="N83" s="169"/>
      <c r="O83" s="91"/>
      <c r="S83" s="78"/>
      <c r="T83" s="169"/>
      <c r="U83" s="169"/>
      <c r="V83" s="169"/>
      <c r="W83" s="169"/>
      <c r="X83" s="169"/>
      <c r="Y83" s="169"/>
      <c r="Z83" s="169"/>
      <c r="AA83" s="169"/>
      <c r="AB83" s="169"/>
      <c r="AC83" s="169"/>
      <c r="AD83" s="169"/>
      <c r="AE83" s="169"/>
      <c r="AF83" s="169"/>
      <c r="AG83" s="169"/>
      <c r="AH83" s="169"/>
      <c r="AI83" s="169"/>
      <c r="AJ83" s="169"/>
      <c r="AK83" s="169"/>
      <c r="AL83" s="169"/>
      <c r="AM83" s="169"/>
      <c r="AN83" s="169"/>
      <c r="AO83" s="169"/>
      <c r="AP83" s="169"/>
      <c r="AQ83" s="169"/>
      <c r="AR83" s="169"/>
      <c r="AS83" s="169"/>
      <c r="AT83" s="169"/>
      <c r="AU83" s="169"/>
      <c r="AV83" s="169"/>
      <c r="AW83" s="169"/>
      <c r="AX83" s="169"/>
      <c r="AY83" s="169"/>
      <c r="AZ83" s="169"/>
      <c r="BA83" s="169"/>
      <c r="BB83" s="169"/>
      <c r="BC83" s="169"/>
      <c r="BD83" s="169"/>
      <c r="BE83" s="169"/>
      <c r="BF83" s="169"/>
      <c r="BG83" s="169"/>
      <c r="BH83" s="169"/>
      <c r="BI83" s="169"/>
      <c r="BJ83" s="169"/>
      <c r="BK83" s="169"/>
      <c r="BL83" s="169"/>
      <c r="BM83" s="169"/>
      <c r="BN83" s="169"/>
      <c r="BO83" s="169"/>
      <c r="BP83" s="169"/>
      <c r="BQ83" s="169"/>
      <c r="BR83" s="169"/>
      <c r="BS83" s="169"/>
      <c r="BT83" s="169"/>
      <c r="BU83" s="169"/>
      <c r="BV83" s="169"/>
      <c r="BW83" s="169"/>
      <c r="BX83" s="169"/>
      <c r="BY83" s="169"/>
      <c r="BZ83" s="169"/>
      <c r="CA83" s="169"/>
      <c r="CB83" s="169"/>
      <c r="CC83" s="169"/>
      <c r="CD83" s="169"/>
      <c r="CE83" s="169"/>
      <c r="CF83" s="169"/>
      <c r="CG83" s="169"/>
      <c r="CH83" s="169"/>
      <c r="CI83" s="169"/>
      <c r="CJ83" s="169"/>
      <c r="CK83" s="169"/>
      <c r="CL83" s="169"/>
      <c r="CM83" s="169"/>
      <c r="CN83" s="169"/>
      <c r="CO83" s="169"/>
      <c r="CP83" s="169"/>
      <c r="CQ83" s="169"/>
      <c r="CR83" s="169"/>
      <c r="CS83" s="169"/>
      <c r="CT83" s="169"/>
      <c r="CU83" s="169"/>
      <c r="CV83" s="169"/>
      <c r="CW83" s="169"/>
      <c r="CX83" s="169"/>
      <c r="CY83" s="169"/>
      <c r="CZ83" s="169"/>
      <c r="DA83" s="169"/>
      <c r="DB83" s="169"/>
      <c r="DC83" s="169"/>
      <c r="DD83" s="169"/>
      <c r="DE83" s="169"/>
      <c r="DF83" s="169"/>
      <c r="DG83" s="169"/>
      <c r="DH83" s="169"/>
      <c r="DI83" s="169"/>
      <c r="DJ83" s="169"/>
      <c r="DK83" s="169"/>
      <c r="DL83" s="169"/>
      <c r="DM83" s="169"/>
      <c r="DN83" s="169"/>
      <c r="DO83" s="169"/>
      <c r="DP83" s="169"/>
      <c r="DQ83" s="169"/>
      <c r="DR83" s="169"/>
      <c r="DS83" s="169"/>
      <c r="DT83" s="169"/>
      <c r="DU83" s="169"/>
      <c r="DV83" s="169"/>
      <c r="DW83" s="169"/>
      <c r="DX83" s="169"/>
      <c r="DY83" s="169"/>
      <c r="DZ83" s="169"/>
      <c r="EA83" s="169"/>
      <c r="EB83" s="169"/>
      <c r="EC83" s="169"/>
      <c r="ED83" s="169"/>
      <c r="EE83" s="169"/>
      <c r="EF83" s="169"/>
      <c r="EG83" s="169"/>
      <c r="EH83" s="169"/>
      <c r="EI83" s="169"/>
    </row>
    <row r="86" spans="2:139" s="192" customFormat="1" ht="14.25" customHeight="1">
      <c r="B86" s="1044" t="s">
        <v>178</v>
      </c>
      <c r="C86" s="212">
        <f>IFERROR(IF(IrrCalculationType=170,IRR(D86:N86,0.01),(1+IRR(S86:EI86,0.01))^12-1),"n/a")</f>
        <v>0.16421136998081587</v>
      </c>
      <c r="D86" s="204">
        <f t="shared" ref="D86:O86" si="103">SUBTOTAL(9,D10:D83)</f>
        <v>-13009400</v>
      </c>
      <c r="E86" s="204">
        <f t="shared" si="103"/>
        <v>1013735.7586710614</v>
      </c>
      <c r="F86" s="204">
        <f t="shared" si="103"/>
        <v>1056179.4324117121</v>
      </c>
      <c r="G86" s="204">
        <f t="shared" si="103"/>
        <v>1118852.1397523265</v>
      </c>
      <c r="H86" s="204">
        <f t="shared" si="103"/>
        <v>1167400.4878539424</v>
      </c>
      <c r="I86" s="204">
        <f t="shared" si="103"/>
        <v>1217633.7596158781</v>
      </c>
      <c r="J86" s="204">
        <f t="shared" si="103"/>
        <v>1261529.7824043559</v>
      </c>
      <c r="K86" s="204">
        <f t="shared" si="103"/>
        <v>25912414.985018022</v>
      </c>
      <c r="L86" s="204">
        <f t="shared" si="103"/>
        <v>0</v>
      </c>
      <c r="M86" s="204">
        <f t="shared" si="103"/>
        <v>0</v>
      </c>
      <c r="N86" s="204">
        <f t="shared" si="103"/>
        <v>0</v>
      </c>
      <c r="O86" s="204">
        <f t="shared" si="103"/>
        <v>19738346.345727298</v>
      </c>
      <c r="P86"/>
      <c r="Q86"/>
      <c r="R86"/>
      <c r="S86" s="204">
        <f t="shared" ref="S86:AX86" si="104">SUBTOTAL(9,S10:S83)</f>
        <v>-13009400</v>
      </c>
      <c r="T86" s="204">
        <f t="shared" si="104"/>
        <v>84477.979889255148</v>
      </c>
      <c r="U86" s="204">
        <f t="shared" si="104"/>
        <v>84477.979889255148</v>
      </c>
      <c r="V86" s="204">
        <f t="shared" si="104"/>
        <v>84477.979889255148</v>
      </c>
      <c r="W86" s="204">
        <f t="shared" si="104"/>
        <v>84477.979889255148</v>
      </c>
      <c r="X86" s="204">
        <f t="shared" si="104"/>
        <v>84477.979889255148</v>
      </c>
      <c r="Y86" s="204">
        <f t="shared" si="104"/>
        <v>84477.979889255148</v>
      </c>
      <c r="Z86" s="204">
        <f t="shared" si="104"/>
        <v>84477.979889255148</v>
      </c>
      <c r="AA86" s="204">
        <f t="shared" si="104"/>
        <v>84477.979889255148</v>
      </c>
      <c r="AB86" s="204">
        <f t="shared" si="104"/>
        <v>84477.979889255148</v>
      </c>
      <c r="AC86" s="204">
        <f t="shared" si="104"/>
        <v>84477.979889255148</v>
      </c>
      <c r="AD86" s="204">
        <f t="shared" si="104"/>
        <v>84477.979889255148</v>
      </c>
      <c r="AE86" s="204">
        <f t="shared" si="104"/>
        <v>84477.979889255148</v>
      </c>
      <c r="AF86" s="204">
        <f t="shared" si="104"/>
        <v>87033.086713957251</v>
      </c>
      <c r="AG86" s="204">
        <f t="shared" si="104"/>
        <v>87210.626754753146</v>
      </c>
      <c r="AH86" s="204">
        <f t="shared" si="104"/>
        <v>87388.460017360761</v>
      </c>
      <c r="AI86" s="204">
        <f t="shared" si="104"/>
        <v>87566.586986059745</v>
      </c>
      <c r="AJ86" s="204">
        <f t="shared" si="104"/>
        <v>87745.008145929634</v>
      </c>
      <c r="AK86" s="204">
        <f t="shared" si="104"/>
        <v>87923.723982850977</v>
      </c>
      <c r="AL86" s="204">
        <f t="shared" si="104"/>
        <v>88102.73498350702</v>
      </c>
      <c r="AM86" s="204">
        <f t="shared" si="104"/>
        <v>88282.041635384507</v>
      </c>
      <c r="AN86" s="204">
        <f t="shared" si="104"/>
        <v>88461.644426775616</v>
      </c>
      <c r="AO86" s="204">
        <f t="shared" si="104"/>
        <v>88641.543846778673</v>
      </c>
      <c r="AP86" s="204">
        <f t="shared" si="104"/>
        <v>88821.740385300072</v>
      </c>
      <c r="AQ86" s="204">
        <f t="shared" si="104"/>
        <v>89002.234533055191</v>
      </c>
      <c r="AR86" s="204">
        <f t="shared" si="104"/>
        <v>91703.606037454709</v>
      </c>
      <c r="AS86" s="204">
        <f t="shared" si="104"/>
        <v>91980.241408134083</v>
      </c>
      <c r="AT86" s="204">
        <f t="shared" si="104"/>
        <v>92257.559036266102</v>
      </c>
      <c r="AU86" s="204">
        <f t="shared" si="104"/>
        <v>92535.560604481725</v>
      </c>
      <c r="AV86" s="204">
        <f t="shared" si="104"/>
        <v>92814.247799561665</v>
      </c>
      <c r="AW86" s="204">
        <f t="shared" si="104"/>
        <v>93093.622312446765</v>
      </c>
      <c r="AX86" s="204">
        <f t="shared" si="104"/>
        <v>93373.685838248173</v>
      </c>
      <c r="AY86" s="204">
        <f t="shared" ref="AY86:CD86" si="105">SUBTOTAL(9,AY10:AY83)</f>
        <v>93654.440076257568</v>
      </c>
      <c r="AZ86" s="204">
        <f t="shared" si="105"/>
        <v>93935.886729957609</v>
      </c>
      <c r="BA86" s="204">
        <f t="shared" si="105"/>
        <v>94218.027507032166</v>
      </c>
      <c r="BB86" s="204">
        <f t="shared" si="105"/>
        <v>94500.864119376783</v>
      </c>
      <c r="BC86" s="204">
        <f t="shared" si="105"/>
        <v>94784.398283108952</v>
      </c>
      <c r="BD86" s="204">
        <f t="shared" si="105"/>
        <v>95694.716818064364</v>
      </c>
      <c r="BE86" s="204">
        <f t="shared" si="105"/>
        <v>95981.19534461986</v>
      </c>
      <c r="BF86" s="204">
        <f t="shared" si="105"/>
        <v>96268.380404505791</v>
      </c>
      <c r="BG86" s="204">
        <f t="shared" si="105"/>
        <v>96556.273740223987</v>
      </c>
      <c r="BH86" s="204">
        <f t="shared" si="105"/>
        <v>96844.877098573779</v>
      </c>
      <c r="BI86" s="204">
        <f t="shared" si="105"/>
        <v>97134.19223066236</v>
      </c>
      <c r="BJ86" s="204">
        <f t="shared" si="105"/>
        <v>97424.220891915902</v>
      </c>
      <c r="BK86" s="204">
        <f t="shared" si="105"/>
        <v>97714.96484208983</v>
      </c>
      <c r="BL86" s="204">
        <f t="shared" si="105"/>
        <v>98006.425845279533</v>
      </c>
      <c r="BM86" s="204">
        <f t="shared" si="105"/>
        <v>98298.605669931247</v>
      </c>
      <c r="BN86" s="204">
        <f t="shared" si="105"/>
        <v>98591.506088852504</v>
      </c>
      <c r="BO86" s="204">
        <f t="shared" si="105"/>
        <v>98885.12887922331</v>
      </c>
      <c r="BP86" s="204">
        <f t="shared" si="105"/>
        <v>99824.343475076836</v>
      </c>
      <c r="BQ86" s="204">
        <f t="shared" si="105"/>
        <v>100121.0067750274</v>
      </c>
      <c r="BR86" s="204">
        <f t="shared" si="105"/>
        <v>100418.40172670723</v>
      </c>
      <c r="BS86" s="204">
        <f t="shared" si="105"/>
        <v>100716.53013456677</v>
      </c>
      <c r="BT86" s="204">
        <f t="shared" si="105"/>
        <v>101015.39380750692</v>
      </c>
      <c r="BU86" s="204">
        <f t="shared" si="105"/>
        <v>101314.99455888965</v>
      </c>
      <c r="BV86" s="204">
        <f t="shared" si="105"/>
        <v>101615.33420654933</v>
      </c>
      <c r="BW86" s="204">
        <f t="shared" si="105"/>
        <v>101916.41457280342</v>
      </c>
      <c r="BX86" s="204">
        <f t="shared" si="105"/>
        <v>102218.23748446381</v>
      </c>
      <c r="BY86" s="204">
        <f t="shared" si="105"/>
        <v>102520.80477284787</v>
      </c>
      <c r="BZ86" s="204">
        <f t="shared" si="105"/>
        <v>102824.11827378934</v>
      </c>
      <c r="CA86" s="204">
        <f t="shared" si="105"/>
        <v>103128.17982764966</v>
      </c>
      <c r="CB86" s="204">
        <f t="shared" si="105"/>
        <v>103432.99127932928</v>
      </c>
      <c r="CC86" s="204">
        <f t="shared" si="105"/>
        <v>103738.55447827833</v>
      </c>
      <c r="CD86" s="204">
        <f t="shared" si="105"/>
        <v>104044.87127850854</v>
      </c>
      <c r="CE86" s="204">
        <f t="shared" ref="CE86:DJ86" si="106">SUBTOTAL(9,CE10:CE83)</f>
        <v>104351.9435386039</v>
      </c>
      <c r="CF86" s="204">
        <f t="shared" si="106"/>
        <v>104659.77312173223</v>
      </c>
      <c r="CG86" s="204">
        <f t="shared" si="106"/>
        <v>104968.36189565645</v>
      </c>
      <c r="CH86" s="204">
        <f t="shared" si="106"/>
        <v>105277.71173274587</v>
      </c>
      <c r="CI86" s="204">
        <f t="shared" si="106"/>
        <v>105587.82450998758</v>
      </c>
      <c r="CJ86" s="204">
        <f t="shared" si="106"/>
        <v>105898.70210899782</v>
      </c>
      <c r="CK86" s="204">
        <f t="shared" si="106"/>
        <v>106210.34641603337</v>
      </c>
      <c r="CL86" s="204">
        <f t="shared" si="106"/>
        <v>106522.75932200308</v>
      </c>
      <c r="CM86" s="204">
        <f t="shared" si="106"/>
        <v>106835.94272247929</v>
      </c>
      <c r="CN86" s="204">
        <f t="shared" si="106"/>
        <v>107149.89851770923</v>
      </c>
      <c r="CO86" s="204">
        <f t="shared" si="106"/>
        <v>107464.62861262681</v>
      </c>
      <c r="CP86" s="204">
        <f t="shared" si="106"/>
        <v>107780.13491686393</v>
      </c>
      <c r="CQ86" s="204">
        <f t="shared" si="106"/>
        <v>108096.41934476214</v>
      </c>
      <c r="CR86" s="204">
        <f t="shared" si="106"/>
        <v>108413.48381538433</v>
      </c>
      <c r="CS86" s="204">
        <f t="shared" si="106"/>
        <v>108731.33025252627</v>
      </c>
      <c r="CT86" s="204">
        <f t="shared" si="106"/>
        <v>109049.96058472837</v>
      </c>
      <c r="CU86" s="204">
        <f t="shared" si="106"/>
        <v>109369.37674528733</v>
      </c>
      <c r="CV86" s="204">
        <f t="shared" si="106"/>
        <v>109689.58067226791</v>
      </c>
      <c r="CW86" s="204">
        <f t="shared" si="106"/>
        <v>110010.57430851454</v>
      </c>
      <c r="CX86" s="204">
        <f t="shared" si="106"/>
        <v>110332.35960166334</v>
      </c>
      <c r="CY86" s="204">
        <f t="shared" si="106"/>
        <v>24716327.237645686</v>
      </c>
      <c r="CZ86" s="204">
        <f t="shared" si="106"/>
        <v>0</v>
      </c>
      <c r="DA86" s="204">
        <f t="shared" si="106"/>
        <v>0</v>
      </c>
      <c r="DB86" s="204">
        <f t="shared" si="106"/>
        <v>0</v>
      </c>
      <c r="DC86" s="204">
        <f t="shared" si="106"/>
        <v>0</v>
      </c>
      <c r="DD86" s="204">
        <f t="shared" si="106"/>
        <v>0</v>
      </c>
      <c r="DE86" s="204">
        <f t="shared" si="106"/>
        <v>0</v>
      </c>
      <c r="DF86" s="204">
        <f t="shared" si="106"/>
        <v>0</v>
      </c>
      <c r="DG86" s="204">
        <f t="shared" si="106"/>
        <v>0</v>
      </c>
      <c r="DH86" s="204">
        <f t="shared" si="106"/>
        <v>0</v>
      </c>
      <c r="DI86" s="204">
        <f t="shared" si="106"/>
        <v>0</v>
      </c>
      <c r="DJ86" s="204">
        <f t="shared" si="106"/>
        <v>0</v>
      </c>
      <c r="DK86" s="204">
        <f t="shared" ref="DK86:EI86" si="107">SUBTOTAL(9,DK10:DK83)</f>
        <v>0</v>
      </c>
      <c r="DL86" s="204">
        <f t="shared" si="107"/>
        <v>0</v>
      </c>
      <c r="DM86" s="204">
        <f t="shared" si="107"/>
        <v>0</v>
      </c>
      <c r="DN86" s="204">
        <f t="shared" si="107"/>
        <v>0</v>
      </c>
      <c r="DO86" s="204">
        <f t="shared" si="107"/>
        <v>0</v>
      </c>
      <c r="DP86" s="204">
        <f t="shared" si="107"/>
        <v>0</v>
      </c>
      <c r="DQ86" s="204">
        <f t="shared" si="107"/>
        <v>0</v>
      </c>
      <c r="DR86" s="204">
        <f t="shared" si="107"/>
        <v>0</v>
      </c>
      <c r="DS86" s="204">
        <f t="shared" si="107"/>
        <v>0</v>
      </c>
      <c r="DT86" s="204">
        <f t="shared" si="107"/>
        <v>0</v>
      </c>
      <c r="DU86" s="204">
        <f t="shared" si="107"/>
        <v>0</v>
      </c>
      <c r="DV86" s="204">
        <f t="shared" si="107"/>
        <v>0</v>
      </c>
      <c r="DW86" s="204">
        <f t="shared" si="107"/>
        <v>0</v>
      </c>
      <c r="DX86" s="204">
        <f t="shared" si="107"/>
        <v>0</v>
      </c>
      <c r="DY86" s="204">
        <f t="shared" si="107"/>
        <v>0</v>
      </c>
      <c r="DZ86" s="204">
        <f t="shared" si="107"/>
        <v>0</v>
      </c>
      <c r="EA86" s="204">
        <f t="shared" si="107"/>
        <v>0</v>
      </c>
      <c r="EB86" s="204">
        <f t="shared" si="107"/>
        <v>0</v>
      </c>
      <c r="EC86" s="204">
        <f t="shared" si="107"/>
        <v>0</v>
      </c>
      <c r="ED86" s="204">
        <f t="shared" si="107"/>
        <v>0</v>
      </c>
      <c r="EE86" s="204">
        <f t="shared" si="107"/>
        <v>0</v>
      </c>
      <c r="EF86" s="204">
        <f t="shared" si="107"/>
        <v>0</v>
      </c>
      <c r="EG86" s="204">
        <f t="shared" si="107"/>
        <v>0</v>
      </c>
      <c r="EH86" s="204">
        <f t="shared" si="107"/>
        <v>0</v>
      </c>
      <c r="EI86" s="204">
        <f t="shared" si="107"/>
        <v>0</v>
      </c>
    </row>
    <row r="87" spans="2:139">
      <c r="B87" s="844"/>
      <c r="C87" s="844"/>
      <c r="Q87" s="844"/>
    </row>
    <row r="88" spans="2:139">
      <c r="B88" s="844"/>
      <c r="C88" s="844"/>
      <c r="D88" s="844"/>
      <c r="Q88" s="844"/>
    </row>
    <row r="89" spans="2:139" s="192" customFormat="1" ht="14.25" customHeight="1">
      <c r="B89" s="1043" t="s">
        <v>583</v>
      </c>
      <c r="C89" s="196"/>
      <c r="D89" s="196"/>
      <c r="E89" s="196"/>
      <c r="F89" s="197"/>
      <c r="G89" s="197"/>
      <c r="H89" s="197"/>
      <c r="I89" s="197"/>
      <c r="J89" s="197"/>
      <c r="K89" s="197"/>
      <c r="L89" s="197"/>
      <c r="M89" s="197"/>
      <c r="N89" s="197"/>
      <c r="O89" s="197"/>
      <c r="P89"/>
      <c r="Q89" s="844"/>
      <c r="R89"/>
      <c r="S89" s="197"/>
      <c r="T89" s="197"/>
      <c r="U89" s="197"/>
      <c r="V89" s="197"/>
      <c r="W89" s="197"/>
      <c r="X89" s="197"/>
      <c r="Y89" s="197"/>
      <c r="Z89" s="197"/>
      <c r="AA89" s="197"/>
      <c r="AB89" s="197"/>
      <c r="AC89" s="197"/>
      <c r="AD89" s="197"/>
      <c r="AE89" s="197"/>
      <c r="AF89" s="197"/>
      <c r="AG89" s="197"/>
      <c r="AH89" s="197"/>
      <c r="AI89" s="197"/>
      <c r="AJ89" s="197"/>
      <c r="AK89" s="197"/>
      <c r="AL89" s="197"/>
      <c r="AM89" s="197"/>
      <c r="AN89" s="197"/>
      <c r="AO89" s="197"/>
      <c r="AP89" s="197"/>
      <c r="AQ89" s="197"/>
      <c r="AR89" s="197"/>
      <c r="AS89" s="197"/>
      <c r="AT89" s="197"/>
      <c r="AU89" s="197"/>
      <c r="AV89" s="197"/>
      <c r="AW89" s="197"/>
      <c r="AX89" s="197"/>
      <c r="AY89" s="197"/>
      <c r="AZ89" s="197"/>
      <c r="BA89" s="197"/>
      <c r="BB89" s="197"/>
      <c r="BC89" s="197"/>
      <c r="BD89" s="197"/>
      <c r="BE89" s="197"/>
      <c r="BF89" s="197"/>
      <c r="BG89" s="197"/>
      <c r="BH89" s="197"/>
      <c r="BI89" s="197"/>
      <c r="BJ89" s="197"/>
      <c r="BK89" s="197"/>
      <c r="BL89" s="197"/>
      <c r="BM89" s="197"/>
      <c r="BN89" s="197"/>
      <c r="BO89" s="197"/>
      <c r="BP89" s="197"/>
      <c r="BQ89" s="197"/>
      <c r="BR89" s="197"/>
      <c r="BS89" s="197"/>
      <c r="BT89" s="197"/>
      <c r="BU89" s="197"/>
      <c r="BV89" s="197"/>
      <c r="BW89" s="197"/>
      <c r="BX89" s="197"/>
      <c r="BY89" s="197"/>
      <c r="BZ89" s="197"/>
      <c r="CA89" s="197"/>
      <c r="CB89" s="197"/>
      <c r="CC89" s="197"/>
      <c r="CD89" s="197"/>
      <c r="CE89" s="197"/>
      <c r="CF89" s="197"/>
      <c r="CG89" s="197"/>
      <c r="CH89" s="197"/>
      <c r="CI89" s="197"/>
      <c r="CJ89" s="197"/>
      <c r="CK89" s="197"/>
      <c r="CL89" s="197"/>
      <c r="CM89" s="197"/>
      <c r="CN89" s="197"/>
      <c r="CO89" s="197"/>
      <c r="CP89" s="197"/>
      <c r="CQ89" s="197"/>
      <c r="CR89" s="197"/>
      <c r="CS89" s="197"/>
      <c r="CT89" s="197"/>
      <c r="CU89" s="197"/>
      <c r="CV89" s="197"/>
      <c r="CW89" s="197"/>
      <c r="CX89" s="197"/>
      <c r="CY89" s="197"/>
      <c r="CZ89" s="197"/>
      <c r="DA89" s="197"/>
      <c r="DB89" s="197"/>
      <c r="DC89" s="197"/>
      <c r="DD89" s="197"/>
      <c r="DE89" s="197"/>
      <c r="DF89" s="197"/>
      <c r="DG89" s="197"/>
      <c r="DH89" s="197"/>
      <c r="DI89" s="197"/>
      <c r="DJ89" s="197"/>
      <c r="DK89" s="197"/>
      <c r="DL89" s="197"/>
      <c r="DM89" s="197"/>
      <c r="DN89" s="197"/>
      <c r="DO89" s="197"/>
      <c r="DP89" s="197"/>
      <c r="DQ89" s="197"/>
      <c r="DR89" s="197"/>
      <c r="DS89" s="197"/>
      <c r="DT89" s="197"/>
      <c r="DU89" s="197"/>
      <c r="DV89" s="197"/>
      <c r="DW89" s="197"/>
      <c r="DX89" s="197"/>
      <c r="DY89" s="197"/>
      <c r="DZ89" s="197"/>
      <c r="EA89" s="197"/>
      <c r="EB89" s="197"/>
      <c r="EC89" s="197"/>
      <c r="ED89" s="197"/>
      <c r="EE89" s="197"/>
      <c r="EF89" s="197"/>
      <c r="EG89" s="197"/>
      <c r="EH89" s="197"/>
      <c r="EI89" s="197"/>
    </row>
    <row r="90" spans="2:139" ht="12.75" customHeight="1">
      <c r="B90" s="41" t="s">
        <v>180</v>
      </c>
      <c r="C90" s="211"/>
      <c r="D90" s="78">
        <f t="shared" ref="D90:N91" si="108">SUMIF($S$6:$EI$6,D$5,$S90:$EI90)</f>
        <v>0</v>
      </c>
      <c r="E90" s="78">
        <f t="shared" si="108"/>
        <v>0</v>
      </c>
      <c r="F90" s="78">
        <f t="shared" si="108"/>
        <v>0</v>
      </c>
      <c r="G90" s="78">
        <f t="shared" si="108"/>
        <v>0</v>
      </c>
      <c r="H90" s="78">
        <f t="shared" si="108"/>
        <v>0</v>
      </c>
      <c r="I90" s="78">
        <f t="shared" si="108"/>
        <v>0</v>
      </c>
      <c r="J90" s="78">
        <f t="shared" si="108"/>
        <v>0</v>
      </c>
      <c r="K90" s="78">
        <f t="shared" si="108"/>
        <v>0</v>
      </c>
      <c r="L90" s="78">
        <f t="shared" si="108"/>
        <v>0</v>
      </c>
      <c r="M90" s="78">
        <f t="shared" si="108"/>
        <v>0</v>
      </c>
      <c r="N90" s="78">
        <f t="shared" si="108"/>
        <v>0</v>
      </c>
      <c r="O90" s="145">
        <f>SUM(D90:N90)</f>
        <v>0</v>
      </c>
      <c r="S90" s="845">
        <f t="shared" ref="S90:AX90" si="109">SUM(S138,S161,S184,S206,S270,S292)</f>
        <v>0</v>
      </c>
      <c r="T90" s="845">
        <f t="shared" si="109"/>
        <v>0</v>
      </c>
      <c r="U90" s="845">
        <f t="shared" si="109"/>
        <v>0</v>
      </c>
      <c r="V90" s="845">
        <f t="shared" si="109"/>
        <v>0</v>
      </c>
      <c r="W90" s="845">
        <f t="shared" si="109"/>
        <v>0</v>
      </c>
      <c r="X90" s="845">
        <f t="shared" si="109"/>
        <v>0</v>
      </c>
      <c r="Y90" s="845">
        <f t="shared" si="109"/>
        <v>0</v>
      </c>
      <c r="Z90" s="845">
        <f t="shared" si="109"/>
        <v>0</v>
      </c>
      <c r="AA90" s="845">
        <f t="shared" si="109"/>
        <v>0</v>
      </c>
      <c r="AB90" s="845">
        <f t="shared" si="109"/>
        <v>0</v>
      </c>
      <c r="AC90" s="845">
        <f t="shared" si="109"/>
        <v>0</v>
      </c>
      <c r="AD90" s="845">
        <f t="shared" si="109"/>
        <v>0</v>
      </c>
      <c r="AE90" s="845">
        <f t="shared" si="109"/>
        <v>0</v>
      </c>
      <c r="AF90" s="845">
        <f t="shared" si="109"/>
        <v>0</v>
      </c>
      <c r="AG90" s="845">
        <f t="shared" si="109"/>
        <v>0</v>
      </c>
      <c r="AH90" s="845">
        <f t="shared" si="109"/>
        <v>0</v>
      </c>
      <c r="AI90" s="845">
        <f t="shared" si="109"/>
        <v>0</v>
      </c>
      <c r="AJ90" s="845">
        <f t="shared" si="109"/>
        <v>0</v>
      </c>
      <c r="AK90" s="845">
        <f t="shared" si="109"/>
        <v>0</v>
      </c>
      <c r="AL90" s="845">
        <f t="shared" si="109"/>
        <v>0</v>
      </c>
      <c r="AM90" s="845">
        <f t="shared" si="109"/>
        <v>0</v>
      </c>
      <c r="AN90" s="845">
        <f t="shared" si="109"/>
        <v>0</v>
      </c>
      <c r="AO90" s="845">
        <f t="shared" si="109"/>
        <v>0</v>
      </c>
      <c r="AP90" s="845">
        <f t="shared" si="109"/>
        <v>0</v>
      </c>
      <c r="AQ90" s="845">
        <f t="shared" si="109"/>
        <v>0</v>
      </c>
      <c r="AR90" s="845">
        <f t="shared" si="109"/>
        <v>0</v>
      </c>
      <c r="AS90" s="845">
        <f t="shared" si="109"/>
        <v>0</v>
      </c>
      <c r="AT90" s="845">
        <f t="shared" si="109"/>
        <v>0</v>
      </c>
      <c r="AU90" s="845">
        <f t="shared" si="109"/>
        <v>0</v>
      </c>
      <c r="AV90" s="845">
        <f t="shared" si="109"/>
        <v>0</v>
      </c>
      <c r="AW90" s="845">
        <f t="shared" si="109"/>
        <v>0</v>
      </c>
      <c r="AX90" s="845">
        <f t="shared" si="109"/>
        <v>0</v>
      </c>
      <c r="AY90" s="845">
        <f t="shared" ref="AY90:CD90" si="110">SUM(AY138,AY161,AY184,AY206,AY270,AY292)</f>
        <v>0</v>
      </c>
      <c r="AZ90" s="845">
        <f t="shared" si="110"/>
        <v>0</v>
      </c>
      <c r="BA90" s="845">
        <f t="shared" si="110"/>
        <v>0</v>
      </c>
      <c r="BB90" s="845">
        <f t="shared" si="110"/>
        <v>0</v>
      </c>
      <c r="BC90" s="845">
        <f t="shared" si="110"/>
        <v>0</v>
      </c>
      <c r="BD90" s="845">
        <f t="shared" si="110"/>
        <v>0</v>
      </c>
      <c r="BE90" s="845">
        <f t="shared" si="110"/>
        <v>0</v>
      </c>
      <c r="BF90" s="845">
        <f t="shared" si="110"/>
        <v>0</v>
      </c>
      <c r="BG90" s="845">
        <f t="shared" si="110"/>
        <v>0</v>
      </c>
      <c r="BH90" s="845">
        <f t="shared" si="110"/>
        <v>0</v>
      </c>
      <c r="BI90" s="845">
        <f t="shared" si="110"/>
        <v>0</v>
      </c>
      <c r="BJ90" s="845">
        <f t="shared" si="110"/>
        <v>0</v>
      </c>
      <c r="BK90" s="845">
        <f t="shared" si="110"/>
        <v>0</v>
      </c>
      <c r="BL90" s="845">
        <f t="shared" si="110"/>
        <v>0</v>
      </c>
      <c r="BM90" s="845">
        <f t="shared" si="110"/>
        <v>0</v>
      </c>
      <c r="BN90" s="845">
        <f t="shared" si="110"/>
        <v>0</v>
      </c>
      <c r="BO90" s="845">
        <f t="shared" si="110"/>
        <v>0</v>
      </c>
      <c r="BP90" s="845">
        <f t="shared" si="110"/>
        <v>0</v>
      </c>
      <c r="BQ90" s="845">
        <f t="shared" si="110"/>
        <v>0</v>
      </c>
      <c r="BR90" s="845">
        <f t="shared" si="110"/>
        <v>0</v>
      </c>
      <c r="BS90" s="845">
        <f t="shared" si="110"/>
        <v>0</v>
      </c>
      <c r="BT90" s="845">
        <f t="shared" si="110"/>
        <v>0</v>
      </c>
      <c r="BU90" s="845">
        <f t="shared" si="110"/>
        <v>0</v>
      </c>
      <c r="BV90" s="845">
        <f t="shared" si="110"/>
        <v>0</v>
      </c>
      <c r="BW90" s="845">
        <f t="shared" si="110"/>
        <v>0</v>
      </c>
      <c r="BX90" s="845">
        <f t="shared" si="110"/>
        <v>0</v>
      </c>
      <c r="BY90" s="845">
        <f t="shared" si="110"/>
        <v>0</v>
      </c>
      <c r="BZ90" s="845">
        <f t="shared" si="110"/>
        <v>0</v>
      </c>
      <c r="CA90" s="845">
        <f t="shared" si="110"/>
        <v>0</v>
      </c>
      <c r="CB90" s="845">
        <f t="shared" si="110"/>
        <v>0</v>
      </c>
      <c r="CC90" s="845">
        <f t="shared" si="110"/>
        <v>0</v>
      </c>
      <c r="CD90" s="845">
        <f t="shared" si="110"/>
        <v>0</v>
      </c>
      <c r="CE90" s="845">
        <f t="shared" ref="CE90:DJ90" si="111">SUM(CE138,CE161,CE184,CE206,CE270,CE292)</f>
        <v>0</v>
      </c>
      <c r="CF90" s="845">
        <f t="shared" si="111"/>
        <v>0</v>
      </c>
      <c r="CG90" s="845">
        <f t="shared" si="111"/>
        <v>0</v>
      </c>
      <c r="CH90" s="845">
        <f t="shared" si="111"/>
        <v>0</v>
      </c>
      <c r="CI90" s="845">
        <f t="shared" si="111"/>
        <v>0</v>
      </c>
      <c r="CJ90" s="845">
        <f t="shared" si="111"/>
        <v>0</v>
      </c>
      <c r="CK90" s="845">
        <f t="shared" si="111"/>
        <v>0</v>
      </c>
      <c r="CL90" s="845">
        <f t="shared" si="111"/>
        <v>0</v>
      </c>
      <c r="CM90" s="845">
        <f t="shared" si="111"/>
        <v>0</v>
      </c>
      <c r="CN90" s="845">
        <f t="shared" si="111"/>
        <v>0</v>
      </c>
      <c r="CO90" s="845">
        <f t="shared" si="111"/>
        <v>0</v>
      </c>
      <c r="CP90" s="845">
        <f t="shared" si="111"/>
        <v>0</v>
      </c>
      <c r="CQ90" s="845">
        <f t="shared" si="111"/>
        <v>0</v>
      </c>
      <c r="CR90" s="845">
        <f t="shared" si="111"/>
        <v>0</v>
      </c>
      <c r="CS90" s="845">
        <f t="shared" si="111"/>
        <v>0</v>
      </c>
      <c r="CT90" s="845">
        <f t="shared" si="111"/>
        <v>0</v>
      </c>
      <c r="CU90" s="845">
        <f t="shared" si="111"/>
        <v>0</v>
      </c>
      <c r="CV90" s="845">
        <f t="shared" si="111"/>
        <v>0</v>
      </c>
      <c r="CW90" s="845">
        <f t="shared" si="111"/>
        <v>0</v>
      </c>
      <c r="CX90" s="845">
        <f t="shared" si="111"/>
        <v>0</v>
      </c>
      <c r="CY90" s="845">
        <f t="shared" si="111"/>
        <v>0</v>
      </c>
      <c r="CZ90" s="845">
        <f t="shared" si="111"/>
        <v>0</v>
      </c>
      <c r="DA90" s="845">
        <f t="shared" si="111"/>
        <v>0</v>
      </c>
      <c r="DB90" s="845">
        <f t="shared" si="111"/>
        <v>0</v>
      </c>
      <c r="DC90" s="845">
        <f t="shared" si="111"/>
        <v>0</v>
      </c>
      <c r="DD90" s="845">
        <f t="shared" si="111"/>
        <v>0</v>
      </c>
      <c r="DE90" s="845">
        <f t="shared" si="111"/>
        <v>0</v>
      </c>
      <c r="DF90" s="845">
        <f t="shared" si="111"/>
        <v>0</v>
      </c>
      <c r="DG90" s="845">
        <f t="shared" si="111"/>
        <v>0</v>
      </c>
      <c r="DH90" s="845">
        <f t="shared" si="111"/>
        <v>0</v>
      </c>
      <c r="DI90" s="845">
        <f t="shared" si="111"/>
        <v>0</v>
      </c>
      <c r="DJ90" s="845">
        <f t="shared" si="111"/>
        <v>0</v>
      </c>
      <c r="DK90" s="845">
        <f t="shared" ref="DK90:EI90" si="112">SUM(DK138,DK161,DK184,DK206,DK270,DK292)</f>
        <v>0</v>
      </c>
      <c r="DL90" s="845">
        <f t="shared" si="112"/>
        <v>0</v>
      </c>
      <c r="DM90" s="845">
        <f t="shared" si="112"/>
        <v>0</v>
      </c>
      <c r="DN90" s="845">
        <f t="shared" si="112"/>
        <v>0</v>
      </c>
      <c r="DO90" s="845">
        <f t="shared" si="112"/>
        <v>0</v>
      </c>
      <c r="DP90" s="845">
        <f t="shared" si="112"/>
        <v>0</v>
      </c>
      <c r="DQ90" s="845">
        <f t="shared" si="112"/>
        <v>0</v>
      </c>
      <c r="DR90" s="845">
        <f t="shared" si="112"/>
        <v>0</v>
      </c>
      <c r="DS90" s="845">
        <f t="shared" si="112"/>
        <v>0</v>
      </c>
      <c r="DT90" s="845">
        <f t="shared" si="112"/>
        <v>0</v>
      </c>
      <c r="DU90" s="845">
        <f t="shared" si="112"/>
        <v>0</v>
      </c>
      <c r="DV90" s="845">
        <f t="shared" si="112"/>
        <v>0</v>
      </c>
      <c r="DW90" s="845">
        <f t="shared" si="112"/>
        <v>0</v>
      </c>
      <c r="DX90" s="845">
        <f t="shared" si="112"/>
        <v>0</v>
      </c>
      <c r="DY90" s="845">
        <f t="shared" si="112"/>
        <v>0</v>
      </c>
      <c r="DZ90" s="845">
        <f t="shared" si="112"/>
        <v>0</v>
      </c>
      <c r="EA90" s="845">
        <f t="shared" si="112"/>
        <v>0</v>
      </c>
      <c r="EB90" s="845">
        <f t="shared" si="112"/>
        <v>0</v>
      </c>
      <c r="EC90" s="845">
        <f t="shared" si="112"/>
        <v>0</v>
      </c>
      <c r="ED90" s="845">
        <f t="shared" si="112"/>
        <v>0</v>
      </c>
      <c r="EE90" s="845">
        <f t="shared" si="112"/>
        <v>0</v>
      </c>
      <c r="EF90" s="845">
        <f t="shared" si="112"/>
        <v>0</v>
      </c>
      <c r="EG90" s="845">
        <f t="shared" si="112"/>
        <v>0</v>
      </c>
      <c r="EH90" s="845">
        <f t="shared" si="112"/>
        <v>0</v>
      </c>
      <c r="EI90" s="845">
        <f t="shared" si="112"/>
        <v>0</v>
      </c>
    </row>
    <row r="91" spans="2:139" ht="12.75" customHeight="1">
      <c r="B91" s="41" t="s">
        <v>181</v>
      </c>
      <c r="C91" s="211"/>
      <c r="D91" s="78">
        <f t="shared" si="108"/>
        <v>0</v>
      </c>
      <c r="E91" s="78">
        <f t="shared" si="108"/>
        <v>0</v>
      </c>
      <c r="F91" s="78">
        <f t="shared" si="108"/>
        <v>0</v>
      </c>
      <c r="G91" s="78">
        <f t="shared" si="108"/>
        <v>0</v>
      </c>
      <c r="H91" s="78">
        <f t="shared" si="108"/>
        <v>0</v>
      </c>
      <c r="I91" s="78">
        <f t="shared" si="108"/>
        <v>0</v>
      </c>
      <c r="J91" s="78">
        <f t="shared" si="108"/>
        <v>0</v>
      </c>
      <c r="K91" s="78">
        <f t="shared" si="108"/>
        <v>0</v>
      </c>
      <c r="L91" s="78">
        <f t="shared" si="108"/>
        <v>0</v>
      </c>
      <c r="M91" s="78">
        <f t="shared" si="108"/>
        <v>0</v>
      </c>
      <c r="N91" s="78">
        <f t="shared" si="108"/>
        <v>0</v>
      </c>
      <c r="O91" s="145">
        <f>SUM(D91:N91)</f>
        <v>0</v>
      </c>
      <c r="S91" s="845">
        <f t="shared" ref="S91:AX91" si="113">SUM(S131,S154,S177,S200,S264,S286)</f>
        <v>0</v>
      </c>
      <c r="T91" s="845">
        <f t="shared" si="113"/>
        <v>0</v>
      </c>
      <c r="U91" s="845">
        <f t="shared" si="113"/>
        <v>0</v>
      </c>
      <c r="V91" s="845">
        <f t="shared" si="113"/>
        <v>0</v>
      </c>
      <c r="W91" s="845">
        <f t="shared" si="113"/>
        <v>0</v>
      </c>
      <c r="X91" s="845">
        <f t="shared" si="113"/>
        <v>0</v>
      </c>
      <c r="Y91" s="845">
        <f t="shared" si="113"/>
        <v>0</v>
      </c>
      <c r="Z91" s="845">
        <f t="shared" si="113"/>
        <v>0</v>
      </c>
      <c r="AA91" s="845">
        <f t="shared" si="113"/>
        <v>0</v>
      </c>
      <c r="AB91" s="845">
        <f t="shared" si="113"/>
        <v>0</v>
      </c>
      <c r="AC91" s="845">
        <f t="shared" si="113"/>
        <v>0</v>
      </c>
      <c r="AD91" s="845">
        <f t="shared" si="113"/>
        <v>0</v>
      </c>
      <c r="AE91" s="845">
        <f t="shared" si="113"/>
        <v>0</v>
      </c>
      <c r="AF91" s="845">
        <f t="shared" si="113"/>
        <v>0</v>
      </c>
      <c r="AG91" s="845">
        <f t="shared" si="113"/>
        <v>0</v>
      </c>
      <c r="AH91" s="845">
        <f t="shared" si="113"/>
        <v>0</v>
      </c>
      <c r="AI91" s="845">
        <f t="shared" si="113"/>
        <v>0</v>
      </c>
      <c r="AJ91" s="845">
        <f t="shared" si="113"/>
        <v>0</v>
      </c>
      <c r="AK91" s="845">
        <f t="shared" si="113"/>
        <v>0</v>
      </c>
      <c r="AL91" s="845">
        <f t="shared" si="113"/>
        <v>0</v>
      </c>
      <c r="AM91" s="845">
        <f t="shared" si="113"/>
        <v>0</v>
      </c>
      <c r="AN91" s="845">
        <f t="shared" si="113"/>
        <v>0</v>
      </c>
      <c r="AO91" s="845">
        <f t="shared" si="113"/>
        <v>0</v>
      </c>
      <c r="AP91" s="845">
        <f t="shared" si="113"/>
        <v>0</v>
      </c>
      <c r="AQ91" s="845">
        <f t="shared" si="113"/>
        <v>0</v>
      </c>
      <c r="AR91" s="845">
        <f t="shared" si="113"/>
        <v>0</v>
      </c>
      <c r="AS91" s="845">
        <f t="shared" si="113"/>
        <v>0</v>
      </c>
      <c r="AT91" s="845">
        <f t="shared" si="113"/>
        <v>0</v>
      </c>
      <c r="AU91" s="845">
        <f t="shared" si="113"/>
        <v>0</v>
      </c>
      <c r="AV91" s="845">
        <f t="shared" si="113"/>
        <v>0</v>
      </c>
      <c r="AW91" s="845">
        <f t="shared" si="113"/>
        <v>0</v>
      </c>
      <c r="AX91" s="845">
        <f t="shared" si="113"/>
        <v>0</v>
      </c>
      <c r="AY91" s="845">
        <f t="shared" ref="AY91:CD91" si="114">SUM(AY131,AY154,AY177,AY200,AY264,AY286)</f>
        <v>0</v>
      </c>
      <c r="AZ91" s="845">
        <f t="shared" si="114"/>
        <v>0</v>
      </c>
      <c r="BA91" s="845">
        <f t="shared" si="114"/>
        <v>0</v>
      </c>
      <c r="BB91" s="845">
        <f t="shared" si="114"/>
        <v>0</v>
      </c>
      <c r="BC91" s="845">
        <f t="shared" si="114"/>
        <v>0</v>
      </c>
      <c r="BD91" s="845">
        <f t="shared" si="114"/>
        <v>0</v>
      </c>
      <c r="BE91" s="845">
        <f t="shared" si="114"/>
        <v>0</v>
      </c>
      <c r="BF91" s="845">
        <f t="shared" si="114"/>
        <v>0</v>
      </c>
      <c r="BG91" s="845">
        <f t="shared" si="114"/>
        <v>0</v>
      </c>
      <c r="BH91" s="845">
        <f t="shared" si="114"/>
        <v>0</v>
      </c>
      <c r="BI91" s="845">
        <f t="shared" si="114"/>
        <v>0</v>
      </c>
      <c r="BJ91" s="845">
        <f t="shared" si="114"/>
        <v>0</v>
      </c>
      <c r="BK91" s="845">
        <f t="shared" si="114"/>
        <v>0</v>
      </c>
      <c r="BL91" s="845">
        <f t="shared" si="114"/>
        <v>0</v>
      </c>
      <c r="BM91" s="845">
        <f t="shared" si="114"/>
        <v>0</v>
      </c>
      <c r="BN91" s="845">
        <f t="shared" si="114"/>
        <v>0</v>
      </c>
      <c r="BO91" s="845">
        <f t="shared" si="114"/>
        <v>0</v>
      </c>
      <c r="BP91" s="845">
        <f t="shared" si="114"/>
        <v>0</v>
      </c>
      <c r="BQ91" s="845">
        <f t="shared" si="114"/>
        <v>0</v>
      </c>
      <c r="BR91" s="845">
        <f t="shared" si="114"/>
        <v>0</v>
      </c>
      <c r="BS91" s="845">
        <f t="shared" si="114"/>
        <v>0</v>
      </c>
      <c r="BT91" s="845">
        <f t="shared" si="114"/>
        <v>0</v>
      </c>
      <c r="BU91" s="845">
        <f t="shared" si="114"/>
        <v>0</v>
      </c>
      <c r="BV91" s="845">
        <f t="shared" si="114"/>
        <v>0</v>
      </c>
      <c r="BW91" s="845">
        <f t="shared" si="114"/>
        <v>0</v>
      </c>
      <c r="BX91" s="845">
        <f t="shared" si="114"/>
        <v>0</v>
      </c>
      <c r="BY91" s="845">
        <f t="shared" si="114"/>
        <v>0</v>
      </c>
      <c r="BZ91" s="845">
        <f t="shared" si="114"/>
        <v>0</v>
      </c>
      <c r="CA91" s="845">
        <f t="shared" si="114"/>
        <v>0</v>
      </c>
      <c r="CB91" s="845">
        <f t="shared" si="114"/>
        <v>0</v>
      </c>
      <c r="CC91" s="845">
        <f t="shared" si="114"/>
        <v>0</v>
      </c>
      <c r="CD91" s="845">
        <f t="shared" si="114"/>
        <v>0</v>
      </c>
      <c r="CE91" s="845">
        <f t="shared" ref="CE91:DJ91" si="115">SUM(CE131,CE154,CE177,CE200,CE264,CE286)</f>
        <v>0</v>
      </c>
      <c r="CF91" s="845">
        <f t="shared" si="115"/>
        <v>0</v>
      </c>
      <c r="CG91" s="845">
        <f t="shared" si="115"/>
        <v>0</v>
      </c>
      <c r="CH91" s="845">
        <f t="shared" si="115"/>
        <v>0</v>
      </c>
      <c r="CI91" s="845">
        <f t="shared" si="115"/>
        <v>0</v>
      </c>
      <c r="CJ91" s="845">
        <f t="shared" si="115"/>
        <v>0</v>
      </c>
      <c r="CK91" s="845">
        <f t="shared" si="115"/>
        <v>0</v>
      </c>
      <c r="CL91" s="845">
        <f t="shared" si="115"/>
        <v>0</v>
      </c>
      <c r="CM91" s="845">
        <f t="shared" si="115"/>
        <v>0</v>
      </c>
      <c r="CN91" s="845">
        <f t="shared" si="115"/>
        <v>0</v>
      </c>
      <c r="CO91" s="845">
        <f t="shared" si="115"/>
        <v>0</v>
      </c>
      <c r="CP91" s="845">
        <f t="shared" si="115"/>
        <v>0</v>
      </c>
      <c r="CQ91" s="845">
        <f t="shared" si="115"/>
        <v>0</v>
      </c>
      <c r="CR91" s="845">
        <f t="shared" si="115"/>
        <v>0</v>
      </c>
      <c r="CS91" s="845">
        <f t="shared" si="115"/>
        <v>0</v>
      </c>
      <c r="CT91" s="845">
        <f t="shared" si="115"/>
        <v>0</v>
      </c>
      <c r="CU91" s="845">
        <f t="shared" si="115"/>
        <v>0</v>
      </c>
      <c r="CV91" s="845">
        <f t="shared" si="115"/>
        <v>0</v>
      </c>
      <c r="CW91" s="845">
        <f t="shared" si="115"/>
        <v>0</v>
      </c>
      <c r="CX91" s="845">
        <f t="shared" si="115"/>
        <v>0</v>
      </c>
      <c r="CY91" s="845">
        <f t="shared" si="115"/>
        <v>0</v>
      </c>
      <c r="CZ91" s="845">
        <f t="shared" si="115"/>
        <v>0</v>
      </c>
      <c r="DA91" s="845">
        <f t="shared" si="115"/>
        <v>0</v>
      </c>
      <c r="DB91" s="845">
        <f t="shared" si="115"/>
        <v>0</v>
      </c>
      <c r="DC91" s="845">
        <f t="shared" si="115"/>
        <v>0</v>
      </c>
      <c r="DD91" s="845">
        <f t="shared" si="115"/>
        <v>0</v>
      </c>
      <c r="DE91" s="845">
        <f t="shared" si="115"/>
        <v>0</v>
      </c>
      <c r="DF91" s="845">
        <f t="shared" si="115"/>
        <v>0</v>
      </c>
      <c r="DG91" s="845">
        <f t="shared" si="115"/>
        <v>0</v>
      </c>
      <c r="DH91" s="845">
        <f t="shared" si="115"/>
        <v>0</v>
      </c>
      <c r="DI91" s="845">
        <f t="shared" si="115"/>
        <v>0</v>
      </c>
      <c r="DJ91" s="845">
        <f t="shared" si="115"/>
        <v>0</v>
      </c>
      <c r="DK91" s="845">
        <f t="shared" ref="DK91:EI91" si="116">SUM(DK131,DK154,DK177,DK200,DK264,DK286)</f>
        <v>0</v>
      </c>
      <c r="DL91" s="845">
        <f t="shared" si="116"/>
        <v>0</v>
      </c>
      <c r="DM91" s="845">
        <f t="shared" si="116"/>
        <v>0</v>
      </c>
      <c r="DN91" s="845">
        <f t="shared" si="116"/>
        <v>0</v>
      </c>
      <c r="DO91" s="845">
        <f t="shared" si="116"/>
        <v>0</v>
      </c>
      <c r="DP91" s="845">
        <f t="shared" si="116"/>
        <v>0</v>
      </c>
      <c r="DQ91" s="845">
        <f t="shared" si="116"/>
        <v>0</v>
      </c>
      <c r="DR91" s="845">
        <f t="shared" si="116"/>
        <v>0</v>
      </c>
      <c r="DS91" s="845">
        <f t="shared" si="116"/>
        <v>0</v>
      </c>
      <c r="DT91" s="845">
        <f t="shared" si="116"/>
        <v>0</v>
      </c>
      <c r="DU91" s="845">
        <f t="shared" si="116"/>
        <v>0</v>
      </c>
      <c r="DV91" s="845">
        <f t="shared" si="116"/>
        <v>0</v>
      </c>
      <c r="DW91" s="845">
        <f t="shared" si="116"/>
        <v>0</v>
      </c>
      <c r="DX91" s="845">
        <f t="shared" si="116"/>
        <v>0</v>
      </c>
      <c r="DY91" s="845">
        <f t="shared" si="116"/>
        <v>0</v>
      </c>
      <c r="DZ91" s="845">
        <f t="shared" si="116"/>
        <v>0</v>
      </c>
      <c r="EA91" s="845">
        <f t="shared" si="116"/>
        <v>0</v>
      </c>
      <c r="EB91" s="845">
        <f t="shared" si="116"/>
        <v>0</v>
      </c>
      <c r="EC91" s="845">
        <f t="shared" si="116"/>
        <v>0</v>
      </c>
      <c r="ED91" s="845">
        <f t="shared" si="116"/>
        <v>0</v>
      </c>
      <c r="EE91" s="845">
        <f t="shared" si="116"/>
        <v>0</v>
      </c>
      <c r="EF91" s="845">
        <f t="shared" si="116"/>
        <v>0</v>
      </c>
      <c r="EG91" s="845">
        <f t="shared" si="116"/>
        <v>0</v>
      </c>
      <c r="EH91" s="845">
        <f t="shared" si="116"/>
        <v>0</v>
      </c>
      <c r="EI91" s="845">
        <f t="shared" si="116"/>
        <v>0</v>
      </c>
    </row>
    <row r="92" spans="2:139" ht="12.75" customHeight="1">
      <c r="B92" s="41" t="s">
        <v>182</v>
      </c>
      <c r="C92" s="211"/>
      <c r="D92" s="78"/>
      <c r="E92" s="78">
        <f t="shared" ref="E92:N94" si="117">SUMIF($S$6:$EI$6,E$5,$S92:$EI92)</f>
        <v>0</v>
      </c>
      <c r="F92" s="78">
        <f t="shared" si="117"/>
        <v>0</v>
      </c>
      <c r="G92" s="78">
        <f t="shared" si="117"/>
        <v>0</v>
      </c>
      <c r="H92" s="78">
        <f t="shared" si="117"/>
        <v>0</v>
      </c>
      <c r="I92" s="78">
        <f t="shared" si="117"/>
        <v>0</v>
      </c>
      <c r="J92" s="78">
        <f t="shared" si="117"/>
        <v>0</v>
      </c>
      <c r="K92" s="78">
        <f t="shared" si="117"/>
        <v>0</v>
      </c>
      <c r="L92" s="78">
        <f t="shared" si="117"/>
        <v>0</v>
      </c>
      <c r="M92" s="78">
        <f t="shared" si="117"/>
        <v>0</v>
      </c>
      <c r="N92" s="78">
        <f t="shared" si="117"/>
        <v>0</v>
      </c>
      <c r="O92" s="145">
        <f>SUM(D92:N92)</f>
        <v>0</v>
      </c>
      <c r="S92" s="845"/>
      <c r="T92" s="845">
        <f t="shared" ref="T92:AY92" si="118">SUM(T132,T139,T155,T162,T178,T185,T201,T207,T265,T271,T287,T293)</f>
        <v>0</v>
      </c>
      <c r="U92" s="845">
        <f t="shared" si="118"/>
        <v>0</v>
      </c>
      <c r="V92" s="845">
        <f t="shared" si="118"/>
        <v>0</v>
      </c>
      <c r="W92" s="845">
        <f t="shared" si="118"/>
        <v>0</v>
      </c>
      <c r="X92" s="845">
        <f t="shared" si="118"/>
        <v>0</v>
      </c>
      <c r="Y92" s="845">
        <f t="shared" si="118"/>
        <v>0</v>
      </c>
      <c r="Z92" s="845">
        <f t="shared" si="118"/>
        <v>0</v>
      </c>
      <c r="AA92" s="845">
        <f t="shared" si="118"/>
        <v>0</v>
      </c>
      <c r="AB92" s="845">
        <f t="shared" si="118"/>
        <v>0</v>
      </c>
      <c r="AC92" s="845">
        <f t="shared" si="118"/>
        <v>0</v>
      </c>
      <c r="AD92" s="845">
        <f t="shared" si="118"/>
        <v>0</v>
      </c>
      <c r="AE92" s="845">
        <f t="shared" si="118"/>
        <v>0</v>
      </c>
      <c r="AF92" s="845">
        <f t="shared" si="118"/>
        <v>0</v>
      </c>
      <c r="AG92" s="845">
        <f t="shared" si="118"/>
        <v>0</v>
      </c>
      <c r="AH92" s="845">
        <f t="shared" si="118"/>
        <v>0</v>
      </c>
      <c r="AI92" s="845">
        <f t="shared" si="118"/>
        <v>0</v>
      </c>
      <c r="AJ92" s="845">
        <f t="shared" si="118"/>
        <v>0</v>
      </c>
      <c r="AK92" s="845">
        <f t="shared" si="118"/>
        <v>0</v>
      </c>
      <c r="AL92" s="845">
        <f t="shared" si="118"/>
        <v>0</v>
      </c>
      <c r="AM92" s="845">
        <f t="shared" si="118"/>
        <v>0</v>
      </c>
      <c r="AN92" s="845">
        <f t="shared" si="118"/>
        <v>0</v>
      </c>
      <c r="AO92" s="845">
        <f t="shared" si="118"/>
        <v>0</v>
      </c>
      <c r="AP92" s="845">
        <f t="shared" si="118"/>
        <v>0</v>
      </c>
      <c r="AQ92" s="845">
        <f t="shared" si="118"/>
        <v>0</v>
      </c>
      <c r="AR92" s="845">
        <f t="shared" si="118"/>
        <v>0</v>
      </c>
      <c r="AS92" s="845">
        <f t="shared" si="118"/>
        <v>0</v>
      </c>
      <c r="AT92" s="845">
        <f t="shared" si="118"/>
        <v>0</v>
      </c>
      <c r="AU92" s="845">
        <f t="shared" si="118"/>
        <v>0</v>
      </c>
      <c r="AV92" s="845">
        <f t="shared" si="118"/>
        <v>0</v>
      </c>
      <c r="AW92" s="845">
        <f t="shared" si="118"/>
        <v>0</v>
      </c>
      <c r="AX92" s="845">
        <f t="shared" si="118"/>
        <v>0</v>
      </c>
      <c r="AY92" s="845">
        <f t="shared" si="118"/>
        <v>0</v>
      </c>
      <c r="AZ92" s="845">
        <f t="shared" ref="AZ92:CE92" si="119">SUM(AZ132,AZ139,AZ155,AZ162,AZ178,AZ185,AZ201,AZ207,AZ265,AZ271,AZ287,AZ293)</f>
        <v>0</v>
      </c>
      <c r="BA92" s="845">
        <f t="shared" si="119"/>
        <v>0</v>
      </c>
      <c r="BB92" s="845">
        <f t="shared" si="119"/>
        <v>0</v>
      </c>
      <c r="BC92" s="845">
        <f t="shared" si="119"/>
        <v>0</v>
      </c>
      <c r="BD92" s="845">
        <f t="shared" si="119"/>
        <v>0</v>
      </c>
      <c r="BE92" s="845">
        <f t="shared" si="119"/>
        <v>0</v>
      </c>
      <c r="BF92" s="845">
        <f t="shared" si="119"/>
        <v>0</v>
      </c>
      <c r="BG92" s="845">
        <f t="shared" si="119"/>
        <v>0</v>
      </c>
      <c r="BH92" s="845">
        <f t="shared" si="119"/>
        <v>0</v>
      </c>
      <c r="BI92" s="845">
        <f t="shared" si="119"/>
        <v>0</v>
      </c>
      <c r="BJ92" s="845">
        <f t="shared" si="119"/>
        <v>0</v>
      </c>
      <c r="BK92" s="845">
        <f t="shared" si="119"/>
        <v>0</v>
      </c>
      <c r="BL92" s="845">
        <f t="shared" si="119"/>
        <v>0</v>
      </c>
      <c r="BM92" s="845">
        <f t="shared" si="119"/>
        <v>0</v>
      </c>
      <c r="BN92" s="845">
        <f t="shared" si="119"/>
        <v>0</v>
      </c>
      <c r="BO92" s="845">
        <f t="shared" si="119"/>
        <v>0</v>
      </c>
      <c r="BP92" s="845">
        <f t="shared" si="119"/>
        <v>0</v>
      </c>
      <c r="BQ92" s="845">
        <f t="shared" si="119"/>
        <v>0</v>
      </c>
      <c r="BR92" s="845">
        <f t="shared" si="119"/>
        <v>0</v>
      </c>
      <c r="BS92" s="845">
        <f t="shared" si="119"/>
        <v>0</v>
      </c>
      <c r="BT92" s="845">
        <f t="shared" si="119"/>
        <v>0</v>
      </c>
      <c r="BU92" s="845">
        <f t="shared" si="119"/>
        <v>0</v>
      </c>
      <c r="BV92" s="845">
        <f t="shared" si="119"/>
        <v>0</v>
      </c>
      <c r="BW92" s="845">
        <f t="shared" si="119"/>
        <v>0</v>
      </c>
      <c r="BX92" s="845">
        <f t="shared" si="119"/>
        <v>0</v>
      </c>
      <c r="BY92" s="845">
        <f t="shared" si="119"/>
        <v>0</v>
      </c>
      <c r="BZ92" s="845">
        <f t="shared" si="119"/>
        <v>0</v>
      </c>
      <c r="CA92" s="845">
        <f t="shared" si="119"/>
        <v>0</v>
      </c>
      <c r="CB92" s="845">
        <f t="shared" si="119"/>
        <v>0</v>
      </c>
      <c r="CC92" s="845">
        <f t="shared" si="119"/>
        <v>0</v>
      </c>
      <c r="CD92" s="845">
        <f t="shared" si="119"/>
        <v>0</v>
      </c>
      <c r="CE92" s="845">
        <f t="shared" si="119"/>
        <v>0</v>
      </c>
      <c r="CF92" s="845">
        <f t="shared" ref="CF92:DK92" si="120">SUM(CF132,CF139,CF155,CF162,CF178,CF185,CF201,CF207,CF265,CF271,CF287,CF293)</f>
        <v>0</v>
      </c>
      <c r="CG92" s="845">
        <f t="shared" si="120"/>
        <v>0</v>
      </c>
      <c r="CH92" s="845">
        <f t="shared" si="120"/>
        <v>0</v>
      </c>
      <c r="CI92" s="845">
        <f t="shared" si="120"/>
        <v>0</v>
      </c>
      <c r="CJ92" s="845">
        <f t="shared" si="120"/>
        <v>0</v>
      </c>
      <c r="CK92" s="845">
        <f t="shared" si="120"/>
        <v>0</v>
      </c>
      <c r="CL92" s="845">
        <f t="shared" si="120"/>
        <v>0</v>
      </c>
      <c r="CM92" s="845">
        <f t="shared" si="120"/>
        <v>0</v>
      </c>
      <c r="CN92" s="845">
        <f t="shared" si="120"/>
        <v>0</v>
      </c>
      <c r="CO92" s="845">
        <f t="shared" si="120"/>
        <v>0</v>
      </c>
      <c r="CP92" s="845">
        <f t="shared" si="120"/>
        <v>0</v>
      </c>
      <c r="CQ92" s="845">
        <f t="shared" si="120"/>
        <v>0</v>
      </c>
      <c r="CR92" s="845">
        <f t="shared" si="120"/>
        <v>0</v>
      </c>
      <c r="CS92" s="845">
        <f t="shared" si="120"/>
        <v>0</v>
      </c>
      <c r="CT92" s="845">
        <f t="shared" si="120"/>
        <v>0</v>
      </c>
      <c r="CU92" s="845">
        <f t="shared" si="120"/>
        <v>0</v>
      </c>
      <c r="CV92" s="845">
        <f t="shared" si="120"/>
        <v>0</v>
      </c>
      <c r="CW92" s="845">
        <f t="shared" si="120"/>
        <v>0</v>
      </c>
      <c r="CX92" s="845">
        <f t="shared" si="120"/>
        <v>0</v>
      </c>
      <c r="CY92" s="845">
        <f t="shared" si="120"/>
        <v>0</v>
      </c>
      <c r="CZ92" s="845">
        <f t="shared" si="120"/>
        <v>0</v>
      </c>
      <c r="DA92" s="845">
        <f t="shared" si="120"/>
        <v>0</v>
      </c>
      <c r="DB92" s="845">
        <f t="shared" si="120"/>
        <v>0</v>
      </c>
      <c r="DC92" s="845">
        <f t="shared" si="120"/>
        <v>0</v>
      </c>
      <c r="DD92" s="845">
        <f t="shared" si="120"/>
        <v>0</v>
      </c>
      <c r="DE92" s="845">
        <f t="shared" si="120"/>
        <v>0</v>
      </c>
      <c r="DF92" s="845">
        <f t="shared" si="120"/>
        <v>0</v>
      </c>
      <c r="DG92" s="845">
        <f t="shared" si="120"/>
        <v>0</v>
      </c>
      <c r="DH92" s="845">
        <f t="shared" si="120"/>
        <v>0</v>
      </c>
      <c r="DI92" s="845">
        <f t="shared" si="120"/>
        <v>0</v>
      </c>
      <c r="DJ92" s="845">
        <f t="shared" si="120"/>
        <v>0</v>
      </c>
      <c r="DK92" s="845">
        <f t="shared" si="120"/>
        <v>0</v>
      </c>
      <c r="DL92" s="845">
        <f t="shared" ref="DL92:EI92" si="121">SUM(DL132,DL139,DL155,DL162,DL178,DL185,DL201,DL207,DL265,DL271,DL287,DL293)</f>
        <v>0</v>
      </c>
      <c r="DM92" s="845">
        <f t="shared" si="121"/>
        <v>0</v>
      </c>
      <c r="DN92" s="845">
        <f t="shared" si="121"/>
        <v>0</v>
      </c>
      <c r="DO92" s="845">
        <f t="shared" si="121"/>
        <v>0</v>
      </c>
      <c r="DP92" s="845">
        <f t="shared" si="121"/>
        <v>0</v>
      </c>
      <c r="DQ92" s="845">
        <f t="shared" si="121"/>
        <v>0</v>
      </c>
      <c r="DR92" s="845">
        <f t="shared" si="121"/>
        <v>0</v>
      </c>
      <c r="DS92" s="845">
        <f t="shared" si="121"/>
        <v>0</v>
      </c>
      <c r="DT92" s="845">
        <f t="shared" si="121"/>
        <v>0</v>
      </c>
      <c r="DU92" s="845">
        <f t="shared" si="121"/>
        <v>0</v>
      </c>
      <c r="DV92" s="845">
        <f t="shared" si="121"/>
        <v>0</v>
      </c>
      <c r="DW92" s="845">
        <f t="shared" si="121"/>
        <v>0</v>
      </c>
      <c r="DX92" s="845">
        <f t="shared" si="121"/>
        <v>0</v>
      </c>
      <c r="DY92" s="845">
        <f t="shared" si="121"/>
        <v>0</v>
      </c>
      <c r="DZ92" s="845">
        <f t="shared" si="121"/>
        <v>0</v>
      </c>
      <c r="EA92" s="845">
        <f t="shared" si="121"/>
        <v>0</v>
      </c>
      <c r="EB92" s="845">
        <f t="shared" si="121"/>
        <v>0</v>
      </c>
      <c r="EC92" s="845">
        <f t="shared" si="121"/>
        <v>0</v>
      </c>
      <c r="ED92" s="845">
        <f t="shared" si="121"/>
        <v>0</v>
      </c>
      <c r="EE92" s="845">
        <f t="shared" si="121"/>
        <v>0</v>
      </c>
      <c r="EF92" s="845">
        <f t="shared" si="121"/>
        <v>0</v>
      </c>
      <c r="EG92" s="845">
        <f t="shared" si="121"/>
        <v>0</v>
      </c>
      <c r="EH92" s="845">
        <f t="shared" si="121"/>
        <v>0</v>
      </c>
      <c r="EI92" s="845">
        <f t="shared" si="121"/>
        <v>0</v>
      </c>
    </row>
    <row r="93" spans="2:139" ht="12.75" customHeight="1">
      <c r="B93" s="41" t="s">
        <v>183</v>
      </c>
      <c r="C93" s="211"/>
      <c r="D93" s="78">
        <f>SUMIF($S$6:$EI$6,D$5,$S93:$EI93)</f>
        <v>0</v>
      </c>
      <c r="E93" s="78">
        <f t="shared" si="117"/>
        <v>0</v>
      </c>
      <c r="F93" s="78">
        <f t="shared" si="117"/>
        <v>0</v>
      </c>
      <c r="G93" s="78">
        <f t="shared" si="117"/>
        <v>0</v>
      </c>
      <c r="H93" s="78">
        <f t="shared" si="117"/>
        <v>0</v>
      </c>
      <c r="I93" s="78">
        <f t="shared" si="117"/>
        <v>0</v>
      </c>
      <c r="J93" s="78">
        <f t="shared" si="117"/>
        <v>0</v>
      </c>
      <c r="K93" s="78">
        <f t="shared" si="117"/>
        <v>0</v>
      </c>
      <c r="L93" s="78">
        <f t="shared" si="117"/>
        <v>0</v>
      </c>
      <c r="M93" s="78">
        <f t="shared" si="117"/>
        <v>0</v>
      </c>
      <c r="N93" s="78">
        <f t="shared" si="117"/>
        <v>0</v>
      </c>
      <c r="O93" s="145">
        <f>SUM(D93:N93)</f>
        <v>0</v>
      </c>
      <c r="S93" s="845"/>
      <c r="T93" s="845">
        <f t="shared" ref="T93:AY93" si="122">SUM(T133,T156,T179)</f>
        <v>0</v>
      </c>
      <c r="U93" s="845">
        <f t="shared" si="122"/>
        <v>0</v>
      </c>
      <c r="V93" s="845">
        <f t="shared" si="122"/>
        <v>0</v>
      </c>
      <c r="W93" s="845">
        <f t="shared" si="122"/>
        <v>0</v>
      </c>
      <c r="X93" s="845">
        <f t="shared" si="122"/>
        <v>0</v>
      </c>
      <c r="Y93" s="845">
        <f t="shared" si="122"/>
        <v>0</v>
      </c>
      <c r="Z93" s="845">
        <f t="shared" si="122"/>
        <v>0</v>
      </c>
      <c r="AA93" s="845">
        <f t="shared" si="122"/>
        <v>0</v>
      </c>
      <c r="AB93" s="845">
        <f t="shared" si="122"/>
        <v>0</v>
      </c>
      <c r="AC93" s="845">
        <f t="shared" si="122"/>
        <v>0</v>
      </c>
      <c r="AD93" s="845">
        <f t="shared" si="122"/>
        <v>0</v>
      </c>
      <c r="AE93" s="845">
        <f t="shared" si="122"/>
        <v>0</v>
      </c>
      <c r="AF93" s="845">
        <f t="shared" si="122"/>
        <v>0</v>
      </c>
      <c r="AG93" s="845">
        <f t="shared" si="122"/>
        <v>0</v>
      </c>
      <c r="AH93" s="845">
        <f t="shared" si="122"/>
        <v>0</v>
      </c>
      <c r="AI93" s="845">
        <f t="shared" si="122"/>
        <v>0</v>
      </c>
      <c r="AJ93" s="845">
        <f t="shared" si="122"/>
        <v>0</v>
      </c>
      <c r="AK93" s="845">
        <f t="shared" si="122"/>
        <v>0</v>
      </c>
      <c r="AL93" s="845">
        <f t="shared" si="122"/>
        <v>0</v>
      </c>
      <c r="AM93" s="845">
        <f t="shared" si="122"/>
        <v>0</v>
      </c>
      <c r="AN93" s="845">
        <f t="shared" si="122"/>
        <v>0</v>
      </c>
      <c r="AO93" s="845">
        <f t="shared" si="122"/>
        <v>0</v>
      </c>
      <c r="AP93" s="845">
        <f t="shared" si="122"/>
        <v>0</v>
      </c>
      <c r="AQ93" s="845">
        <f t="shared" si="122"/>
        <v>0</v>
      </c>
      <c r="AR93" s="845">
        <f t="shared" si="122"/>
        <v>0</v>
      </c>
      <c r="AS93" s="845">
        <f t="shared" si="122"/>
        <v>0</v>
      </c>
      <c r="AT93" s="845">
        <f t="shared" si="122"/>
        <v>0</v>
      </c>
      <c r="AU93" s="845">
        <f t="shared" si="122"/>
        <v>0</v>
      </c>
      <c r="AV93" s="845">
        <f t="shared" si="122"/>
        <v>0</v>
      </c>
      <c r="AW93" s="845">
        <f t="shared" si="122"/>
        <v>0</v>
      </c>
      <c r="AX93" s="845">
        <f t="shared" si="122"/>
        <v>0</v>
      </c>
      <c r="AY93" s="845">
        <f t="shared" si="122"/>
        <v>0</v>
      </c>
      <c r="AZ93" s="845">
        <f t="shared" ref="AZ93:CE93" si="123">SUM(AZ133,AZ156,AZ179)</f>
        <v>0</v>
      </c>
      <c r="BA93" s="845">
        <f t="shared" si="123"/>
        <v>0</v>
      </c>
      <c r="BB93" s="845">
        <f t="shared" si="123"/>
        <v>0</v>
      </c>
      <c r="BC93" s="845">
        <f t="shared" si="123"/>
        <v>0</v>
      </c>
      <c r="BD93" s="845">
        <f t="shared" si="123"/>
        <v>0</v>
      </c>
      <c r="BE93" s="845">
        <f t="shared" si="123"/>
        <v>0</v>
      </c>
      <c r="BF93" s="845">
        <f t="shared" si="123"/>
        <v>0</v>
      </c>
      <c r="BG93" s="845">
        <f t="shared" si="123"/>
        <v>0</v>
      </c>
      <c r="BH93" s="845">
        <f t="shared" si="123"/>
        <v>0</v>
      </c>
      <c r="BI93" s="845">
        <f t="shared" si="123"/>
        <v>0</v>
      </c>
      <c r="BJ93" s="845">
        <f t="shared" si="123"/>
        <v>0</v>
      </c>
      <c r="BK93" s="845">
        <f t="shared" si="123"/>
        <v>0</v>
      </c>
      <c r="BL93" s="845">
        <f t="shared" si="123"/>
        <v>0</v>
      </c>
      <c r="BM93" s="845">
        <f t="shared" si="123"/>
        <v>0</v>
      </c>
      <c r="BN93" s="845">
        <f t="shared" si="123"/>
        <v>0</v>
      </c>
      <c r="BO93" s="845">
        <f t="shared" si="123"/>
        <v>0</v>
      </c>
      <c r="BP93" s="845">
        <f t="shared" si="123"/>
        <v>0</v>
      </c>
      <c r="BQ93" s="845">
        <f t="shared" si="123"/>
        <v>0</v>
      </c>
      <c r="BR93" s="845">
        <f t="shared" si="123"/>
        <v>0</v>
      </c>
      <c r="BS93" s="845">
        <f t="shared" si="123"/>
        <v>0</v>
      </c>
      <c r="BT93" s="845">
        <f t="shared" si="123"/>
        <v>0</v>
      </c>
      <c r="BU93" s="845">
        <f t="shared" si="123"/>
        <v>0</v>
      </c>
      <c r="BV93" s="845">
        <f t="shared" si="123"/>
        <v>0</v>
      </c>
      <c r="BW93" s="845">
        <f t="shared" si="123"/>
        <v>0</v>
      </c>
      <c r="BX93" s="845">
        <f t="shared" si="123"/>
        <v>0</v>
      </c>
      <c r="BY93" s="845">
        <f t="shared" si="123"/>
        <v>0</v>
      </c>
      <c r="BZ93" s="845">
        <f t="shared" si="123"/>
        <v>0</v>
      </c>
      <c r="CA93" s="845">
        <f t="shared" si="123"/>
        <v>0</v>
      </c>
      <c r="CB93" s="845">
        <f t="shared" si="123"/>
        <v>0</v>
      </c>
      <c r="CC93" s="845">
        <f t="shared" si="123"/>
        <v>0</v>
      </c>
      <c r="CD93" s="845">
        <f t="shared" si="123"/>
        <v>0</v>
      </c>
      <c r="CE93" s="845">
        <f t="shared" si="123"/>
        <v>0</v>
      </c>
      <c r="CF93" s="845">
        <f t="shared" ref="CF93:DK93" si="124">SUM(CF133,CF156,CF179)</f>
        <v>0</v>
      </c>
      <c r="CG93" s="845">
        <f t="shared" si="124"/>
        <v>0</v>
      </c>
      <c r="CH93" s="845">
        <f t="shared" si="124"/>
        <v>0</v>
      </c>
      <c r="CI93" s="845">
        <f t="shared" si="124"/>
        <v>0</v>
      </c>
      <c r="CJ93" s="845">
        <f t="shared" si="124"/>
        <v>0</v>
      </c>
      <c r="CK93" s="845">
        <f t="shared" si="124"/>
        <v>0</v>
      </c>
      <c r="CL93" s="845">
        <f t="shared" si="124"/>
        <v>0</v>
      </c>
      <c r="CM93" s="845">
        <f t="shared" si="124"/>
        <v>0</v>
      </c>
      <c r="CN93" s="845">
        <f t="shared" si="124"/>
        <v>0</v>
      </c>
      <c r="CO93" s="845">
        <f t="shared" si="124"/>
        <v>0</v>
      </c>
      <c r="CP93" s="845">
        <f t="shared" si="124"/>
        <v>0</v>
      </c>
      <c r="CQ93" s="845">
        <f t="shared" si="124"/>
        <v>0</v>
      </c>
      <c r="CR93" s="845">
        <f t="shared" si="124"/>
        <v>0</v>
      </c>
      <c r="CS93" s="845">
        <f t="shared" si="124"/>
        <v>0</v>
      </c>
      <c r="CT93" s="845">
        <f t="shared" si="124"/>
        <v>0</v>
      </c>
      <c r="CU93" s="845">
        <f t="shared" si="124"/>
        <v>0</v>
      </c>
      <c r="CV93" s="845">
        <f t="shared" si="124"/>
        <v>0</v>
      </c>
      <c r="CW93" s="845">
        <f t="shared" si="124"/>
        <v>0</v>
      </c>
      <c r="CX93" s="845">
        <f t="shared" si="124"/>
        <v>0</v>
      </c>
      <c r="CY93" s="845">
        <f t="shared" si="124"/>
        <v>0</v>
      </c>
      <c r="CZ93" s="845">
        <f t="shared" si="124"/>
        <v>0</v>
      </c>
      <c r="DA93" s="845">
        <f t="shared" si="124"/>
        <v>0</v>
      </c>
      <c r="DB93" s="845">
        <f t="shared" si="124"/>
        <v>0</v>
      </c>
      <c r="DC93" s="845">
        <f t="shared" si="124"/>
        <v>0</v>
      </c>
      <c r="DD93" s="845">
        <f t="shared" si="124"/>
        <v>0</v>
      </c>
      <c r="DE93" s="845">
        <f t="shared" si="124"/>
        <v>0</v>
      </c>
      <c r="DF93" s="845">
        <f t="shared" si="124"/>
        <v>0</v>
      </c>
      <c r="DG93" s="845">
        <f t="shared" si="124"/>
        <v>0</v>
      </c>
      <c r="DH93" s="845">
        <f t="shared" si="124"/>
        <v>0</v>
      </c>
      <c r="DI93" s="845">
        <f t="shared" si="124"/>
        <v>0</v>
      </c>
      <c r="DJ93" s="845">
        <f t="shared" si="124"/>
        <v>0</v>
      </c>
      <c r="DK93" s="845">
        <f t="shared" si="124"/>
        <v>0</v>
      </c>
      <c r="DL93" s="845">
        <f t="shared" ref="DL93:EI93" si="125">SUM(DL133,DL156,DL179)</f>
        <v>0</v>
      </c>
      <c r="DM93" s="845">
        <f t="shared" si="125"/>
        <v>0</v>
      </c>
      <c r="DN93" s="845">
        <f t="shared" si="125"/>
        <v>0</v>
      </c>
      <c r="DO93" s="845">
        <f t="shared" si="125"/>
        <v>0</v>
      </c>
      <c r="DP93" s="845">
        <f t="shared" si="125"/>
        <v>0</v>
      </c>
      <c r="DQ93" s="845">
        <f t="shared" si="125"/>
        <v>0</v>
      </c>
      <c r="DR93" s="845">
        <f t="shared" si="125"/>
        <v>0</v>
      </c>
      <c r="DS93" s="845">
        <f t="shared" si="125"/>
        <v>0</v>
      </c>
      <c r="DT93" s="845">
        <f t="shared" si="125"/>
        <v>0</v>
      </c>
      <c r="DU93" s="845">
        <f t="shared" si="125"/>
        <v>0</v>
      </c>
      <c r="DV93" s="845">
        <f t="shared" si="125"/>
        <v>0</v>
      </c>
      <c r="DW93" s="845">
        <f t="shared" si="125"/>
        <v>0</v>
      </c>
      <c r="DX93" s="845">
        <f t="shared" si="125"/>
        <v>0</v>
      </c>
      <c r="DY93" s="845">
        <f t="shared" si="125"/>
        <v>0</v>
      </c>
      <c r="DZ93" s="845">
        <f t="shared" si="125"/>
        <v>0</v>
      </c>
      <c r="EA93" s="845">
        <f t="shared" si="125"/>
        <v>0</v>
      </c>
      <c r="EB93" s="845">
        <f t="shared" si="125"/>
        <v>0</v>
      </c>
      <c r="EC93" s="845">
        <f t="shared" si="125"/>
        <v>0</v>
      </c>
      <c r="ED93" s="845">
        <f t="shared" si="125"/>
        <v>0</v>
      </c>
      <c r="EE93" s="845">
        <f t="shared" si="125"/>
        <v>0</v>
      </c>
      <c r="EF93" s="845">
        <f t="shared" si="125"/>
        <v>0</v>
      </c>
      <c r="EG93" s="845">
        <f t="shared" si="125"/>
        <v>0</v>
      </c>
      <c r="EH93" s="845">
        <f t="shared" si="125"/>
        <v>0</v>
      </c>
      <c r="EI93" s="845">
        <f t="shared" si="125"/>
        <v>0</v>
      </c>
    </row>
    <row r="94" spans="2:139" ht="12.75" customHeight="1">
      <c r="B94" s="41" t="s">
        <v>184</v>
      </c>
      <c r="C94" s="211"/>
      <c r="D94" s="841">
        <f>SUMIF($S$6:$EI$6,D$5,$S94:$EI94)</f>
        <v>0</v>
      </c>
      <c r="E94" s="841">
        <f t="shared" si="117"/>
        <v>0</v>
      </c>
      <c r="F94" s="841">
        <f t="shared" si="117"/>
        <v>0</v>
      </c>
      <c r="G94" s="841">
        <f t="shared" si="117"/>
        <v>0</v>
      </c>
      <c r="H94" s="841">
        <f t="shared" si="117"/>
        <v>0</v>
      </c>
      <c r="I94" s="841">
        <f t="shared" si="117"/>
        <v>0</v>
      </c>
      <c r="J94" s="841">
        <f t="shared" si="117"/>
        <v>0</v>
      </c>
      <c r="K94" s="841">
        <f t="shared" si="117"/>
        <v>0</v>
      </c>
      <c r="L94" s="841">
        <f t="shared" si="117"/>
        <v>0</v>
      </c>
      <c r="M94" s="841">
        <f t="shared" si="117"/>
        <v>0</v>
      </c>
      <c r="N94" s="841">
        <f t="shared" si="117"/>
        <v>0</v>
      </c>
      <c r="O94" s="842">
        <f>SUM(D94:N94)</f>
        <v>0</v>
      </c>
      <c r="S94" s="846">
        <f t="shared" ref="S94:AX94" si="126">SUM(S140,S163,S186,S208,S272,S294)</f>
        <v>0</v>
      </c>
      <c r="T94" s="846">
        <f t="shared" si="126"/>
        <v>0</v>
      </c>
      <c r="U94" s="846">
        <f t="shared" si="126"/>
        <v>0</v>
      </c>
      <c r="V94" s="846">
        <f t="shared" si="126"/>
        <v>0</v>
      </c>
      <c r="W94" s="846">
        <f t="shared" si="126"/>
        <v>0</v>
      </c>
      <c r="X94" s="846">
        <f t="shared" si="126"/>
        <v>0</v>
      </c>
      <c r="Y94" s="846">
        <f t="shared" si="126"/>
        <v>0</v>
      </c>
      <c r="Z94" s="846">
        <f t="shared" si="126"/>
        <v>0</v>
      </c>
      <c r="AA94" s="846">
        <f t="shared" si="126"/>
        <v>0</v>
      </c>
      <c r="AB94" s="846">
        <f t="shared" si="126"/>
        <v>0</v>
      </c>
      <c r="AC94" s="846">
        <f t="shared" si="126"/>
        <v>0</v>
      </c>
      <c r="AD94" s="846">
        <f t="shared" si="126"/>
        <v>0</v>
      </c>
      <c r="AE94" s="846">
        <f t="shared" si="126"/>
        <v>0</v>
      </c>
      <c r="AF94" s="846">
        <f t="shared" si="126"/>
        <v>0</v>
      </c>
      <c r="AG94" s="846">
        <f t="shared" si="126"/>
        <v>0</v>
      </c>
      <c r="AH94" s="846">
        <f t="shared" si="126"/>
        <v>0</v>
      </c>
      <c r="AI94" s="846">
        <f t="shared" si="126"/>
        <v>0</v>
      </c>
      <c r="AJ94" s="846">
        <f t="shared" si="126"/>
        <v>0</v>
      </c>
      <c r="AK94" s="846">
        <f t="shared" si="126"/>
        <v>0</v>
      </c>
      <c r="AL94" s="846">
        <f t="shared" si="126"/>
        <v>0</v>
      </c>
      <c r="AM94" s="846">
        <f t="shared" si="126"/>
        <v>0</v>
      </c>
      <c r="AN94" s="846">
        <f t="shared" si="126"/>
        <v>0</v>
      </c>
      <c r="AO94" s="846">
        <f t="shared" si="126"/>
        <v>0</v>
      </c>
      <c r="AP94" s="846">
        <f t="shared" si="126"/>
        <v>0</v>
      </c>
      <c r="AQ94" s="846">
        <f t="shared" si="126"/>
        <v>0</v>
      </c>
      <c r="AR94" s="846">
        <f t="shared" si="126"/>
        <v>0</v>
      </c>
      <c r="AS94" s="846">
        <f t="shared" si="126"/>
        <v>0</v>
      </c>
      <c r="AT94" s="846">
        <f t="shared" si="126"/>
        <v>0</v>
      </c>
      <c r="AU94" s="846">
        <f t="shared" si="126"/>
        <v>0</v>
      </c>
      <c r="AV94" s="846">
        <f t="shared" si="126"/>
        <v>0</v>
      </c>
      <c r="AW94" s="846">
        <f t="shared" si="126"/>
        <v>0</v>
      </c>
      <c r="AX94" s="846">
        <f t="shared" si="126"/>
        <v>0</v>
      </c>
      <c r="AY94" s="846">
        <f t="shared" ref="AY94:CD94" si="127">SUM(AY140,AY163,AY186,AY208,AY272,AY294)</f>
        <v>0</v>
      </c>
      <c r="AZ94" s="846">
        <f t="shared" si="127"/>
        <v>0</v>
      </c>
      <c r="BA94" s="846">
        <f t="shared" si="127"/>
        <v>0</v>
      </c>
      <c r="BB94" s="846">
        <f t="shared" si="127"/>
        <v>0</v>
      </c>
      <c r="BC94" s="846">
        <f t="shared" si="127"/>
        <v>0</v>
      </c>
      <c r="BD94" s="846">
        <f t="shared" si="127"/>
        <v>0</v>
      </c>
      <c r="BE94" s="846">
        <f t="shared" si="127"/>
        <v>0</v>
      </c>
      <c r="BF94" s="846">
        <f t="shared" si="127"/>
        <v>0</v>
      </c>
      <c r="BG94" s="846">
        <f t="shared" si="127"/>
        <v>0</v>
      </c>
      <c r="BH94" s="846">
        <f t="shared" si="127"/>
        <v>0</v>
      </c>
      <c r="BI94" s="846">
        <f t="shared" si="127"/>
        <v>0</v>
      </c>
      <c r="BJ94" s="846">
        <f t="shared" si="127"/>
        <v>0</v>
      </c>
      <c r="BK94" s="846">
        <f t="shared" si="127"/>
        <v>0</v>
      </c>
      <c r="BL94" s="846">
        <f t="shared" si="127"/>
        <v>0</v>
      </c>
      <c r="BM94" s="846">
        <f t="shared" si="127"/>
        <v>0</v>
      </c>
      <c r="BN94" s="846">
        <f t="shared" si="127"/>
        <v>0</v>
      </c>
      <c r="BO94" s="846">
        <f t="shared" si="127"/>
        <v>0</v>
      </c>
      <c r="BP94" s="846">
        <f t="shared" si="127"/>
        <v>0</v>
      </c>
      <c r="BQ94" s="846">
        <f t="shared" si="127"/>
        <v>0</v>
      </c>
      <c r="BR94" s="846">
        <f t="shared" si="127"/>
        <v>0</v>
      </c>
      <c r="BS94" s="846">
        <f t="shared" si="127"/>
        <v>0</v>
      </c>
      <c r="BT94" s="846">
        <f t="shared" si="127"/>
        <v>0</v>
      </c>
      <c r="BU94" s="846">
        <f t="shared" si="127"/>
        <v>0</v>
      </c>
      <c r="BV94" s="846">
        <f t="shared" si="127"/>
        <v>0</v>
      </c>
      <c r="BW94" s="846">
        <f t="shared" si="127"/>
        <v>0</v>
      </c>
      <c r="BX94" s="846">
        <f t="shared" si="127"/>
        <v>0</v>
      </c>
      <c r="BY94" s="846">
        <f t="shared" si="127"/>
        <v>0</v>
      </c>
      <c r="BZ94" s="846">
        <f t="shared" si="127"/>
        <v>0</v>
      </c>
      <c r="CA94" s="846">
        <f t="shared" si="127"/>
        <v>0</v>
      </c>
      <c r="CB94" s="846">
        <f t="shared" si="127"/>
        <v>0</v>
      </c>
      <c r="CC94" s="846">
        <f t="shared" si="127"/>
        <v>0</v>
      </c>
      <c r="CD94" s="846">
        <f t="shared" si="127"/>
        <v>0</v>
      </c>
      <c r="CE94" s="846">
        <f t="shared" ref="CE94:DJ94" si="128">SUM(CE140,CE163,CE186,CE208,CE272,CE294)</f>
        <v>0</v>
      </c>
      <c r="CF94" s="846">
        <f t="shared" si="128"/>
        <v>0</v>
      </c>
      <c r="CG94" s="846">
        <f t="shared" si="128"/>
        <v>0</v>
      </c>
      <c r="CH94" s="846">
        <f t="shared" si="128"/>
        <v>0</v>
      </c>
      <c r="CI94" s="846">
        <f t="shared" si="128"/>
        <v>0</v>
      </c>
      <c r="CJ94" s="846">
        <f t="shared" si="128"/>
        <v>0</v>
      </c>
      <c r="CK94" s="846">
        <f t="shared" si="128"/>
        <v>0</v>
      </c>
      <c r="CL94" s="846">
        <f t="shared" si="128"/>
        <v>0</v>
      </c>
      <c r="CM94" s="846">
        <f t="shared" si="128"/>
        <v>0</v>
      </c>
      <c r="CN94" s="846">
        <f t="shared" si="128"/>
        <v>0</v>
      </c>
      <c r="CO94" s="846">
        <f t="shared" si="128"/>
        <v>0</v>
      </c>
      <c r="CP94" s="846">
        <f t="shared" si="128"/>
        <v>0</v>
      </c>
      <c r="CQ94" s="846">
        <f t="shared" si="128"/>
        <v>0</v>
      </c>
      <c r="CR94" s="846">
        <f t="shared" si="128"/>
        <v>0</v>
      </c>
      <c r="CS94" s="846">
        <f t="shared" si="128"/>
        <v>0</v>
      </c>
      <c r="CT94" s="846">
        <f t="shared" si="128"/>
        <v>0</v>
      </c>
      <c r="CU94" s="846">
        <f t="shared" si="128"/>
        <v>0</v>
      </c>
      <c r="CV94" s="846">
        <f t="shared" si="128"/>
        <v>0</v>
      </c>
      <c r="CW94" s="846">
        <f t="shared" si="128"/>
        <v>0</v>
      </c>
      <c r="CX94" s="846">
        <f t="shared" si="128"/>
        <v>0</v>
      </c>
      <c r="CY94" s="846">
        <f t="shared" si="128"/>
        <v>0</v>
      </c>
      <c r="CZ94" s="846">
        <f t="shared" si="128"/>
        <v>0</v>
      </c>
      <c r="DA94" s="846">
        <f t="shared" si="128"/>
        <v>0</v>
      </c>
      <c r="DB94" s="846">
        <f t="shared" si="128"/>
        <v>0</v>
      </c>
      <c r="DC94" s="846">
        <f t="shared" si="128"/>
        <v>0</v>
      </c>
      <c r="DD94" s="846">
        <f t="shared" si="128"/>
        <v>0</v>
      </c>
      <c r="DE94" s="846">
        <f t="shared" si="128"/>
        <v>0</v>
      </c>
      <c r="DF94" s="846">
        <f t="shared" si="128"/>
        <v>0</v>
      </c>
      <c r="DG94" s="846">
        <f t="shared" si="128"/>
        <v>0</v>
      </c>
      <c r="DH94" s="846">
        <f t="shared" si="128"/>
        <v>0</v>
      </c>
      <c r="DI94" s="846">
        <f t="shared" si="128"/>
        <v>0</v>
      </c>
      <c r="DJ94" s="846">
        <f t="shared" si="128"/>
        <v>0</v>
      </c>
      <c r="DK94" s="846">
        <f t="shared" ref="DK94:EI94" si="129">SUM(DK140,DK163,DK186,DK208,DK272,DK294)</f>
        <v>0</v>
      </c>
      <c r="DL94" s="846">
        <f t="shared" si="129"/>
        <v>0</v>
      </c>
      <c r="DM94" s="846">
        <f t="shared" si="129"/>
        <v>0</v>
      </c>
      <c r="DN94" s="846">
        <f t="shared" si="129"/>
        <v>0</v>
      </c>
      <c r="DO94" s="846">
        <f t="shared" si="129"/>
        <v>0</v>
      </c>
      <c r="DP94" s="846">
        <f t="shared" si="129"/>
        <v>0</v>
      </c>
      <c r="DQ94" s="846">
        <f t="shared" si="129"/>
        <v>0</v>
      </c>
      <c r="DR94" s="846">
        <f t="shared" si="129"/>
        <v>0</v>
      </c>
      <c r="DS94" s="846">
        <f t="shared" si="129"/>
        <v>0</v>
      </c>
      <c r="DT94" s="846">
        <f t="shared" si="129"/>
        <v>0</v>
      </c>
      <c r="DU94" s="846">
        <f t="shared" si="129"/>
        <v>0</v>
      </c>
      <c r="DV94" s="846">
        <f t="shared" si="129"/>
        <v>0</v>
      </c>
      <c r="DW94" s="846">
        <f t="shared" si="129"/>
        <v>0</v>
      </c>
      <c r="DX94" s="846">
        <f t="shared" si="129"/>
        <v>0</v>
      </c>
      <c r="DY94" s="846">
        <f t="shared" si="129"/>
        <v>0</v>
      </c>
      <c r="DZ94" s="846">
        <f t="shared" si="129"/>
        <v>0</v>
      </c>
      <c r="EA94" s="846">
        <f t="shared" si="129"/>
        <v>0</v>
      </c>
      <c r="EB94" s="846">
        <f t="shared" si="129"/>
        <v>0</v>
      </c>
      <c r="EC94" s="846">
        <f t="shared" si="129"/>
        <v>0</v>
      </c>
      <c r="ED94" s="846">
        <f t="shared" si="129"/>
        <v>0</v>
      </c>
      <c r="EE94" s="846">
        <f t="shared" si="129"/>
        <v>0</v>
      </c>
      <c r="EF94" s="846">
        <f t="shared" si="129"/>
        <v>0</v>
      </c>
      <c r="EG94" s="846">
        <f t="shared" si="129"/>
        <v>0</v>
      </c>
      <c r="EH94" s="846">
        <f t="shared" si="129"/>
        <v>0</v>
      </c>
      <c r="EI94" s="846">
        <f t="shared" si="129"/>
        <v>0</v>
      </c>
    </row>
    <row r="95" spans="2:139">
      <c r="B95" s="153" t="s">
        <v>185</v>
      </c>
      <c r="C95" s="209"/>
      <c r="D95" s="169">
        <f t="shared" ref="D95:O95" si="130">SUBTOTAL(9,D90:D94)</f>
        <v>0</v>
      </c>
      <c r="E95" s="169">
        <f t="shared" si="130"/>
        <v>0</v>
      </c>
      <c r="F95" s="169">
        <f t="shared" si="130"/>
        <v>0</v>
      </c>
      <c r="G95" s="169">
        <f t="shared" si="130"/>
        <v>0</v>
      </c>
      <c r="H95" s="169">
        <f t="shared" si="130"/>
        <v>0</v>
      </c>
      <c r="I95" s="169">
        <f t="shared" si="130"/>
        <v>0</v>
      </c>
      <c r="J95" s="169">
        <f t="shared" si="130"/>
        <v>0</v>
      </c>
      <c r="K95" s="169">
        <f t="shared" si="130"/>
        <v>0</v>
      </c>
      <c r="L95" s="169">
        <f t="shared" si="130"/>
        <v>0</v>
      </c>
      <c r="M95" s="169">
        <f t="shared" si="130"/>
        <v>0</v>
      </c>
      <c r="N95" s="169">
        <f t="shared" si="130"/>
        <v>0</v>
      </c>
      <c r="O95" s="91">
        <f t="shared" si="130"/>
        <v>0</v>
      </c>
      <c r="R95" s="201"/>
      <c r="S95" s="169">
        <f t="shared" ref="S95:AX95" si="131">SUBTOTAL(9,S90:S94)</f>
        <v>0</v>
      </c>
      <c r="T95" s="169">
        <f t="shared" si="131"/>
        <v>0</v>
      </c>
      <c r="U95" s="169">
        <f t="shared" si="131"/>
        <v>0</v>
      </c>
      <c r="V95" s="169">
        <f t="shared" si="131"/>
        <v>0</v>
      </c>
      <c r="W95" s="169">
        <f t="shared" si="131"/>
        <v>0</v>
      </c>
      <c r="X95" s="169">
        <f t="shared" si="131"/>
        <v>0</v>
      </c>
      <c r="Y95" s="169">
        <f t="shared" si="131"/>
        <v>0</v>
      </c>
      <c r="Z95" s="169">
        <f t="shared" si="131"/>
        <v>0</v>
      </c>
      <c r="AA95" s="169">
        <f t="shared" si="131"/>
        <v>0</v>
      </c>
      <c r="AB95" s="169">
        <f t="shared" si="131"/>
        <v>0</v>
      </c>
      <c r="AC95" s="169">
        <f t="shared" si="131"/>
        <v>0</v>
      </c>
      <c r="AD95" s="169">
        <f t="shared" si="131"/>
        <v>0</v>
      </c>
      <c r="AE95" s="169">
        <f t="shared" si="131"/>
        <v>0</v>
      </c>
      <c r="AF95" s="169">
        <f t="shared" si="131"/>
        <v>0</v>
      </c>
      <c r="AG95" s="169">
        <f t="shared" si="131"/>
        <v>0</v>
      </c>
      <c r="AH95" s="169">
        <f t="shared" si="131"/>
        <v>0</v>
      </c>
      <c r="AI95" s="169">
        <f t="shared" si="131"/>
        <v>0</v>
      </c>
      <c r="AJ95" s="169">
        <f t="shared" si="131"/>
        <v>0</v>
      </c>
      <c r="AK95" s="169">
        <f t="shared" si="131"/>
        <v>0</v>
      </c>
      <c r="AL95" s="169">
        <f t="shared" si="131"/>
        <v>0</v>
      </c>
      <c r="AM95" s="169">
        <f t="shared" si="131"/>
        <v>0</v>
      </c>
      <c r="AN95" s="169">
        <f t="shared" si="131"/>
        <v>0</v>
      </c>
      <c r="AO95" s="169">
        <f t="shared" si="131"/>
        <v>0</v>
      </c>
      <c r="AP95" s="169">
        <f t="shared" si="131"/>
        <v>0</v>
      </c>
      <c r="AQ95" s="169">
        <f t="shared" si="131"/>
        <v>0</v>
      </c>
      <c r="AR95" s="169">
        <f t="shared" si="131"/>
        <v>0</v>
      </c>
      <c r="AS95" s="169">
        <f t="shared" si="131"/>
        <v>0</v>
      </c>
      <c r="AT95" s="169">
        <f t="shared" si="131"/>
        <v>0</v>
      </c>
      <c r="AU95" s="169">
        <f t="shared" si="131"/>
        <v>0</v>
      </c>
      <c r="AV95" s="169">
        <f t="shared" si="131"/>
        <v>0</v>
      </c>
      <c r="AW95" s="169">
        <f t="shared" si="131"/>
        <v>0</v>
      </c>
      <c r="AX95" s="169">
        <f t="shared" si="131"/>
        <v>0</v>
      </c>
      <c r="AY95" s="169">
        <f t="shared" ref="AY95:CD95" si="132">SUBTOTAL(9,AY90:AY94)</f>
        <v>0</v>
      </c>
      <c r="AZ95" s="169">
        <f t="shared" si="132"/>
        <v>0</v>
      </c>
      <c r="BA95" s="169">
        <f t="shared" si="132"/>
        <v>0</v>
      </c>
      <c r="BB95" s="169">
        <f t="shared" si="132"/>
        <v>0</v>
      </c>
      <c r="BC95" s="169">
        <f t="shared" si="132"/>
        <v>0</v>
      </c>
      <c r="BD95" s="169">
        <f t="shared" si="132"/>
        <v>0</v>
      </c>
      <c r="BE95" s="169">
        <f t="shared" si="132"/>
        <v>0</v>
      </c>
      <c r="BF95" s="169">
        <f t="shared" si="132"/>
        <v>0</v>
      </c>
      <c r="BG95" s="169">
        <f t="shared" si="132"/>
        <v>0</v>
      </c>
      <c r="BH95" s="169">
        <f t="shared" si="132"/>
        <v>0</v>
      </c>
      <c r="BI95" s="169">
        <f t="shared" si="132"/>
        <v>0</v>
      </c>
      <c r="BJ95" s="169">
        <f t="shared" si="132"/>
        <v>0</v>
      </c>
      <c r="BK95" s="169">
        <f t="shared" si="132"/>
        <v>0</v>
      </c>
      <c r="BL95" s="169">
        <f t="shared" si="132"/>
        <v>0</v>
      </c>
      <c r="BM95" s="169">
        <f t="shared" si="132"/>
        <v>0</v>
      </c>
      <c r="BN95" s="169">
        <f t="shared" si="132"/>
        <v>0</v>
      </c>
      <c r="BO95" s="169">
        <f t="shared" si="132"/>
        <v>0</v>
      </c>
      <c r="BP95" s="169">
        <f t="shared" si="132"/>
        <v>0</v>
      </c>
      <c r="BQ95" s="169">
        <f t="shared" si="132"/>
        <v>0</v>
      </c>
      <c r="BR95" s="169">
        <f t="shared" si="132"/>
        <v>0</v>
      </c>
      <c r="BS95" s="169">
        <f t="shared" si="132"/>
        <v>0</v>
      </c>
      <c r="BT95" s="169">
        <f t="shared" si="132"/>
        <v>0</v>
      </c>
      <c r="BU95" s="169">
        <f t="shared" si="132"/>
        <v>0</v>
      </c>
      <c r="BV95" s="169">
        <f t="shared" si="132"/>
        <v>0</v>
      </c>
      <c r="BW95" s="169">
        <f t="shared" si="132"/>
        <v>0</v>
      </c>
      <c r="BX95" s="169">
        <f t="shared" si="132"/>
        <v>0</v>
      </c>
      <c r="BY95" s="169">
        <f t="shared" si="132"/>
        <v>0</v>
      </c>
      <c r="BZ95" s="169">
        <f t="shared" si="132"/>
        <v>0</v>
      </c>
      <c r="CA95" s="169">
        <f t="shared" si="132"/>
        <v>0</v>
      </c>
      <c r="CB95" s="169">
        <f t="shared" si="132"/>
        <v>0</v>
      </c>
      <c r="CC95" s="169">
        <f t="shared" si="132"/>
        <v>0</v>
      </c>
      <c r="CD95" s="169">
        <f t="shared" si="132"/>
        <v>0</v>
      </c>
      <c r="CE95" s="169">
        <f t="shared" ref="CE95:DJ95" si="133">SUBTOTAL(9,CE90:CE94)</f>
        <v>0</v>
      </c>
      <c r="CF95" s="169">
        <f t="shared" si="133"/>
        <v>0</v>
      </c>
      <c r="CG95" s="169">
        <f t="shared" si="133"/>
        <v>0</v>
      </c>
      <c r="CH95" s="169">
        <f t="shared" si="133"/>
        <v>0</v>
      </c>
      <c r="CI95" s="169">
        <f t="shared" si="133"/>
        <v>0</v>
      </c>
      <c r="CJ95" s="169">
        <f t="shared" si="133"/>
        <v>0</v>
      </c>
      <c r="CK95" s="169">
        <f t="shared" si="133"/>
        <v>0</v>
      </c>
      <c r="CL95" s="169">
        <f t="shared" si="133"/>
        <v>0</v>
      </c>
      <c r="CM95" s="169">
        <f t="shared" si="133"/>
        <v>0</v>
      </c>
      <c r="CN95" s="169">
        <f t="shared" si="133"/>
        <v>0</v>
      </c>
      <c r="CO95" s="169">
        <f t="shared" si="133"/>
        <v>0</v>
      </c>
      <c r="CP95" s="169">
        <f t="shared" si="133"/>
        <v>0</v>
      </c>
      <c r="CQ95" s="169">
        <f t="shared" si="133"/>
        <v>0</v>
      </c>
      <c r="CR95" s="169">
        <f t="shared" si="133"/>
        <v>0</v>
      </c>
      <c r="CS95" s="169">
        <f t="shared" si="133"/>
        <v>0</v>
      </c>
      <c r="CT95" s="169">
        <f t="shared" si="133"/>
        <v>0</v>
      </c>
      <c r="CU95" s="169">
        <f t="shared" si="133"/>
        <v>0</v>
      </c>
      <c r="CV95" s="169">
        <f t="shared" si="133"/>
        <v>0</v>
      </c>
      <c r="CW95" s="169">
        <f t="shared" si="133"/>
        <v>0</v>
      </c>
      <c r="CX95" s="169">
        <f t="shared" si="133"/>
        <v>0</v>
      </c>
      <c r="CY95" s="169">
        <f t="shared" si="133"/>
        <v>0</v>
      </c>
      <c r="CZ95" s="169">
        <f t="shared" si="133"/>
        <v>0</v>
      </c>
      <c r="DA95" s="169">
        <f t="shared" si="133"/>
        <v>0</v>
      </c>
      <c r="DB95" s="169">
        <f t="shared" si="133"/>
        <v>0</v>
      </c>
      <c r="DC95" s="169">
        <f t="shared" si="133"/>
        <v>0</v>
      </c>
      <c r="DD95" s="169">
        <f t="shared" si="133"/>
        <v>0</v>
      </c>
      <c r="DE95" s="169">
        <f t="shared" si="133"/>
        <v>0</v>
      </c>
      <c r="DF95" s="169">
        <f t="shared" si="133"/>
        <v>0</v>
      </c>
      <c r="DG95" s="169">
        <f t="shared" si="133"/>
        <v>0</v>
      </c>
      <c r="DH95" s="169">
        <f t="shared" si="133"/>
        <v>0</v>
      </c>
      <c r="DI95" s="169">
        <f t="shared" si="133"/>
        <v>0</v>
      </c>
      <c r="DJ95" s="169">
        <f t="shared" si="133"/>
        <v>0</v>
      </c>
      <c r="DK95" s="169">
        <f t="shared" ref="DK95:EP95" si="134">SUBTOTAL(9,DK90:DK94)</f>
        <v>0</v>
      </c>
      <c r="DL95" s="169">
        <f t="shared" si="134"/>
        <v>0</v>
      </c>
      <c r="DM95" s="169">
        <f t="shared" si="134"/>
        <v>0</v>
      </c>
      <c r="DN95" s="169">
        <f t="shared" si="134"/>
        <v>0</v>
      </c>
      <c r="DO95" s="169">
        <f t="shared" si="134"/>
        <v>0</v>
      </c>
      <c r="DP95" s="169">
        <f t="shared" si="134"/>
        <v>0</v>
      </c>
      <c r="DQ95" s="169">
        <f t="shared" si="134"/>
        <v>0</v>
      </c>
      <c r="DR95" s="169">
        <f t="shared" si="134"/>
        <v>0</v>
      </c>
      <c r="DS95" s="169">
        <f t="shared" si="134"/>
        <v>0</v>
      </c>
      <c r="DT95" s="169">
        <f t="shared" si="134"/>
        <v>0</v>
      </c>
      <c r="DU95" s="169">
        <f t="shared" si="134"/>
        <v>0</v>
      </c>
      <c r="DV95" s="169">
        <f t="shared" si="134"/>
        <v>0</v>
      </c>
      <c r="DW95" s="169">
        <f t="shared" si="134"/>
        <v>0</v>
      </c>
      <c r="DX95" s="169">
        <f t="shared" si="134"/>
        <v>0</v>
      </c>
      <c r="DY95" s="169">
        <f t="shared" si="134"/>
        <v>0</v>
      </c>
      <c r="DZ95" s="169">
        <f t="shared" si="134"/>
        <v>0</v>
      </c>
      <c r="EA95" s="169">
        <f t="shared" si="134"/>
        <v>0</v>
      </c>
      <c r="EB95" s="169">
        <f t="shared" si="134"/>
        <v>0</v>
      </c>
      <c r="EC95" s="169">
        <f t="shared" si="134"/>
        <v>0</v>
      </c>
      <c r="ED95" s="169">
        <f t="shared" si="134"/>
        <v>0</v>
      </c>
      <c r="EE95" s="169">
        <f t="shared" si="134"/>
        <v>0</v>
      </c>
      <c r="EF95" s="169">
        <f t="shared" si="134"/>
        <v>0</v>
      </c>
      <c r="EG95" s="169">
        <f t="shared" si="134"/>
        <v>0</v>
      </c>
      <c r="EH95" s="169">
        <f t="shared" si="134"/>
        <v>0</v>
      </c>
      <c r="EI95" s="169">
        <f t="shared" si="134"/>
        <v>0</v>
      </c>
    </row>
    <row r="96" spans="2:139">
      <c r="B96" s="46"/>
      <c r="C96" s="209"/>
      <c r="D96" s="169"/>
      <c r="E96" s="169"/>
      <c r="F96" s="169"/>
      <c r="G96" s="169"/>
      <c r="H96" s="169"/>
      <c r="I96" s="169"/>
      <c r="J96" s="169"/>
      <c r="K96" s="169"/>
      <c r="L96" s="169"/>
      <c r="M96" s="169"/>
      <c r="N96" s="169"/>
      <c r="O96" s="91"/>
      <c r="S96" s="169"/>
      <c r="T96" s="169"/>
      <c r="U96" s="169"/>
      <c r="V96" s="169"/>
      <c r="W96" s="169"/>
      <c r="X96" s="169"/>
      <c r="Y96" s="169"/>
      <c r="Z96" s="169"/>
      <c r="AA96" s="169"/>
      <c r="AB96" s="169"/>
      <c r="AC96" s="169"/>
      <c r="AD96" s="169"/>
      <c r="AE96" s="169"/>
      <c r="AF96" s="169"/>
      <c r="AG96" s="169"/>
      <c r="AH96" s="169"/>
      <c r="AI96" s="169"/>
      <c r="AJ96" s="169"/>
      <c r="AK96" s="169"/>
      <c r="AL96" s="169"/>
      <c r="AM96" s="169"/>
      <c r="AN96" s="169"/>
      <c r="AO96" s="169"/>
      <c r="AP96" s="169"/>
      <c r="AQ96" s="169"/>
      <c r="AR96" s="169"/>
      <c r="AS96" s="169"/>
      <c r="AT96" s="169"/>
      <c r="AU96" s="169"/>
      <c r="AV96" s="169"/>
      <c r="AW96" s="169"/>
      <c r="AX96" s="169"/>
      <c r="AY96" s="169"/>
      <c r="AZ96" s="169"/>
      <c r="BA96" s="169"/>
      <c r="BB96" s="169"/>
      <c r="BC96" s="169"/>
      <c r="BD96" s="169"/>
      <c r="BE96" s="169"/>
      <c r="BF96" s="169"/>
      <c r="BG96" s="169"/>
      <c r="BH96" s="169"/>
      <c r="BI96" s="169"/>
      <c r="BJ96" s="169"/>
      <c r="BK96" s="169"/>
      <c r="BL96" s="169"/>
      <c r="BM96" s="169"/>
      <c r="BN96" s="169"/>
      <c r="BO96" s="169"/>
      <c r="BP96" s="169"/>
      <c r="BQ96" s="169"/>
      <c r="BR96" s="169"/>
      <c r="BS96" s="169"/>
      <c r="BT96" s="169"/>
      <c r="BU96" s="169"/>
      <c r="BV96" s="169"/>
      <c r="BW96" s="169"/>
      <c r="BX96" s="169"/>
      <c r="BY96" s="169"/>
      <c r="BZ96" s="169"/>
      <c r="CA96" s="169"/>
      <c r="CB96" s="169"/>
      <c r="CC96" s="169"/>
      <c r="CD96" s="169"/>
      <c r="CE96" s="169"/>
      <c r="CF96" s="169"/>
      <c r="CG96" s="169"/>
      <c r="CH96" s="169"/>
      <c r="CI96" s="169"/>
      <c r="CJ96" s="169"/>
      <c r="CK96" s="169"/>
      <c r="CL96" s="169"/>
      <c r="CM96" s="169"/>
      <c r="CN96" s="169"/>
      <c r="CO96" s="169"/>
      <c r="CP96" s="169"/>
      <c r="CQ96" s="169"/>
      <c r="CR96" s="169"/>
      <c r="CS96" s="169"/>
      <c r="CT96" s="169"/>
      <c r="CU96" s="169"/>
      <c r="CV96" s="169"/>
      <c r="CW96" s="169"/>
      <c r="CX96" s="169"/>
      <c r="CY96" s="169"/>
      <c r="CZ96" s="169"/>
      <c r="DA96" s="169"/>
      <c r="DB96" s="169"/>
      <c r="DC96" s="169"/>
      <c r="DD96" s="169"/>
      <c r="DE96" s="169"/>
      <c r="DF96" s="169"/>
      <c r="DG96" s="169"/>
      <c r="DH96" s="169"/>
      <c r="DI96" s="169"/>
      <c r="DJ96" s="169"/>
      <c r="DK96" s="169"/>
      <c r="DL96" s="169"/>
      <c r="DM96" s="169"/>
      <c r="DN96" s="169"/>
      <c r="DO96" s="169"/>
      <c r="DP96" s="169"/>
      <c r="DQ96" s="169"/>
      <c r="DR96" s="169"/>
      <c r="DS96" s="169"/>
      <c r="DT96" s="169"/>
      <c r="DU96" s="169"/>
      <c r="DV96" s="169"/>
      <c r="DW96" s="169"/>
      <c r="DX96" s="169"/>
      <c r="DY96" s="169"/>
      <c r="DZ96" s="169"/>
      <c r="EA96" s="169"/>
      <c r="EB96" s="169"/>
      <c r="EC96" s="169"/>
      <c r="ED96" s="169"/>
      <c r="EE96" s="169"/>
      <c r="EF96" s="169"/>
      <c r="EG96" s="169"/>
      <c r="EH96" s="169"/>
      <c r="EI96" s="169"/>
    </row>
    <row r="99" spans="2:139" s="192" customFormat="1" ht="14.25" customHeight="1">
      <c r="B99" s="1043" t="s">
        <v>186</v>
      </c>
      <c r="C99" s="196"/>
      <c r="D99" s="196"/>
      <c r="E99" s="196"/>
      <c r="F99" s="197"/>
      <c r="G99" s="197"/>
      <c r="H99" s="197"/>
      <c r="I99" s="197"/>
      <c r="J99" s="197"/>
      <c r="K99" s="197"/>
      <c r="L99" s="197"/>
      <c r="M99" s="197"/>
      <c r="N99" s="197"/>
      <c r="O99" s="197"/>
      <c r="P99"/>
      <c r="Q99"/>
      <c r="R99"/>
      <c r="S99" s="197"/>
      <c r="T99" s="197"/>
      <c r="U99" s="197"/>
      <c r="V99" s="197"/>
      <c r="W99" s="197"/>
      <c r="X99" s="197"/>
      <c r="Y99" s="197"/>
      <c r="Z99" s="197"/>
      <c r="AA99" s="197"/>
      <c r="AB99" s="197"/>
      <c r="AC99" s="197"/>
      <c r="AD99" s="197"/>
      <c r="AE99" s="197"/>
      <c r="AF99" s="197"/>
      <c r="AG99" s="197"/>
      <c r="AH99" s="197"/>
      <c r="AI99" s="197"/>
      <c r="AJ99" s="197"/>
      <c r="AK99" s="197"/>
      <c r="AL99" s="197"/>
      <c r="AM99" s="197"/>
      <c r="AN99" s="197"/>
      <c r="AO99" s="197"/>
      <c r="AP99" s="197"/>
      <c r="AQ99" s="197"/>
      <c r="AR99" s="197"/>
      <c r="AS99" s="197"/>
      <c r="AT99" s="197"/>
      <c r="AU99" s="197"/>
      <c r="AV99" s="197"/>
      <c r="AW99" s="197"/>
      <c r="AX99" s="197"/>
      <c r="AY99" s="197"/>
      <c r="AZ99" s="197"/>
      <c r="BA99" s="197"/>
      <c r="BB99" s="197"/>
      <c r="BC99" s="197"/>
      <c r="BD99" s="197"/>
      <c r="BE99" s="197"/>
      <c r="BF99" s="197"/>
      <c r="BG99" s="197"/>
      <c r="BH99" s="197"/>
      <c r="BI99" s="197"/>
      <c r="BJ99" s="197"/>
      <c r="BK99" s="197"/>
      <c r="BL99" s="197"/>
      <c r="BM99" s="197"/>
      <c r="BN99" s="197"/>
      <c r="BO99" s="197"/>
      <c r="BP99" s="197"/>
      <c r="BQ99" s="197"/>
      <c r="BR99" s="197"/>
      <c r="BS99" s="197"/>
      <c r="BT99" s="197"/>
      <c r="BU99" s="197"/>
      <c r="BV99" s="197"/>
      <c r="BW99" s="197"/>
      <c r="BX99" s="197"/>
      <c r="BY99" s="197"/>
      <c r="BZ99" s="197"/>
      <c r="CA99" s="197"/>
      <c r="CB99" s="197"/>
      <c r="CC99" s="197"/>
      <c r="CD99" s="197"/>
      <c r="CE99" s="197"/>
      <c r="CF99" s="197"/>
      <c r="CG99" s="197"/>
      <c r="CH99" s="197"/>
      <c r="CI99" s="197"/>
      <c r="CJ99" s="197"/>
      <c r="CK99" s="197"/>
      <c r="CL99" s="197"/>
      <c r="CM99" s="197"/>
      <c r="CN99" s="197"/>
      <c r="CO99" s="197"/>
      <c r="CP99" s="197"/>
      <c r="CQ99" s="197"/>
      <c r="CR99" s="197"/>
      <c r="CS99" s="197"/>
      <c r="CT99" s="197"/>
      <c r="CU99" s="197"/>
      <c r="CV99" s="197"/>
      <c r="CW99" s="197"/>
      <c r="CX99" s="197"/>
      <c r="CY99" s="197"/>
      <c r="CZ99" s="197"/>
      <c r="DA99" s="197"/>
      <c r="DB99" s="197"/>
      <c r="DC99" s="197"/>
      <c r="DD99" s="197"/>
      <c r="DE99" s="197"/>
      <c r="DF99" s="197"/>
      <c r="DG99" s="197"/>
      <c r="DH99" s="197"/>
      <c r="DI99" s="197"/>
      <c r="DJ99" s="197"/>
      <c r="DK99" s="197"/>
      <c r="DL99" s="197"/>
      <c r="DM99" s="197"/>
      <c r="DN99" s="197"/>
      <c r="DO99" s="197"/>
      <c r="DP99" s="197"/>
      <c r="DQ99" s="197"/>
      <c r="DR99" s="197"/>
      <c r="DS99" s="197"/>
      <c r="DT99" s="197"/>
      <c r="DU99" s="197"/>
      <c r="DV99" s="197"/>
      <c r="DW99" s="197"/>
      <c r="DX99" s="197"/>
      <c r="DY99" s="197"/>
      <c r="DZ99" s="197"/>
      <c r="EA99" s="197"/>
      <c r="EB99" s="197"/>
      <c r="EC99" s="197"/>
      <c r="ED99" s="197"/>
      <c r="EE99" s="197"/>
      <c r="EF99" s="197"/>
      <c r="EG99" s="197"/>
      <c r="EH99" s="197"/>
      <c r="EI99" s="197"/>
    </row>
    <row r="100" spans="2:139" ht="12.75" customHeight="1">
      <c r="B100" s="41" t="s">
        <v>584</v>
      </c>
      <c r="C100" s="211"/>
      <c r="D100" s="78">
        <f t="shared" ref="D100:N101" si="135">SUMIF($S$6:$EI$6,D$5,$S100:$EI100)</f>
        <v>0</v>
      </c>
      <c r="E100" s="78">
        <f t="shared" si="135"/>
        <v>0</v>
      </c>
      <c r="F100" s="78">
        <f t="shared" si="135"/>
        <v>0</v>
      </c>
      <c r="G100" s="78">
        <f t="shared" si="135"/>
        <v>0</v>
      </c>
      <c r="H100" s="78">
        <f t="shared" si="135"/>
        <v>0</v>
      </c>
      <c r="I100" s="78">
        <f t="shared" si="135"/>
        <v>0</v>
      </c>
      <c r="J100" s="78">
        <f t="shared" si="135"/>
        <v>0</v>
      </c>
      <c r="K100" s="78">
        <f t="shared" si="135"/>
        <v>0</v>
      </c>
      <c r="L100" s="78">
        <f t="shared" si="135"/>
        <v>0</v>
      </c>
      <c r="M100" s="78">
        <f t="shared" si="135"/>
        <v>0</v>
      </c>
      <c r="N100" s="78">
        <f t="shared" si="135"/>
        <v>0</v>
      </c>
      <c r="O100" s="145">
        <f>SUM(D100:N100)</f>
        <v>0</v>
      </c>
      <c r="S100" s="78">
        <f t="shared" ref="S100:AX100" si="136">-(S221+S228+S235+S242)-S101</f>
        <v>0</v>
      </c>
      <c r="T100" s="78">
        <f t="shared" si="136"/>
        <v>0</v>
      </c>
      <c r="U100" s="78">
        <f t="shared" si="136"/>
        <v>0</v>
      </c>
      <c r="V100" s="78">
        <f t="shared" si="136"/>
        <v>0</v>
      </c>
      <c r="W100" s="78">
        <f t="shared" si="136"/>
        <v>0</v>
      </c>
      <c r="X100" s="78">
        <f t="shared" si="136"/>
        <v>0</v>
      </c>
      <c r="Y100" s="78">
        <f t="shared" si="136"/>
        <v>0</v>
      </c>
      <c r="Z100" s="78">
        <f t="shared" si="136"/>
        <v>0</v>
      </c>
      <c r="AA100" s="78">
        <f t="shared" si="136"/>
        <v>0</v>
      </c>
      <c r="AB100" s="78">
        <f t="shared" si="136"/>
        <v>0</v>
      </c>
      <c r="AC100" s="78">
        <f t="shared" si="136"/>
        <v>0</v>
      </c>
      <c r="AD100" s="78">
        <f t="shared" si="136"/>
        <v>0</v>
      </c>
      <c r="AE100" s="78">
        <f t="shared" si="136"/>
        <v>0</v>
      </c>
      <c r="AF100" s="78">
        <f t="shared" si="136"/>
        <v>0</v>
      </c>
      <c r="AG100" s="78">
        <f t="shared" si="136"/>
        <v>0</v>
      </c>
      <c r="AH100" s="78">
        <f t="shared" si="136"/>
        <v>0</v>
      </c>
      <c r="AI100" s="78">
        <f t="shared" si="136"/>
        <v>0</v>
      </c>
      <c r="AJ100" s="78">
        <f t="shared" si="136"/>
        <v>0</v>
      </c>
      <c r="AK100" s="78">
        <f t="shared" si="136"/>
        <v>0</v>
      </c>
      <c r="AL100" s="78">
        <f t="shared" si="136"/>
        <v>0</v>
      </c>
      <c r="AM100" s="78">
        <f t="shared" si="136"/>
        <v>0</v>
      </c>
      <c r="AN100" s="78">
        <f t="shared" si="136"/>
        <v>0</v>
      </c>
      <c r="AO100" s="78">
        <f t="shared" si="136"/>
        <v>0</v>
      </c>
      <c r="AP100" s="78">
        <f t="shared" si="136"/>
        <v>0</v>
      </c>
      <c r="AQ100" s="78">
        <f t="shared" si="136"/>
        <v>0</v>
      </c>
      <c r="AR100" s="78">
        <f t="shared" si="136"/>
        <v>0</v>
      </c>
      <c r="AS100" s="78">
        <f t="shared" si="136"/>
        <v>0</v>
      </c>
      <c r="AT100" s="78">
        <f t="shared" si="136"/>
        <v>0</v>
      </c>
      <c r="AU100" s="78">
        <f t="shared" si="136"/>
        <v>0</v>
      </c>
      <c r="AV100" s="78">
        <f t="shared" si="136"/>
        <v>0</v>
      </c>
      <c r="AW100" s="78">
        <f t="shared" si="136"/>
        <v>0</v>
      </c>
      <c r="AX100" s="78">
        <f t="shared" si="136"/>
        <v>0</v>
      </c>
      <c r="AY100" s="78">
        <f t="shared" ref="AY100:CD100" si="137">-(AY221+AY228+AY235+AY242)-AY101</f>
        <v>0</v>
      </c>
      <c r="AZ100" s="78">
        <f t="shared" si="137"/>
        <v>0</v>
      </c>
      <c r="BA100" s="78">
        <f t="shared" si="137"/>
        <v>0</v>
      </c>
      <c r="BB100" s="78">
        <f t="shared" si="137"/>
        <v>0</v>
      </c>
      <c r="BC100" s="78">
        <f t="shared" si="137"/>
        <v>0</v>
      </c>
      <c r="BD100" s="78">
        <f t="shared" si="137"/>
        <v>0</v>
      </c>
      <c r="BE100" s="78">
        <f t="shared" si="137"/>
        <v>0</v>
      </c>
      <c r="BF100" s="78">
        <f t="shared" si="137"/>
        <v>0</v>
      </c>
      <c r="BG100" s="78">
        <f t="shared" si="137"/>
        <v>0</v>
      </c>
      <c r="BH100" s="78">
        <f t="shared" si="137"/>
        <v>0</v>
      </c>
      <c r="BI100" s="78">
        <f t="shared" si="137"/>
        <v>0</v>
      </c>
      <c r="BJ100" s="78">
        <f t="shared" si="137"/>
        <v>0</v>
      </c>
      <c r="BK100" s="78">
        <f t="shared" si="137"/>
        <v>0</v>
      </c>
      <c r="BL100" s="78">
        <f t="shared" si="137"/>
        <v>0</v>
      </c>
      <c r="BM100" s="78">
        <f t="shared" si="137"/>
        <v>0</v>
      </c>
      <c r="BN100" s="78">
        <f t="shared" si="137"/>
        <v>0</v>
      </c>
      <c r="BO100" s="78">
        <f t="shared" si="137"/>
        <v>0</v>
      </c>
      <c r="BP100" s="78">
        <f t="shared" si="137"/>
        <v>0</v>
      </c>
      <c r="BQ100" s="78">
        <f t="shared" si="137"/>
        <v>0</v>
      </c>
      <c r="BR100" s="78">
        <f t="shared" si="137"/>
        <v>0</v>
      </c>
      <c r="BS100" s="78">
        <f t="shared" si="137"/>
        <v>0</v>
      </c>
      <c r="BT100" s="78">
        <f t="shared" si="137"/>
        <v>0</v>
      </c>
      <c r="BU100" s="78">
        <f t="shared" si="137"/>
        <v>0</v>
      </c>
      <c r="BV100" s="78">
        <f t="shared" si="137"/>
        <v>0</v>
      </c>
      <c r="BW100" s="78">
        <f t="shared" si="137"/>
        <v>0</v>
      </c>
      <c r="BX100" s="78">
        <f t="shared" si="137"/>
        <v>0</v>
      </c>
      <c r="BY100" s="78">
        <f t="shared" si="137"/>
        <v>0</v>
      </c>
      <c r="BZ100" s="78">
        <f t="shared" si="137"/>
        <v>0</v>
      </c>
      <c r="CA100" s="78">
        <f t="shared" si="137"/>
        <v>0</v>
      </c>
      <c r="CB100" s="78">
        <f t="shared" si="137"/>
        <v>0</v>
      </c>
      <c r="CC100" s="78">
        <f t="shared" si="137"/>
        <v>0</v>
      </c>
      <c r="CD100" s="78">
        <f t="shared" si="137"/>
        <v>0</v>
      </c>
      <c r="CE100" s="78">
        <f t="shared" ref="CE100:DJ100" si="138">-(CE221+CE228+CE235+CE242)-CE101</f>
        <v>0</v>
      </c>
      <c r="CF100" s="78">
        <f t="shared" si="138"/>
        <v>0</v>
      </c>
      <c r="CG100" s="78">
        <f t="shared" si="138"/>
        <v>0</v>
      </c>
      <c r="CH100" s="78">
        <f t="shared" si="138"/>
        <v>0</v>
      </c>
      <c r="CI100" s="78">
        <f t="shared" si="138"/>
        <v>0</v>
      </c>
      <c r="CJ100" s="78">
        <f t="shared" si="138"/>
        <v>0</v>
      </c>
      <c r="CK100" s="78">
        <f t="shared" si="138"/>
        <v>0</v>
      </c>
      <c r="CL100" s="78">
        <f t="shared" si="138"/>
        <v>0</v>
      </c>
      <c r="CM100" s="78">
        <f t="shared" si="138"/>
        <v>0</v>
      </c>
      <c r="CN100" s="78">
        <f t="shared" si="138"/>
        <v>0</v>
      </c>
      <c r="CO100" s="78">
        <f t="shared" si="138"/>
        <v>0</v>
      </c>
      <c r="CP100" s="78">
        <f t="shared" si="138"/>
        <v>0</v>
      </c>
      <c r="CQ100" s="78">
        <f t="shared" si="138"/>
        <v>0</v>
      </c>
      <c r="CR100" s="78">
        <f t="shared" si="138"/>
        <v>0</v>
      </c>
      <c r="CS100" s="78">
        <f t="shared" si="138"/>
        <v>0</v>
      </c>
      <c r="CT100" s="78">
        <f t="shared" si="138"/>
        <v>0</v>
      </c>
      <c r="CU100" s="78">
        <f t="shared" si="138"/>
        <v>0</v>
      </c>
      <c r="CV100" s="78">
        <f t="shared" si="138"/>
        <v>0</v>
      </c>
      <c r="CW100" s="78">
        <f t="shared" si="138"/>
        <v>0</v>
      </c>
      <c r="CX100" s="78">
        <f t="shared" si="138"/>
        <v>0</v>
      </c>
      <c r="CY100" s="78">
        <f t="shared" si="138"/>
        <v>0</v>
      </c>
      <c r="CZ100" s="78">
        <f t="shared" si="138"/>
        <v>0</v>
      </c>
      <c r="DA100" s="78">
        <f t="shared" si="138"/>
        <v>0</v>
      </c>
      <c r="DB100" s="78">
        <f t="shared" si="138"/>
        <v>0</v>
      </c>
      <c r="DC100" s="78">
        <f t="shared" si="138"/>
        <v>0</v>
      </c>
      <c r="DD100" s="78">
        <f t="shared" si="138"/>
        <v>0</v>
      </c>
      <c r="DE100" s="78">
        <f t="shared" si="138"/>
        <v>0</v>
      </c>
      <c r="DF100" s="78">
        <f t="shared" si="138"/>
        <v>0</v>
      </c>
      <c r="DG100" s="78">
        <f t="shared" si="138"/>
        <v>0</v>
      </c>
      <c r="DH100" s="78">
        <f t="shared" si="138"/>
        <v>0</v>
      </c>
      <c r="DI100" s="78">
        <f t="shared" si="138"/>
        <v>0</v>
      </c>
      <c r="DJ100" s="78">
        <f t="shared" si="138"/>
        <v>0</v>
      </c>
      <c r="DK100" s="78">
        <f t="shared" ref="DK100:EP100" si="139">-(DK221+DK228+DK235+DK242)-DK101</f>
        <v>0</v>
      </c>
      <c r="DL100" s="78">
        <f t="shared" si="139"/>
        <v>0</v>
      </c>
      <c r="DM100" s="78">
        <f t="shared" si="139"/>
        <v>0</v>
      </c>
      <c r="DN100" s="78">
        <f t="shared" si="139"/>
        <v>0</v>
      </c>
      <c r="DO100" s="78">
        <f t="shared" si="139"/>
        <v>0</v>
      </c>
      <c r="DP100" s="78">
        <f t="shared" si="139"/>
        <v>0</v>
      </c>
      <c r="DQ100" s="78">
        <f t="shared" si="139"/>
        <v>0</v>
      </c>
      <c r="DR100" s="78">
        <f t="shared" si="139"/>
        <v>0</v>
      </c>
      <c r="DS100" s="78">
        <f t="shared" si="139"/>
        <v>0</v>
      </c>
      <c r="DT100" s="78">
        <f t="shared" si="139"/>
        <v>0</v>
      </c>
      <c r="DU100" s="78">
        <f t="shared" si="139"/>
        <v>0</v>
      </c>
      <c r="DV100" s="78">
        <f t="shared" si="139"/>
        <v>0</v>
      </c>
      <c r="DW100" s="78">
        <f t="shared" si="139"/>
        <v>0</v>
      </c>
      <c r="DX100" s="78">
        <f t="shared" si="139"/>
        <v>0</v>
      </c>
      <c r="DY100" s="78">
        <f t="shared" si="139"/>
        <v>0</v>
      </c>
      <c r="DZ100" s="78">
        <f t="shared" si="139"/>
        <v>0</v>
      </c>
      <c r="EA100" s="78">
        <f t="shared" si="139"/>
        <v>0</v>
      </c>
      <c r="EB100" s="78">
        <f t="shared" si="139"/>
        <v>0</v>
      </c>
      <c r="EC100" s="78">
        <f t="shared" si="139"/>
        <v>0</v>
      </c>
      <c r="ED100" s="78">
        <f t="shared" si="139"/>
        <v>0</v>
      </c>
      <c r="EE100" s="78">
        <f t="shared" si="139"/>
        <v>0</v>
      </c>
      <c r="EF100" s="78">
        <f t="shared" si="139"/>
        <v>0</v>
      </c>
      <c r="EG100" s="78">
        <f t="shared" si="139"/>
        <v>0</v>
      </c>
      <c r="EH100" s="78">
        <f t="shared" si="139"/>
        <v>0</v>
      </c>
      <c r="EI100" s="78">
        <f t="shared" si="139"/>
        <v>0</v>
      </c>
    </row>
    <row r="101" spans="2:139" ht="12.75" customHeight="1">
      <c r="B101" s="41" t="s">
        <v>585</v>
      </c>
      <c r="C101" s="211"/>
      <c r="D101" s="78">
        <f t="shared" si="135"/>
        <v>0</v>
      </c>
      <c r="E101" s="78">
        <f t="shared" si="135"/>
        <v>0</v>
      </c>
      <c r="F101" s="78">
        <f t="shared" si="135"/>
        <v>0</v>
      </c>
      <c r="G101" s="78">
        <f t="shared" si="135"/>
        <v>0</v>
      </c>
      <c r="H101" s="78">
        <f t="shared" si="135"/>
        <v>0</v>
      </c>
      <c r="I101" s="78">
        <f t="shared" si="135"/>
        <v>0</v>
      </c>
      <c r="J101" s="78">
        <f t="shared" si="135"/>
        <v>0</v>
      </c>
      <c r="K101" s="78">
        <f t="shared" si="135"/>
        <v>0</v>
      </c>
      <c r="L101" s="78">
        <f t="shared" si="135"/>
        <v>0</v>
      </c>
      <c r="M101" s="78">
        <f t="shared" si="135"/>
        <v>0</v>
      </c>
      <c r="N101" s="78">
        <f t="shared" si="135"/>
        <v>0</v>
      </c>
      <c r="O101" s="145">
        <f>SUM(D101:N101)</f>
        <v>0</v>
      </c>
      <c r="S101" s="78"/>
      <c r="T101" s="78">
        <f>-T242*(T$5&lt;&gt;Input!$I$195)</f>
        <v>0</v>
      </c>
      <c r="U101" s="78">
        <f>-U242*(U$5&lt;&gt;Input!$I$195)</f>
        <v>0</v>
      </c>
      <c r="V101" s="78">
        <f>-V242*(V$5&lt;&gt;Input!$I$195)</f>
        <v>0</v>
      </c>
      <c r="W101" s="78">
        <f>-W242*(W$5&lt;&gt;Input!$I$195)</f>
        <v>0</v>
      </c>
      <c r="X101" s="78">
        <f>-X242*(X$5&lt;&gt;Input!$I$195)</f>
        <v>0</v>
      </c>
      <c r="Y101" s="78">
        <f>-Y242*(Y$5&lt;&gt;Input!$I$195)</f>
        <v>0</v>
      </c>
      <c r="Z101" s="78">
        <f>-Z242*(Z$5&lt;&gt;Input!$I$195)</f>
        <v>0</v>
      </c>
      <c r="AA101" s="78">
        <f>-AA242*(AA$5&lt;&gt;Input!$I$195)</f>
        <v>0</v>
      </c>
      <c r="AB101" s="78">
        <f>-AB242*(AB$5&lt;&gt;Input!$I$195)</f>
        <v>0</v>
      </c>
      <c r="AC101" s="78">
        <f>-AC242*(AC$5&lt;&gt;Input!$I$195)</f>
        <v>0</v>
      </c>
      <c r="AD101" s="78">
        <f>-AD242*(AD$5&lt;&gt;Input!$I$195)</f>
        <v>0</v>
      </c>
      <c r="AE101" s="78">
        <f>-AE242*(AE$5&lt;&gt;Input!$I$195)</f>
        <v>0</v>
      </c>
      <c r="AF101" s="78">
        <f>-AF242*(AF$5&lt;&gt;Input!$I$195)</f>
        <v>0</v>
      </c>
      <c r="AG101" s="78">
        <f>-AG242*(AG$5&lt;&gt;Input!$I$195)</f>
        <v>0</v>
      </c>
      <c r="AH101" s="78">
        <f>-AH242*(AH$5&lt;&gt;Input!$I$195)</f>
        <v>0</v>
      </c>
      <c r="AI101" s="78">
        <f>-AI242*(AI$5&lt;&gt;Input!$I$195)</f>
        <v>0</v>
      </c>
      <c r="AJ101" s="78">
        <f>-AJ242*(AJ$5&lt;&gt;Input!$I$195)</f>
        <v>0</v>
      </c>
      <c r="AK101" s="78">
        <f>-AK242*(AK$5&lt;&gt;Input!$I$195)</f>
        <v>0</v>
      </c>
      <c r="AL101" s="78">
        <f>-AL242*(AL$5&lt;&gt;Input!$I$195)</f>
        <v>0</v>
      </c>
      <c r="AM101" s="78">
        <f>-AM242*(AM$5&lt;&gt;Input!$I$195)</f>
        <v>0</v>
      </c>
      <c r="AN101" s="78">
        <f>-AN242*(AN$5&lt;&gt;Input!$I$195)</f>
        <v>0</v>
      </c>
      <c r="AO101" s="78">
        <f>-AO242*(AO$5&lt;&gt;Input!$I$195)</f>
        <v>0</v>
      </c>
      <c r="AP101" s="78">
        <f>-AP242*(AP$5&lt;&gt;Input!$I$195)</f>
        <v>0</v>
      </c>
      <c r="AQ101" s="78">
        <f>-AQ242*(AQ$5&lt;&gt;Input!$I$195)</f>
        <v>0</v>
      </c>
      <c r="AR101" s="78">
        <f>-AR242*(AR$5&lt;&gt;Input!$I$195)</f>
        <v>0</v>
      </c>
      <c r="AS101" s="78">
        <f>-AS242*(AS$5&lt;&gt;Input!$I$195)</f>
        <v>0</v>
      </c>
      <c r="AT101" s="78">
        <f>-AT242*(AT$5&lt;&gt;Input!$I$195)</f>
        <v>0</v>
      </c>
      <c r="AU101" s="78">
        <f>-AU242*(AU$5&lt;&gt;Input!$I$195)</f>
        <v>0</v>
      </c>
      <c r="AV101" s="78">
        <f>-AV242*(AV$5&lt;&gt;Input!$I$195)</f>
        <v>0</v>
      </c>
      <c r="AW101" s="78">
        <f>-AW242*(AW$5&lt;&gt;Input!$I$195)</f>
        <v>0</v>
      </c>
      <c r="AX101" s="78">
        <f>-AX242*(AX$5&lt;&gt;Input!$I$195)</f>
        <v>0</v>
      </c>
      <c r="AY101" s="78">
        <f>-AY242*(AY$5&lt;&gt;Input!$I$195)</f>
        <v>0</v>
      </c>
      <c r="AZ101" s="78">
        <f>-AZ242*(AZ$5&lt;&gt;Input!$I$195)</f>
        <v>0</v>
      </c>
      <c r="BA101" s="78">
        <f>-BA242*(BA$5&lt;&gt;Input!$I$195)</f>
        <v>0</v>
      </c>
      <c r="BB101" s="78">
        <f>-BB242*(BB$5&lt;&gt;Input!$I$195)</f>
        <v>0</v>
      </c>
      <c r="BC101" s="78">
        <f>-BC242*(BC$5&lt;&gt;Input!$I$195)</f>
        <v>0</v>
      </c>
      <c r="BD101" s="78">
        <f>-BD242*(BD$5&lt;&gt;Input!$I$195)</f>
        <v>0</v>
      </c>
      <c r="BE101" s="78">
        <f>-BE242*(BE$5&lt;&gt;Input!$I$195)</f>
        <v>0</v>
      </c>
      <c r="BF101" s="78">
        <f>-BF242*(BF$5&lt;&gt;Input!$I$195)</f>
        <v>0</v>
      </c>
      <c r="BG101" s="78">
        <f>-BG242*(BG$5&lt;&gt;Input!$I$195)</f>
        <v>0</v>
      </c>
      <c r="BH101" s="78">
        <f>-BH242*(BH$5&lt;&gt;Input!$I$195)</f>
        <v>0</v>
      </c>
      <c r="BI101" s="78">
        <f>-BI242*(BI$5&lt;&gt;Input!$I$195)</f>
        <v>0</v>
      </c>
      <c r="BJ101" s="78">
        <f>-BJ242*(BJ$5&lt;&gt;Input!$I$195)</f>
        <v>0</v>
      </c>
      <c r="BK101" s="78">
        <f>-BK242*(BK$5&lt;&gt;Input!$I$195)</f>
        <v>0</v>
      </c>
      <c r="BL101" s="78">
        <f>-BL242*(BL$5&lt;&gt;Input!$I$195)</f>
        <v>0</v>
      </c>
      <c r="BM101" s="78">
        <f>-BM242*(BM$5&lt;&gt;Input!$I$195)</f>
        <v>0</v>
      </c>
      <c r="BN101" s="78">
        <f>-BN242*(BN$5&lt;&gt;Input!$I$195)</f>
        <v>0</v>
      </c>
      <c r="BO101" s="78">
        <f>-BO242*(BO$5&lt;&gt;Input!$I$195)</f>
        <v>0</v>
      </c>
      <c r="BP101" s="78">
        <f>-BP242*(BP$5&lt;&gt;Input!$I$195)</f>
        <v>0</v>
      </c>
      <c r="BQ101" s="78">
        <f>-BQ242*(BQ$5&lt;&gt;Input!$I$195)</f>
        <v>0</v>
      </c>
      <c r="BR101" s="78">
        <f>-BR242*(BR$5&lt;&gt;Input!$I$195)</f>
        <v>0</v>
      </c>
      <c r="BS101" s="78">
        <f>-BS242*(BS$5&lt;&gt;Input!$I$195)</f>
        <v>0</v>
      </c>
      <c r="BT101" s="78">
        <f>-BT242*(BT$5&lt;&gt;Input!$I$195)</f>
        <v>0</v>
      </c>
      <c r="BU101" s="78">
        <f>-BU242*(BU$5&lt;&gt;Input!$I$195)</f>
        <v>0</v>
      </c>
      <c r="BV101" s="78">
        <f>-BV242*(BV$5&lt;&gt;Input!$I$195)</f>
        <v>0</v>
      </c>
      <c r="BW101" s="78">
        <f>-BW242*(BW$5&lt;&gt;Input!$I$195)</f>
        <v>0</v>
      </c>
      <c r="BX101" s="78">
        <f>-BX242*(BX$5&lt;&gt;Input!$I$195)</f>
        <v>0</v>
      </c>
      <c r="BY101" s="78">
        <f>-BY242*(BY$5&lt;&gt;Input!$I$195)</f>
        <v>0</v>
      </c>
      <c r="BZ101" s="78">
        <f>-BZ242*(BZ$5&lt;&gt;Input!$I$195)</f>
        <v>0</v>
      </c>
      <c r="CA101" s="78">
        <f>-CA242*(CA$5&lt;&gt;Input!$I$195)</f>
        <v>0</v>
      </c>
      <c r="CB101" s="78">
        <f>-CB242*(CB$5&lt;&gt;Input!$I$195)</f>
        <v>0</v>
      </c>
      <c r="CC101" s="78">
        <f>-CC242*(CC$5&lt;&gt;Input!$I$195)</f>
        <v>0</v>
      </c>
      <c r="CD101" s="78">
        <f>-CD242*(CD$5&lt;&gt;Input!$I$195)</f>
        <v>0</v>
      </c>
      <c r="CE101" s="78">
        <f>-CE242*(CE$5&lt;&gt;Input!$I$195)</f>
        <v>0</v>
      </c>
      <c r="CF101" s="78">
        <f>-CF242*(CF$5&lt;&gt;Input!$I$195)</f>
        <v>0</v>
      </c>
      <c r="CG101" s="78">
        <f>-CG242*(CG$5&lt;&gt;Input!$I$195)</f>
        <v>0</v>
      </c>
      <c r="CH101" s="78">
        <f>-CH242*(CH$5&lt;&gt;Input!$I$195)</f>
        <v>0</v>
      </c>
      <c r="CI101" s="78">
        <f>-CI242*(CI$5&lt;&gt;Input!$I$195)</f>
        <v>0</v>
      </c>
      <c r="CJ101" s="78">
        <f>-CJ242*(CJ$5&lt;&gt;Input!$I$195)</f>
        <v>0</v>
      </c>
      <c r="CK101" s="78">
        <f>-CK242*(CK$5&lt;&gt;Input!$I$195)</f>
        <v>0</v>
      </c>
      <c r="CL101" s="78">
        <f>-CL242*(CL$5&lt;&gt;Input!$I$195)</f>
        <v>0</v>
      </c>
      <c r="CM101" s="78">
        <f>-CM242*(CM$5&lt;&gt;Input!$I$195)</f>
        <v>0</v>
      </c>
      <c r="CN101" s="78">
        <f>-CN242*(CN$5&lt;&gt;Input!$I$195)</f>
        <v>0</v>
      </c>
      <c r="CO101" s="78">
        <f>-CO242*(CO$5&lt;&gt;Input!$I$195)</f>
        <v>0</v>
      </c>
      <c r="CP101" s="78">
        <f>-CP242*(CP$5&lt;&gt;Input!$I$195)</f>
        <v>0</v>
      </c>
      <c r="CQ101" s="78">
        <f>-CQ242*(CQ$5&lt;&gt;Input!$I$195)</f>
        <v>0</v>
      </c>
      <c r="CR101" s="78">
        <f>-CR242*(CR$5&lt;&gt;Input!$I$195)</f>
        <v>0</v>
      </c>
      <c r="CS101" s="78">
        <f>-CS242*(CS$5&lt;&gt;Input!$I$195)</f>
        <v>0</v>
      </c>
      <c r="CT101" s="78">
        <f>-CT242*(CT$5&lt;&gt;Input!$I$195)</f>
        <v>0</v>
      </c>
      <c r="CU101" s="78">
        <f>-CU242*(CU$5&lt;&gt;Input!$I$195)</f>
        <v>0</v>
      </c>
      <c r="CV101" s="78">
        <f>-CV242*(CV$5&lt;&gt;Input!$I$195)</f>
        <v>0</v>
      </c>
      <c r="CW101" s="78">
        <f>-CW242*(CW$5&lt;&gt;Input!$I$195)</f>
        <v>0</v>
      </c>
      <c r="CX101" s="78">
        <f>-CX242*(CX$5&lt;&gt;Input!$I$195)</f>
        <v>0</v>
      </c>
      <c r="CY101" s="78">
        <f>-CY242*(CY$5&lt;&gt;Input!$I$195)</f>
        <v>0</v>
      </c>
      <c r="CZ101" s="78">
        <f>-CZ242*(CZ$5&lt;&gt;Input!$I$195)</f>
        <v>0</v>
      </c>
      <c r="DA101" s="78">
        <f>-DA242*(DA$5&lt;&gt;Input!$I$195)</f>
        <v>0</v>
      </c>
      <c r="DB101" s="78">
        <f>-DB242*(DB$5&lt;&gt;Input!$I$195)</f>
        <v>0</v>
      </c>
      <c r="DC101" s="78">
        <f>-DC242*(DC$5&lt;&gt;Input!$I$195)</f>
        <v>0</v>
      </c>
      <c r="DD101" s="78">
        <f>-DD242*(DD$5&lt;&gt;Input!$I$195)</f>
        <v>0</v>
      </c>
      <c r="DE101" s="78">
        <f>-DE242*(DE$5&lt;&gt;Input!$I$195)</f>
        <v>0</v>
      </c>
      <c r="DF101" s="78">
        <f>-DF242*(DF$5&lt;&gt;Input!$I$195)</f>
        <v>0</v>
      </c>
      <c r="DG101" s="78">
        <f>-DG242*(DG$5&lt;&gt;Input!$I$195)</f>
        <v>0</v>
      </c>
      <c r="DH101" s="78">
        <f>-DH242*(DH$5&lt;&gt;Input!$I$195)</f>
        <v>0</v>
      </c>
      <c r="DI101" s="78">
        <f>-DI242*(DI$5&lt;&gt;Input!$I$195)</f>
        <v>0</v>
      </c>
      <c r="DJ101" s="78">
        <f>-DJ242*(DJ$5&lt;&gt;Input!$I$195)</f>
        <v>0</v>
      </c>
      <c r="DK101" s="78">
        <f>-DK242*(DK$5&lt;&gt;Input!$I$195)</f>
        <v>0</v>
      </c>
      <c r="DL101" s="78">
        <f>-DL242*(DL$5&lt;&gt;Input!$I$195)</f>
        <v>0</v>
      </c>
      <c r="DM101" s="78">
        <f>-DM242*(DM$5&lt;&gt;Input!$I$195)</f>
        <v>0</v>
      </c>
      <c r="DN101" s="78">
        <f>-DN242*(DN$5&lt;&gt;Input!$I$195)</f>
        <v>0</v>
      </c>
      <c r="DO101" s="78">
        <f>-DO242*(DO$5&lt;&gt;Input!$I$195)</f>
        <v>0</v>
      </c>
      <c r="DP101" s="78">
        <f>-DP242*(DP$5&lt;&gt;Input!$I$195)</f>
        <v>0</v>
      </c>
      <c r="DQ101" s="78">
        <f>-DQ242*(DQ$5&lt;&gt;Input!$I$195)</f>
        <v>0</v>
      </c>
      <c r="DR101" s="78">
        <f>-DR242*(DR$5&lt;&gt;Input!$I$195)</f>
        <v>0</v>
      </c>
      <c r="DS101" s="78">
        <f>-DS242*(DS$5&lt;&gt;Input!$I$195)</f>
        <v>0</v>
      </c>
      <c r="DT101" s="78">
        <f>-DT242*(DT$5&lt;&gt;Input!$I$195)</f>
        <v>0</v>
      </c>
      <c r="DU101" s="78">
        <f>-DU242*(DU$5&lt;&gt;Input!$I$195)</f>
        <v>0</v>
      </c>
      <c r="DV101" s="78">
        <f>-DV242*(DV$5&lt;&gt;Input!$I$195)</f>
        <v>0</v>
      </c>
      <c r="DW101" s="78">
        <f>-DW242*(DW$5&lt;&gt;Input!$I$195)</f>
        <v>0</v>
      </c>
      <c r="DX101" s="78">
        <f>-DX242*(DX$5&lt;&gt;Input!$I$195)</f>
        <v>0</v>
      </c>
      <c r="DY101" s="78">
        <f>-DY242*(DY$5&lt;&gt;Input!$I$195)</f>
        <v>0</v>
      </c>
      <c r="DZ101" s="78">
        <f>-DZ242*(DZ$5&lt;&gt;Input!$I$195)</f>
        <v>0</v>
      </c>
      <c r="EA101" s="78">
        <f>-EA242*(EA$5&lt;&gt;Input!$I$195)</f>
        <v>0</v>
      </c>
      <c r="EB101" s="78">
        <f>-EB242*(EB$5&lt;&gt;Input!$I$195)</f>
        <v>0</v>
      </c>
      <c r="EC101" s="78">
        <f>-EC242*(EC$5&lt;&gt;Input!$I$195)</f>
        <v>0</v>
      </c>
      <c r="ED101" s="78">
        <f>-ED242*(ED$5&lt;&gt;Input!$I$195)</f>
        <v>0</v>
      </c>
      <c r="EE101" s="78">
        <f>-EE242*(EE$5&lt;&gt;Input!$I$195)</f>
        <v>0</v>
      </c>
      <c r="EF101" s="78">
        <f>-EF242*(EF$5&lt;&gt;Input!$I$195)</f>
        <v>0</v>
      </c>
      <c r="EG101" s="78">
        <f>-EG242*(EG$5&lt;&gt;Input!$I$195)</f>
        <v>0</v>
      </c>
      <c r="EH101" s="78">
        <f>-EH242*(EH$5&lt;&gt;Input!$I$195)</f>
        <v>0</v>
      </c>
      <c r="EI101" s="78">
        <f>-EI242*(EI$5&lt;&gt;Input!$I$195)</f>
        <v>0</v>
      </c>
    </row>
    <row r="102" spans="2:139" ht="12.75" customHeight="1">
      <c r="B102" s="41" t="s">
        <v>188</v>
      </c>
      <c r="C102" s="211"/>
      <c r="D102" s="78"/>
      <c r="E102" s="78">
        <f t="shared" ref="E102:N103" si="140">SUMIF($S$6:$EI$6,E$5,$S102:$EI102)</f>
        <v>0</v>
      </c>
      <c r="F102" s="78">
        <f t="shared" si="140"/>
        <v>0</v>
      </c>
      <c r="G102" s="78">
        <f t="shared" si="140"/>
        <v>0</v>
      </c>
      <c r="H102" s="78">
        <f t="shared" si="140"/>
        <v>0</v>
      </c>
      <c r="I102" s="78">
        <f t="shared" si="140"/>
        <v>0</v>
      </c>
      <c r="J102" s="78">
        <f t="shared" si="140"/>
        <v>0</v>
      </c>
      <c r="K102" s="78">
        <f t="shared" si="140"/>
        <v>0</v>
      </c>
      <c r="L102" s="78">
        <f t="shared" si="140"/>
        <v>0</v>
      </c>
      <c r="M102" s="78">
        <f t="shared" si="140"/>
        <v>0</v>
      </c>
      <c r="N102" s="78">
        <f t="shared" si="140"/>
        <v>0</v>
      </c>
      <c r="O102" s="145">
        <f>SUM(D102:N102)</f>
        <v>0</v>
      </c>
      <c r="S102" s="78"/>
      <c r="T102" s="78">
        <f t="shared" ref="T102:AY102" si="141">-(T222+T229+T236+T243)</f>
        <v>0</v>
      </c>
      <c r="U102" s="78">
        <f t="shared" si="141"/>
        <v>0</v>
      </c>
      <c r="V102" s="78">
        <f t="shared" si="141"/>
        <v>0</v>
      </c>
      <c r="W102" s="78">
        <f t="shared" si="141"/>
        <v>0</v>
      </c>
      <c r="X102" s="78">
        <f t="shared" si="141"/>
        <v>0</v>
      </c>
      <c r="Y102" s="78">
        <f t="shared" si="141"/>
        <v>0</v>
      </c>
      <c r="Z102" s="78">
        <f t="shared" si="141"/>
        <v>0</v>
      </c>
      <c r="AA102" s="78">
        <f t="shared" si="141"/>
        <v>0</v>
      </c>
      <c r="AB102" s="78">
        <f t="shared" si="141"/>
        <v>0</v>
      </c>
      <c r="AC102" s="78">
        <f t="shared" si="141"/>
        <v>0</v>
      </c>
      <c r="AD102" s="78">
        <f t="shared" si="141"/>
        <v>0</v>
      </c>
      <c r="AE102" s="78">
        <f t="shared" si="141"/>
        <v>0</v>
      </c>
      <c r="AF102" s="78">
        <f t="shared" si="141"/>
        <v>0</v>
      </c>
      <c r="AG102" s="78">
        <f t="shared" si="141"/>
        <v>0</v>
      </c>
      <c r="AH102" s="78">
        <f t="shared" si="141"/>
        <v>0</v>
      </c>
      <c r="AI102" s="78">
        <f t="shared" si="141"/>
        <v>0</v>
      </c>
      <c r="AJ102" s="78">
        <f t="shared" si="141"/>
        <v>0</v>
      </c>
      <c r="AK102" s="78">
        <f t="shared" si="141"/>
        <v>0</v>
      </c>
      <c r="AL102" s="78">
        <f t="shared" si="141"/>
        <v>0</v>
      </c>
      <c r="AM102" s="78">
        <f t="shared" si="141"/>
        <v>0</v>
      </c>
      <c r="AN102" s="78">
        <f t="shared" si="141"/>
        <v>0</v>
      </c>
      <c r="AO102" s="78">
        <f t="shared" si="141"/>
        <v>0</v>
      </c>
      <c r="AP102" s="78">
        <f t="shared" si="141"/>
        <v>0</v>
      </c>
      <c r="AQ102" s="78">
        <f t="shared" si="141"/>
        <v>0</v>
      </c>
      <c r="AR102" s="78">
        <f t="shared" si="141"/>
        <v>0</v>
      </c>
      <c r="AS102" s="78">
        <f t="shared" si="141"/>
        <v>0</v>
      </c>
      <c r="AT102" s="78">
        <f t="shared" si="141"/>
        <v>0</v>
      </c>
      <c r="AU102" s="78">
        <f t="shared" si="141"/>
        <v>0</v>
      </c>
      <c r="AV102" s="78">
        <f t="shared" si="141"/>
        <v>0</v>
      </c>
      <c r="AW102" s="78">
        <f t="shared" si="141"/>
        <v>0</v>
      </c>
      <c r="AX102" s="78">
        <f t="shared" si="141"/>
        <v>0</v>
      </c>
      <c r="AY102" s="78">
        <f t="shared" si="141"/>
        <v>0</v>
      </c>
      <c r="AZ102" s="78">
        <f t="shared" ref="AZ102:CE102" si="142">-(AZ222+AZ229+AZ236+AZ243)</f>
        <v>0</v>
      </c>
      <c r="BA102" s="78">
        <f t="shared" si="142"/>
        <v>0</v>
      </c>
      <c r="BB102" s="78">
        <f t="shared" si="142"/>
        <v>0</v>
      </c>
      <c r="BC102" s="78">
        <f t="shared" si="142"/>
        <v>0</v>
      </c>
      <c r="BD102" s="78">
        <f t="shared" si="142"/>
        <v>0</v>
      </c>
      <c r="BE102" s="78">
        <f t="shared" si="142"/>
        <v>0</v>
      </c>
      <c r="BF102" s="78">
        <f t="shared" si="142"/>
        <v>0</v>
      </c>
      <c r="BG102" s="78">
        <f t="shared" si="142"/>
        <v>0</v>
      </c>
      <c r="BH102" s="78">
        <f t="shared" si="142"/>
        <v>0</v>
      </c>
      <c r="BI102" s="78">
        <f t="shared" si="142"/>
        <v>0</v>
      </c>
      <c r="BJ102" s="78">
        <f t="shared" si="142"/>
        <v>0</v>
      </c>
      <c r="BK102" s="78">
        <f t="shared" si="142"/>
        <v>0</v>
      </c>
      <c r="BL102" s="78">
        <f t="shared" si="142"/>
        <v>0</v>
      </c>
      <c r="BM102" s="78">
        <f t="shared" si="142"/>
        <v>0</v>
      </c>
      <c r="BN102" s="78">
        <f t="shared" si="142"/>
        <v>0</v>
      </c>
      <c r="BO102" s="78">
        <f t="shared" si="142"/>
        <v>0</v>
      </c>
      <c r="BP102" s="78">
        <f t="shared" si="142"/>
        <v>0</v>
      </c>
      <c r="BQ102" s="78">
        <f t="shared" si="142"/>
        <v>0</v>
      </c>
      <c r="BR102" s="78">
        <f t="shared" si="142"/>
        <v>0</v>
      </c>
      <c r="BS102" s="78">
        <f t="shared" si="142"/>
        <v>0</v>
      </c>
      <c r="BT102" s="78">
        <f t="shared" si="142"/>
        <v>0</v>
      </c>
      <c r="BU102" s="78">
        <f t="shared" si="142"/>
        <v>0</v>
      </c>
      <c r="BV102" s="78">
        <f t="shared" si="142"/>
        <v>0</v>
      </c>
      <c r="BW102" s="78">
        <f t="shared" si="142"/>
        <v>0</v>
      </c>
      <c r="BX102" s="78">
        <f t="shared" si="142"/>
        <v>0</v>
      </c>
      <c r="BY102" s="78">
        <f t="shared" si="142"/>
        <v>0</v>
      </c>
      <c r="BZ102" s="78">
        <f t="shared" si="142"/>
        <v>0</v>
      </c>
      <c r="CA102" s="78">
        <f t="shared" si="142"/>
        <v>0</v>
      </c>
      <c r="CB102" s="78">
        <f t="shared" si="142"/>
        <v>0</v>
      </c>
      <c r="CC102" s="78">
        <f t="shared" si="142"/>
        <v>0</v>
      </c>
      <c r="CD102" s="78">
        <f t="shared" si="142"/>
        <v>0</v>
      </c>
      <c r="CE102" s="78">
        <f t="shared" si="142"/>
        <v>0</v>
      </c>
      <c r="CF102" s="78">
        <f t="shared" ref="CF102:DK102" si="143">-(CF222+CF229+CF236+CF243)</f>
        <v>0</v>
      </c>
      <c r="CG102" s="78">
        <f t="shared" si="143"/>
        <v>0</v>
      </c>
      <c r="CH102" s="78">
        <f t="shared" si="143"/>
        <v>0</v>
      </c>
      <c r="CI102" s="78">
        <f t="shared" si="143"/>
        <v>0</v>
      </c>
      <c r="CJ102" s="78">
        <f t="shared" si="143"/>
        <v>0</v>
      </c>
      <c r="CK102" s="78">
        <f t="shared" si="143"/>
        <v>0</v>
      </c>
      <c r="CL102" s="78">
        <f t="shared" si="143"/>
        <v>0</v>
      </c>
      <c r="CM102" s="78">
        <f t="shared" si="143"/>
        <v>0</v>
      </c>
      <c r="CN102" s="78">
        <f t="shared" si="143"/>
        <v>0</v>
      </c>
      <c r="CO102" s="78">
        <f t="shared" si="143"/>
        <v>0</v>
      </c>
      <c r="CP102" s="78">
        <f t="shared" si="143"/>
        <v>0</v>
      </c>
      <c r="CQ102" s="78">
        <f t="shared" si="143"/>
        <v>0</v>
      </c>
      <c r="CR102" s="78">
        <f t="shared" si="143"/>
        <v>0</v>
      </c>
      <c r="CS102" s="78">
        <f t="shared" si="143"/>
        <v>0</v>
      </c>
      <c r="CT102" s="78">
        <f t="shared" si="143"/>
        <v>0</v>
      </c>
      <c r="CU102" s="78">
        <f t="shared" si="143"/>
        <v>0</v>
      </c>
      <c r="CV102" s="78">
        <f t="shared" si="143"/>
        <v>0</v>
      </c>
      <c r="CW102" s="78">
        <f t="shared" si="143"/>
        <v>0</v>
      </c>
      <c r="CX102" s="78">
        <f t="shared" si="143"/>
        <v>0</v>
      </c>
      <c r="CY102" s="78">
        <f t="shared" si="143"/>
        <v>0</v>
      </c>
      <c r="CZ102" s="78">
        <f t="shared" si="143"/>
        <v>0</v>
      </c>
      <c r="DA102" s="78">
        <f t="shared" si="143"/>
        <v>0</v>
      </c>
      <c r="DB102" s="78">
        <f t="shared" si="143"/>
        <v>0</v>
      </c>
      <c r="DC102" s="78">
        <f t="shared" si="143"/>
        <v>0</v>
      </c>
      <c r="DD102" s="78">
        <f t="shared" si="143"/>
        <v>0</v>
      </c>
      <c r="DE102" s="78">
        <f t="shared" si="143"/>
        <v>0</v>
      </c>
      <c r="DF102" s="78">
        <f t="shared" si="143"/>
        <v>0</v>
      </c>
      <c r="DG102" s="78">
        <f t="shared" si="143"/>
        <v>0</v>
      </c>
      <c r="DH102" s="78">
        <f t="shared" si="143"/>
        <v>0</v>
      </c>
      <c r="DI102" s="78">
        <f t="shared" si="143"/>
        <v>0</v>
      </c>
      <c r="DJ102" s="78">
        <f t="shared" si="143"/>
        <v>0</v>
      </c>
      <c r="DK102" s="78">
        <f t="shared" si="143"/>
        <v>0</v>
      </c>
      <c r="DL102" s="78">
        <f t="shared" ref="DL102:EI102" si="144">-(DL222+DL229+DL236+DL243)</f>
        <v>0</v>
      </c>
      <c r="DM102" s="78">
        <f t="shared" si="144"/>
        <v>0</v>
      </c>
      <c r="DN102" s="78">
        <f t="shared" si="144"/>
        <v>0</v>
      </c>
      <c r="DO102" s="78">
        <f t="shared" si="144"/>
        <v>0</v>
      </c>
      <c r="DP102" s="78">
        <f t="shared" si="144"/>
        <v>0</v>
      </c>
      <c r="DQ102" s="78">
        <f t="shared" si="144"/>
        <v>0</v>
      </c>
      <c r="DR102" s="78">
        <f t="shared" si="144"/>
        <v>0</v>
      </c>
      <c r="DS102" s="78">
        <f t="shared" si="144"/>
        <v>0</v>
      </c>
      <c r="DT102" s="78">
        <f t="shared" si="144"/>
        <v>0</v>
      </c>
      <c r="DU102" s="78">
        <f t="shared" si="144"/>
        <v>0</v>
      </c>
      <c r="DV102" s="78">
        <f t="shared" si="144"/>
        <v>0</v>
      </c>
      <c r="DW102" s="78">
        <f t="shared" si="144"/>
        <v>0</v>
      </c>
      <c r="DX102" s="78">
        <f t="shared" si="144"/>
        <v>0</v>
      </c>
      <c r="DY102" s="78">
        <f t="shared" si="144"/>
        <v>0</v>
      </c>
      <c r="DZ102" s="78">
        <f t="shared" si="144"/>
        <v>0</v>
      </c>
      <c r="EA102" s="78">
        <f t="shared" si="144"/>
        <v>0</v>
      </c>
      <c r="EB102" s="78">
        <f t="shared" si="144"/>
        <v>0</v>
      </c>
      <c r="EC102" s="78">
        <f t="shared" si="144"/>
        <v>0</v>
      </c>
      <c r="ED102" s="78">
        <f t="shared" si="144"/>
        <v>0</v>
      </c>
      <c r="EE102" s="78">
        <f t="shared" si="144"/>
        <v>0</v>
      </c>
      <c r="EF102" s="78">
        <f t="shared" si="144"/>
        <v>0</v>
      </c>
      <c r="EG102" s="78">
        <f t="shared" si="144"/>
        <v>0</v>
      </c>
      <c r="EH102" s="78">
        <f t="shared" si="144"/>
        <v>0</v>
      </c>
      <c r="EI102" s="78">
        <f t="shared" si="144"/>
        <v>0</v>
      </c>
    </row>
    <row r="103" spans="2:139" ht="12.75" customHeight="1">
      <c r="B103" s="41" t="s">
        <v>189</v>
      </c>
      <c r="C103" s="211"/>
      <c r="D103" s="841"/>
      <c r="E103" s="841">
        <f t="shared" si="140"/>
        <v>0</v>
      </c>
      <c r="F103" s="841">
        <f t="shared" si="140"/>
        <v>0</v>
      </c>
      <c r="G103" s="841">
        <f t="shared" si="140"/>
        <v>0</v>
      </c>
      <c r="H103" s="841">
        <f t="shared" si="140"/>
        <v>0</v>
      </c>
      <c r="I103" s="841">
        <f t="shared" si="140"/>
        <v>0</v>
      </c>
      <c r="J103" s="841">
        <f t="shared" si="140"/>
        <v>0</v>
      </c>
      <c r="K103" s="841">
        <f t="shared" si="140"/>
        <v>0</v>
      </c>
      <c r="L103" s="841">
        <f t="shared" si="140"/>
        <v>0</v>
      </c>
      <c r="M103" s="841">
        <f t="shared" si="140"/>
        <v>0</v>
      </c>
      <c r="N103" s="841">
        <f t="shared" si="140"/>
        <v>0</v>
      </c>
      <c r="O103" s="842">
        <f>SUM(D103:N103)</f>
        <v>0</v>
      </c>
      <c r="S103" s="841"/>
      <c r="T103" s="841">
        <f t="shared" ref="T103:AY103" si="145">-SUM(T223+T237+T230+T246)</f>
        <v>0</v>
      </c>
      <c r="U103" s="841">
        <f t="shared" si="145"/>
        <v>0</v>
      </c>
      <c r="V103" s="841">
        <f t="shared" si="145"/>
        <v>0</v>
      </c>
      <c r="W103" s="841">
        <f t="shared" si="145"/>
        <v>0</v>
      </c>
      <c r="X103" s="841">
        <f t="shared" si="145"/>
        <v>0</v>
      </c>
      <c r="Y103" s="841">
        <f t="shared" si="145"/>
        <v>0</v>
      </c>
      <c r="Z103" s="841">
        <f t="shared" si="145"/>
        <v>0</v>
      </c>
      <c r="AA103" s="841">
        <f t="shared" si="145"/>
        <v>0</v>
      </c>
      <c r="AB103" s="841">
        <f t="shared" si="145"/>
        <v>0</v>
      </c>
      <c r="AC103" s="841">
        <f t="shared" si="145"/>
        <v>0</v>
      </c>
      <c r="AD103" s="841">
        <f t="shared" si="145"/>
        <v>0</v>
      </c>
      <c r="AE103" s="841">
        <f t="shared" si="145"/>
        <v>0</v>
      </c>
      <c r="AF103" s="841">
        <f t="shared" si="145"/>
        <v>0</v>
      </c>
      <c r="AG103" s="841">
        <f t="shared" si="145"/>
        <v>0</v>
      </c>
      <c r="AH103" s="841">
        <f t="shared" si="145"/>
        <v>0</v>
      </c>
      <c r="AI103" s="841">
        <f t="shared" si="145"/>
        <v>0</v>
      </c>
      <c r="AJ103" s="841">
        <f t="shared" si="145"/>
        <v>0</v>
      </c>
      <c r="AK103" s="841">
        <f t="shared" si="145"/>
        <v>0</v>
      </c>
      <c r="AL103" s="841">
        <f t="shared" si="145"/>
        <v>0</v>
      </c>
      <c r="AM103" s="841">
        <f t="shared" si="145"/>
        <v>0</v>
      </c>
      <c r="AN103" s="841">
        <f t="shared" si="145"/>
        <v>0</v>
      </c>
      <c r="AO103" s="841">
        <f t="shared" si="145"/>
        <v>0</v>
      </c>
      <c r="AP103" s="841">
        <f t="shared" si="145"/>
        <v>0</v>
      </c>
      <c r="AQ103" s="841">
        <f t="shared" si="145"/>
        <v>0</v>
      </c>
      <c r="AR103" s="841">
        <f t="shared" si="145"/>
        <v>0</v>
      </c>
      <c r="AS103" s="841">
        <f t="shared" si="145"/>
        <v>0</v>
      </c>
      <c r="AT103" s="841">
        <f t="shared" si="145"/>
        <v>0</v>
      </c>
      <c r="AU103" s="841">
        <f t="shared" si="145"/>
        <v>0</v>
      </c>
      <c r="AV103" s="841">
        <f t="shared" si="145"/>
        <v>0</v>
      </c>
      <c r="AW103" s="841">
        <f t="shared" si="145"/>
        <v>0</v>
      </c>
      <c r="AX103" s="841">
        <f t="shared" si="145"/>
        <v>0</v>
      </c>
      <c r="AY103" s="841">
        <f t="shared" si="145"/>
        <v>0</v>
      </c>
      <c r="AZ103" s="841">
        <f t="shared" ref="AZ103:CE103" si="146">-SUM(AZ223+AZ237+AZ230+AZ246)</f>
        <v>0</v>
      </c>
      <c r="BA103" s="841">
        <f t="shared" si="146"/>
        <v>0</v>
      </c>
      <c r="BB103" s="841">
        <f t="shared" si="146"/>
        <v>0</v>
      </c>
      <c r="BC103" s="841">
        <f t="shared" si="146"/>
        <v>0</v>
      </c>
      <c r="BD103" s="841">
        <f t="shared" si="146"/>
        <v>0</v>
      </c>
      <c r="BE103" s="841">
        <f t="shared" si="146"/>
        <v>0</v>
      </c>
      <c r="BF103" s="841">
        <f t="shared" si="146"/>
        <v>0</v>
      </c>
      <c r="BG103" s="841">
        <f t="shared" si="146"/>
        <v>0</v>
      </c>
      <c r="BH103" s="841">
        <f t="shared" si="146"/>
        <v>0</v>
      </c>
      <c r="BI103" s="841">
        <f t="shared" si="146"/>
        <v>0</v>
      </c>
      <c r="BJ103" s="841">
        <f t="shared" si="146"/>
        <v>0</v>
      </c>
      <c r="BK103" s="841">
        <f t="shared" si="146"/>
        <v>0</v>
      </c>
      <c r="BL103" s="841">
        <f t="shared" si="146"/>
        <v>0</v>
      </c>
      <c r="BM103" s="841">
        <f t="shared" si="146"/>
        <v>0</v>
      </c>
      <c r="BN103" s="841">
        <f t="shared" si="146"/>
        <v>0</v>
      </c>
      <c r="BO103" s="841">
        <f t="shared" si="146"/>
        <v>0</v>
      </c>
      <c r="BP103" s="841">
        <f t="shared" si="146"/>
        <v>0</v>
      </c>
      <c r="BQ103" s="841">
        <f t="shared" si="146"/>
        <v>0</v>
      </c>
      <c r="BR103" s="841">
        <f t="shared" si="146"/>
        <v>0</v>
      </c>
      <c r="BS103" s="841">
        <f t="shared" si="146"/>
        <v>0</v>
      </c>
      <c r="BT103" s="841">
        <f t="shared" si="146"/>
        <v>0</v>
      </c>
      <c r="BU103" s="841">
        <f t="shared" si="146"/>
        <v>0</v>
      </c>
      <c r="BV103" s="841">
        <f t="shared" si="146"/>
        <v>0</v>
      </c>
      <c r="BW103" s="841">
        <f t="shared" si="146"/>
        <v>0</v>
      </c>
      <c r="BX103" s="841">
        <f t="shared" si="146"/>
        <v>0</v>
      </c>
      <c r="BY103" s="841">
        <f t="shared" si="146"/>
        <v>0</v>
      </c>
      <c r="BZ103" s="841">
        <f t="shared" si="146"/>
        <v>0</v>
      </c>
      <c r="CA103" s="841">
        <f t="shared" si="146"/>
        <v>0</v>
      </c>
      <c r="CB103" s="841">
        <f t="shared" si="146"/>
        <v>0</v>
      </c>
      <c r="CC103" s="841">
        <f t="shared" si="146"/>
        <v>0</v>
      </c>
      <c r="CD103" s="841">
        <f t="shared" si="146"/>
        <v>0</v>
      </c>
      <c r="CE103" s="841">
        <f t="shared" si="146"/>
        <v>0</v>
      </c>
      <c r="CF103" s="841">
        <f t="shared" ref="CF103:DK103" si="147">-SUM(CF223+CF237+CF230+CF246)</f>
        <v>0</v>
      </c>
      <c r="CG103" s="841">
        <f t="shared" si="147"/>
        <v>0</v>
      </c>
      <c r="CH103" s="841">
        <f t="shared" si="147"/>
        <v>0</v>
      </c>
      <c r="CI103" s="841">
        <f t="shared" si="147"/>
        <v>0</v>
      </c>
      <c r="CJ103" s="841">
        <f t="shared" si="147"/>
        <v>0</v>
      </c>
      <c r="CK103" s="841">
        <f t="shared" si="147"/>
        <v>0</v>
      </c>
      <c r="CL103" s="841">
        <f t="shared" si="147"/>
        <v>0</v>
      </c>
      <c r="CM103" s="841">
        <f t="shared" si="147"/>
        <v>0</v>
      </c>
      <c r="CN103" s="841">
        <f t="shared" si="147"/>
        <v>0</v>
      </c>
      <c r="CO103" s="841">
        <f t="shared" si="147"/>
        <v>0</v>
      </c>
      <c r="CP103" s="841">
        <f t="shared" si="147"/>
        <v>0</v>
      </c>
      <c r="CQ103" s="841">
        <f t="shared" si="147"/>
        <v>0</v>
      </c>
      <c r="CR103" s="841">
        <f t="shared" si="147"/>
        <v>0</v>
      </c>
      <c r="CS103" s="841">
        <f t="shared" si="147"/>
        <v>0</v>
      </c>
      <c r="CT103" s="841">
        <f t="shared" si="147"/>
        <v>0</v>
      </c>
      <c r="CU103" s="841">
        <f t="shared" si="147"/>
        <v>0</v>
      </c>
      <c r="CV103" s="841">
        <f t="shared" si="147"/>
        <v>0</v>
      </c>
      <c r="CW103" s="841">
        <f t="shared" si="147"/>
        <v>0</v>
      </c>
      <c r="CX103" s="841">
        <f t="shared" si="147"/>
        <v>0</v>
      </c>
      <c r="CY103" s="841">
        <f t="shared" si="147"/>
        <v>0</v>
      </c>
      <c r="CZ103" s="841">
        <f t="shared" si="147"/>
        <v>0</v>
      </c>
      <c r="DA103" s="841">
        <f t="shared" si="147"/>
        <v>0</v>
      </c>
      <c r="DB103" s="841">
        <f t="shared" si="147"/>
        <v>0</v>
      </c>
      <c r="DC103" s="841">
        <f t="shared" si="147"/>
        <v>0</v>
      </c>
      <c r="DD103" s="841">
        <f t="shared" si="147"/>
        <v>0</v>
      </c>
      <c r="DE103" s="841">
        <f t="shared" si="147"/>
        <v>0</v>
      </c>
      <c r="DF103" s="841">
        <f t="shared" si="147"/>
        <v>0</v>
      </c>
      <c r="DG103" s="841">
        <f t="shared" si="147"/>
        <v>0</v>
      </c>
      <c r="DH103" s="841">
        <f t="shared" si="147"/>
        <v>0</v>
      </c>
      <c r="DI103" s="841">
        <f t="shared" si="147"/>
        <v>0</v>
      </c>
      <c r="DJ103" s="841">
        <f t="shared" si="147"/>
        <v>0</v>
      </c>
      <c r="DK103" s="841">
        <f t="shared" si="147"/>
        <v>0</v>
      </c>
      <c r="DL103" s="841">
        <f t="shared" ref="DL103:EI103" si="148">-SUM(DL223+DL237+DL230+DL246)</f>
        <v>0</v>
      </c>
      <c r="DM103" s="841">
        <f t="shared" si="148"/>
        <v>0</v>
      </c>
      <c r="DN103" s="841">
        <f t="shared" si="148"/>
        <v>0</v>
      </c>
      <c r="DO103" s="841">
        <f t="shared" si="148"/>
        <v>0</v>
      </c>
      <c r="DP103" s="841">
        <f t="shared" si="148"/>
        <v>0</v>
      </c>
      <c r="DQ103" s="841">
        <f t="shared" si="148"/>
        <v>0</v>
      </c>
      <c r="DR103" s="841">
        <f t="shared" si="148"/>
        <v>0</v>
      </c>
      <c r="DS103" s="841">
        <f t="shared" si="148"/>
        <v>0</v>
      </c>
      <c r="DT103" s="841">
        <f t="shared" si="148"/>
        <v>0</v>
      </c>
      <c r="DU103" s="841">
        <f t="shared" si="148"/>
        <v>0</v>
      </c>
      <c r="DV103" s="841">
        <f t="shared" si="148"/>
        <v>0</v>
      </c>
      <c r="DW103" s="841">
        <f t="shared" si="148"/>
        <v>0</v>
      </c>
      <c r="DX103" s="841">
        <f t="shared" si="148"/>
        <v>0</v>
      </c>
      <c r="DY103" s="841">
        <f t="shared" si="148"/>
        <v>0</v>
      </c>
      <c r="DZ103" s="841">
        <f t="shared" si="148"/>
        <v>0</v>
      </c>
      <c r="EA103" s="841">
        <f t="shared" si="148"/>
        <v>0</v>
      </c>
      <c r="EB103" s="841">
        <f t="shared" si="148"/>
        <v>0</v>
      </c>
      <c r="EC103" s="841">
        <f t="shared" si="148"/>
        <v>0</v>
      </c>
      <c r="ED103" s="841">
        <f t="shared" si="148"/>
        <v>0</v>
      </c>
      <c r="EE103" s="841">
        <f t="shared" si="148"/>
        <v>0</v>
      </c>
      <c r="EF103" s="841">
        <f t="shared" si="148"/>
        <v>0</v>
      </c>
      <c r="EG103" s="841">
        <f t="shared" si="148"/>
        <v>0</v>
      </c>
      <c r="EH103" s="841">
        <f t="shared" si="148"/>
        <v>0</v>
      </c>
      <c r="EI103" s="841">
        <f t="shared" si="148"/>
        <v>0</v>
      </c>
    </row>
    <row r="104" spans="2:139" collapsed="1">
      <c r="B104" s="153" t="s">
        <v>190</v>
      </c>
      <c r="C104" s="209"/>
      <c r="D104" s="169">
        <f t="shared" ref="D104:O104" si="149">SUBTOTAL(9,D100:D103)</f>
        <v>0</v>
      </c>
      <c r="E104" s="169">
        <f t="shared" si="149"/>
        <v>0</v>
      </c>
      <c r="F104" s="169">
        <f t="shared" si="149"/>
        <v>0</v>
      </c>
      <c r="G104" s="169">
        <f t="shared" si="149"/>
        <v>0</v>
      </c>
      <c r="H104" s="169">
        <f t="shared" si="149"/>
        <v>0</v>
      </c>
      <c r="I104" s="169">
        <f t="shared" si="149"/>
        <v>0</v>
      </c>
      <c r="J104" s="169">
        <f t="shared" si="149"/>
        <v>0</v>
      </c>
      <c r="K104" s="169">
        <f t="shared" si="149"/>
        <v>0</v>
      </c>
      <c r="L104" s="169">
        <f t="shared" si="149"/>
        <v>0</v>
      </c>
      <c r="M104" s="169">
        <f t="shared" si="149"/>
        <v>0</v>
      </c>
      <c r="N104" s="169">
        <f t="shared" si="149"/>
        <v>0</v>
      </c>
      <c r="O104" s="91">
        <f t="shared" si="149"/>
        <v>0</v>
      </c>
      <c r="S104" s="169">
        <f t="shared" ref="S104:AX104" si="150">SUBTOTAL(9,S100:S103)</f>
        <v>0</v>
      </c>
      <c r="T104" s="169">
        <f t="shared" si="150"/>
        <v>0</v>
      </c>
      <c r="U104" s="169">
        <f t="shared" si="150"/>
        <v>0</v>
      </c>
      <c r="V104" s="169">
        <f t="shared" si="150"/>
        <v>0</v>
      </c>
      <c r="W104" s="169">
        <f t="shared" si="150"/>
        <v>0</v>
      </c>
      <c r="X104" s="169">
        <f t="shared" si="150"/>
        <v>0</v>
      </c>
      <c r="Y104" s="169">
        <f t="shared" si="150"/>
        <v>0</v>
      </c>
      <c r="Z104" s="169">
        <f t="shared" si="150"/>
        <v>0</v>
      </c>
      <c r="AA104" s="169">
        <f t="shared" si="150"/>
        <v>0</v>
      </c>
      <c r="AB104" s="169">
        <f t="shared" si="150"/>
        <v>0</v>
      </c>
      <c r="AC104" s="169">
        <f t="shared" si="150"/>
        <v>0</v>
      </c>
      <c r="AD104" s="169">
        <f t="shared" si="150"/>
        <v>0</v>
      </c>
      <c r="AE104" s="169">
        <f t="shared" si="150"/>
        <v>0</v>
      </c>
      <c r="AF104" s="169">
        <f t="shared" si="150"/>
        <v>0</v>
      </c>
      <c r="AG104" s="169">
        <f t="shared" si="150"/>
        <v>0</v>
      </c>
      <c r="AH104" s="169">
        <f t="shared" si="150"/>
        <v>0</v>
      </c>
      <c r="AI104" s="169">
        <f t="shared" si="150"/>
        <v>0</v>
      </c>
      <c r="AJ104" s="169">
        <f t="shared" si="150"/>
        <v>0</v>
      </c>
      <c r="AK104" s="169">
        <f t="shared" si="150"/>
        <v>0</v>
      </c>
      <c r="AL104" s="169">
        <f t="shared" si="150"/>
        <v>0</v>
      </c>
      <c r="AM104" s="169">
        <f t="shared" si="150"/>
        <v>0</v>
      </c>
      <c r="AN104" s="169">
        <f t="shared" si="150"/>
        <v>0</v>
      </c>
      <c r="AO104" s="169">
        <f t="shared" si="150"/>
        <v>0</v>
      </c>
      <c r="AP104" s="169">
        <f t="shared" si="150"/>
        <v>0</v>
      </c>
      <c r="AQ104" s="169">
        <f t="shared" si="150"/>
        <v>0</v>
      </c>
      <c r="AR104" s="169">
        <f t="shared" si="150"/>
        <v>0</v>
      </c>
      <c r="AS104" s="169">
        <f t="shared" si="150"/>
        <v>0</v>
      </c>
      <c r="AT104" s="169">
        <f t="shared" si="150"/>
        <v>0</v>
      </c>
      <c r="AU104" s="169">
        <f t="shared" si="150"/>
        <v>0</v>
      </c>
      <c r="AV104" s="169">
        <f t="shared" si="150"/>
        <v>0</v>
      </c>
      <c r="AW104" s="169">
        <f t="shared" si="150"/>
        <v>0</v>
      </c>
      <c r="AX104" s="169">
        <f t="shared" si="150"/>
        <v>0</v>
      </c>
      <c r="AY104" s="169">
        <f t="shared" ref="AY104:CD104" si="151">SUBTOTAL(9,AY100:AY103)</f>
        <v>0</v>
      </c>
      <c r="AZ104" s="169">
        <f t="shared" si="151"/>
        <v>0</v>
      </c>
      <c r="BA104" s="169">
        <f t="shared" si="151"/>
        <v>0</v>
      </c>
      <c r="BB104" s="169">
        <f t="shared" si="151"/>
        <v>0</v>
      </c>
      <c r="BC104" s="169">
        <f t="shared" si="151"/>
        <v>0</v>
      </c>
      <c r="BD104" s="169">
        <f t="shared" si="151"/>
        <v>0</v>
      </c>
      <c r="BE104" s="169">
        <f t="shared" si="151"/>
        <v>0</v>
      </c>
      <c r="BF104" s="169">
        <f t="shared" si="151"/>
        <v>0</v>
      </c>
      <c r="BG104" s="169">
        <f t="shared" si="151"/>
        <v>0</v>
      </c>
      <c r="BH104" s="169">
        <f t="shared" si="151"/>
        <v>0</v>
      </c>
      <c r="BI104" s="169">
        <f t="shared" si="151"/>
        <v>0</v>
      </c>
      <c r="BJ104" s="169">
        <f t="shared" si="151"/>
        <v>0</v>
      </c>
      <c r="BK104" s="169">
        <f t="shared" si="151"/>
        <v>0</v>
      </c>
      <c r="BL104" s="169">
        <f t="shared" si="151"/>
        <v>0</v>
      </c>
      <c r="BM104" s="169">
        <f t="shared" si="151"/>
        <v>0</v>
      </c>
      <c r="BN104" s="169">
        <f t="shared" si="151"/>
        <v>0</v>
      </c>
      <c r="BO104" s="169">
        <f t="shared" si="151"/>
        <v>0</v>
      </c>
      <c r="BP104" s="169">
        <f t="shared" si="151"/>
        <v>0</v>
      </c>
      <c r="BQ104" s="169">
        <f t="shared" si="151"/>
        <v>0</v>
      </c>
      <c r="BR104" s="169">
        <f t="shared" si="151"/>
        <v>0</v>
      </c>
      <c r="BS104" s="169">
        <f t="shared" si="151"/>
        <v>0</v>
      </c>
      <c r="BT104" s="169">
        <f t="shared" si="151"/>
        <v>0</v>
      </c>
      <c r="BU104" s="169">
        <f t="shared" si="151"/>
        <v>0</v>
      </c>
      <c r="BV104" s="169">
        <f t="shared" si="151"/>
        <v>0</v>
      </c>
      <c r="BW104" s="169">
        <f t="shared" si="151"/>
        <v>0</v>
      </c>
      <c r="BX104" s="169">
        <f t="shared" si="151"/>
        <v>0</v>
      </c>
      <c r="BY104" s="169">
        <f t="shared" si="151"/>
        <v>0</v>
      </c>
      <c r="BZ104" s="169">
        <f t="shared" si="151"/>
        <v>0</v>
      </c>
      <c r="CA104" s="169">
        <f t="shared" si="151"/>
        <v>0</v>
      </c>
      <c r="CB104" s="169">
        <f t="shared" si="151"/>
        <v>0</v>
      </c>
      <c r="CC104" s="169">
        <f t="shared" si="151"/>
        <v>0</v>
      </c>
      <c r="CD104" s="169">
        <f t="shared" si="151"/>
        <v>0</v>
      </c>
      <c r="CE104" s="169">
        <f t="shared" ref="CE104:DJ104" si="152">SUBTOTAL(9,CE100:CE103)</f>
        <v>0</v>
      </c>
      <c r="CF104" s="169">
        <f t="shared" si="152"/>
        <v>0</v>
      </c>
      <c r="CG104" s="169">
        <f t="shared" si="152"/>
        <v>0</v>
      </c>
      <c r="CH104" s="169">
        <f t="shared" si="152"/>
        <v>0</v>
      </c>
      <c r="CI104" s="169">
        <f t="shared" si="152"/>
        <v>0</v>
      </c>
      <c r="CJ104" s="169">
        <f t="shared" si="152"/>
        <v>0</v>
      </c>
      <c r="CK104" s="169">
        <f t="shared" si="152"/>
        <v>0</v>
      </c>
      <c r="CL104" s="169">
        <f t="shared" si="152"/>
        <v>0</v>
      </c>
      <c r="CM104" s="169">
        <f t="shared" si="152"/>
        <v>0</v>
      </c>
      <c r="CN104" s="169">
        <f t="shared" si="152"/>
        <v>0</v>
      </c>
      <c r="CO104" s="169">
        <f t="shared" si="152"/>
        <v>0</v>
      </c>
      <c r="CP104" s="169">
        <f t="shared" si="152"/>
        <v>0</v>
      </c>
      <c r="CQ104" s="169">
        <f t="shared" si="152"/>
        <v>0</v>
      </c>
      <c r="CR104" s="169">
        <f t="shared" si="152"/>
        <v>0</v>
      </c>
      <c r="CS104" s="169">
        <f t="shared" si="152"/>
        <v>0</v>
      </c>
      <c r="CT104" s="169">
        <f t="shared" si="152"/>
        <v>0</v>
      </c>
      <c r="CU104" s="169">
        <f t="shared" si="152"/>
        <v>0</v>
      </c>
      <c r="CV104" s="169">
        <f t="shared" si="152"/>
        <v>0</v>
      </c>
      <c r="CW104" s="169">
        <f t="shared" si="152"/>
        <v>0</v>
      </c>
      <c r="CX104" s="169">
        <f t="shared" si="152"/>
        <v>0</v>
      </c>
      <c r="CY104" s="169">
        <f t="shared" si="152"/>
        <v>0</v>
      </c>
      <c r="CZ104" s="169">
        <f t="shared" si="152"/>
        <v>0</v>
      </c>
      <c r="DA104" s="169">
        <f t="shared" si="152"/>
        <v>0</v>
      </c>
      <c r="DB104" s="169">
        <f t="shared" si="152"/>
        <v>0</v>
      </c>
      <c r="DC104" s="169">
        <f t="shared" si="152"/>
        <v>0</v>
      </c>
      <c r="DD104" s="169">
        <f t="shared" si="152"/>
        <v>0</v>
      </c>
      <c r="DE104" s="169">
        <f t="shared" si="152"/>
        <v>0</v>
      </c>
      <c r="DF104" s="169">
        <f t="shared" si="152"/>
        <v>0</v>
      </c>
      <c r="DG104" s="169">
        <f t="shared" si="152"/>
        <v>0</v>
      </c>
      <c r="DH104" s="169">
        <f t="shared" si="152"/>
        <v>0</v>
      </c>
      <c r="DI104" s="169">
        <f t="shared" si="152"/>
        <v>0</v>
      </c>
      <c r="DJ104" s="169">
        <f t="shared" si="152"/>
        <v>0</v>
      </c>
      <c r="DK104" s="169">
        <f t="shared" ref="DK104:EP104" si="153">SUBTOTAL(9,DK100:DK103)</f>
        <v>0</v>
      </c>
      <c r="DL104" s="169">
        <f t="shared" si="153"/>
        <v>0</v>
      </c>
      <c r="DM104" s="169">
        <f t="shared" si="153"/>
        <v>0</v>
      </c>
      <c r="DN104" s="169">
        <f t="shared" si="153"/>
        <v>0</v>
      </c>
      <c r="DO104" s="169">
        <f t="shared" si="153"/>
        <v>0</v>
      </c>
      <c r="DP104" s="169">
        <f t="shared" si="153"/>
        <v>0</v>
      </c>
      <c r="DQ104" s="169">
        <f t="shared" si="153"/>
        <v>0</v>
      </c>
      <c r="DR104" s="169">
        <f t="shared" si="153"/>
        <v>0</v>
      </c>
      <c r="DS104" s="169">
        <f t="shared" si="153"/>
        <v>0</v>
      </c>
      <c r="DT104" s="169">
        <f t="shared" si="153"/>
        <v>0</v>
      </c>
      <c r="DU104" s="169">
        <f t="shared" si="153"/>
        <v>0</v>
      </c>
      <c r="DV104" s="169">
        <f t="shared" si="153"/>
        <v>0</v>
      </c>
      <c r="DW104" s="169">
        <f t="shared" si="153"/>
        <v>0</v>
      </c>
      <c r="DX104" s="169">
        <f t="shared" si="153"/>
        <v>0</v>
      </c>
      <c r="DY104" s="169">
        <f t="shared" si="153"/>
        <v>0</v>
      </c>
      <c r="DZ104" s="169">
        <f t="shared" si="153"/>
        <v>0</v>
      </c>
      <c r="EA104" s="169">
        <f t="shared" si="153"/>
        <v>0</v>
      </c>
      <c r="EB104" s="169">
        <f t="shared" si="153"/>
        <v>0</v>
      </c>
      <c r="EC104" s="169">
        <f t="shared" si="153"/>
        <v>0</v>
      </c>
      <c r="ED104" s="169">
        <f t="shared" si="153"/>
        <v>0</v>
      </c>
      <c r="EE104" s="169">
        <f t="shared" si="153"/>
        <v>0</v>
      </c>
      <c r="EF104" s="169">
        <f t="shared" si="153"/>
        <v>0</v>
      </c>
      <c r="EG104" s="169">
        <f t="shared" si="153"/>
        <v>0</v>
      </c>
      <c r="EH104" s="169">
        <f t="shared" si="153"/>
        <v>0</v>
      </c>
      <c r="EI104" s="169">
        <f t="shared" si="153"/>
        <v>0</v>
      </c>
    </row>
    <row r="105" spans="2:139">
      <c r="B105" s="46"/>
      <c r="C105" s="209"/>
      <c r="D105" s="169"/>
      <c r="E105" s="169"/>
      <c r="F105" s="169"/>
      <c r="G105" s="169"/>
      <c r="H105" s="169"/>
      <c r="I105" s="169"/>
      <c r="J105" s="169"/>
      <c r="K105" s="169"/>
      <c r="L105" s="169"/>
      <c r="M105" s="169"/>
      <c r="N105" s="169"/>
      <c r="O105" s="91"/>
      <c r="S105" s="169"/>
      <c r="T105" s="169"/>
      <c r="U105" s="169"/>
      <c r="V105" s="169"/>
      <c r="W105" s="169"/>
      <c r="X105" s="169"/>
      <c r="Y105" s="169"/>
      <c r="Z105" s="169"/>
      <c r="AA105" s="169"/>
      <c r="AB105" s="169"/>
      <c r="AC105" s="169"/>
      <c r="AD105" s="169"/>
      <c r="AE105" s="169"/>
      <c r="AF105" s="169"/>
      <c r="AG105" s="169"/>
      <c r="AH105" s="169"/>
      <c r="AI105" s="169"/>
      <c r="AJ105" s="169"/>
      <c r="AK105" s="169"/>
      <c r="AL105" s="169"/>
      <c r="AM105" s="169"/>
      <c r="AN105" s="169"/>
      <c r="AO105" s="169"/>
      <c r="AP105" s="169"/>
      <c r="AQ105" s="169"/>
      <c r="AR105" s="169"/>
      <c r="AS105" s="169"/>
      <c r="AT105" s="169"/>
      <c r="AU105" s="169"/>
      <c r="AV105" s="169"/>
      <c r="AW105" s="169"/>
      <c r="AX105" s="169"/>
      <c r="AY105" s="169"/>
      <c r="AZ105" s="169"/>
      <c r="BA105" s="169"/>
      <c r="BB105" s="169"/>
      <c r="BC105" s="169"/>
      <c r="BD105" s="169"/>
      <c r="BE105" s="169"/>
      <c r="BF105" s="169"/>
      <c r="BG105" s="169"/>
      <c r="BH105" s="169"/>
      <c r="BI105" s="169"/>
      <c r="BJ105" s="169"/>
      <c r="BK105" s="169"/>
      <c r="BL105" s="169"/>
      <c r="BM105" s="169"/>
      <c r="BN105" s="169"/>
      <c r="BO105" s="169"/>
      <c r="BP105" s="169"/>
      <c r="BQ105" s="169"/>
      <c r="BR105" s="169"/>
      <c r="BS105" s="169"/>
      <c r="BT105" s="169"/>
      <c r="BU105" s="169"/>
      <c r="BV105" s="169"/>
      <c r="BW105" s="169"/>
      <c r="BX105" s="169"/>
      <c r="BY105" s="169"/>
      <c r="BZ105" s="169"/>
      <c r="CA105" s="169"/>
      <c r="CB105" s="169"/>
      <c r="CC105" s="169"/>
      <c r="CD105" s="169"/>
      <c r="CE105" s="169"/>
      <c r="CF105" s="169"/>
      <c r="CG105" s="169"/>
      <c r="CH105" s="169"/>
      <c r="CI105" s="169"/>
      <c r="CJ105" s="169"/>
      <c r="CK105" s="169"/>
      <c r="CL105" s="169"/>
      <c r="CM105" s="169"/>
      <c r="CN105" s="169"/>
      <c r="CO105" s="169"/>
      <c r="CP105" s="169"/>
      <c r="CQ105" s="169"/>
      <c r="CR105" s="169"/>
      <c r="CS105" s="169"/>
      <c r="CT105" s="169"/>
      <c r="CU105" s="169"/>
      <c r="CV105" s="169"/>
      <c r="CW105" s="169"/>
      <c r="CX105" s="169"/>
      <c r="CY105" s="169"/>
      <c r="CZ105" s="169"/>
      <c r="DA105" s="169"/>
      <c r="DB105" s="169"/>
      <c r="DC105" s="169"/>
      <c r="DD105" s="169"/>
      <c r="DE105" s="169"/>
      <c r="DF105" s="169"/>
      <c r="DG105" s="169"/>
      <c r="DH105" s="169"/>
      <c r="DI105" s="169"/>
      <c r="DJ105" s="169"/>
      <c r="DK105" s="169"/>
      <c r="DL105" s="169"/>
      <c r="DM105" s="169"/>
      <c r="DN105" s="169"/>
      <c r="DO105" s="169"/>
      <c r="DP105" s="169"/>
      <c r="DQ105" s="169"/>
      <c r="DR105" s="169"/>
      <c r="DS105" s="169"/>
      <c r="DT105" s="169"/>
      <c r="DU105" s="169"/>
      <c r="DV105" s="169"/>
      <c r="DW105" s="169"/>
      <c r="DX105" s="169"/>
      <c r="DY105" s="169"/>
      <c r="DZ105" s="169"/>
      <c r="EA105" s="169"/>
      <c r="EB105" s="169"/>
      <c r="EC105" s="169"/>
      <c r="ED105" s="169"/>
      <c r="EE105" s="169"/>
      <c r="EF105" s="169"/>
      <c r="EG105" s="169"/>
      <c r="EH105" s="169"/>
      <c r="EI105" s="169"/>
    </row>
    <row r="108" spans="2:139" s="192" customFormat="1" ht="14.25" customHeight="1">
      <c r="B108" s="1044" t="s">
        <v>191</v>
      </c>
      <c r="C108" s="212">
        <f>IFERROR(IF(IrrCalculationType=170,IRR(D108:N108,0.01),(1+IRR(S108:EI108,0.01))^12-1),"n/a")</f>
        <v>0.16421136998081587</v>
      </c>
      <c r="D108" s="204">
        <f t="shared" ref="D108:O108" si="154">SUBTOTAL(9,D10:D105)</f>
        <v>-13009400</v>
      </c>
      <c r="E108" s="204">
        <f t="shared" si="154"/>
        <v>1013735.7586710614</v>
      </c>
      <c r="F108" s="204">
        <f t="shared" si="154"/>
        <v>1056179.4324117121</v>
      </c>
      <c r="G108" s="204">
        <f t="shared" si="154"/>
        <v>1118852.1397523265</v>
      </c>
      <c r="H108" s="204">
        <f t="shared" si="154"/>
        <v>1167400.4878539424</v>
      </c>
      <c r="I108" s="204">
        <f t="shared" si="154"/>
        <v>1217633.7596158781</v>
      </c>
      <c r="J108" s="204">
        <f t="shared" si="154"/>
        <v>1261529.7824043559</v>
      </c>
      <c r="K108" s="204">
        <f t="shared" si="154"/>
        <v>25912414.985018022</v>
      </c>
      <c r="L108" s="204">
        <f t="shared" si="154"/>
        <v>0</v>
      </c>
      <c r="M108" s="204">
        <f t="shared" si="154"/>
        <v>0</v>
      </c>
      <c r="N108" s="204">
        <f t="shared" si="154"/>
        <v>0</v>
      </c>
      <c r="O108" s="204">
        <f t="shared" si="154"/>
        <v>19738346.345727298</v>
      </c>
      <c r="P108"/>
      <c r="Q108"/>
      <c r="R108"/>
      <c r="S108" s="204">
        <f t="shared" ref="S108:AX108" si="155">SUBTOTAL(9,S10:S105)</f>
        <v>-13009400</v>
      </c>
      <c r="T108" s="204">
        <f t="shared" si="155"/>
        <v>84477.979889255148</v>
      </c>
      <c r="U108" s="204">
        <f t="shared" si="155"/>
        <v>84477.979889255148</v>
      </c>
      <c r="V108" s="204">
        <f t="shared" si="155"/>
        <v>84477.979889255148</v>
      </c>
      <c r="W108" s="204">
        <f t="shared" si="155"/>
        <v>84477.979889255148</v>
      </c>
      <c r="X108" s="204">
        <f t="shared" si="155"/>
        <v>84477.979889255148</v>
      </c>
      <c r="Y108" s="204">
        <f t="shared" si="155"/>
        <v>84477.979889255148</v>
      </c>
      <c r="Z108" s="204">
        <f t="shared" si="155"/>
        <v>84477.979889255148</v>
      </c>
      <c r="AA108" s="204">
        <f t="shared" si="155"/>
        <v>84477.979889255148</v>
      </c>
      <c r="AB108" s="204">
        <f t="shared" si="155"/>
        <v>84477.979889255148</v>
      </c>
      <c r="AC108" s="204">
        <f t="shared" si="155"/>
        <v>84477.979889255148</v>
      </c>
      <c r="AD108" s="204">
        <f t="shared" si="155"/>
        <v>84477.979889255148</v>
      </c>
      <c r="AE108" s="204">
        <f t="shared" si="155"/>
        <v>84477.979889255148</v>
      </c>
      <c r="AF108" s="204">
        <f t="shared" si="155"/>
        <v>87033.086713957251</v>
      </c>
      <c r="AG108" s="204">
        <f t="shared" si="155"/>
        <v>87210.626754753146</v>
      </c>
      <c r="AH108" s="204">
        <f t="shared" si="155"/>
        <v>87388.460017360761</v>
      </c>
      <c r="AI108" s="204">
        <f t="shared" si="155"/>
        <v>87566.586986059745</v>
      </c>
      <c r="AJ108" s="204">
        <f t="shared" si="155"/>
        <v>87745.008145929634</v>
      </c>
      <c r="AK108" s="204">
        <f t="shared" si="155"/>
        <v>87923.723982850977</v>
      </c>
      <c r="AL108" s="204">
        <f t="shared" si="155"/>
        <v>88102.73498350702</v>
      </c>
      <c r="AM108" s="204">
        <f t="shared" si="155"/>
        <v>88282.041635384507</v>
      </c>
      <c r="AN108" s="204">
        <f t="shared" si="155"/>
        <v>88461.644426775616</v>
      </c>
      <c r="AO108" s="204">
        <f t="shared" si="155"/>
        <v>88641.543846778673</v>
      </c>
      <c r="AP108" s="204">
        <f t="shared" si="155"/>
        <v>88821.740385300072</v>
      </c>
      <c r="AQ108" s="204">
        <f t="shared" si="155"/>
        <v>89002.234533055191</v>
      </c>
      <c r="AR108" s="204">
        <f t="shared" si="155"/>
        <v>91703.606037454709</v>
      </c>
      <c r="AS108" s="204">
        <f t="shared" si="155"/>
        <v>91980.241408134083</v>
      </c>
      <c r="AT108" s="204">
        <f t="shared" si="155"/>
        <v>92257.559036266102</v>
      </c>
      <c r="AU108" s="204">
        <f t="shared" si="155"/>
        <v>92535.560604481725</v>
      </c>
      <c r="AV108" s="204">
        <f t="shared" si="155"/>
        <v>92814.247799561665</v>
      </c>
      <c r="AW108" s="204">
        <f t="shared" si="155"/>
        <v>93093.622312446765</v>
      </c>
      <c r="AX108" s="204">
        <f t="shared" si="155"/>
        <v>93373.685838248173</v>
      </c>
      <c r="AY108" s="204">
        <f t="shared" ref="AY108:CD108" si="156">SUBTOTAL(9,AY10:AY105)</f>
        <v>93654.440076257568</v>
      </c>
      <c r="AZ108" s="204">
        <f t="shared" si="156"/>
        <v>93935.886729957609</v>
      </c>
      <c r="BA108" s="204">
        <f t="shared" si="156"/>
        <v>94218.027507032166</v>
      </c>
      <c r="BB108" s="204">
        <f t="shared" si="156"/>
        <v>94500.864119376783</v>
      </c>
      <c r="BC108" s="204">
        <f t="shared" si="156"/>
        <v>94784.398283108952</v>
      </c>
      <c r="BD108" s="204">
        <f t="shared" si="156"/>
        <v>95694.716818064364</v>
      </c>
      <c r="BE108" s="204">
        <f t="shared" si="156"/>
        <v>95981.19534461986</v>
      </c>
      <c r="BF108" s="204">
        <f t="shared" si="156"/>
        <v>96268.380404505791</v>
      </c>
      <c r="BG108" s="204">
        <f t="shared" si="156"/>
        <v>96556.273740223987</v>
      </c>
      <c r="BH108" s="204">
        <f t="shared" si="156"/>
        <v>96844.877098573779</v>
      </c>
      <c r="BI108" s="204">
        <f t="shared" si="156"/>
        <v>97134.19223066236</v>
      </c>
      <c r="BJ108" s="204">
        <f t="shared" si="156"/>
        <v>97424.220891915902</v>
      </c>
      <c r="BK108" s="204">
        <f t="shared" si="156"/>
        <v>97714.96484208983</v>
      </c>
      <c r="BL108" s="204">
        <f t="shared" si="156"/>
        <v>98006.425845279533</v>
      </c>
      <c r="BM108" s="204">
        <f t="shared" si="156"/>
        <v>98298.605669931247</v>
      </c>
      <c r="BN108" s="204">
        <f t="shared" si="156"/>
        <v>98591.506088852504</v>
      </c>
      <c r="BO108" s="204">
        <f t="shared" si="156"/>
        <v>98885.12887922331</v>
      </c>
      <c r="BP108" s="204">
        <f t="shared" si="156"/>
        <v>99824.343475076836</v>
      </c>
      <c r="BQ108" s="204">
        <f t="shared" si="156"/>
        <v>100121.0067750274</v>
      </c>
      <c r="BR108" s="204">
        <f t="shared" si="156"/>
        <v>100418.40172670723</v>
      </c>
      <c r="BS108" s="204">
        <f t="shared" si="156"/>
        <v>100716.53013456677</v>
      </c>
      <c r="BT108" s="204">
        <f t="shared" si="156"/>
        <v>101015.39380750692</v>
      </c>
      <c r="BU108" s="204">
        <f t="shared" si="156"/>
        <v>101314.99455888965</v>
      </c>
      <c r="BV108" s="204">
        <f t="shared" si="156"/>
        <v>101615.33420654933</v>
      </c>
      <c r="BW108" s="204">
        <f t="shared" si="156"/>
        <v>101916.41457280342</v>
      </c>
      <c r="BX108" s="204">
        <f t="shared" si="156"/>
        <v>102218.23748446381</v>
      </c>
      <c r="BY108" s="204">
        <f t="shared" si="156"/>
        <v>102520.80477284787</v>
      </c>
      <c r="BZ108" s="204">
        <f t="shared" si="156"/>
        <v>102824.11827378934</v>
      </c>
      <c r="CA108" s="204">
        <f t="shared" si="156"/>
        <v>103128.17982764966</v>
      </c>
      <c r="CB108" s="204">
        <f t="shared" si="156"/>
        <v>103432.99127932928</v>
      </c>
      <c r="CC108" s="204">
        <f t="shared" si="156"/>
        <v>103738.55447827833</v>
      </c>
      <c r="CD108" s="204">
        <f t="shared" si="156"/>
        <v>104044.87127850854</v>
      </c>
      <c r="CE108" s="204">
        <f t="shared" ref="CE108:DJ108" si="157">SUBTOTAL(9,CE10:CE105)</f>
        <v>104351.9435386039</v>
      </c>
      <c r="CF108" s="204">
        <f t="shared" si="157"/>
        <v>104659.77312173223</v>
      </c>
      <c r="CG108" s="204">
        <f t="shared" si="157"/>
        <v>104968.36189565645</v>
      </c>
      <c r="CH108" s="204">
        <f t="shared" si="157"/>
        <v>105277.71173274587</v>
      </c>
      <c r="CI108" s="204">
        <f t="shared" si="157"/>
        <v>105587.82450998758</v>
      </c>
      <c r="CJ108" s="204">
        <f t="shared" si="157"/>
        <v>105898.70210899782</v>
      </c>
      <c r="CK108" s="204">
        <f t="shared" si="157"/>
        <v>106210.34641603337</v>
      </c>
      <c r="CL108" s="204">
        <f t="shared" si="157"/>
        <v>106522.75932200308</v>
      </c>
      <c r="CM108" s="204">
        <f t="shared" si="157"/>
        <v>106835.94272247929</v>
      </c>
      <c r="CN108" s="204">
        <f t="shared" si="157"/>
        <v>107149.89851770923</v>
      </c>
      <c r="CO108" s="204">
        <f t="shared" si="157"/>
        <v>107464.62861262681</v>
      </c>
      <c r="CP108" s="204">
        <f t="shared" si="157"/>
        <v>107780.13491686393</v>
      </c>
      <c r="CQ108" s="204">
        <f t="shared" si="157"/>
        <v>108096.41934476214</v>
      </c>
      <c r="CR108" s="204">
        <f t="shared" si="157"/>
        <v>108413.48381538433</v>
      </c>
      <c r="CS108" s="204">
        <f t="shared" si="157"/>
        <v>108731.33025252627</v>
      </c>
      <c r="CT108" s="204">
        <f t="shared" si="157"/>
        <v>109049.96058472837</v>
      </c>
      <c r="CU108" s="204">
        <f t="shared" si="157"/>
        <v>109369.37674528733</v>
      </c>
      <c r="CV108" s="204">
        <f t="shared" si="157"/>
        <v>109689.58067226791</v>
      </c>
      <c r="CW108" s="204">
        <f t="shared" si="157"/>
        <v>110010.57430851454</v>
      </c>
      <c r="CX108" s="204">
        <f t="shared" si="157"/>
        <v>110332.35960166334</v>
      </c>
      <c r="CY108" s="204">
        <f t="shared" si="157"/>
        <v>24716327.237645686</v>
      </c>
      <c r="CZ108" s="204">
        <f t="shared" si="157"/>
        <v>0</v>
      </c>
      <c r="DA108" s="204">
        <f t="shared" si="157"/>
        <v>0</v>
      </c>
      <c r="DB108" s="204">
        <f t="shared" si="157"/>
        <v>0</v>
      </c>
      <c r="DC108" s="204">
        <f t="shared" si="157"/>
        <v>0</v>
      </c>
      <c r="DD108" s="204">
        <f t="shared" si="157"/>
        <v>0</v>
      </c>
      <c r="DE108" s="204">
        <f t="shared" si="157"/>
        <v>0</v>
      </c>
      <c r="DF108" s="204">
        <f t="shared" si="157"/>
        <v>0</v>
      </c>
      <c r="DG108" s="204">
        <f t="shared" si="157"/>
        <v>0</v>
      </c>
      <c r="DH108" s="204">
        <f t="shared" si="157"/>
        <v>0</v>
      </c>
      <c r="DI108" s="204">
        <f t="shared" si="157"/>
        <v>0</v>
      </c>
      <c r="DJ108" s="204">
        <f t="shared" si="157"/>
        <v>0</v>
      </c>
      <c r="DK108" s="204">
        <f t="shared" ref="DK108:EI108" si="158">SUBTOTAL(9,DK10:DK105)</f>
        <v>0</v>
      </c>
      <c r="DL108" s="204">
        <f t="shared" si="158"/>
        <v>0</v>
      </c>
      <c r="DM108" s="204">
        <f t="shared" si="158"/>
        <v>0</v>
      </c>
      <c r="DN108" s="204">
        <f t="shared" si="158"/>
        <v>0</v>
      </c>
      <c r="DO108" s="204">
        <f t="shared" si="158"/>
        <v>0</v>
      </c>
      <c r="DP108" s="204">
        <f t="shared" si="158"/>
        <v>0</v>
      </c>
      <c r="DQ108" s="204">
        <f t="shared" si="158"/>
        <v>0</v>
      </c>
      <c r="DR108" s="204">
        <f t="shared" si="158"/>
        <v>0</v>
      </c>
      <c r="DS108" s="204">
        <f t="shared" si="158"/>
        <v>0</v>
      </c>
      <c r="DT108" s="204">
        <f t="shared" si="158"/>
        <v>0</v>
      </c>
      <c r="DU108" s="204">
        <f t="shared" si="158"/>
        <v>0</v>
      </c>
      <c r="DV108" s="204">
        <f t="shared" si="158"/>
        <v>0</v>
      </c>
      <c r="DW108" s="204">
        <f t="shared" si="158"/>
        <v>0</v>
      </c>
      <c r="DX108" s="204">
        <f t="shared" si="158"/>
        <v>0</v>
      </c>
      <c r="DY108" s="204">
        <f t="shared" si="158"/>
        <v>0</v>
      </c>
      <c r="DZ108" s="204">
        <f t="shared" si="158"/>
        <v>0</v>
      </c>
      <c r="EA108" s="204">
        <f t="shared" si="158"/>
        <v>0</v>
      </c>
      <c r="EB108" s="204">
        <f t="shared" si="158"/>
        <v>0</v>
      </c>
      <c r="EC108" s="204">
        <f t="shared" si="158"/>
        <v>0</v>
      </c>
      <c r="ED108" s="204">
        <f t="shared" si="158"/>
        <v>0</v>
      </c>
      <c r="EE108" s="204">
        <f t="shared" si="158"/>
        <v>0</v>
      </c>
      <c r="EF108" s="204">
        <f t="shared" si="158"/>
        <v>0</v>
      </c>
      <c r="EG108" s="204">
        <f t="shared" si="158"/>
        <v>0</v>
      </c>
      <c r="EH108" s="204">
        <f t="shared" si="158"/>
        <v>0</v>
      </c>
      <c r="EI108" s="204">
        <f t="shared" si="158"/>
        <v>0</v>
      </c>
    </row>
    <row r="109" spans="2:139">
      <c r="AE109" s="201"/>
    </row>
    <row r="111" spans="2:139" s="192" customFormat="1" ht="14.25" customHeight="1">
      <c r="B111" s="1043" t="s">
        <v>586</v>
      </c>
      <c r="C111" s="196"/>
      <c r="D111" s="196"/>
      <c r="E111" s="196"/>
      <c r="F111" s="197"/>
      <c r="G111" s="197"/>
      <c r="H111" s="197"/>
      <c r="I111" s="197"/>
      <c r="J111" s="197"/>
      <c r="K111" s="197"/>
      <c r="L111" s="197"/>
      <c r="M111" s="197"/>
      <c r="N111" s="197"/>
      <c r="O111" s="197"/>
      <c r="P111"/>
      <c r="Q111"/>
      <c r="R111"/>
      <c r="S111" s="197"/>
      <c r="T111" s="197"/>
      <c r="U111" s="197"/>
      <c r="V111" s="197"/>
      <c r="W111" s="197"/>
      <c r="X111" s="197"/>
      <c r="Y111" s="197"/>
      <c r="Z111" s="197"/>
      <c r="AA111" s="197"/>
      <c r="AB111" s="197"/>
      <c r="AC111" s="197"/>
      <c r="AD111" s="197"/>
      <c r="AE111" s="197"/>
      <c r="AF111" s="197"/>
      <c r="AG111" s="197"/>
      <c r="AH111" s="197"/>
      <c r="AI111" s="197"/>
      <c r="AJ111" s="197"/>
      <c r="AK111" s="197"/>
      <c r="AL111" s="197"/>
      <c r="AM111" s="197"/>
      <c r="AN111" s="197"/>
      <c r="AO111" s="197"/>
      <c r="AP111" s="197"/>
      <c r="AQ111" s="197"/>
      <c r="AR111" s="197"/>
      <c r="AS111" s="197"/>
      <c r="AT111" s="197"/>
      <c r="AU111" s="197"/>
      <c r="AV111" s="197"/>
      <c r="AW111" s="197"/>
      <c r="AX111" s="197"/>
      <c r="AY111" s="197"/>
      <c r="AZ111" s="197"/>
      <c r="BA111" s="197"/>
      <c r="BB111" s="197"/>
      <c r="BC111" s="197"/>
      <c r="BD111" s="197"/>
      <c r="BE111" s="197"/>
      <c r="BF111" s="197"/>
      <c r="BG111" s="197"/>
      <c r="BH111" s="197"/>
      <c r="BI111" s="197"/>
      <c r="BJ111" s="197"/>
      <c r="BK111" s="197"/>
      <c r="BL111" s="197"/>
      <c r="BM111" s="197"/>
      <c r="BN111" s="197"/>
      <c r="BO111" s="197"/>
      <c r="BP111" s="197"/>
      <c r="BQ111" s="197"/>
      <c r="BR111" s="197"/>
      <c r="BS111" s="197"/>
      <c r="BT111" s="197"/>
      <c r="BU111" s="197"/>
      <c r="BV111" s="197"/>
      <c r="BW111" s="197"/>
      <c r="BX111" s="197"/>
      <c r="BY111" s="197"/>
      <c r="BZ111" s="197"/>
      <c r="CA111" s="197"/>
      <c r="CB111" s="197"/>
      <c r="CC111" s="197"/>
      <c r="CD111" s="197"/>
      <c r="CE111" s="197"/>
      <c r="CF111" s="197"/>
      <c r="CG111" s="197"/>
      <c r="CH111" s="197"/>
      <c r="CI111" s="197"/>
      <c r="CJ111" s="197"/>
      <c r="CK111" s="197"/>
      <c r="CL111" s="197"/>
      <c r="CM111" s="197"/>
      <c r="CN111" s="197"/>
      <c r="CO111" s="197"/>
      <c r="CP111" s="197"/>
      <c r="CQ111" s="197"/>
      <c r="CR111" s="197"/>
      <c r="CS111" s="197"/>
      <c r="CT111" s="197"/>
      <c r="CU111" s="197"/>
      <c r="CV111" s="197"/>
      <c r="CW111" s="197"/>
      <c r="CX111" s="197"/>
      <c r="CY111" s="197"/>
      <c r="CZ111" s="197"/>
      <c r="DA111" s="197"/>
      <c r="DB111" s="197"/>
      <c r="DC111" s="197"/>
      <c r="DD111" s="197"/>
      <c r="DE111" s="197"/>
      <c r="DF111" s="197"/>
      <c r="DG111" s="197"/>
      <c r="DH111" s="197"/>
      <c r="DI111" s="197"/>
      <c r="DJ111" s="197"/>
      <c r="DK111" s="197"/>
      <c r="DL111" s="197"/>
      <c r="DM111" s="197"/>
      <c r="DN111" s="197"/>
      <c r="DO111" s="197"/>
      <c r="DP111" s="197"/>
      <c r="DQ111" s="197"/>
      <c r="DR111" s="197"/>
      <c r="DS111" s="197"/>
      <c r="DT111" s="197"/>
      <c r="DU111" s="197"/>
      <c r="DV111" s="197"/>
      <c r="DW111" s="197"/>
      <c r="DX111" s="197"/>
      <c r="DY111" s="197"/>
      <c r="DZ111" s="197"/>
      <c r="EA111" s="197"/>
      <c r="EB111" s="197"/>
      <c r="EC111" s="197"/>
      <c r="ED111" s="197"/>
      <c r="EE111" s="197"/>
      <c r="EF111" s="197"/>
      <c r="EG111" s="197"/>
      <c r="EH111" s="197"/>
      <c r="EI111" s="197"/>
    </row>
    <row r="112" spans="2:139" ht="12.75" customHeight="1">
      <c r="B112" s="41" t="s">
        <v>133</v>
      </c>
      <c r="C112" s="211"/>
      <c r="D112" s="78"/>
      <c r="E112" s="44">
        <f t="shared" ref="E112:N112" si="159">IF(AND(E62&gt;0,$D$10),-E62/$D$10,)</f>
        <v>7.7923329182826365E-2</v>
      </c>
      <c r="F112" s="44">
        <f t="shared" si="159"/>
        <v>8.1185868096277466E-2</v>
      </c>
      <c r="G112" s="44">
        <f t="shared" si="159"/>
        <v>8.6003362165228719E-2</v>
      </c>
      <c r="H112" s="44">
        <f t="shared" si="159"/>
        <v>8.9735152109547134E-2</v>
      </c>
      <c r="I112" s="44">
        <f t="shared" si="159"/>
        <v>9.3596457916266557E-2</v>
      </c>
      <c r="J112" s="44">
        <f t="shared" si="159"/>
        <v>9.6970635264067212E-2</v>
      </c>
      <c r="K112" s="44">
        <f t="shared" si="159"/>
        <v>0.10044603793230185</v>
      </c>
      <c r="L112" s="44">
        <f t="shared" si="159"/>
        <v>0</v>
      </c>
      <c r="M112" s="44">
        <f t="shared" si="159"/>
        <v>0</v>
      </c>
      <c r="N112" s="44">
        <f t="shared" si="159"/>
        <v>0</v>
      </c>
      <c r="O112" s="158">
        <f>IFERROR(AVERAGEIF(CFYears,"&lt;="&amp;MAX(YrOfExit,1),$E112:$N112),)</f>
        <v>8.94086918095022E-2</v>
      </c>
      <c r="Q112" s="849"/>
      <c r="S112" s="78"/>
      <c r="T112" s="44"/>
      <c r="U112" s="44"/>
      <c r="V112" s="44"/>
      <c r="W112" s="44"/>
      <c r="X112" s="44"/>
      <c r="Y112" s="44"/>
      <c r="Z112" s="44"/>
      <c r="AA112" s="44"/>
      <c r="AB112" s="44"/>
      <c r="AC112" s="44"/>
      <c r="AD112" s="44"/>
      <c r="AE112" s="44"/>
      <c r="AF112" s="44"/>
      <c r="AG112" s="44"/>
      <c r="AH112" s="44"/>
      <c r="AI112" s="44"/>
      <c r="AJ112" s="44"/>
      <c r="AK112" s="44"/>
      <c r="AL112" s="44"/>
      <c r="AM112" s="44"/>
      <c r="AN112" s="44"/>
      <c r="AO112" s="44"/>
      <c r="AP112" s="44"/>
      <c r="AQ112" s="44"/>
      <c r="AR112" s="44"/>
      <c r="AS112" s="44"/>
      <c r="AT112" s="44"/>
      <c r="AU112" s="44"/>
      <c r="AV112" s="44"/>
      <c r="AW112" s="44"/>
      <c r="AX112" s="44"/>
      <c r="AY112" s="44"/>
      <c r="AZ112" s="44"/>
      <c r="BA112" s="44"/>
      <c r="BB112" s="44"/>
      <c r="BC112" s="44"/>
      <c r="BD112" s="44"/>
      <c r="BE112" s="44"/>
      <c r="BF112" s="44"/>
      <c r="BG112" s="44"/>
      <c r="BH112" s="44"/>
      <c r="BI112" s="44"/>
      <c r="BJ112" s="44"/>
      <c r="BK112" s="44"/>
      <c r="BL112" s="44"/>
      <c r="BM112" s="44"/>
      <c r="BN112" s="44"/>
      <c r="BO112" s="44"/>
      <c r="BP112" s="44"/>
      <c r="BQ112" s="44"/>
      <c r="BR112" s="44"/>
      <c r="BS112" s="44"/>
      <c r="BT112" s="44"/>
      <c r="BU112" s="44"/>
      <c r="BV112" s="44"/>
      <c r="BW112" s="44"/>
      <c r="BX112" s="44"/>
      <c r="BY112" s="44"/>
      <c r="BZ112" s="44"/>
      <c r="CA112" s="44"/>
      <c r="CB112" s="44"/>
      <c r="CC112" s="44"/>
      <c r="CD112" s="44"/>
      <c r="CE112" s="44"/>
      <c r="CF112" s="44"/>
      <c r="CG112" s="44"/>
      <c r="CH112" s="44"/>
      <c r="CI112" s="44"/>
      <c r="CJ112" s="44"/>
      <c r="CK112" s="44"/>
      <c r="CL112" s="44"/>
      <c r="CM112" s="44"/>
      <c r="CN112" s="44"/>
      <c r="CO112" s="44"/>
      <c r="CP112" s="44"/>
      <c r="CQ112" s="44"/>
      <c r="CR112" s="44"/>
      <c r="CS112" s="44"/>
      <c r="CT112" s="44"/>
      <c r="CU112" s="44"/>
      <c r="CV112" s="44"/>
      <c r="CW112" s="44"/>
      <c r="CX112" s="44"/>
      <c r="CY112" s="44"/>
      <c r="CZ112" s="44"/>
      <c r="DA112" s="44"/>
      <c r="DB112" s="44"/>
      <c r="DC112" s="44"/>
      <c r="DD112" s="44"/>
      <c r="DE112" s="44"/>
      <c r="DF112" s="44"/>
      <c r="DG112" s="44"/>
      <c r="DH112" s="44"/>
      <c r="DI112" s="44"/>
      <c r="DJ112" s="44"/>
      <c r="DK112" s="44"/>
      <c r="DL112" s="44"/>
      <c r="DM112" s="44"/>
      <c r="DN112" s="44"/>
      <c r="DO112" s="44"/>
      <c r="DP112" s="44"/>
      <c r="DQ112" s="44"/>
      <c r="DR112" s="44"/>
      <c r="DS112" s="44"/>
      <c r="DT112" s="44"/>
      <c r="DU112" s="44"/>
      <c r="DV112" s="44"/>
      <c r="DW112" s="44"/>
      <c r="DX112" s="44"/>
      <c r="DY112" s="44"/>
      <c r="DZ112" s="44"/>
      <c r="EA112" s="44"/>
      <c r="EB112" s="44"/>
      <c r="EC112" s="44"/>
      <c r="ED112" s="44"/>
      <c r="EE112" s="44"/>
      <c r="EF112" s="44"/>
      <c r="EG112" s="44"/>
      <c r="EH112" s="44"/>
      <c r="EI112" s="44"/>
    </row>
    <row r="113" spans="2:139" ht="12.75" customHeight="1">
      <c r="B113" s="41" t="s">
        <v>194</v>
      </c>
      <c r="C113" s="211"/>
      <c r="D113" s="78"/>
      <c r="E113" s="40">
        <f t="shared" ref="E113:N113" si="160">IF($D$10,-E76/$D$10,)</f>
        <v>7.7923329182826365E-2</v>
      </c>
      <c r="F113" s="40">
        <f t="shared" si="160"/>
        <v>8.1185868096277466E-2</v>
      </c>
      <c r="G113" s="40">
        <f t="shared" si="160"/>
        <v>8.6003362165228719E-2</v>
      </c>
      <c r="H113" s="40">
        <f t="shared" si="160"/>
        <v>8.9735152109547134E-2</v>
      </c>
      <c r="I113" s="40">
        <f t="shared" si="160"/>
        <v>9.3596457916266557E-2</v>
      </c>
      <c r="J113" s="40">
        <f t="shared" si="160"/>
        <v>9.6970635264067212E-2</v>
      </c>
      <c r="K113" s="40">
        <f t="shared" si="160"/>
        <v>0.10044603793230185</v>
      </c>
      <c r="L113" s="40">
        <f t="shared" si="160"/>
        <v>0</v>
      </c>
      <c r="M113" s="40">
        <f t="shared" si="160"/>
        <v>0</v>
      </c>
      <c r="N113" s="40">
        <f t="shared" si="160"/>
        <v>0</v>
      </c>
      <c r="O113" s="158">
        <f>IFERROR(AVERAGEIF(CFYears,"&lt;="&amp;MAX(YrOfExit,1),$E113:$N113),)</f>
        <v>8.94086918095022E-2</v>
      </c>
      <c r="Q113" s="850"/>
      <c r="S113" s="78"/>
      <c r="T113" s="40"/>
      <c r="U113" s="40"/>
      <c r="V113" s="40"/>
      <c r="W113" s="40"/>
      <c r="X113" s="40"/>
      <c r="Y113" s="40"/>
      <c r="Z113" s="40"/>
      <c r="AA113" s="40"/>
      <c r="AB113" s="40"/>
      <c r="AC113" s="40"/>
      <c r="AD113" s="40"/>
      <c r="AE113" s="40"/>
      <c r="AF113" s="40"/>
      <c r="AG113" s="40"/>
      <c r="AH113" s="40"/>
      <c r="AI113" s="40"/>
      <c r="AJ113" s="40"/>
      <c r="AK113" s="40"/>
      <c r="AL113" s="40"/>
      <c r="AM113" s="40"/>
      <c r="AN113" s="40"/>
      <c r="AO113" s="40"/>
      <c r="AP113" s="40"/>
      <c r="AQ113" s="40"/>
      <c r="AR113" s="40"/>
      <c r="AS113" s="40"/>
      <c r="AT113" s="40"/>
      <c r="AU113" s="40"/>
      <c r="AV113" s="40"/>
      <c r="AW113" s="40"/>
      <c r="AX113" s="40"/>
      <c r="AY113" s="40"/>
      <c r="AZ113" s="40"/>
      <c r="BA113" s="40"/>
      <c r="BB113" s="40"/>
      <c r="BC113" s="40"/>
      <c r="BD113" s="40"/>
      <c r="BE113" s="40"/>
      <c r="BF113" s="40"/>
      <c r="BG113" s="40"/>
      <c r="BH113" s="40"/>
      <c r="BI113" s="40"/>
      <c r="BJ113" s="40"/>
      <c r="BK113" s="40"/>
      <c r="BL113" s="40"/>
      <c r="BM113" s="40"/>
      <c r="BN113" s="40"/>
      <c r="BO113" s="40"/>
      <c r="BP113" s="40"/>
      <c r="BQ113" s="40"/>
      <c r="BR113" s="40"/>
      <c r="BS113" s="40"/>
      <c r="BT113" s="40"/>
      <c r="BU113" s="40"/>
      <c r="BV113" s="40"/>
      <c r="BW113" s="40"/>
      <c r="BX113" s="40"/>
      <c r="BY113" s="40"/>
      <c r="BZ113" s="40"/>
      <c r="CA113" s="40"/>
      <c r="CB113" s="40"/>
      <c r="CC113" s="40"/>
      <c r="CD113" s="40"/>
      <c r="CE113" s="40"/>
      <c r="CF113" s="40"/>
      <c r="CG113" s="40"/>
      <c r="CH113" s="40"/>
      <c r="CI113" s="40"/>
      <c r="CJ113" s="40"/>
      <c r="CK113" s="40"/>
      <c r="CL113" s="40"/>
      <c r="CM113" s="40"/>
      <c r="CN113" s="40"/>
      <c r="CO113" s="40"/>
      <c r="CP113" s="40"/>
      <c r="CQ113" s="40"/>
      <c r="CR113" s="40"/>
      <c r="CS113" s="40"/>
      <c r="CT113" s="40"/>
      <c r="CU113" s="40"/>
      <c r="CV113" s="40"/>
      <c r="CW113" s="40"/>
      <c r="CX113" s="40"/>
      <c r="CY113" s="40"/>
      <c r="CZ113" s="40"/>
      <c r="DA113" s="40"/>
      <c r="DB113" s="40"/>
      <c r="DC113" s="40"/>
      <c r="DD113" s="40"/>
      <c r="DE113" s="40"/>
      <c r="DF113" s="40"/>
      <c r="DG113" s="40"/>
      <c r="DH113" s="40"/>
      <c r="DI113" s="40"/>
      <c r="DJ113" s="40"/>
      <c r="DK113" s="40"/>
      <c r="DL113" s="40"/>
      <c r="DM113" s="40"/>
      <c r="DN113" s="40"/>
      <c r="DO113" s="40"/>
      <c r="DP113" s="40"/>
      <c r="DQ113" s="40"/>
      <c r="DR113" s="40"/>
      <c r="DS113" s="40"/>
      <c r="DT113" s="40"/>
      <c r="DU113" s="40"/>
      <c r="DV113" s="40"/>
      <c r="DW113" s="40"/>
      <c r="DX113" s="40"/>
      <c r="DY113" s="40"/>
      <c r="DZ113" s="40"/>
      <c r="EA113" s="40"/>
      <c r="EB113" s="40"/>
      <c r="EC113" s="40"/>
      <c r="ED113" s="40"/>
      <c r="EE113" s="40"/>
      <c r="EF113" s="40"/>
      <c r="EG113" s="40"/>
      <c r="EH113" s="40"/>
      <c r="EI113" s="40"/>
    </row>
    <row r="114" spans="2:139" ht="12.75" customHeight="1">
      <c r="B114" s="41" t="s">
        <v>587</v>
      </c>
      <c r="C114" s="211"/>
      <c r="D114" s="78">
        <f>-D13</f>
        <v>13009400</v>
      </c>
      <c r="E114" s="78">
        <f t="shared" ref="E114:N114" si="161">IF(IrrCalculationType=170,D114-MIN(E86,),SUMIF($S$5:$EI$5,E$5*12,$S$114:$EI$114))*(E$5&lt;=MAX(YrOfExit,1))</f>
        <v>13009400</v>
      </c>
      <c r="F114" s="78">
        <f t="shared" si="161"/>
        <v>13009400</v>
      </c>
      <c r="G114" s="78">
        <f t="shared" si="161"/>
        <v>13009400</v>
      </c>
      <c r="H114" s="78">
        <f t="shared" si="161"/>
        <v>13009400</v>
      </c>
      <c r="I114" s="78">
        <f t="shared" si="161"/>
        <v>13009400</v>
      </c>
      <c r="J114" s="78">
        <f t="shared" si="161"/>
        <v>13009400</v>
      </c>
      <c r="K114" s="78">
        <f t="shared" si="161"/>
        <v>13009400</v>
      </c>
      <c r="L114" s="78">
        <f t="shared" si="161"/>
        <v>0</v>
      </c>
      <c r="M114" s="78">
        <f t="shared" si="161"/>
        <v>0</v>
      </c>
      <c r="N114" s="78">
        <f t="shared" si="161"/>
        <v>0</v>
      </c>
      <c r="O114" s="145">
        <f>SUMIF($D$5:$N$5,MAX(YrOfExit,1),$D$114:$N$114)</f>
        <v>13009400</v>
      </c>
      <c r="Q114" s="850"/>
      <c r="S114" s="78">
        <f>-S13*(S$6&lt;=MAX(YrOfExit,1))</f>
        <v>13009400</v>
      </c>
      <c r="T114" s="78">
        <f t="shared" ref="T114:AY114" si="162">(S114-MIN(T86,))*(T$6&lt;=MAX(YrOfExit,1))</f>
        <v>13009400</v>
      </c>
      <c r="U114" s="78">
        <f t="shared" si="162"/>
        <v>13009400</v>
      </c>
      <c r="V114" s="78">
        <f t="shared" si="162"/>
        <v>13009400</v>
      </c>
      <c r="W114" s="78">
        <f t="shared" si="162"/>
        <v>13009400</v>
      </c>
      <c r="X114" s="78">
        <f t="shared" si="162"/>
        <v>13009400</v>
      </c>
      <c r="Y114" s="78">
        <f t="shared" si="162"/>
        <v>13009400</v>
      </c>
      <c r="Z114" s="78">
        <f t="shared" si="162"/>
        <v>13009400</v>
      </c>
      <c r="AA114" s="78">
        <f t="shared" si="162"/>
        <v>13009400</v>
      </c>
      <c r="AB114" s="78">
        <f t="shared" si="162"/>
        <v>13009400</v>
      </c>
      <c r="AC114" s="78">
        <f t="shared" si="162"/>
        <v>13009400</v>
      </c>
      <c r="AD114" s="78">
        <f t="shared" si="162"/>
        <v>13009400</v>
      </c>
      <c r="AE114" s="78">
        <f t="shared" si="162"/>
        <v>13009400</v>
      </c>
      <c r="AF114" s="78">
        <f t="shared" si="162"/>
        <v>13009400</v>
      </c>
      <c r="AG114" s="78">
        <f t="shared" si="162"/>
        <v>13009400</v>
      </c>
      <c r="AH114" s="78">
        <f t="shared" si="162"/>
        <v>13009400</v>
      </c>
      <c r="AI114" s="78">
        <f t="shared" si="162"/>
        <v>13009400</v>
      </c>
      <c r="AJ114" s="78">
        <f t="shared" si="162"/>
        <v>13009400</v>
      </c>
      <c r="AK114" s="78">
        <f t="shared" si="162"/>
        <v>13009400</v>
      </c>
      <c r="AL114" s="78">
        <f t="shared" si="162"/>
        <v>13009400</v>
      </c>
      <c r="AM114" s="78">
        <f t="shared" si="162"/>
        <v>13009400</v>
      </c>
      <c r="AN114" s="78">
        <f t="shared" si="162"/>
        <v>13009400</v>
      </c>
      <c r="AO114" s="78">
        <f t="shared" si="162"/>
        <v>13009400</v>
      </c>
      <c r="AP114" s="78">
        <f t="shared" si="162"/>
        <v>13009400</v>
      </c>
      <c r="AQ114" s="78">
        <f t="shared" si="162"/>
        <v>13009400</v>
      </c>
      <c r="AR114" s="78">
        <f t="shared" si="162"/>
        <v>13009400</v>
      </c>
      <c r="AS114" s="78">
        <f t="shared" si="162"/>
        <v>13009400</v>
      </c>
      <c r="AT114" s="78">
        <f t="shared" si="162"/>
        <v>13009400</v>
      </c>
      <c r="AU114" s="78">
        <f t="shared" si="162"/>
        <v>13009400</v>
      </c>
      <c r="AV114" s="78">
        <f t="shared" si="162"/>
        <v>13009400</v>
      </c>
      <c r="AW114" s="78">
        <f t="shared" si="162"/>
        <v>13009400</v>
      </c>
      <c r="AX114" s="78">
        <f t="shared" si="162"/>
        <v>13009400</v>
      </c>
      <c r="AY114" s="78">
        <f t="shared" si="162"/>
        <v>13009400</v>
      </c>
      <c r="AZ114" s="78">
        <f t="shared" ref="AZ114:CE114" si="163">(AY114-MIN(AZ86,))*(AZ$6&lt;=MAX(YrOfExit,1))</f>
        <v>13009400</v>
      </c>
      <c r="BA114" s="78">
        <f t="shared" si="163"/>
        <v>13009400</v>
      </c>
      <c r="BB114" s="78">
        <f t="shared" si="163"/>
        <v>13009400</v>
      </c>
      <c r="BC114" s="78">
        <f t="shared" si="163"/>
        <v>13009400</v>
      </c>
      <c r="BD114" s="78">
        <f t="shared" si="163"/>
        <v>13009400</v>
      </c>
      <c r="BE114" s="78">
        <f t="shared" si="163"/>
        <v>13009400</v>
      </c>
      <c r="BF114" s="78">
        <f t="shared" si="163"/>
        <v>13009400</v>
      </c>
      <c r="BG114" s="78">
        <f t="shared" si="163"/>
        <v>13009400</v>
      </c>
      <c r="BH114" s="78">
        <f t="shared" si="163"/>
        <v>13009400</v>
      </c>
      <c r="BI114" s="78">
        <f t="shared" si="163"/>
        <v>13009400</v>
      </c>
      <c r="BJ114" s="78">
        <f t="shared" si="163"/>
        <v>13009400</v>
      </c>
      <c r="BK114" s="78">
        <f t="shared" si="163"/>
        <v>13009400</v>
      </c>
      <c r="BL114" s="78">
        <f t="shared" si="163"/>
        <v>13009400</v>
      </c>
      <c r="BM114" s="78">
        <f t="shared" si="163"/>
        <v>13009400</v>
      </c>
      <c r="BN114" s="78">
        <f t="shared" si="163"/>
        <v>13009400</v>
      </c>
      <c r="BO114" s="78">
        <f t="shared" si="163"/>
        <v>13009400</v>
      </c>
      <c r="BP114" s="78">
        <f t="shared" si="163"/>
        <v>13009400</v>
      </c>
      <c r="BQ114" s="78">
        <f t="shared" si="163"/>
        <v>13009400</v>
      </c>
      <c r="BR114" s="78">
        <f t="shared" si="163"/>
        <v>13009400</v>
      </c>
      <c r="BS114" s="78">
        <f t="shared" si="163"/>
        <v>13009400</v>
      </c>
      <c r="BT114" s="78">
        <f t="shared" si="163"/>
        <v>13009400</v>
      </c>
      <c r="BU114" s="78">
        <f t="shared" si="163"/>
        <v>13009400</v>
      </c>
      <c r="BV114" s="78">
        <f t="shared" si="163"/>
        <v>13009400</v>
      </c>
      <c r="BW114" s="78">
        <f t="shared" si="163"/>
        <v>13009400</v>
      </c>
      <c r="BX114" s="78">
        <f t="shared" si="163"/>
        <v>13009400</v>
      </c>
      <c r="BY114" s="78">
        <f t="shared" si="163"/>
        <v>13009400</v>
      </c>
      <c r="BZ114" s="78">
        <f t="shared" si="163"/>
        <v>13009400</v>
      </c>
      <c r="CA114" s="78">
        <f t="shared" si="163"/>
        <v>13009400</v>
      </c>
      <c r="CB114" s="78">
        <f t="shared" si="163"/>
        <v>13009400</v>
      </c>
      <c r="CC114" s="78">
        <f t="shared" si="163"/>
        <v>13009400</v>
      </c>
      <c r="CD114" s="78">
        <f t="shared" si="163"/>
        <v>13009400</v>
      </c>
      <c r="CE114" s="78">
        <f t="shared" si="163"/>
        <v>13009400</v>
      </c>
      <c r="CF114" s="78">
        <f t="shared" ref="CF114:DK114" si="164">(CE114-MIN(CF86,))*(CF$6&lt;=MAX(YrOfExit,1))</f>
        <v>13009400</v>
      </c>
      <c r="CG114" s="78">
        <f t="shared" si="164"/>
        <v>13009400</v>
      </c>
      <c r="CH114" s="78">
        <f t="shared" si="164"/>
        <v>13009400</v>
      </c>
      <c r="CI114" s="78">
        <f t="shared" si="164"/>
        <v>13009400</v>
      </c>
      <c r="CJ114" s="78">
        <f t="shared" si="164"/>
        <v>13009400</v>
      </c>
      <c r="CK114" s="78">
        <f t="shared" si="164"/>
        <v>13009400</v>
      </c>
      <c r="CL114" s="78">
        <f t="shared" si="164"/>
        <v>13009400</v>
      </c>
      <c r="CM114" s="78">
        <f t="shared" si="164"/>
        <v>13009400</v>
      </c>
      <c r="CN114" s="78">
        <f t="shared" si="164"/>
        <v>13009400</v>
      </c>
      <c r="CO114" s="78">
        <f t="shared" si="164"/>
        <v>13009400</v>
      </c>
      <c r="CP114" s="78">
        <f t="shared" si="164"/>
        <v>13009400</v>
      </c>
      <c r="CQ114" s="78">
        <f t="shared" si="164"/>
        <v>13009400</v>
      </c>
      <c r="CR114" s="78">
        <f t="shared" si="164"/>
        <v>13009400</v>
      </c>
      <c r="CS114" s="78">
        <f t="shared" si="164"/>
        <v>13009400</v>
      </c>
      <c r="CT114" s="78">
        <f t="shared" si="164"/>
        <v>13009400</v>
      </c>
      <c r="CU114" s="78">
        <f t="shared" si="164"/>
        <v>13009400</v>
      </c>
      <c r="CV114" s="78">
        <f t="shared" si="164"/>
        <v>13009400</v>
      </c>
      <c r="CW114" s="78">
        <f t="shared" si="164"/>
        <v>13009400</v>
      </c>
      <c r="CX114" s="78">
        <f t="shared" si="164"/>
        <v>13009400</v>
      </c>
      <c r="CY114" s="78">
        <f t="shared" si="164"/>
        <v>13009400</v>
      </c>
      <c r="CZ114" s="78">
        <f t="shared" si="164"/>
        <v>0</v>
      </c>
      <c r="DA114" s="78">
        <f t="shared" si="164"/>
        <v>0</v>
      </c>
      <c r="DB114" s="78">
        <f t="shared" si="164"/>
        <v>0</v>
      </c>
      <c r="DC114" s="78">
        <f t="shared" si="164"/>
        <v>0</v>
      </c>
      <c r="DD114" s="78">
        <f t="shared" si="164"/>
        <v>0</v>
      </c>
      <c r="DE114" s="78">
        <f t="shared" si="164"/>
        <v>0</v>
      </c>
      <c r="DF114" s="78">
        <f t="shared" si="164"/>
        <v>0</v>
      </c>
      <c r="DG114" s="78">
        <f t="shared" si="164"/>
        <v>0</v>
      </c>
      <c r="DH114" s="78">
        <f t="shared" si="164"/>
        <v>0</v>
      </c>
      <c r="DI114" s="78">
        <f t="shared" si="164"/>
        <v>0</v>
      </c>
      <c r="DJ114" s="78">
        <f t="shared" si="164"/>
        <v>0</v>
      </c>
      <c r="DK114" s="78">
        <f t="shared" si="164"/>
        <v>0</v>
      </c>
      <c r="DL114" s="78">
        <f t="shared" ref="DL114:EI114" si="165">(DK114-MIN(DL86,))*(DL$6&lt;=MAX(YrOfExit,1))</f>
        <v>0</v>
      </c>
      <c r="DM114" s="78">
        <f t="shared" si="165"/>
        <v>0</v>
      </c>
      <c r="DN114" s="78">
        <f t="shared" si="165"/>
        <v>0</v>
      </c>
      <c r="DO114" s="78">
        <f t="shared" si="165"/>
        <v>0</v>
      </c>
      <c r="DP114" s="78">
        <f t="shared" si="165"/>
        <v>0</v>
      </c>
      <c r="DQ114" s="78">
        <f t="shared" si="165"/>
        <v>0</v>
      </c>
      <c r="DR114" s="78">
        <f t="shared" si="165"/>
        <v>0</v>
      </c>
      <c r="DS114" s="78">
        <f t="shared" si="165"/>
        <v>0</v>
      </c>
      <c r="DT114" s="78">
        <f t="shared" si="165"/>
        <v>0</v>
      </c>
      <c r="DU114" s="78">
        <f t="shared" si="165"/>
        <v>0</v>
      </c>
      <c r="DV114" s="78">
        <f t="shared" si="165"/>
        <v>0</v>
      </c>
      <c r="DW114" s="78">
        <f t="shared" si="165"/>
        <v>0</v>
      </c>
      <c r="DX114" s="78">
        <f t="shared" si="165"/>
        <v>0</v>
      </c>
      <c r="DY114" s="78">
        <f t="shared" si="165"/>
        <v>0</v>
      </c>
      <c r="DZ114" s="78">
        <f t="shared" si="165"/>
        <v>0</v>
      </c>
      <c r="EA114" s="78">
        <f t="shared" si="165"/>
        <v>0</v>
      </c>
      <c r="EB114" s="78">
        <f t="shared" si="165"/>
        <v>0</v>
      </c>
      <c r="EC114" s="78">
        <f t="shared" si="165"/>
        <v>0</v>
      </c>
      <c r="ED114" s="78">
        <f t="shared" si="165"/>
        <v>0</v>
      </c>
      <c r="EE114" s="78">
        <f t="shared" si="165"/>
        <v>0</v>
      </c>
      <c r="EF114" s="78">
        <f t="shared" si="165"/>
        <v>0</v>
      </c>
      <c r="EG114" s="78">
        <f t="shared" si="165"/>
        <v>0</v>
      </c>
      <c r="EH114" s="78">
        <f t="shared" si="165"/>
        <v>0</v>
      </c>
      <c r="EI114" s="78">
        <f t="shared" si="165"/>
        <v>0</v>
      </c>
    </row>
    <row r="115" spans="2:139" ht="12.75" customHeight="1">
      <c r="B115" s="41" t="s">
        <v>161</v>
      </c>
      <c r="C115" s="211"/>
      <c r="D115" s="78">
        <f t="shared" ref="D115:N115" si="166">IF(IrrCalculationType=170,(C115-(D13+MIN(D59,0)+D60+D71+D72)),SUMIF($S$5:$EI$5,D$5*12,$S$115:$EI$115))*(D$5&lt;=MAX(YrOfExit,1))</f>
        <v>13009400</v>
      </c>
      <c r="E115" s="78">
        <f t="shared" si="166"/>
        <v>13009400</v>
      </c>
      <c r="F115" s="78">
        <f t="shared" si="166"/>
        <v>13009400</v>
      </c>
      <c r="G115" s="78">
        <f t="shared" si="166"/>
        <v>13009400</v>
      </c>
      <c r="H115" s="78">
        <f t="shared" si="166"/>
        <v>13009400</v>
      </c>
      <c r="I115" s="78">
        <f t="shared" si="166"/>
        <v>13009400</v>
      </c>
      <c r="J115" s="78">
        <f t="shared" si="166"/>
        <v>13009400</v>
      </c>
      <c r="K115" s="78">
        <f t="shared" si="166"/>
        <v>13009400</v>
      </c>
      <c r="L115" s="78">
        <f t="shared" si="166"/>
        <v>0</v>
      </c>
      <c r="M115" s="78">
        <f t="shared" si="166"/>
        <v>0</v>
      </c>
      <c r="N115" s="78">
        <f t="shared" si="166"/>
        <v>0</v>
      </c>
      <c r="O115" s="145">
        <f>SUMIF($D$5:$N$5,MAX(YrOfExit,1),$D$115:$N$115)</f>
        <v>13009400</v>
      </c>
      <c r="P115" s="851"/>
      <c r="R115" s="851"/>
      <c r="S115" s="78">
        <f t="shared" ref="S115:AX115" si="167">(R115-(S13+MIN(S59,0)+S60+S71+S72))*(S$6&lt;=MAX(YrOfExit,1))</f>
        <v>13009400</v>
      </c>
      <c r="T115" s="78">
        <f t="shared" si="167"/>
        <v>13009400</v>
      </c>
      <c r="U115" s="78">
        <f t="shared" si="167"/>
        <v>13009400</v>
      </c>
      <c r="V115" s="78">
        <f t="shared" si="167"/>
        <v>13009400</v>
      </c>
      <c r="W115" s="78">
        <f t="shared" si="167"/>
        <v>13009400</v>
      </c>
      <c r="X115" s="78">
        <f t="shared" si="167"/>
        <v>13009400</v>
      </c>
      <c r="Y115" s="78">
        <f t="shared" si="167"/>
        <v>13009400</v>
      </c>
      <c r="Z115" s="78">
        <f t="shared" si="167"/>
        <v>13009400</v>
      </c>
      <c r="AA115" s="78">
        <f t="shared" si="167"/>
        <v>13009400</v>
      </c>
      <c r="AB115" s="78">
        <f t="shared" si="167"/>
        <v>13009400</v>
      </c>
      <c r="AC115" s="78">
        <f t="shared" si="167"/>
        <v>13009400</v>
      </c>
      <c r="AD115" s="78">
        <f t="shared" si="167"/>
        <v>13009400</v>
      </c>
      <c r="AE115" s="78">
        <f t="shared" si="167"/>
        <v>13009400</v>
      </c>
      <c r="AF115" s="78">
        <f t="shared" si="167"/>
        <v>13009400</v>
      </c>
      <c r="AG115" s="78">
        <f t="shared" si="167"/>
        <v>13009400</v>
      </c>
      <c r="AH115" s="78">
        <f t="shared" si="167"/>
        <v>13009400</v>
      </c>
      <c r="AI115" s="78">
        <f t="shared" si="167"/>
        <v>13009400</v>
      </c>
      <c r="AJ115" s="78">
        <f t="shared" si="167"/>
        <v>13009400</v>
      </c>
      <c r="AK115" s="78">
        <f t="shared" si="167"/>
        <v>13009400</v>
      </c>
      <c r="AL115" s="78">
        <f t="shared" si="167"/>
        <v>13009400</v>
      </c>
      <c r="AM115" s="78">
        <f t="shared" si="167"/>
        <v>13009400</v>
      </c>
      <c r="AN115" s="78">
        <f t="shared" si="167"/>
        <v>13009400</v>
      </c>
      <c r="AO115" s="78">
        <f t="shared" si="167"/>
        <v>13009400</v>
      </c>
      <c r="AP115" s="78">
        <f t="shared" si="167"/>
        <v>13009400</v>
      </c>
      <c r="AQ115" s="78">
        <f t="shared" si="167"/>
        <v>13009400</v>
      </c>
      <c r="AR115" s="78">
        <f t="shared" si="167"/>
        <v>13009400</v>
      </c>
      <c r="AS115" s="78">
        <f t="shared" si="167"/>
        <v>13009400</v>
      </c>
      <c r="AT115" s="78">
        <f t="shared" si="167"/>
        <v>13009400</v>
      </c>
      <c r="AU115" s="78">
        <f t="shared" si="167"/>
        <v>13009400</v>
      </c>
      <c r="AV115" s="78">
        <f t="shared" si="167"/>
        <v>13009400</v>
      </c>
      <c r="AW115" s="78">
        <f t="shared" si="167"/>
        <v>13009400</v>
      </c>
      <c r="AX115" s="78">
        <f t="shared" si="167"/>
        <v>13009400</v>
      </c>
      <c r="AY115" s="78">
        <f t="shared" ref="AY115:CD115" si="168">(AX115-(AY13+MIN(AY59,0)+AY60+AY71+AY72))*(AY$6&lt;=MAX(YrOfExit,1))</f>
        <v>13009400</v>
      </c>
      <c r="AZ115" s="78">
        <f t="shared" si="168"/>
        <v>13009400</v>
      </c>
      <c r="BA115" s="78">
        <f t="shared" si="168"/>
        <v>13009400</v>
      </c>
      <c r="BB115" s="78">
        <f t="shared" si="168"/>
        <v>13009400</v>
      </c>
      <c r="BC115" s="78">
        <f t="shared" si="168"/>
        <v>13009400</v>
      </c>
      <c r="BD115" s="78">
        <f t="shared" si="168"/>
        <v>13009400</v>
      </c>
      <c r="BE115" s="78">
        <f t="shared" si="168"/>
        <v>13009400</v>
      </c>
      <c r="BF115" s="78">
        <f t="shared" si="168"/>
        <v>13009400</v>
      </c>
      <c r="BG115" s="78">
        <f t="shared" si="168"/>
        <v>13009400</v>
      </c>
      <c r="BH115" s="78">
        <f t="shared" si="168"/>
        <v>13009400</v>
      </c>
      <c r="BI115" s="78">
        <f t="shared" si="168"/>
        <v>13009400</v>
      </c>
      <c r="BJ115" s="78">
        <f t="shared" si="168"/>
        <v>13009400</v>
      </c>
      <c r="BK115" s="78">
        <f t="shared" si="168"/>
        <v>13009400</v>
      </c>
      <c r="BL115" s="78">
        <f t="shared" si="168"/>
        <v>13009400</v>
      </c>
      <c r="BM115" s="78">
        <f t="shared" si="168"/>
        <v>13009400</v>
      </c>
      <c r="BN115" s="78">
        <f t="shared" si="168"/>
        <v>13009400</v>
      </c>
      <c r="BO115" s="78">
        <f t="shared" si="168"/>
        <v>13009400</v>
      </c>
      <c r="BP115" s="78">
        <f t="shared" si="168"/>
        <v>13009400</v>
      </c>
      <c r="BQ115" s="78">
        <f t="shared" si="168"/>
        <v>13009400</v>
      </c>
      <c r="BR115" s="78">
        <f t="shared" si="168"/>
        <v>13009400</v>
      </c>
      <c r="BS115" s="78">
        <f t="shared" si="168"/>
        <v>13009400</v>
      </c>
      <c r="BT115" s="78">
        <f t="shared" si="168"/>
        <v>13009400</v>
      </c>
      <c r="BU115" s="78">
        <f t="shared" si="168"/>
        <v>13009400</v>
      </c>
      <c r="BV115" s="78">
        <f t="shared" si="168"/>
        <v>13009400</v>
      </c>
      <c r="BW115" s="78">
        <f t="shared" si="168"/>
        <v>13009400</v>
      </c>
      <c r="BX115" s="78">
        <f t="shared" si="168"/>
        <v>13009400</v>
      </c>
      <c r="BY115" s="78">
        <f t="shared" si="168"/>
        <v>13009400</v>
      </c>
      <c r="BZ115" s="78">
        <f t="shared" si="168"/>
        <v>13009400</v>
      </c>
      <c r="CA115" s="78">
        <f t="shared" si="168"/>
        <v>13009400</v>
      </c>
      <c r="CB115" s="78">
        <f t="shared" si="168"/>
        <v>13009400</v>
      </c>
      <c r="CC115" s="78">
        <f t="shared" si="168"/>
        <v>13009400</v>
      </c>
      <c r="CD115" s="78">
        <f t="shared" si="168"/>
        <v>13009400</v>
      </c>
      <c r="CE115" s="78">
        <f t="shared" ref="CE115:DJ115" si="169">(CD115-(CE13+MIN(CE59,0)+CE60+CE71+CE72))*(CE$6&lt;=MAX(YrOfExit,1))</f>
        <v>13009400</v>
      </c>
      <c r="CF115" s="78">
        <f t="shared" si="169"/>
        <v>13009400</v>
      </c>
      <c r="CG115" s="78">
        <f t="shared" si="169"/>
        <v>13009400</v>
      </c>
      <c r="CH115" s="78">
        <f t="shared" si="169"/>
        <v>13009400</v>
      </c>
      <c r="CI115" s="78">
        <f t="shared" si="169"/>
        <v>13009400</v>
      </c>
      <c r="CJ115" s="78">
        <f t="shared" si="169"/>
        <v>13009400</v>
      </c>
      <c r="CK115" s="78">
        <f t="shared" si="169"/>
        <v>13009400</v>
      </c>
      <c r="CL115" s="78">
        <f t="shared" si="169"/>
        <v>13009400</v>
      </c>
      <c r="CM115" s="78">
        <f t="shared" si="169"/>
        <v>13009400</v>
      </c>
      <c r="CN115" s="78">
        <f t="shared" si="169"/>
        <v>13009400</v>
      </c>
      <c r="CO115" s="78">
        <f t="shared" si="169"/>
        <v>13009400</v>
      </c>
      <c r="CP115" s="78">
        <f t="shared" si="169"/>
        <v>13009400</v>
      </c>
      <c r="CQ115" s="78">
        <f t="shared" si="169"/>
        <v>13009400</v>
      </c>
      <c r="CR115" s="78">
        <f t="shared" si="169"/>
        <v>13009400</v>
      </c>
      <c r="CS115" s="78">
        <f t="shared" si="169"/>
        <v>13009400</v>
      </c>
      <c r="CT115" s="78">
        <f t="shared" si="169"/>
        <v>13009400</v>
      </c>
      <c r="CU115" s="78">
        <f t="shared" si="169"/>
        <v>13009400</v>
      </c>
      <c r="CV115" s="78">
        <f t="shared" si="169"/>
        <v>13009400</v>
      </c>
      <c r="CW115" s="78">
        <f t="shared" si="169"/>
        <v>13009400</v>
      </c>
      <c r="CX115" s="78">
        <f t="shared" si="169"/>
        <v>13009400</v>
      </c>
      <c r="CY115" s="78">
        <f t="shared" si="169"/>
        <v>13009400</v>
      </c>
      <c r="CZ115" s="78">
        <f t="shared" si="169"/>
        <v>0</v>
      </c>
      <c r="DA115" s="78">
        <f t="shared" si="169"/>
        <v>0</v>
      </c>
      <c r="DB115" s="78">
        <f t="shared" si="169"/>
        <v>0</v>
      </c>
      <c r="DC115" s="78">
        <f t="shared" si="169"/>
        <v>0</v>
      </c>
      <c r="DD115" s="78">
        <f t="shared" si="169"/>
        <v>0</v>
      </c>
      <c r="DE115" s="78">
        <f t="shared" si="169"/>
        <v>0</v>
      </c>
      <c r="DF115" s="78">
        <f t="shared" si="169"/>
        <v>0</v>
      </c>
      <c r="DG115" s="78">
        <f t="shared" si="169"/>
        <v>0</v>
      </c>
      <c r="DH115" s="78">
        <f t="shared" si="169"/>
        <v>0</v>
      </c>
      <c r="DI115" s="78">
        <f t="shared" si="169"/>
        <v>0</v>
      </c>
      <c r="DJ115" s="78">
        <f t="shared" si="169"/>
        <v>0</v>
      </c>
      <c r="DK115" s="78">
        <f t="shared" ref="DK115:EI115" si="170">(DJ115-(DK13+MIN(DK59,0)+DK60+DK71+DK72))*(DK$6&lt;=MAX(YrOfExit,1))</f>
        <v>0</v>
      </c>
      <c r="DL115" s="78">
        <f t="shared" si="170"/>
        <v>0</v>
      </c>
      <c r="DM115" s="78">
        <f t="shared" si="170"/>
        <v>0</v>
      </c>
      <c r="DN115" s="78">
        <f t="shared" si="170"/>
        <v>0</v>
      </c>
      <c r="DO115" s="78">
        <f t="shared" si="170"/>
        <v>0</v>
      </c>
      <c r="DP115" s="78">
        <f t="shared" si="170"/>
        <v>0</v>
      </c>
      <c r="DQ115" s="78">
        <f t="shared" si="170"/>
        <v>0</v>
      </c>
      <c r="DR115" s="78">
        <f t="shared" si="170"/>
        <v>0</v>
      </c>
      <c r="DS115" s="78">
        <f t="shared" si="170"/>
        <v>0</v>
      </c>
      <c r="DT115" s="78">
        <f t="shared" si="170"/>
        <v>0</v>
      </c>
      <c r="DU115" s="78">
        <f t="shared" si="170"/>
        <v>0</v>
      </c>
      <c r="DV115" s="78">
        <f t="shared" si="170"/>
        <v>0</v>
      </c>
      <c r="DW115" s="78">
        <f t="shared" si="170"/>
        <v>0</v>
      </c>
      <c r="DX115" s="78">
        <f t="shared" si="170"/>
        <v>0</v>
      </c>
      <c r="DY115" s="78">
        <f t="shared" si="170"/>
        <v>0</v>
      </c>
      <c r="DZ115" s="78">
        <f t="shared" si="170"/>
        <v>0</v>
      </c>
      <c r="EA115" s="78">
        <f t="shared" si="170"/>
        <v>0</v>
      </c>
      <c r="EB115" s="78">
        <f t="shared" si="170"/>
        <v>0</v>
      </c>
      <c r="EC115" s="78">
        <f t="shared" si="170"/>
        <v>0</v>
      </c>
      <c r="ED115" s="78">
        <f t="shared" si="170"/>
        <v>0</v>
      </c>
      <c r="EE115" s="78">
        <f t="shared" si="170"/>
        <v>0</v>
      </c>
      <c r="EF115" s="78">
        <f t="shared" si="170"/>
        <v>0</v>
      </c>
      <c r="EG115" s="78">
        <f t="shared" si="170"/>
        <v>0</v>
      </c>
      <c r="EH115" s="78">
        <f t="shared" si="170"/>
        <v>0</v>
      </c>
      <c r="EI115" s="78">
        <f t="shared" si="170"/>
        <v>0</v>
      </c>
    </row>
    <row r="116" spans="2:139" ht="12.75" customHeight="1">
      <c r="B116" s="41" t="s">
        <v>162</v>
      </c>
      <c r="C116" s="211"/>
      <c r="D116" s="78"/>
      <c r="E116" s="44">
        <f t="shared" ref="E116:N116" si="171">IF(AND(E62&gt;0,E115&gt;0),E62/AVERAGEIF($S$6:$EI$6,E$5,$S$115:$EI$115),)</f>
        <v>7.7923329182826365E-2</v>
      </c>
      <c r="F116" s="44">
        <f t="shared" si="171"/>
        <v>8.1185868096277466E-2</v>
      </c>
      <c r="G116" s="44">
        <f t="shared" si="171"/>
        <v>8.6003362165228719E-2</v>
      </c>
      <c r="H116" s="44">
        <f t="shared" si="171"/>
        <v>8.9735152109547134E-2</v>
      </c>
      <c r="I116" s="44">
        <f t="shared" si="171"/>
        <v>9.3596457916266557E-2</v>
      </c>
      <c r="J116" s="44">
        <f t="shared" si="171"/>
        <v>9.6970635264067212E-2</v>
      </c>
      <c r="K116" s="44">
        <f t="shared" si="171"/>
        <v>0.10044603793230185</v>
      </c>
      <c r="L116" s="44">
        <f t="shared" si="171"/>
        <v>0</v>
      </c>
      <c r="M116" s="44">
        <f t="shared" si="171"/>
        <v>0</v>
      </c>
      <c r="N116" s="44">
        <f t="shared" si="171"/>
        <v>0</v>
      </c>
      <c r="O116" s="158">
        <f>IFERROR(AVERAGEIF(CFYears,"&lt;="&amp;MAX(YrOfExit,1),$E116:$N116),)</f>
        <v>8.94086918095022E-2</v>
      </c>
      <c r="Q116" s="849"/>
      <c r="S116" s="78"/>
      <c r="T116" s="44"/>
      <c r="U116" s="44"/>
      <c r="V116" s="44"/>
      <c r="W116" s="44"/>
      <c r="X116" s="44"/>
      <c r="Y116" s="44"/>
      <c r="Z116" s="44"/>
      <c r="AA116" s="44"/>
      <c r="AB116" s="44"/>
      <c r="AC116" s="44"/>
      <c r="AD116" s="44"/>
      <c r="AE116" s="44"/>
      <c r="AF116" s="44"/>
      <c r="AG116" s="44"/>
      <c r="AH116" s="44"/>
      <c r="AI116" s="44"/>
      <c r="AJ116" s="44"/>
      <c r="AK116" s="44"/>
      <c r="AL116" s="44"/>
      <c r="AM116" s="44"/>
      <c r="AN116" s="44"/>
      <c r="AO116" s="44"/>
      <c r="AP116" s="44"/>
      <c r="AQ116" s="44"/>
      <c r="AR116" s="44"/>
      <c r="AS116" s="44"/>
      <c r="AT116" s="44"/>
      <c r="AU116" s="44"/>
      <c r="AV116" s="44"/>
      <c r="AW116" s="44"/>
      <c r="AX116" s="44"/>
      <c r="AY116" s="44"/>
      <c r="AZ116" s="44"/>
      <c r="BA116" s="44"/>
      <c r="BB116" s="44"/>
      <c r="BC116" s="44"/>
      <c r="BD116" s="44"/>
      <c r="BE116" s="44"/>
      <c r="BF116" s="44"/>
      <c r="BG116" s="44"/>
      <c r="BH116" s="44"/>
      <c r="BI116" s="44"/>
      <c r="BJ116" s="44"/>
      <c r="BK116" s="44"/>
      <c r="BL116" s="44"/>
      <c r="BM116" s="44"/>
      <c r="BN116" s="44"/>
      <c r="BO116" s="44"/>
      <c r="BP116" s="44"/>
      <c r="BQ116" s="44"/>
      <c r="BR116" s="44"/>
      <c r="BS116" s="44"/>
      <c r="BT116" s="44"/>
      <c r="BU116" s="44"/>
      <c r="BV116" s="44"/>
      <c r="BW116" s="44"/>
      <c r="BX116" s="44"/>
      <c r="BY116" s="44"/>
      <c r="BZ116" s="44"/>
      <c r="CA116" s="44"/>
      <c r="CB116" s="44"/>
      <c r="CC116" s="44"/>
      <c r="CD116" s="44"/>
      <c r="CE116" s="44"/>
      <c r="CF116" s="44"/>
      <c r="CG116" s="44"/>
      <c r="CH116" s="44"/>
      <c r="CI116" s="44"/>
      <c r="CJ116" s="44"/>
      <c r="CK116" s="44"/>
      <c r="CL116" s="44"/>
      <c r="CM116" s="44"/>
      <c r="CN116" s="44"/>
      <c r="CO116" s="44"/>
      <c r="CP116" s="44"/>
      <c r="CQ116" s="44"/>
      <c r="CR116" s="44"/>
      <c r="CS116" s="44"/>
      <c r="CT116" s="44"/>
      <c r="CU116" s="44"/>
      <c r="CV116" s="44"/>
      <c r="CW116" s="44"/>
      <c r="CX116" s="44"/>
      <c r="CY116" s="44"/>
      <c r="CZ116" s="44"/>
      <c r="DA116" s="44"/>
      <c r="DB116" s="44"/>
      <c r="DC116" s="44"/>
      <c r="DD116" s="44"/>
      <c r="DE116" s="44"/>
      <c r="DF116" s="44"/>
      <c r="DG116" s="44"/>
      <c r="DH116" s="44"/>
      <c r="DI116" s="44"/>
      <c r="DJ116" s="44"/>
      <c r="DK116" s="44"/>
      <c r="DL116" s="44"/>
      <c r="DM116" s="44"/>
      <c r="DN116" s="44"/>
      <c r="DO116" s="44"/>
      <c r="DP116" s="44"/>
      <c r="DQ116" s="44"/>
      <c r="DR116" s="44"/>
      <c r="DS116" s="44"/>
      <c r="DT116" s="44"/>
      <c r="DU116" s="44"/>
      <c r="DV116" s="44"/>
      <c r="DW116" s="44"/>
      <c r="DX116" s="44"/>
      <c r="DY116" s="44"/>
      <c r="DZ116" s="44"/>
      <c r="EA116" s="44"/>
      <c r="EB116" s="44"/>
      <c r="EC116" s="44"/>
      <c r="ED116" s="44"/>
      <c r="EE116" s="44"/>
      <c r="EF116" s="44"/>
      <c r="EG116" s="44"/>
      <c r="EH116" s="44"/>
      <c r="EI116" s="44"/>
    </row>
    <row r="117" spans="2:139" ht="12.75" customHeight="1">
      <c r="B117" s="41" t="s">
        <v>163</v>
      </c>
      <c r="C117" s="211"/>
      <c r="D117" s="98"/>
      <c r="E117" s="40">
        <f t="shared" ref="E117:N117" si="172">IF(AND(E76&gt;0,E115&gt;0),E76/AVERAGEIF($S$6:$EI$6,E$5,$S$115:$EI$115),)</f>
        <v>7.7923329182826365E-2</v>
      </c>
      <c r="F117" s="40">
        <f t="shared" si="172"/>
        <v>8.1185868096277466E-2</v>
      </c>
      <c r="G117" s="40">
        <f t="shared" si="172"/>
        <v>8.6003362165228719E-2</v>
      </c>
      <c r="H117" s="40">
        <f t="shared" si="172"/>
        <v>8.9735152109547134E-2</v>
      </c>
      <c r="I117" s="40">
        <f t="shared" si="172"/>
        <v>9.3596457916266557E-2</v>
      </c>
      <c r="J117" s="40">
        <f t="shared" si="172"/>
        <v>9.6970635264067212E-2</v>
      </c>
      <c r="K117" s="40">
        <f t="shared" si="172"/>
        <v>0.10044603793230185</v>
      </c>
      <c r="L117" s="40">
        <f t="shared" si="172"/>
        <v>0</v>
      </c>
      <c r="M117" s="40">
        <f t="shared" si="172"/>
        <v>0</v>
      </c>
      <c r="N117" s="40">
        <f t="shared" si="172"/>
        <v>0</v>
      </c>
      <c r="O117" s="158">
        <f>IFERROR(AVERAGEIF(CFYears,"&lt;="&amp;MAX(YrOfExit,1),$E117:$N117),)</f>
        <v>8.94086918095022E-2</v>
      </c>
      <c r="S117" s="78"/>
      <c r="T117" s="40"/>
      <c r="U117" s="40"/>
      <c r="V117" s="40"/>
      <c r="W117" s="40"/>
      <c r="X117" s="40"/>
      <c r="Y117" s="40"/>
      <c r="Z117" s="40"/>
      <c r="AA117" s="40"/>
      <c r="AB117" s="40"/>
      <c r="AC117" s="40"/>
      <c r="AD117" s="40"/>
      <c r="AE117" s="40"/>
      <c r="AF117" s="40"/>
      <c r="AG117" s="40"/>
      <c r="AH117" s="40"/>
      <c r="AI117" s="40"/>
      <c r="AJ117" s="40"/>
      <c r="AK117" s="40"/>
      <c r="AL117" s="40"/>
      <c r="AM117" s="40"/>
      <c r="AN117" s="40"/>
      <c r="AO117" s="40"/>
      <c r="AP117" s="40"/>
      <c r="AQ117" s="40"/>
      <c r="AR117" s="40"/>
      <c r="AS117" s="40"/>
      <c r="AT117" s="40"/>
      <c r="AU117" s="40"/>
      <c r="AV117" s="40"/>
      <c r="AW117" s="40"/>
      <c r="AX117" s="40"/>
      <c r="AY117" s="40"/>
      <c r="AZ117" s="40"/>
      <c r="BA117" s="40"/>
      <c r="BB117" s="40"/>
      <c r="BC117" s="40"/>
      <c r="BD117" s="40"/>
      <c r="BE117" s="40"/>
      <c r="BF117" s="40"/>
      <c r="BG117" s="40"/>
      <c r="BH117" s="40"/>
      <c r="BI117" s="40"/>
      <c r="BJ117" s="40"/>
      <c r="BK117" s="40"/>
      <c r="BL117" s="40"/>
      <c r="BM117" s="40"/>
      <c r="BN117" s="40"/>
      <c r="BO117" s="40"/>
      <c r="BP117" s="40"/>
      <c r="BQ117" s="40"/>
      <c r="BR117" s="40"/>
      <c r="BS117" s="40"/>
      <c r="BT117" s="40"/>
      <c r="BU117" s="40"/>
      <c r="BV117" s="40"/>
      <c r="BW117" s="40"/>
      <c r="BX117" s="40"/>
      <c r="BY117" s="40"/>
      <c r="BZ117" s="40"/>
      <c r="CA117" s="40"/>
      <c r="CB117" s="40"/>
      <c r="CC117" s="40"/>
      <c r="CD117" s="40"/>
      <c r="CE117" s="40"/>
      <c r="CF117" s="40"/>
      <c r="CG117" s="40"/>
      <c r="CH117" s="40"/>
      <c r="CI117" s="40"/>
      <c r="CJ117" s="40"/>
      <c r="CK117" s="40"/>
      <c r="CL117" s="40"/>
      <c r="CM117" s="40"/>
      <c r="CN117" s="40"/>
      <c r="CO117" s="40"/>
      <c r="CP117" s="40"/>
      <c r="CQ117" s="40"/>
      <c r="CR117" s="40"/>
      <c r="CS117" s="40"/>
      <c r="CT117" s="40"/>
      <c r="CU117" s="40"/>
      <c r="CV117" s="40"/>
      <c r="CW117" s="40"/>
      <c r="CX117" s="40"/>
      <c r="CY117" s="40"/>
      <c r="CZ117" s="40"/>
      <c r="DA117" s="40"/>
      <c r="DB117" s="40"/>
      <c r="DC117" s="40"/>
      <c r="DD117" s="40"/>
      <c r="DE117" s="40"/>
      <c r="DF117" s="40"/>
      <c r="DG117" s="40"/>
      <c r="DH117" s="40"/>
      <c r="DI117" s="40"/>
      <c r="DJ117" s="40"/>
      <c r="DK117" s="40"/>
      <c r="DL117" s="40"/>
      <c r="DM117" s="40"/>
      <c r="DN117" s="40"/>
      <c r="DO117" s="40"/>
      <c r="DP117" s="40"/>
      <c r="DQ117" s="40"/>
      <c r="DR117" s="40"/>
      <c r="DS117" s="40"/>
      <c r="DT117" s="40"/>
      <c r="DU117" s="40"/>
      <c r="DV117" s="40"/>
      <c r="DW117" s="40"/>
      <c r="DX117" s="40"/>
      <c r="DY117" s="40"/>
      <c r="DZ117" s="40"/>
      <c r="EA117" s="40"/>
      <c r="EB117" s="40"/>
      <c r="EC117" s="40"/>
      <c r="ED117" s="40"/>
      <c r="EE117" s="40"/>
      <c r="EF117" s="40"/>
      <c r="EG117" s="40"/>
      <c r="EH117" s="40"/>
      <c r="EI117" s="40"/>
    </row>
    <row r="118" spans="2:139" ht="12.75" customHeight="1">
      <c r="B118" s="41"/>
      <c r="C118" s="211"/>
      <c r="D118" s="78"/>
      <c r="E118" s="78"/>
      <c r="F118" s="78"/>
      <c r="G118" s="78"/>
      <c r="H118" s="78"/>
      <c r="I118" s="78"/>
      <c r="J118" s="78"/>
      <c r="K118" s="78"/>
      <c r="L118" s="78"/>
      <c r="M118" s="78"/>
      <c r="N118" s="78"/>
      <c r="O118" s="145"/>
      <c r="S118" s="78"/>
      <c r="T118" s="78"/>
      <c r="U118" s="78"/>
      <c r="V118" s="78"/>
      <c r="W118" s="78"/>
      <c r="X118" s="78"/>
      <c r="Y118" s="78"/>
      <c r="Z118" s="78"/>
      <c r="AA118" s="78"/>
      <c r="AB118" s="78"/>
      <c r="AC118" s="78"/>
      <c r="AD118" s="78"/>
      <c r="AE118" s="78"/>
      <c r="AF118" s="78"/>
      <c r="AG118" s="78"/>
      <c r="AH118" s="78"/>
      <c r="AI118" s="78"/>
      <c r="AJ118" s="78"/>
      <c r="AK118" s="78"/>
      <c r="AL118" s="78"/>
      <c r="AM118" s="78"/>
      <c r="AN118" s="78"/>
      <c r="AO118" s="78"/>
      <c r="AP118" s="78"/>
      <c r="AQ118" s="78"/>
      <c r="AR118" s="78"/>
      <c r="AS118" s="78"/>
      <c r="AT118" s="78"/>
      <c r="AU118" s="78"/>
      <c r="AV118" s="78"/>
      <c r="AW118" s="78"/>
      <c r="AX118" s="78"/>
      <c r="AY118" s="78"/>
      <c r="AZ118" s="78"/>
      <c r="BA118" s="78"/>
      <c r="BB118" s="78"/>
      <c r="BC118" s="78"/>
      <c r="BD118" s="78"/>
      <c r="BE118" s="78"/>
      <c r="BF118" s="78"/>
      <c r="BG118" s="78"/>
      <c r="BH118" s="78"/>
      <c r="BI118" s="78"/>
      <c r="BJ118" s="78"/>
      <c r="BK118" s="78"/>
      <c r="BL118" s="78"/>
      <c r="BM118" s="78"/>
      <c r="BN118" s="78"/>
      <c r="BO118" s="78"/>
      <c r="BP118" s="78"/>
      <c r="BQ118" s="78"/>
      <c r="BR118" s="78"/>
      <c r="BS118" s="78"/>
      <c r="BT118" s="78"/>
      <c r="BU118" s="78"/>
      <c r="BV118" s="78"/>
      <c r="BW118" s="78"/>
      <c r="BX118" s="78"/>
      <c r="BY118" s="78"/>
      <c r="BZ118" s="78"/>
      <c r="CA118" s="78"/>
      <c r="CB118" s="78"/>
      <c r="CC118" s="78"/>
      <c r="CD118" s="78"/>
      <c r="CE118" s="78"/>
      <c r="CF118" s="78"/>
      <c r="CG118" s="78"/>
      <c r="CH118" s="78"/>
      <c r="CI118" s="78"/>
      <c r="CJ118" s="78"/>
      <c r="CK118" s="78"/>
      <c r="CL118" s="78"/>
      <c r="CM118" s="78"/>
      <c r="CN118" s="78"/>
      <c r="CO118" s="78"/>
      <c r="CP118" s="78"/>
      <c r="CQ118" s="78"/>
      <c r="CR118" s="78"/>
      <c r="CS118" s="78"/>
      <c r="CT118" s="78"/>
      <c r="CU118" s="78"/>
      <c r="CV118" s="78"/>
      <c r="CW118" s="78"/>
      <c r="CX118" s="78"/>
      <c r="CY118" s="78"/>
      <c r="CZ118" s="78"/>
      <c r="DA118" s="78"/>
      <c r="DB118" s="78"/>
      <c r="DC118" s="78"/>
      <c r="DD118" s="78"/>
      <c r="DE118" s="78"/>
      <c r="DF118" s="78"/>
      <c r="DG118" s="78"/>
      <c r="DH118" s="78"/>
      <c r="DI118" s="78"/>
      <c r="DJ118" s="78"/>
      <c r="DK118" s="78"/>
      <c r="DL118" s="78"/>
      <c r="DM118" s="78"/>
      <c r="DN118" s="78"/>
      <c r="DO118" s="78"/>
      <c r="DP118" s="78"/>
      <c r="DQ118" s="78"/>
      <c r="DR118" s="78"/>
      <c r="DS118" s="78"/>
      <c r="DT118" s="78"/>
      <c r="DU118" s="78"/>
      <c r="DV118" s="78"/>
      <c r="DW118" s="78"/>
      <c r="DX118" s="78"/>
      <c r="DY118" s="78"/>
      <c r="DZ118" s="78"/>
      <c r="EA118" s="78"/>
      <c r="EB118" s="78"/>
      <c r="EC118" s="78"/>
      <c r="ED118" s="78"/>
      <c r="EE118" s="78"/>
      <c r="EF118" s="78"/>
      <c r="EG118" s="78"/>
      <c r="EH118" s="78"/>
      <c r="EI118" s="78"/>
    </row>
    <row r="121" spans="2:139" s="192" customFormat="1" ht="14.25" customHeight="1">
      <c r="B121" s="1043" t="s">
        <v>192</v>
      </c>
      <c r="C121" s="196"/>
      <c r="D121" s="196"/>
      <c r="E121" s="196"/>
      <c r="F121" s="197"/>
      <c r="G121" s="197"/>
      <c r="H121" s="197"/>
      <c r="I121" s="197"/>
      <c r="J121" s="197"/>
      <c r="K121" s="197"/>
      <c r="L121" s="197"/>
      <c r="M121" s="197"/>
      <c r="N121" s="197"/>
      <c r="O121" s="197"/>
      <c r="P121"/>
      <c r="Q121"/>
      <c r="R121"/>
      <c r="S121" s="197"/>
      <c r="T121" s="197"/>
      <c r="U121" s="197"/>
      <c r="V121" s="197"/>
      <c r="W121" s="197"/>
      <c r="X121" s="197"/>
      <c r="Y121" s="197"/>
      <c r="Z121" s="197"/>
      <c r="AA121" s="197"/>
      <c r="AB121" s="197"/>
      <c r="AC121" s="197"/>
      <c r="AD121" s="197"/>
      <c r="AE121" s="197"/>
      <c r="AF121" s="197"/>
      <c r="AG121" s="197"/>
      <c r="AH121" s="197"/>
      <c r="AI121" s="197"/>
      <c r="AJ121" s="197"/>
      <c r="AK121" s="197"/>
      <c r="AL121" s="197"/>
      <c r="AM121" s="197"/>
      <c r="AN121" s="197"/>
      <c r="AO121" s="197"/>
      <c r="AP121" s="197"/>
      <c r="AQ121" s="197"/>
      <c r="AR121" s="197"/>
      <c r="AS121" s="197"/>
      <c r="AT121" s="197"/>
      <c r="AU121" s="197"/>
      <c r="AV121" s="197"/>
      <c r="AW121" s="197"/>
      <c r="AX121" s="197"/>
      <c r="AY121" s="197"/>
      <c r="AZ121" s="197"/>
      <c r="BA121" s="197"/>
      <c r="BB121" s="197"/>
      <c r="BC121" s="197"/>
      <c r="BD121" s="197"/>
      <c r="BE121" s="197"/>
      <c r="BF121" s="197"/>
      <c r="BG121" s="197"/>
      <c r="BH121" s="197"/>
      <c r="BI121" s="197"/>
      <c r="BJ121" s="197"/>
      <c r="BK121" s="197"/>
      <c r="BL121" s="197"/>
      <c r="BM121" s="197"/>
      <c r="BN121" s="197"/>
      <c r="BO121" s="197"/>
      <c r="BP121" s="197"/>
      <c r="BQ121" s="197"/>
      <c r="BR121" s="197"/>
      <c r="BS121" s="197"/>
      <c r="BT121" s="197"/>
      <c r="BU121" s="197"/>
      <c r="BV121" s="197"/>
      <c r="BW121" s="197"/>
      <c r="BX121" s="197"/>
      <c r="BY121" s="197"/>
      <c r="BZ121" s="197"/>
      <c r="CA121" s="197"/>
      <c r="CB121" s="197"/>
      <c r="CC121" s="197"/>
      <c r="CD121" s="197"/>
      <c r="CE121" s="197"/>
      <c r="CF121" s="197"/>
      <c r="CG121" s="197"/>
      <c r="CH121" s="197"/>
      <c r="CI121" s="197"/>
      <c r="CJ121" s="197"/>
      <c r="CK121" s="197"/>
      <c r="CL121" s="197"/>
      <c r="CM121" s="197"/>
      <c r="CN121" s="197"/>
      <c r="CO121" s="197"/>
      <c r="CP121" s="197"/>
      <c r="CQ121" s="197"/>
      <c r="CR121" s="197"/>
      <c r="CS121" s="197"/>
      <c r="CT121" s="197"/>
      <c r="CU121" s="197"/>
      <c r="CV121" s="197"/>
      <c r="CW121" s="197"/>
      <c r="CX121" s="197"/>
      <c r="CY121" s="197"/>
      <c r="CZ121" s="197"/>
      <c r="DA121" s="197"/>
      <c r="DB121" s="197"/>
      <c r="DC121" s="197"/>
      <c r="DD121" s="197"/>
      <c r="DE121" s="197"/>
      <c r="DF121" s="197"/>
      <c r="DG121" s="197"/>
      <c r="DH121" s="197"/>
      <c r="DI121" s="197"/>
      <c r="DJ121" s="197"/>
      <c r="DK121" s="197"/>
      <c r="DL121" s="197"/>
      <c r="DM121" s="197"/>
      <c r="DN121" s="197"/>
      <c r="DO121" s="197"/>
      <c r="DP121" s="197"/>
      <c r="DQ121" s="197"/>
      <c r="DR121" s="197"/>
      <c r="DS121" s="197"/>
      <c r="DT121" s="197"/>
      <c r="DU121" s="197"/>
      <c r="DV121" s="197"/>
      <c r="DW121" s="197"/>
      <c r="DX121" s="197"/>
      <c r="DY121" s="197"/>
      <c r="DZ121" s="197"/>
      <c r="EA121" s="197"/>
      <c r="EB121" s="197"/>
      <c r="EC121" s="197"/>
      <c r="ED121" s="197"/>
      <c r="EE121" s="197"/>
      <c r="EF121" s="197"/>
      <c r="EG121" s="197"/>
      <c r="EH121" s="197"/>
      <c r="EI121" s="197"/>
    </row>
    <row r="122" spans="2:139" ht="12.75" customHeight="1">
      <c r="B122" s="41" t="s">
        <v>193</v>
      </c>
      <c r="C122" s="211"/>
      <c r="D122" s="78">
        <f t="shared" ref="D122:N122" si="173">(C122+D318)*(D$5&lt;=MAX(YrOfExit,1))</f>
        <v>13009400</v>
      </c>
      <c r="E122" s="78">
        <f t="shared" si="173"/>
        <v>13009400</v>
      </c>
      <c r="F122" s="78">
        <f t="shared" si="173"/>
        <v>13009400</v>
      </c>
      <c r="G122" s="78">
        <f t="shared" si="173"/>
        <v>13009400</v>
      </c>
      <c r="H122" s="78">
        <f t="shared" si="173"/>
        <v>13009400</v>
      </c>
      <c r="I122" s="78">
        <f t="shared" si="173"/>
        <v>13009400</v>
      </c>
      <c r="J122" s="78">
        <f t="shared" si="173"/>
        <v>13009400</v>
      </c>
      <c r="K122" s="78">
        <f t="shared" si="173"/>
        <v>13009400</v>
      </c>
      <c r="L122" s="78">
        <f t="shared" si="173"/>
        <v>0</v>
      </c>
      <c r="M122" s="78">
        <f t="shared" si="173"/>
        <v>0</v>
      </c>
      <c r="N122" s="78">
        <f t="shared" si="173"/>
        <v>0</v>
      </c>
      <c r="O122" s="145">
        <f>SUMIF($D$5:$N$5,MAX(YrOfExit,1),$D$122:$N$122)</f>
        <v>13009400</v>
      </c>
      <c r="S122" s="78">
        <f t="shared" ref="S122:AX122" si="174">(R122+S318)*(S$6&lt;=MAX(YrOfExit,1))</f>
        <v>13009400</v>
      </c>
      <c r="T122" s="78">
        <f t="shared" si="174"/>
        <v>13009400</v>
      </c>
      <c r="U122" s="78">
        <f t="shared" si="174"/>
        <v>13009400</v>
      </c>
      <c r="V122" s="78">
        <f t="shared" si="174"/>
        <v>13009400</v>
      </c>
      <c r="W122" s="78">
        <f t="shared" si="174"/>
        <v>13009400</v>
      </c>
      <c r="X122" s="78">
        <f t="shared" si="174"/>
        <v>13009400</v>
      </c>
      <c r="Y122" s="78">
        <f t="shared" si="174"/>
        <v>13009400</v>
      </c>
      <c r="Z122" s="78">
        <f t="shared" si="174"/>
        <v>13009400</v>
      </c>
      <c r="AA122" s="78">
        <f t="shared" si="174"/>
        <v>13009400</v>
      </c>
      <c r="AB122" s="78">
        <f t="shared" si="174"/>
        <v>13009400</v>
      </c>
      <c r="AC122" s="78">
        <f t="shared" si="174"/>
        <v>13009400</v>
      </c>
      <c r="AD122" s="78">
        <f t="shared" si="174"/>
        <v>13009400</v>
      </c>
      <c r="AE122" s="78">
        <f t="shared" si="174"/>
        <v>13009400</v>
      </c>
      <c r="AF122" s="78">
        <f t="shared" si="174"/>
        <v>13009400</v>
      </c>
      <c r="AG122" s="78">
        <f t="shared" si="174"/>
        <v>13009400</v>
      </c>
      <c r="AH122" s="78">
        <f t="shared" si="174"/>
        <v>13009400</v>
      </c>
      <c r="AI122" s="78">
        <f t="shared" si="174"/>
        <v>13009400</v>
      </c>
      <c r="AJ122" s="78">
        <f t="shared" si="174"/>
        <v>13009400</v>
      </c>
      <c r="AK122" s="78">
        <f t="shared" si="174"/>
        <v>13009400</v>
      </c>
      <c r="AL122" s="78">
        <f t="shared" si="174"/>
        <v>13009400</v>
      </c>
      <c r="AM122" s="78">
        <f t="shared" si="174"/>
        <v>13009400</v>
      </c>
      <c r="AN122" s="78">
        <f t="shared" si="174"/>
        <v>13009400</v>
      </c>
      <c r="AO122" s="78">
        <f t="shared" si="174"/>
        <v>13009400</v>
      </c>
      <c r="AP122" s="78">
        <f t="shared" si="174"/>
        <v>13009400</v>
      </c>
      <c r="AQ122" s="78">
        <f t="shared" si="174"/>
        <v>13009400</v>
      </c>
      <c r="AR122" s="78">
        <f t="shared" si="174"/>
        <v>13009400</v>
      </c>
      <c r="AS122" s="78">
        <f t="shared" si="174"/>
        <v>13009400</v>
      </c>
      <c r="AT122" s="78">
        <f t="shared" si="174"/>
        <v>13009400</v>
      </c>
      <c r="AU122" s="78">
        <f t="shared" si="174"/>
        <v>13009400</v>
      </c>
      <c r="AV122" s="78">
        <f t="shared" si="174"/>
        <v>13009400</v>
      </c>
      <c r="AW122" s="78">
        <f t="shared" si="174"/>
        <v>13009400</v>
      </c>
      <c r="AX122" s="78">
        <f t="shared" si="174"/>
        <v>13009400</v>
      </c>
      <c r="AY122" s="78">
        <f t="shared" ref="AY122:CD122" si="175">(AX122+AY318)*(AY$6&lt;=MAX(YrOfExit,1))</f>
        <v>13009400</v>
      </c>
      <c r="AZ122" s="78">
        <f t="shared" si="175"/>
        <v>13009400</v>
      </c>
      <c r="BA122" s="78">
        <f t="shared" si="175"/>
        <v>13009400</v>
      </c>
      <c r="BB122" s="78">
        <f t="shared" si="175"/>
        <v>13009400</v>
      </c>
      <c r="BC122" s="78">
        <f t="shared" si="175"/>
        <v>13009400</v>
      </c>
      <c r="BD122" s="78">
        <f t="shared" si="175"/>
        <v>13009400</v>
      </c>
      <c r="BE122" s="78">
        <f t="shared" si="175"/>
        <v>13009400</v>
      </c>
      <c r="BF122" s="78">
        <f t="shared" si="175"/>
        <v>13009400</v>
      </c>
      <c r="BG122" s="78">
        <f t="shared" si="175"/>
        <v>13009400</v>
      </c>
      <c r="BH122" s="78">
        <f t="shared" si="175"/>
        <v>13009400</v>
      </c>
      <c r="BI122" s="78">
        <f t="shared" si="175"/>
        <v>13009400</v>
      </c>
      <c r="BJ122" s="78">
        <f t="shared" si="175"/>
        <v>13009400</v>
      </c>
      <c r="BK122" s="78">
        <f t="shared" si="175"/>
        <v>13009400</v>
      </c>
      <c r="BL122" s="78">
        <f t="shared" si="175"/>
        <v>13009400</v>
      </c>
      <c r="BM122" s="78">
        <f t="shared" si="175"/>
        <v>13009400</v>
      </c>
      <c r="BN122" s="78">
        <f t="shared" si="175"/>
        <v>13009400</v>
      </c>
      <c r="BO122" s="78">
        <f t="shared" si="175"/>
        <v>13009400</v>
      </c>
      <c r="BP122" s="78">
        <f t="shared" si="175"/>
        <v>13009400</v>
      </c>
      <c r="BQ122" s="78">
        <f t="shared" si="175"/>
        <v>13009400</v>
      </c>
      <c r="BR122" s="78">
        <f t="shared" si="175"/>
        <v>13009400</v>
      </c>
      <c r="BS122" s="78">
        <f t="shared" si="175"/>
        <v>13009400</v>
      </c>
      <c r="BT122" s="78">
        <f t="shared" si="175"/>
        <v>13009400</v>
      </c>
      <c r="BU122" s="78">
        <f t="shared" si="175"/>
        <v>13009400</v>
      </c>
      <c r="BV122" s="78">
        <f t="shared" si="175"/>
        <v>13009400</v>
      </c>
      <c r="BW122" s="78">
        <f t="shared" si="175"/>
        <v>13009400</v>
      </c>
      <c r="BX122" s="78">
        <f t="shared" si="175"/>
        <v>13009400</v>
      </c>
      <c r="BY122" s="78">
        <f t="shared" si="175"/>
        <v>13009400</v>
      </c>
      <c r="BZ122" s="78">
        <f t="shared" si="175"/>
        <v>13009400</v>
      </c>
      <c r="CA122" s="78">
        <f t="shared" si="175"/>
        <v>13009400</v>
      </c>
      <c r="CB122" s="78">
        <f t="shared" si="175"/>
        <v>13009400</v>
      </c>
      <c r="CC122" s="78">
        <f t="shared" si="175"/>
        <v>13009400</v>
      </c>
      <c r="CD122" s="78">
        <f t="shared" si="175"/>
        <v>13009400</v>
      </c>
      <c r="CE122" s="78">
        <f t="shared" ref="CE122:DJ122" si="176">(CD122+CE318)*(CE$6&lt;=MAX(YrOfExit,1))</f>
        <v>13009400</v>
      </c>
      <c r="CF122" s="78">
        <f t="shared" si="176"/>
        <v>13009400</v>
      </c>
      <c r="CG122" s="78">
        <f t="shared" si="176"/>
        <v>13009400</v>
      </c>
      <c r="CH122" s="78">
        <f t="shared" si="176"/>
        <v>13009400</v>
      </c>
      <c r="CI122" s="78">
        <f t="shared" si="176"/>
        <v>13009400</v>
      </c>
      <c r="CJ122" s="78">
        <f t="shared" si="176"/>
        <v>13009400</v>
      </c>
      <c r="CK122" s="78">
        <f t="shared" si="176"/>
        <v>13009400</v>
      </c>
      <c r="CL122" s="78">
        <f t="shared" si="176"/>
        <v>13009400</v>
      </c>
      <c r="CM122" s="78">
        <f t="shared" si="176"/>
        <v>13009400</v>
      </c>
      <c r="CN122" s="78">
        <f t="shared" si="176"/>
        <v>13009400</v>
      </c>
      <c r="CO122" s="78">
        <f t="shared" si="176"/>
        <v>13009400</v>
      </c>
      <c r="CP122" s="78">
        <f t="shared" si="176"/>
        <v>13009400</v>
      </c>
      <c r="CQ122" s="78">
        <f t="shared" si="176"/>
        <v>13009400</v>
      </c>
      <c r="CR122" s="78">
        <f t="shared" si="176"/>
        <v>13009400</v>
      </c>
      <c r="CS122" s="78">
        <f t="shared" si="176"/>
        <v>13009400</v>
      </c>
      <c r="CT122" s="78">
        <f t="shared" si="176"/>
        <v>13009400</v>
      </c>
      <c r="CU122" s="78">
        <f t="shared" si="176"/>
        <v>13009400</v>
      </c>
      <c r="CV122" s="78">
        <f t="shared" si="176"/>
        <v>13009400</v>
      </c>
      <c r="CW122" s="78">
        <f t="shared" si="176"/>
        <v>13009400</v>
      </c>
      <c r="CX122" s="78">
        <f t="shared" si="176"/>
        <v>13009400</v>
      </c>
      <c r="CY122" s="78">
        <f t="shared" si="176"/>
        <v>13009400</v>
      </c>
      <c r="CZ122" s="78">
        <f t="shared" si="176"/>
        <v>0</v>
      </c>
      <c r="DA122" s="78">
        <f t="shared" si="176"/>
        <v>0</v>
      </c>
      <c r="DB122" s="78">
        <f t="shared" si="176"/>
        <v>0</v>
      </c>
      <c r="DC122" s="78">
        <f t="shared" si="176"/>
        <v>0</v>
      </c>
      <c r="DD122" s="78">
        <f t="shared" si="176"/>
        <v>0</v>
      </c>
      <c r="DE122" s="78">
        <f t="shared" si="176"/>
        <v>0</v>
      </c>
      <c r="DF122" s="78">
        <f t="shared" si="176"/>
        <v>0</v>
      </c>
      <c r="DG122" s="78">
        <f t="shared" si="176"/>
        <v>0</v>
      </c>
      <c r="DH122" s="78">
        <f t="shared" si="176"/>
        <v>0</v>
      </c>
      <c r="DI122" s="78">
        <f t="shared" si="176"/>
        <v>0</v>
      </c>
      <c r="DJ122" s="78">
        <f t="shared" si="176"/>
        <v>0</v>
      </c>
      <c r="DK122" s="78">
        <f t="shared" ref="DK122:EI122" si="177">(DJ122+DK318)*(DK$6&lt;=MAX(YrOfExit,1))</f>
        <v>0</v>
      </c>
      <c r="DL122" s="78">
        <f t="shared" si="177"/>
        <v>0</v>
      </c>
      <c r="DM122" s="78">
        <f t="shared" si="177"/>
        <v>0</v>
      </c>
      <c r="DN122" s="78">
        <f t="shared" si="177"/>
        <v>0</v>
      </c>
      <c r="DO122" s="78">
        <f t="shared" si="177"/>
        <v>0</v>
      </c>
      <c r="DP122" s="78">
        <f t="shared" si="177"/>
        <v>0</v>
      </c>
      <c r="DQ122" s="78">
        <f t="shared" si="177"/>
        <v>0</v>
      </c>
      <c r="DR122" s="78">
        <f t="shared" si="177"/>
        <v>0</v>
      </c>
      <c r="DS122" s="78">
        <f t="shared" si="177"/>
        <v>0</v>
      </c>
      <c r="DT122" s="78">
        <f t="shared" si="177"/>
        <v>0</v>
      </c>
      <c r="DU122" s="78">
        <f t="shared" si="177"/>
        <v>0</v>
      </c>
      <c r="DV122" s="78">
        <f t="shared" si="177"/>
        <v>0</v>
      </c>
      <c r="DW122" s="78">
        <f t="shared" si="177"/>
        <v>0</v>
      </c>
      <c r="DX122" s="78">
        <f t="shared" si="177"/>
        <v>0</v>
      </c>
      <c r="DY122" s="78">
        <f t="shared" si="177"/>
        <v>0</v>
      </c>
      <c r="DZ122" s="78">
        <f t="shared" si="177"/>
        <v>0</v>
      </c>
      <c r="EA122" s="78">
        <f t="shared" si="177"/>
        <v>0</v>
      </c>
      <c r="EB122" s="78">
        <f t="shared" si="177"/>
        <v>0</v>
      </c>
      <c r="EC122" s="78">
        <f t="shared" si="177"/>
        <v>0</v>
      </c>
      <c r="ED122" s="78">
        <f t="shared" si="177"/>
        <v>0</v>
      </c>
      <c r="EE122" s="78">
        <f t="shared" si="177"/>
        <v>0</v>
      </c>
      <c r="EF122" s="78">
        <f t="shared" si="177"/>
        <v>0</v>
      </c>
      <c r="EG122" s="78">
        <f t="shared" si="177"/>
        <v>0</v>
      </c>
      <c r="EH122" s="78">
        <f t="shared" si="177"/>
        <v>0</v>
      </c>
      <c r="EI122" s="78">
        <f t="shared" si="177"/>
        <v>0</v>
      </c>
    </row>
    <row r="123" spans="2:139" ht="12.75" customHeight="1">
      <c r="B123" s="41" t="s">
        <v>194</v>
      </c>
      <c r="C123" s="211"/>
      <c r="D123" s="78"/>
      <c r="E123" s="40">
        <f t="shared" ref="E123:N123" si="178">IF(E122,ROUND((E$76+E$92+E$101+E$102)/E122,6),)</f>
        <v>7.7923000000000006E-2</v>
      </c>
      <c r="F123" s="40">
        <f t="shared" si="178"/>
        <v>8.1185999999999994E-2</v>
      </c>
      <c r="G123" s="40">
        <f t="shared" si="178"/>
        <v>8.6002999999999996E-2</v>
      </c>
      <c r="H123" s="40">
        <f t="shared" si="178"/>
        <v>8.9734999999999995E-2</v>
      </c>
      <c r="I123" s="40">
        <f t="shared" si="178"/>
        <v>9.3595999999999999E-2</v>
      </c>
      <c r="J123" s="40">
        <f t="shared" si="178"/>
        <v>9.6971000000000002E-2</v>
      </c>
      <c r="K123" s="40">
        <f t="shared" si="178"/>
        <v>0.10044599999999999</v>
      </c>
      <c r="L123" s="40">
        <f t="shared" si="178"/>
        <v>0</v>
      </c>
      <c r="M123" s="40">
        <f t="shared" si="178"/>
        <v>0</v>
      </c>
      <c r="N123" s="40">
        <f t="shared" si="178"/>
        <v>0</v>
      </c>
      <c r="O123" s="158">
        <f>IFERROR(AVERAGEIF(CFYears,"&lt;="&amp;MAX(YrOfExit,1),$E123:$N123),)</f>
        <v>8.9408571428571434E-2</v>
      </c>
      <c r="Q123" s="852"/>
      <c r="S123" s="78"/>
      <c r="T123" s="40">
        <f t="shared" ref="T123:AY123" si="179">IF(T122,ROUND((T$76+T$92+T$101+T$102)/T122,6),)</f>
        <v>6.4939999999999998E-3</v>
      </c>
      <c r="U123" s="40">
        <f t="shared" si="179"/>
        <v>6.4939999999999998E-3</v>
      </c>
      <c r="V123" s="40">
        <f t="shared" si="179"/>
        <v>6.4939999999999998E-3</v>
      </c>
      <c r="W123" s="40">
        <f t="shared" si="179"/>
        <v>6.4939999999999998E-3</v>
      </c>
      <c r="X123" s="40">
        <f t="shared" si="179"/>
        <v>6.4939999999999998E-3</v>
      </c>
      <c r="Y123" s="40">
        <f t="shared" si="179"/>
        <v>6.4939999999999998E-3</v>
      </c>
      <c r="Z123" s="40">
        <f t="shared" si="179"/>
        <v>6.4939999999999998E-3</v>
      </c>
      <c r="AA123" s="40">
        <f t="shared" si="179"/>
        <v>6.4939999999999998E-3</v>
      </c>
      <c r="AB123" s="40">
        <f t="shared" si="179"/>
        <v>6.4939999999999998E-3</v>
      </c>
      <c r="AC123" s="40">
        <f t="shared" si="179"/>
        <v>6.4939999999999998E-3</v>
      </c>
      <c r="AD123" s="40">
        <f t="shared" si="179"/>
        <v>6.4939999999999998E-3</v>
      </c>
      <c r="AE123" s="40">
        <f t="shared" si="179"/>
        <v>6.4939999999999998E-3</v>
      </c>
      <c r="AF123" s="40">
        <f t="shared" si="179"/>
        <v>6.6899999999999998E-3</v>
      </c>
      <c r="AG123" s="40">
        <f t="shared" si="179"/>
        <v>6.7039999999999999E-3</v>
      </c>
      <c r="AH123" s="40">
        <f t="shared" si="179"/>
        <v>6.7169999999999999E-3</v>
      </c>
      <c r="AI123" s="40">
        <f t="shared" si="179"/>
        <v>6.731E-3</v>
      </c>
      <c r="AJ123" s="40">
        <f t="shared" si="179"/>
        <v>6.7450000000000001E-3</v>
      </c>
      <c r="AK123" s="40">
        <f t="shared" si="179"/>
        <v>6.7580000000000001E-3</v>
      </c>
      <c r="AL123" s="40">
        <f t="shared" si="179"/>
        <v>6.7720000000000002E-3</v>
      </c>
      <c r="AM123" s="40">
        <f t="shared" si="179"/>
        <v>6.7860000000000004E-3</v>
      </c>
      <c r="AN123" s="40">
        <f t="shared" si="179"/>
        <v>6.7999999999999996E-3</v>
      </c>
      <c r="AO123" s="40">
        <f t="shared" si="179"/>
        <v>6.8139999999999997E-3</v>
      </c>
      <c r="AP123" s="40">
        <f t="shared" si="179"/>
        <v>6.8279999999999999E-3</v>
      </c>
      <c r="AQ123" s="40">
        <f t="shared" si="179"/>
        <v>6.8409999999999999E-3</v>
      </c>
      <c r="AR123" s="40">
        <f t="shared" si="179"/>
        <v>7.0489999999999997E-3</v>
      </c>
      <c r="AS123" s="40">
        <f t="shared" si="179"/>
        <v>7.0699999999999999E-3</v>
      </c>
      <c r="AT123" s="40">
        <f t="shared" si="179"/>
        <v>7.0920000000000002E-3</v>
      </c>
      <c r="AU123" s="40">
        <f t="shared" si="179"/>
        <v>7.1130000000000004E-3</v>
      </c>
      <c r="AV123" s="40">
        <f t="shared" si="179"/>
        <v>7.1339999999999997E-3</v>
      </c>
      <c r="AW123" s="40">
        <f t="shared" si="179"/>
        <v>7.156E-3</v>
      </c>
      <c r="AX123" s="40">
        <f t="shared" si="179"/>
        <v>7.1770000000000002E-3</v>
      </c>
      <c r="AY123" s="40">
        <f t="shared" si="179"/>
        <v>7.1989999999999997E-3</v>
      </c>
      <c r="AZ123" s="40">
        <f t="shared" ref="AZ123:CE123" si="180">IF(AZ122,ROUND((AZ$76+AZ$92+AZ$101+AZ$102)/AZ122,6),)</f>
        <v>7.221E-3</v>
      </c>
      <c r="BA123" s="40">
        <f t="shared" si="180"/>
        <v>7.2420000000000002E-3</v>
      </c>
      <c r="BB123" s="40">
        <f t="shared" si="180"/>
        <v>7.2639999999999996E-3</v>
      </c>
      <c r="BC123" s="40">
        <f t="shared" si="180"/>
        <v>7.2859999999999999E-3</v>
      </c>
      <c r="BD123" s="40">
        <f t="shared" si="180"/>
        <v>7.3559999999999997E-3</v>
      </c>
      <c r="BE123" s="40">
        <f t="shared" si="180"/>
        <v>7.378E-3</v>
      </c>
      <c r="BF123" s="40">
        <f t="shared" si="180"/>
        <v>7.4000000000000003E-3</v>
      </c>
      <c r="BG123" s="40">
        <f t="shared" si="180"/>
        <v>7.4219999999999998E-3</v>
      </c>
      <c r="BH123" s="40">
        <f t="shared" si="180"/>
        <v>7.4440000000000001E-3</v>
      </c>
      <c r="BI123" s="40">
        <f t="shared" si="180"/>
        <v>7.4660000000000004E-3</v>
      </c>
      <c r="BJ123" s="40">
        <f t="shared" si="180"/>
        <v>7.489E-3</v>
      </c>
      <c r="BK123" s="40">
        <f t="shared" si="180"/>
        <v>7.5110000000000003E-3</v>
      </c>
      <c r="BL123" s="40">
        <f t="shared" si="180"/>
        <v>7.5339999999999999E-3</v>
      </c>
      <c r="BM123" s="40">
        <f t="shared" si="180"/>
        <v>7.5560000000000002E-3</v>
      </c>
      <c r="BN123" s="40">
        <f t="shared" si="180"/>
        <v>7.5779999999999997E-3</v>
      </c>
      <c r="BO123" s="40">
        <f t="shared" si="180"/>
        <v>7.6010000000000001E-3</v>
      </c>
      <c r="BP123" s="40">
        <f t="shared" si="180"/>
        <v>7.6730000000000001E-3</v>
      </c>
      <c r="BQ123" s="40">
        <f t="shared" si="180"/>
        <v>7.6959999999999997E-3</v>
      </c>
      <c r="BR123" s="40">
        <f t="shared" si="180"/>
        <v>7.7190000000000002E-3</v>
      </c>
      <c r="BS123" s="40">
        <f t="shared" si="180"/>
        <v>7.7419999999999998E-3</v>
      </c>
      <c r="BT123" s="40">
        <f t="shared" si="180"/>
        <v>7.7650000000000002E-3</v>
      </c>
      <c r="BU123" s="40">
        <f t="shared" si="180"/>
        <v>7.7879999999999998E-3</v>
      </c>
      <c r="BV123" s="40">
        <f t="shared" si="180"/>
        <v>7.8110000000000002E-3</v>
      </c>
      <c r="BW123" s="40">
        <f t="shared" si="180"/>
        <v>7.8340000000000007E-3</v>
      </c>
      <c r="BX123" s="40">
        <f t="shared" si="180"/>
        <v>7.8569999999999994E-3</v>
      </c>
      <c r="BY123" s="40">
        <f t="shared" si="180"/>
        <v>7.8810000000000009E-3</v>
      </c>
      <c r="BZ123" s="40">
        <f t="shared" si="180"/>
        <v>7.9039999999999996E-3</v>
      </c>
      <c r="CA123" s="40">
        <f t="shared" si="180"/>
        <v>7.927E-3</v>
      </c>
      <c r="CB123" s="40">
        <f t="shared" si="180"/>
        <v>7.9509999999999997E-3</v>
      </c>
      <c r="CC123" s="40">
        <f t="shared" si="180"/>
        <v>7.9740000000000002E-3</v>
      </c>
      <c r="CD123" s="40">
        <f t="shared" si="180"/>
        <v>7.9979999999999999E-3</v>
      </c>
      <c r="CE123" s="40">
        <f t="shared" si="180"/>
        <v>8.0210000000000004E-3</v>
      </c>
      <c r="CF123" s="40">
        <f t="shared" ref="CF123:DK123" si="181">IF(CF122,ROUND((CF$76+CF$92+CF$101+CF$102)/CF122,6),)</f>
        <v>8.0450000000000001E-3</v>
      </c>
      <c r="CG123" s="40">
        <f t="shared" si="181"/>
        <v>8.0689999999999998E-3</v>
      </c>
      <c r="CH123" s="40">
        <f t="shared" si="181"/>
        <v>8.0920000000000002E-3</v>
      </c>
      <c r="CI123" s="40">
        <f t="shared" si="181"/>
        <v>8.116E-3</v>
      </c>
      <c r="CJ123" s="40">
        <f t="shared" si="181"/>
        <v>8.1399999999999997E-3</v>
      </c>
      <c r="CK123" s="40">
        <f t="shared" si="181"/>
        <v>8.1639999999999994E-3</v>
      </c>
      <c r="CL123" s="40">
        <f t="shared" si="181"/>
        <v>8.1880000000000008E-3</v>
      </c>
      <c r="CM123" s="40">
        <f t="shared" si="181"/>
        <v>8.2120000000000005E-3</v>
      </c>
      <c r="CN123" s="40">
        <f t="shared" si="181"/>
        <v>8.2360000000000003E-3</v>
      </c>
      <c r="CO123" s="40">
        <f t="shared" si="181"/>
        <v>8.2609999999999992E-3</v>
      </c>
      <c r="CP123" s="40">
        <f t="shared" si="181"/>
        <v>8.2850000000000007E-3</v>
      </c>
      <c r="CQ123" s="40">
        <f t="shared" si="181"/>
        <v>8.3090000000000004E-3</v>
      </c>
      <c r="CR123" s="40">
        <f t="shared" si="181"/>
        <v>8.3330000000000001E-3</v>
      </c>
      <c r="CS123" s="40">
        <f t="shared" si="181"/>
        <v>8.3580000000000008E-3</v>
      </c>
      <c r="CT123" s="40">
        <f t="shared" si="181"/>
        <v>8.3820000000000006E-3</v>
      </c>
      <c r="CU123" s="40">
        <f t="shared" si="181"/>
        <v>8.4069999999999995E-3</v>
      </c>
      <c r="CV123" s="40">
        <f t="shared" si="181"/>
        <v>8.4320000000000003E-3</v>
      </c>
      <c r="CW123" s="40">
        <f t="shared" si="181"/>
        <v>8.456E-3</v>
      </c>
      <c r="CX123" s="40">
        <f t="shared" si="181"/>
        <v>8.4810000000000007E-3</v>
      </c>
      <c r="CY123" s="40">
        <f t="shared" si="181"/>
        <v>8.5059999999999997E-3</v>
      </c>
      <c r="CZ123" s="40">
        <f t="shared" si="181"/>
        <v>0</v>
      </c>
      <c r="DA123" s="40">
        <f t="shared" si="181"/>
        <v>0</v>
      </c>
      <c r="DB123" s="40">
        <f t="shared" si="181"/>
        <v>0</v>
      </c>
      <c r="DC123" s="40">
        <f t="shared" si="181"/>
        <v>0</v>
      </c>
      <c r="DD123" s="40">
        <f t="shared" si="181"/>
        <v>0</v>
      </c>
      <c r="DE123" s="40">
        <f t="shared" si="181"/>
        <v>0</v>
      </c>
      <c r="DF123" s="40">
        <f t="shared" si="181"/>
        <v>0</v>
      </c>
      <c r="DG123" s="40">
        <f t="shared" si="181"/>
        <v>0</v>
      </c>
      <c r="DH123" s="40">
        <f t="shared" si="181"/>
        <v>0</v>
      </c>
      <c r="DI123" s="40">
        <f t="shared" si="181"/>
        <v>0</v>
      </c>
      <c r="DJ123" s="40">
        <f t="shared" si="181"/>
        <v>0</v>
      </c>
      <c r="DK123" s="40">
        <f t="shared" si="181"/>
        <v>0</v>
      </c>
      <c r="DL123" s="40">
        <f t="shared" ref="DL123:EQ123" si="182">IF(DL122,ROUND((DL$76+DL$92+DL$101+DL$102)/DL122,6),)</f>
        <v>0</v>
      </c>
      <c r="DM123" s="40">
        <f t="shared" si="182"/>
        <v>0</v>
      </c>
      <c r="DN123" s="40">
        <f t="shared" si="182"/>
        <v>0</v>
      </c>
      <c r="DO123" s="40">
        <f t="shared" si="182"/>
        <v>0</v>
      </c>
      <c r="DP123" s="40">
        <f t="shared" si="182"/>
        <v>0</v>
      </c>
      <c r="DQ123" s="40">
        <f t="shared" si="182"/>
        <v>0</v>
      </c>
      <c r="DR123" s="40">
        <f t="shared" si="182"/>
        <v>0</v>
      </c>
      <c r="DS123" s="40">
        <f t="shared" si="182"/>
        <v>0</v>
      </c>
      <c r="DT123" s="40">
        <f t="shared" si="182"/>
        <v>0</v>
      </c>
      <c r="DU123" s="40">
        <f t="shared" si="182"/>
        <v>0</v>
      </c>
      <c r="DV123" s="40">
        <f t="shared" si="182"/>
        <v>0</v>
      </c>
      <c r="DW123" s="40">
        <f t="shared" si="182"/>
        <v>0</v>
      </c>
      <c r="DX123" s="40">
        <f t="shared" si="182"/>
        <v>0</v>
      </c>
      <c r="DY123" s="40">
        <f t="shared" si="182"/>
        <v>0</v>
      </c>
      <c r="DZ123" s="40">
        <f t="shared" si="182"/>
        <v>0</v>
      </c>
      <c r="EA123" s="40">
        <f t="shared" si="182"/>
        <v>0</v>
      </c>
      <c r="EB123" s="40">
        <f t="shared" si="182"/>
        <v>0</v>
      </c>
      <c r="EC123" s="40">
        <f t="shared" si="182"/>
        <v>0</v>
      </c>
      <c r="ED123" s="40">
        <f t="shared" si="182"/>
        <v>0</v>
      </c>
      <c r="EE123" s="40">
        <f t="shared" si="182"/>
        <v>0</v>
      </c>
      <c r="EF123" s="40">
        <f t="shared" si="182"/>
        <v>0</v>
      </c>
      <c r="EG123" s="40">
        <f t="shared" si="182"/>
        <v>0</v>
      </c>
      <c r="EH123" s="40">
        <f t="shared" si="182"/>
        <v>0</v>
      </c>
      <c r="EI123" s="40">
        <f t="shared" si="182"/>
        <v>0</v>
      </c>
    </row>
    <row r="124" spans="2:139" ht="12.75" hidden="1" customHeight="1">
      <c r="B124" s="41"/>
      <c r="C124" s="211"/>
      <c r="D124" s="78"/>
      <c r="E124" s="40"/>
      <c r="F124" s="40"/>
      <c r="G124" s="40"/>
      <c r="H124" s="40"/>
      <c r="I124" s="40"/>
      <c r="J124" s="40"/>
      <c r="K124" s="40"/>
      <c r="L124" s="40"/>
      <c r="M124" s="40"/>
      <c r="N124" s="40"/>
      <c r="O124" s="158"/>
      <c r="Q124" s="851"/>
      <c r="S124" s="78"/>
      <c r="T124" s="40"/>
      <c r="U124" s="40"/>
      <c r="V124" s="40"/>
      <c r="W124" s="40"/>
      <c r="X124" s="40"/>
      <c r="Y124" s="40"/>
      <c r="Z124" s="40"/>
      <c r="AA124" s="40"/>
      <c r="AB124" s="40"/>
      <c r="AC124" s="40"/>
      <c r="AD124" s="40"/>
      <c r="AE124" s="40"/>
      <c r="AF124" s="40"/>
      <c r="AG124" s="40"/>
      <c r="AH124" s="40"/>
      <c r="AI124" s="40"/>
      <c r="AJ124" s="40"/>
      <c r="AK124" s="40"/>
      <c r="AL124" s="40"/>
      <c r="AM124" s="40"/>
      <c r="AN124" s="40"/>
      <c r="AO124" s="40"/>
      <c r="AP124" s="40"/>
      <c r="AQ124" s="40"/>
      <c r="AR124" s="40"/>
      <c r="AS124" s="40"/>
      <c r="AT124" s="40"/>
      <c r="AU124" s="40"/>
      <c r="AV124" s="40"/>
      <c r="AW124" s="40"/>
      <c r="AX124" s="40"/>
      <c r="AY124" s="40"/>
      <c r="AZ124" s="40"/>
      <c r="BA124" s="40"/>
      <c r="BB124" s="40"/>
      <c r="BC124" s="40"/>
      <c r="BD124" s="40"/>
      <c r="BE124" s="40"/>
      <c r="BF124" s="40"/>
      <c r="BG124" s="40"/>
      <c r="BH124" s="40"/>
      <c r="BI124" s="40"/>
      <c r="BJ124" s="40"/>
      <c r="BK124" s="40"/>
      <c r="BL124" s="40"/>
      <c r="BM124" s="40"/>
      <c r="BN124" s="40"/>
      <c r="BO124" s="40"/>
      <c r="BP124" s="40"/>
      <c r="BQ124" s="40"/>
      <c r="BR124" s="40"/>
      <c r="BS124" s="40"/>
      <c r="BT124" s="40"/>
      <c r="BU124" s="40"/>
      <c r="BV124" s="40"/>
      <c r="BW124" s="40"/>
      <c r="BX124" s="40"/>
      <c r="BY124" s="40"/>
      <c r="BZ124" s="40"/>
      <c r="CA124" s="40"/>
      <c r="CB124" s="40"/>
      <c r="CC124" s="40"/>
      <c r="CD124" s="40"/>
      <c r="CE124" s="40"/>
      <c r="CF124" s="40"/>
      <c r="CG124" s="40"/>
      <c r="CH124" s="40"/>
      <c r="CI124" s="40"/>
      <c r="CJ124" s="40"/>
      <c r="CK124" s="40"/>
      <c r="CL124" s="40"/>
      <c r="CM124" s="40"/>
      <c r="CN124" s="40"/>
      <c r="CO124" s="40"/>
      <c r="CP124" s="40"/>
      <c r="CQ124" s="40"/>
      <c r="CR124" s="40"/>
      <c r="CS124" s="40"/>
      <c r="CT124" s="40"/>
      <c r="CU124" s="40"/>
      <c r="CV124" s="40"/>
      <c r="CW124" s="40"/>
      <c r="CX124" s="40"/>
      <c r="CY124" s="40"/>
      <c r="CZ124" s="40"/>
      <c r="DA124" s="40"/>
      <c r="DB124" s="40"/>
      <c r="DC124" s="40"/>
      <c r="DD124" s="40"/>
      <c r="DE124" s="40"/>
      <c r="DF124" s="40"/>
      <c r="DG124" s="40"/>
      <c r="DH124" s="40"/>
      <c r="DI124" s="40"/>
      <c r="DJ124" s="40"/>
      <c r="DK124" s="40"/>
      <c r="DL124" s="40"/>
      <c r="DM124" s="40"/>
      <c r="DN124" s="40"/>
      <c r="DO124" s="40"/>
      <c r="DP124" s="40"/>
      <c r="DQ124" s="40"/>
      <c r="DR124" s="40"/>
      <c r="DS124" s="40"/>
      <c r="DT124" s="40"/>
      <c r="DU124" s="40"/>
      <c r="DV124" s="40"/>
      <c r="DW124" s="40"/>
      <c r="DX124" s="40"/>
      <c r="DY124" s="40"/>
      <c r="DZ124" s="40"/>
      <c r="EA124" s="40"/>
      <c r="EB124" s="40"/>
      <c r="EC124" s="40"/>
      <c r="ED124" s="40"/>
      <c r="EE124" s="40"/>
      <c r="EF124" s="40"/>
      <c r="EG124" s="40"/>
      <c r="EH124" s="40"/>
      <c r="EI124" s="40"/>
    </row>
    <row r="125" spans="2:139" ht="12.75" customHeight="1">
      <c r="B125" s="41" t="s">
        <v>195</v>
      </c>
      <c r="C125" s="211"/>
      <c r="D125" s="98"/>
      <c r="E125" s="98">
        <f t="shared" ref="E125:N125" si="183">IFERROR(AVERAGEIF($T$6:$EI$6,E$5,$T125:$EI125),)</f>
        <v>0</v>
      </c>
      <c r="F125" s="98">
        <f t="shared" si="183"/>
        <v>0</v>
      </c>
      <c r="G125" s="98">
        <f t="shared" si="183"/>
        <v>0</v>
      </c>
      <c r="H125" s="98">
        <f t="shared" si="183"/>
        <v>0</v>
      </c>
      <c r="I125" s="98">
        <f t="shared" si="183"/>
        <v>0</v>
      </c>
      <c r="J125" s="98">
        <f t="shared" si="183"/>
        <v>0</v>
      </c>
      <c r="K125" s="98">
        <f t="shared" si="183"/>
        <v>0</v>
      </c>
      <c r="L125" s="98">
        <f t="shared" si="183"/>
        <v>0</v>
      </c>
      <c r="M125" s="98">
        <f t="shared" si="183"/>
        <v>0</v>
      </c>
      <c r="N125" s="98">
        <f t="shared" si="183"/>
        <v>0</v>
      </c>
      <c r="O125" s="213">
        <f>IFERROR(AVERAGEIF(CFYears,"&lt;="&amp;MAX(YrOfExit,1),$E125:$N125),)</f>
        <v>0</v>
      </c>
      <c r="S125" s="78"/>
      <c r="T125" s="98">
        <f t="shared" ref="T125:AY125" si="184">IF(AND(T92,T62&gt;0),-T62/T92,)*(T$6&lt;=MAX(YrOfExit,1))</f>
        <v>0</v>
      </c>
      <c r="U125" s="98">
        <f t="shared" si="184"/>
        <v>0</v>
      </c>
      <c r="V125" s="98">
        <f t="shared" si="184"/>
        <v>0</v>
      </c>
      <c r="W125" s="98">
        <f t="shared" si="184"/>
        <v>0</v>
      </c>
      <c r="X125" s="98">
        <f t="shared" si="184"/>
        <v>0</v>
      </c>
      <c r="Y125" s="98">
        <f t="shared" si="184"/>
        <v>0</v>
      </c>
      <c r="Z125" s="98">
        <f t="shared" si="184"/>
        <v>0</v>
      </c>
      <c r="AA125" s="98">
        <f t="shared" si="184"/>
        <v>0</v>
      </c>
      <c r="AB125" s="98">
        <f t="shared" si="184"/>
        <v>0</v>
      </c>
      <c r="AC125" s="98">
        <f t="shared" si="184"/>
        <v>0</v>
      </c>
      <c r="AD125" s="98">
        <f t="shared" si="184"/>
        <v>0</v>
      </c>
      <c r="AE125" s="98">
        <f t="shared" si="184"/>
        <v>0</v>
      </c>
      <c r="AF125" s="98">
        <f t="shared" si="184"/>
        <v>0</v>
      </c>
      <c r="AG125" s="98">
        <f t="shared" si="184"/>
        <v>0</v>
      </c>
      <c r="AH125" s="98">
        <f t="shared" si="184"/>
        <v>0</v>
      </c>
      <c r="AI125" s="98">
        <f t="shared" si="184"/>
        <v>0</v>
      </c>
      <c r="AJ125" s="98">
        <f t="shared" si="184"/>
        <v>0</v>
      </c>
      <c r="AK125" s="98">
        <f t="shared" si="184"/>
        <v>0</v>
      </c>
      <c r="AL125" s="98">
        <f t="shared" si="184"/>
        <v>0</v>
      </c>
      <c r="AM125" s="98">
        <f t="shared" si="184"/>
        <v>0</v>
      </c>
      <c r="AN125" s="98">
        <f t="shared" si="184"/>
        <v>0</v>
      </c>
      <c r="AO125" s="98">
        <f t="shared" si="184"/>
        <v>0</v>
      </c>
      <c r="AP125" s="98">
        <f t="shared" si="184"/>
        <v>0</v>
      </c>
      <c r="AQ125" s="98">
        <f t="shared" si="184"/>
        <v>0</v>
      </c>
      <c r="AR125" s="98">
        <f t="shared" si="184"/>
        <v>0</v>
      </c>
      <c r="AS125" s="98">
        <f t="shared" si="184"/>
        <v>0</v>
      </c>
      <c r="AT125" s="98">
        <f t="shared" si="184"/>
        <v>0</v>
      </c>
      <c r="AU125" s="98">
        <f t="shared" si="184"/>
        <v>0</v>
      </c>
      <c r="AV125" s="98">
        <f t="shared" si="184"/>
        <v>0</v>
      </c>
      <c r="AW125" s="98">
        <f t="shared" si="184"/>
        <v>0</v>
      </c>
      <c r="AX125" s="98">
        <f t="shared" si="184"/>
        <v>0</v>
      </c>
      <c r="AY125" s="98">
        <f t="shared" si="184"/>
        <v>0</v>
      </c>
      <c r="AZ125" s="98">
        <f t="shared" ref="AZ125:CE125" si="185">IF(AND(AZ92,AZ62&gt;0),-AZ62/AZ92,)*(AZ$6&lt;=MAX(YrOfExit,1))</f>
        <v>0</v>
      </c>
      <c r="BA125" s="98">
        <f t="shared" si="185"/>
        <v>0</v>
      </c>
      <c r="BB125" s="98">
        <f t="shared" si="185"/>
        <v>0</v>
      </c>
      <c r="BC125" s="98">
        <f t="shared" si="185"/>
        <v>0</v>
      </c>
      <c r="BD125" s="98">
        <f t="shared" si="185"/>
        <v>0</v>
      </c>
      <c r="BE125" s="98">
        <f t="shared" si="185"/>
        <v>0</v>
      </c>
      <c r="BF125" s="98">
        <f t="shared" si="185"/>
        <v>0</v>
      </c>
      <c r="BG125" s="98">
        <f t="shared" si="185"/>
        <v>0</v>
      </c>
      <c r="BH125" s="98">
        <f t="shared" si="185"/>
        <v>0</v>
      </c>
      <c r="BI125" s="98">
        <f t="shared" si="185"/>
        <v>0</v>
      </c>
      <c r="BJ125" s="98">
        <f t="shared" si="185"/>
        <v>0</v>
      </c>
      <c r="BK125" s="98">
        <f t="shared" si="185"/>
        <v>0</v>
      </c>
      <c r="BL125" s="98">
        <f t="shared" si="185"/>
        <v>0</v>
      </c>
      <c r="BM125" s="98">
        <f t="shared" si="185"/>
        <v>0</v>
      </c>
      <c r="BN125" s="98">
        <f t="shared" si="185"/>
        <v>0</v>
      </c>
      <c r="BO125" s="98">
        <f t="shared" si="185"/>
        <v>0</v>
      </c>
      <c r="BP125" s="98">
        <f t="shared" si="185"/>
        <v>0</v>
      </c>
      <c r="BQ125" s="98">
        <f t="shared" si="185"/>
        <v>0</v>
      </c>
      <c r="BR125" s="98">
        <f t="shared" si="185"/>
        <v>0</v>
      </c>
      <c r="BS125" s="98">
        <f t="shared" si="185"/>
        <v>0</v>
      </c>
      <c r="BT125" s="98">
        <f t="shared" si="185"/>
        <v>0</v>
      </c>
      <c r="BU125" s="98">
        <f t="shared" si="185"/>
        <v>0</v>
      </c>
      <c r="BV125" s="98">
        <f t="shared" si="185"/>
        <v>0</v>
      </c>
      <c r="BW125" s="98">
        <f t="shared" si="185"/>
        <v>0</v>
      </c>
      <c r="BX125" s="98">
        <f t="shared" si="185"/>
        <v>0</v>
      </c>
      <c r="BY125" s="98">
        <f t="shared" si="185"/>
        <v>0</v>
      </c>
      <c r="BZ125" s="98">
        <f t="shared" si="185"/>
        <v>0</v>
      </c>
      <c r="CA125" s="98">
        <f t="shared" si="185"/>
        <v>0</v>
      </c>
      <c r="CB125" s="98">
        <f t="shared" si="185"/>
        <v>0</v>
      </c>
      <c r="CC125" s="98">
        <f t="shared" si="185"/>
        <v>0</v>
      </c>
      <c r="CD125" s="98">
        <f t="shared" si="185"/>
        <v>0</v>
      </c>
      <c r="CE125" s="98">
        <f t="shared" si="185"/>
        <v>0</v>
      </c>
      <c r="CF125" s="98">
        <f t="shared" ref="CF125:DK125" si="186">IF(AND(CF92,CF62&gt;0),-CF62/CF92,)*(CF$6&lt;=MAX(YrOfExit,1))</f>
        <v>0</v>
      </c>
      <c r="CG125" s="98">
        <f t="shared" si="186"/>
        <v>0</v>
      </c>
      <c r="CH125" s="98">
        <f t="shared" si="186"/>
        <v>0</v>
      </c>
      <c r="CI125" s="98">
        <f t="shared" si="186"/>
        <v>0</v>
      </c>
      <c r="CJ125" s="98">
        <f t="shared" si="186"/>
        <v>0</v>
      </c>
      <c r="CK125" s="98">
        <f t="shared" si="186"/>
        <v>0</v>
      </c>
      <c r="CL125" s="98">
        <f t="shared" si="186"/>
        <v>0</v>
      </c>
      <c r="CM125" s="98">
        <f t="shared" si="186"/>
        <v>0</v>
      </c>
      <c r="CN125" s="98">
        <f t="shared" si="186"/>
        <v>0</v>
      </c>
      <c r="CO125" s="98">
        <f t="shared" si="186"/>
        <v>0</v>
      </c>
      <c r="CP125" s="98">
        <f t="shared" si="186"/>
        <v>0</v>
      </c>
      <c r="CQ125" s="98">
        <f t="shared" si="186"/>
        <v>0</v>
      </c>
      <c r="CR125" s="98">
        <f t="shared" si="186"/>
        <v>0</v>
      </c>
      <c r="CS125" s="98">
        <f t="shared" si="186"/>
        <v>0</v>
      </c>
      <c r="CT125" s="98">
        <f t="shared" si="186"/>
        <v>0</v>
      </c>
      <c r="CU125" s="98">
        <f t="shared" si="186"/>
        <v>0</v>
      </c>
      <c r="CV125" s="98">
        <f t="shared" si="186"/>
        <v>0</v>
      </c>
      <c r="CW125" s="98">
        <f t="shared" si="186"/>
        <v>0</v>
      </c>
      <c r="CX125" s="98">
        <f t="shared" si="186"/>
        <v>0</v>
      </c>
      <c r="CY125" s="98">
        <f t="shared" si="186"/>
        <v>0</v>
      </c>
      <c r="CZ125" s="98">
        <f t="shared" si="186"/>
        <v>0</v>
      </c>
      <c r="DA125" s="98">
        <f t="shared" si="186"/>
        <v>0</v>
      </c>
      <c r="DB125" s="98">
        <f t="shared" si="186"/>
        <v>0</v>
      </c>
      <c r="DC125" s="98">
        <f t="shared" si="186"/>
        <v>0</v>
      </c>
      <c r="DD125" s="98">
        <f t="shared" si="186"/>
        <v>0</v>
      </c>
      <c r="DE125" s="98">
        <f t="shared" si="186"/>
        <v>0</v>
      </c>
      <c r="DF125" s="98">
        <f t="shared" si="186"/>
        <v>0</v>
      </c>
      <c r="DG125" s="98">
        <f t="shared" si="186"/>
        <v>0</v>
      </c>
      <c r="DH125" s="98">
        <f t="shared" si="186"/>
        <v>0</v>
      </c>
      <c r="DI125" s="98">
        <f t="shared" si="186"/>
        <v>0</v>
      </c>
      <c r="DJ125" s="98">
        <f t="shared" si="186"/>
        <v>0</v>
      </c>
      <c r="DK125" s="98">
        <f t="shared" si="186"/>
        <v>0</v>
      </c>
      <c r="DL125" s="98">
        <f t="shared" ref="DL125:EI125" si="187">IF(AND(DL92,DL62&gt;0),-DL62/DL92,)*(DL$6&lt;=MAX(YrOfExit,1))</f>
        <v>0</v>
      </c>
      <c r="DM125" s="98">
        <f t="shared" si="187"/>
        <v>0</v>
      </c>
      <c r="DN125" s="98">
        <f t="shared" si="187"/>
        <v>0</v>
      </c>
      <c r="DO125" s="98">
        <f t="shared" si="187"/>
        <v>0</v>
      </c>
      <c r="DP125" s="98">
        <f t="shared" si="187"/>
        <v>0</v>
      </c>
      <c r="DQ125" s="98">
        <f t="shared" si="187"/>
        <v>0</v>
      </c>
      <c r="DR125" s="98">
        <f t="shared" si="187"/>
        <v>0</v>
      </c>
      <c r="DS125" s="98">
        <f t="shared" si="187"/>
        <v>0</v>
      </c>
      <c r="DT125" s="98">
        <f t="shared" si="187"/>
        <v>0</v>
      </c>
      <c r="DU125" s="98">
        <f t="shared" si="187"/>
        <v>0</v>
      </c>
      <c r="DV125" s="98">
        <f t="shared" si="187"/>
        <v>0</v>
      </c>
      <c r="DW125" s="98">
        <f t="shared" si="187"/>
        <v>0</v>
      </c>
      <c r="DX125" s="98">
        <f t="shared" si="187"/>
        <v>0</v>
      </c>
      <c r="DY125" s="98">
        <f t="shared" si="187"/>
        <v>0</v>
      </c>
      <c r="DZ125" s="98">
        <f t="shared" si="187"/>
        <v>0</v>
      </c>
      <c r="EA125" s="98">
        <f t="shared" si="187"/>
        <v>0</v>
      </c>
      <c r="EB125" s="98">
        <f t="shared" si="187"/>
        <v>0</v>
      </c>
      <c r="EC125" s="98">
        <f t="shared" si="187"/>
        <v>0</v>
      </c>
      <c r="ED125" s="98">
        <f t="shared" si="187"/>
        <v>0</v>
      </c>
      <c r="EE125" s="98">
        <f t="shared" si="187"/>
        <v>0</v>
      </c>
      <c r="EF125" s="98">
        <f t="shared" si="187"/>
        <v>0</v>
      </c>
      <c r="EG125" s="98">
        <f t="shared" si="187"/>
        <v>0</v>
      </c>
      <c r="EH125" s="98">
        <f t="shared" si="187"/>
        <v>0</v>
      </c>
      <c r="EI125" s="98">
        <f t="shared" si="187"/>
        <v>0</v>
      </c>
    </row>
    <row r="126" spans="2:139" ht="12.75" customHeight="1">
      <c r="B126" s="41"/>
      <c r="C126" s="211"/>
      <c r="D126" s="78"/>
      <c r="E126" s="78"/>
      <c r="F126" s="78"/>
      <c r="G126" s="78"/>
      <c r="H126" s="78"/>
      <c r="I126" s="78"/>
      <c r="J126" s="78"/>
      <c r="K126" s="78"/>
      <c r="L126" s="78"/>
      <c r="M126" s="78"/>
      <c r="N126" s="78"/>
      <c r="O126" s="145"/>
      <c r="S126" s="78"/>
      <c r="T126" s="78"/>
      <c r="U126" s="78"/>
      <c r="V126" s="78"/>
      <c r="W126" s="78"/>
      <c r="X126" s="78"/>
      <c r="Y126" s="78"/>
      <c r="Z126" s="78"/>
      <c r="AA126" s="78"/>
      <c r="AB126" s="78"/>
      <c r="AC126" s="78"/>
      <c r="AD126" s="78"/>
      <c r="AE126" s="78"/>
      <c r="AF126" s="78"/>
      <c r="AG126" s="78"/>
      <c r="AH126" s="78"/>
      <c r="AI126" s="78"/>
      <c r="AJ126" s="78"/>
      <c r="AK126" s="78"/>
      <c r="AL126" s="78"/>
      <c r="AM126" s="78"/>
      <c r="AN126" s="78"/>
      <c r="AO126" s="78"/>
      <c r="AP126" s="78"/>
      <c r="AQ126" s="78"/>
      <c r="AR126" s="78"/>
      <c r="AS126" s="78"/>
      <c r="AT126" s="78"/>
      <c r="AU126" s="78"/>
      <c r="AV126" s="78"/>
      <c r="AW126" s="78"/>
      <c r="AX126" s="78"/>
      <c r="AY126" s="78"/>
      <c r="AZ126" s="78"/>
      <c r="BA126" s="78"/>
      <c r="BB126" s="78"/>
      <c r="BC126" s="78"/>
      <c r="BD126" s="78"/>
      <c r="BE126" s="78"/>
      <c r="BF126" s="78"/>
      <c r="BG126" s="78"/>
      <c r="BH126" s="78"/>
      <c r="BI126" s="78"/>
      <c r="BJ126" s="78"/>
      <c r="BK126" s="78"/>
      <c r="BL126" s="78"/>
      <c r="BM126" s="78"/>
      <c r="BN126" s="78"/>
      <c r="BO126" s="78"/>
      <c r="BP126" s="78"/>
      <c r="BQ126" s="78"/>
      <c r="BR126" s="78"/>
      <c r="BS126" s="78"/>
      <c r="BT126" s="78"/>
      <c r="BU126" s="78"/>
      <c r="BV126" s="78"/>
      <c r="BW126" s="78"/>
      <c r="BX126" s="78"/>
      <c r="BY126" s="78"/>
      <c r="BZ126" s="78"/>
      <c r="CA126" s="78"/>
      <c r="CB126" s="78"/>
      <c r="CC126" s="78"/>
      <c r="CD126" s="78"/>
      <c r="CE126" s="78"/>
      <c r="CF126" s="78"/>
      <c r="CG126" s="78"/>
      <c r="CH126" s="78"/>
      <c r="CI126" s="78"/>
      <c r="CJ126" s="78"/>
      <c r="CK126" s="78"/>
      <c r="CL126" s="78"/>
      <c r="CM126" s="78"/>
      <c r="CN126" s="78"/>
      <c r="CO126" s="78"/>
      <c r="CP126" s="78"/>
      <c r="CQ126" s="78"/>
      <c r="CR126" s="78"/>
      <c r="CS126" s="78"/>
      <c r="CT126" s="78"/>
      <c r="CU126" s="78"/>
      <c r="CV126" s="78"/>
      <c r="CW126" s="78"/>
      <c r="CX126" s="78"/>
      <c r="CY126" s="78"/>
      <c r="CZ126" s="78"/>
      <c r="DA126" s="78"/>
      <c r="DB126" s="78"/>
      <c r="DC126" s="78"/>
      <c r="DD126" s="78"/>
      <c r="DE126" s="78"/>
      <c r="DF126" s="78"/>
      <c r="DG126" s="78"/>
      <c r="DH126" s="78"/>
      <c r="DI126" s="78"/>
      <c r="DJ126" s="78"/>
      <c r="DK126" s="78"/>
      <c r="DL126" s="78"/>
      <c r="DM126" s="78"/>
      <c r="DN126" s="78"/>
      <c r="DO126" s="78"/>
      <c r="DP126" s="78"/>
      <c r="DQ126" s="78"/>
      <c r="DR126" s="78"/>
      <c r="DS126" s="78"/>
      <c r="DT126" s="78"/>
      <c r="DU126" s="78"/>
      <c r="DV126" s="78"/>
      <c r="DW126" s="78"/>
      <c r="DX126" s="78"/>
      <c r="DY126" s="78"/>
      <c r="DZ126" s="78"/>
      <c r="EA126" s="78"/>
      <c r="EB126" s="78"/>
      <c r="EC126" s="78"/>
      <c r="ED126" s="78"/>
      <c r="EE126" s="78"/>
      <c r="EF126" s="78"/>
      <c r="EG126" s="78"/>
      <c r="EH126" s="78"/>
      <c r="EI126" s="78"/>
    </row>
    <row r="129" spans="2:139" s="192" customFormat="1" ht="14.25" customHeight="1">
      <c r="B129" s="1043" t="s">
        <v>588</v>
      </c>
      <c r="C129" s="196"/>
      <c r="D129" s="196"/>
      <c r="E129" s="196"/>
      <c r="F129" s="197"/>
      <c r="G129" s="197"/>
      <c r="H129" s="197"/>
      <c r="I129" s="197"/>
      <c r="J129" s="197"/>
      <c r="K129" s="197"/>
      <c r="L129" s="197"/>
      <c r="M129" s="197"/>
      <c r="N129" s="197"/>
      <c r="O129" s="197"/>
      <c r="P129"/>
      <c r="Q129"/>
      <c r="R129"/>
      <c r="S129" s="197"/>
      <c r="T129" s="197"/>
      <c r="U129" s="197"/>
      <c r="V129" s="197"/>
      <c r="W129" s="197"/>
      <c r="X129" s="197"/>
      <c r="Y129" s="197"/>
      <c r="Z129" s="197"/>
      <c r="AA129" s="197"/>
      <c r="AB129" s="197"/>
      <c r="AC129" s="197"/>
      <c r="AD129" s="197"/>
      <c r="AE129" s="197"/>
      <c r="AF129" s="197"/>
      <c r="AG129" s="197"/>
      <c r="AH129" s="197"/>
      <c r="AI129" s="197"/>
      <c r="AJ129" s="197"/>
      <c r="AK129" s="197"/>
      <c r="AL129" s="197"/>
      <c r="AM129" s="197"/>
      <c r="AN129" s="197"/>
      <c r="AO129" s="197"/>
      <c r="AP129" s="197"/>
      <c r="AQ129" s="197"/>
      <c r="AR129" s="197"/>
      <c r="AS129" s="197"/>
      <c r="AT129" s="197"/>
      <c r="AU129" s="197"/>
      <c r="AV129" s="197"/>
      <c r="AW129" s="197"/>
      <c r="AX129" s="197"/>
      <c r="AY129" s="197"/>
      <c r="AZ129" s="197"/>
      <c r="BA129" s="197"/>
      <c r="BB129" s="197"/>
      <c r="BC129" s="197"/>
      <c r="BD129" s="197"/>
      <c r="BE129" s="197"/>
      <c r="BF129" s="197"/>
      <c r="BG129" s="197"/>
      <c r="BH129" s="197"/>
      <c r="BI129" s="197"/>
      <c r="BJ129" s="197"/>
      <c r="BK129" s="197"/>
      <c r="BL129" s="197"/>
      <c r="BM129" s="197"/>
      <c r="BN129" s="197"/>
      <c r="BO129" s="197"/>
      <c r="BP129" s="197"/>
      <c r="BQ129" s="197"/>
      <c r="BR129" s="197"/>
      <c r="BS129" s="197"/>
      <c r="BT129" s="197"/>
      <c r="BU129" s="197"/>
      <c r="BV129" s="197"/>
      <c r="BW129" s="197"/>
      <c r="BX129" s="197"/>
      <c r="BY129" s="197"/>
      <c r="BZ129" s="197"/>
      <c r="CA129" s="197"/>
      <c r="CB129" s="197"/>
      <c r="CC129" s="197"/>
      <c r="CD129" s="197"/>
      <c r="CE129" s="197"/>
      <c r="CF129" s="197"/>
      <c r="CG129" s="197"/>
      <c r="CH129" s="197"/>
      <c r="CI129" s="197"/>
      <c r="CJ129" s="197"/>
      <c r="CK129" s="197"/>
      <c r="CL129" s="197"/>
      <c r="CM129" s="197"/>
      <c r="CN129" s="197"/>
      <c r="CO129" s="197"/>
      <c r="CP129" s="197"/>
      <c r="CQ129" s="197"/>
      <c r="CR129" s="197"/>
      <c r="CS129" s="197"/>
      <c r="CT129" s="197"/>
      <c r="CU129" s="197"/>
      <c r="CV129" s="197"/>
      <c r="CW129" s="197"/>
      <c r="CX129" s="197"/>
      <c r="CY129" s="197"/>
      <c r="CZ129" s="197"/>
      <c r="DA129" s="197"/>
      <c r="DB129" s="197"/>
      <c r="DC129" s="197"/>
      <c r="DD129" s="197"/>
      <c r="DE129" s="197"/>
      <c r="DF129" s="197"/>
      <c r="DG129" s="197"/>
      <c r="DH129" s="197"/>
      <c r="DI129" s="197"/>
      <c r="DJ129" s="197"/>
      <c r="DK129" s="197"/>
      <c r="DL129" s="197"/>
      <c r="DM129" s="197"/>
      <c r="DN129" s="197"/>
      <c r="DO129" s="197"/>
      <c r="DP129" s="197"/>
      <c r="DQ129" s="197"/>
      <c r="DR129" s="197"/>
      <c r="DS129" s="197"/>
      <c r="DT129" s="197"/>
      <c r="DU129" s="197"/>
      <c r="DV129" s="197"/>
      <c r="DW129" s="197"/>
      <c r="DX129" s="197"/>
      <c r="DY129" s="197"/>
      <c r="DZ129" s="197"/>
      <c r="EA129" s="197"/>
      <c r="EB129" s="197"/>
      <c r="EC129" s="197"/>
      <c r="ED129" s="197"/>
      <c r="EE129" s="197"/>
      <c r="EF129" s="197"/>
      <c r="EG129" s="197"/>
      <c r="EH129" s="197"/>
      <c r="EI129" s="197"/>
    </row>
    <row r="130" spans="2:139" ht="12.75" customHeight="1">
      <c r="B130" s="1045" t="s">
        <v>227</v>
      </c>
      <c r="C130" s="211"/>
      <c r="D130" s="78"/>
      <c r="E130" s="78"/>
      <c r="F130" s="78"/>
      <c r="G130" s="78"/>
      <c r="H130" s="78"/>
      <c r="I130" s="78"/>
      <c r="J130" s="78"/>
      <c r="K130" s="78"/>
      <c r="L130" s="78"/>
      <c r="M130" s="78"/>
      <c r="N130" s="78"/>
      <c r="O130" s="145"/>
      <c r="S130" s="78"/>
      <c r="T130" s="78"/>
      <c r="U130" s="78"/>
      <c r="V130" s="78"/>
      <c r="W130" s="78"/>
      <c r="X130" s="78"/>
      <c r="Y130" s="78"/>
      <c r="Z130" s="78"/>
      <c r="AA130" s="78"/>
      <c r="AB130" s="78"/>
      <c r="AC130" s="78"/>
      <c r="AD130" s="78"/>
      <c r="AE130" s="78"/>
      <c r="AF130" s="78"/>
      <c r="AG130" s="78"/>
      <c r="AH130" s="78"/>
      <c r="AI130" s="78"/>
      <c r="AJ130" s="78"/>
      <c r="AK130" s="78"/>
      <c r="AL130" s="78"/>
      <c r="AM130" s="78"/>
      <c r="AN130" s="78"/>
      <c r="AO130" s="78"/>
      <c r="AP130" s="78"/>
      <c r="AQ130" s="78"/>
      <c r="AR130" s="78"/>
      <c r="AS130" s="78"/>
      <c r="AT130" s="78"/>
      <c r="AU130" s="78"/>
      <c r="AV130" s="78"/>
      <c r="AW130" s="847"/>
      <c r="AX130" s="78"/>
      <c r="AY130" s="78"/>
      <c r="AZ130" s="78"/>
      <c r="BA130" s="78"/>
      <c r="BB130" s="78"/>
      <c r="BC130" s="78"/>
      <c r="BD130" s="78"/>
      <c r="BE130" s="78"/>
      <c r="BF130" s="78"/>
      <c r="BG130" s="78"/>
      <c r="BH130" s="78"/>
      <c r="BI130" s="78"/>
      <c r="BJ130" s="78"/>
      <c r="BK130" s="78"/>
      <c r="BL130" s="78"/>
      <c r="BM130" s="78"/>
      <c r="BN130" s="78"/>
      <c r="BO130" s="78"/>
      <c r="BP130" s="78"/>
      <c r="BQ130" s="78"/>
      <c r="BR130" s="78"/>
      <c r="BS130" s="78"/>
      <c r="BT130" s="78"/>
      <c r="BU130" s="78"/>
      <c r="BV130" s="78"/>
      <c r="BW130" s="78"/>
      <c r="BX130" s="78"/>
      <c r="BY130" s="78"/>
      <c r="BZ130" s="78"/>
      <c r="CA130" s="78"/>
      <c r="CB130" s="78"/>
      <c r="CC130" s="78"/>
      <c r="CD130" s="78"/>
      <c r="CE130" s="78"/>
      <c r="CF130" s="78"/>
      <c r="CG130" s="78"/>
      <c r="CH130" s="78"/>
      <c r="CI130" s="78"/>
      <c r="CJ130" s="78"/>
      <c r="CK130" s="78"/>
      <c r="CL130" s="78"/>
      <c r="CM130" s="78"/>
      <c r="CN130" s="78"/>
      <c r="CO130" s="78"/>
      <c r="CP130" s="78"/>
      <c r="CQ130" s="78"/>
      <c r="CR130" s="78"/>
      <c r="CS130" s="78"/>
      <c r="CT130" s="78"/>
      <c r="CU130" s="78"/>
      <c r="CV130" s="78"/>
      <c r="CW130" s="78"/>
      <c r="CX130" s="78"/>
      <c r="CY130" s="78"/>
      <c r="CZ130" s="78"/>
      <c r="DA130" s="78"/>
      <c r="DB130" s="78"/>
      <c r="DC130" s="78"/>
      <c r="DD130" s="78"/>
      <c r="DE130" s="78"/>
      <c r="DF130" s="78"/>
      <c r="DG130" s="78"/>
      <c r="DH130" s="78"/>
      <c r="DI130" s="78"/>
      <c r="DJ130" s="78"/>
      <c r="DK130" s="78"/>
      <c r="DL130" s="78"/>
      <c r="DM130" s="78"/>
      <c r="DN130" s="78"/>
      <c r="DO130" s="78"/>
      <c r="DP130" s="78"/>
      <c r="DQ130" s="78"/>
      <c r="DR130" s="78"/>
      <c r="DS130" s="78"/>
      <c r="DT130" s="78"/>
      <c r="DU130" s="78"/>
      <c r="DV130" s="78"/>
      <c r="DW130" s="78"/>
      <c r="DX130" s="78"/>
      <c r="DY130" s="78"/>
      <c r="DZ130" s="78"/>
      <c r="EA130" s="78"/>
      <c r="EB130" s="78"/>
      <c r="EC130" s="78"/>
      <c r="ED130" s="78"/>
      <c r="EE130" s="78"/>
      <c r="EF130" s="78"/>
      <c r="EG130" s="78"/>
      <c r="EH130" s="78"/>
      <c r="EI130" s="78"/>
    </row>
    <row r="131" spans="2:139" ht="12.75" customHeight="1">
      <c r="B131" s="41" t="s">
        <v>589</v>
      </c>
      <c r="C131" s="211"/>
      <c r="D131" s="203">
        <f>SUMIF($S$6:$EI$6,D$5,$S131:$EI131)</f>
        <v>0</v>
      </c>
      <c r="E131" s="203"/>
      <c r="F131" s="203"/>
      <c r="G131" s="203"/>
      <c r="H131" s="203"/>
      <c r="I131" s="203"/>
      <c r="J131" s="203"/>
      <c r="K131" s="203"/>
      <c r="L131" s="203"/>
      <c r="M131" s="203"/>
      <c r="N131" s="203"/>
      <c r="O131" s="853">
        <f>SUM(D131:N131)</f>
        <v>0</v>
      </c>
      <c r="P131" s="313"/>
      <c r="Q131" s="313"/>
      <c r="R131" s="313"/>
      <c r="S131" s="845">
        <f>-Assum1Fee*S138</f>
        <v>0</v>
      </c>
      <c r="T131" s="845"/>
      <c r="U131" s="845"/>
      <c r="V131" s="845"/>
      <c r="W131" s="845"/>
      <c r="X131" s="845"/>
      <c r="Y131" s="845"/>
      <c r="Z131" s="845"/>
      <c r="AA131" s="845"/>
      <c r="AB131" s="845"/>
      <c r="AC131" s="845"/>
      <c r="AD131" s="845"/>
      <c r="AE131" s="845"/>
      <c r="AF131" s="845"/>
      <c r="AG131" s="845"/>
      <c r="AH131" s="845"/>
      <c r="AI131" s="845"/>
      <c r="AJ131" s="845"/>
      <c r="AK131" s="845"/>
      <c r="AL131" s="845"/>
      <c r="AM131" s="845"/>
      <c r="AN131" s="845"/>
      <c r="AO131" s="845"/>
      <c r="AP131" s="845"/>
      <c r="AQ131" s="845"/>
      <c r="AR131" s="845"/>
      <c r="AS131" s="845"/>
      <c r="AT131" s="845"/>
      <c r="AU131" s="845"/>
      <c r="AV131" s="845"/>
      <c r="AW131" s="845"/>
      <c r="AX131" s="845"/>
      <c r="AY131" s="845"/>
      <c r="AZ131" s="845"/>
      <c r="BA131" s="845"/>
      <c r="BB131" s="845"/>
      <c r="BC131" s="845"/>
      <c r="BD131" s="845"/>
      <c r="BE131" s="845"/>
      <c r="BF131" s="845"/>
      <c r="BG131" s="845"/>
      <c r="BH131" s="845"/>
      <c r="BI131" s="845"/>
      <c r="BJ131" s="845"/>
      <c r="BK131" s="845"/>
      <c r="BL131" s="845"/>
      <c r="BM131" s="845"/>
      <c r="BN131" s="845"/>
      <c r="BO131" s="845"/>
      <c r="BP131" s="845"/>
      <c r="BQ131" s="845"/>
      <c r="BR131" s="845"/>
      <c r="BS131" s="845"/>
      <c r="BT131" s="845"/>
      <c r="BU131" s="845"/>
      <c r="BV131" s="845"/>
      <c r="BW131" s="845"/>
      <c r="BX131" s="845"/>
      <c r="BY131" s="845"/>
      <c r="BZ131" s="845"/>
      <c r="CA131" s="845"/>
      <c r="CB131" s="845"/>
      <c r="CC131" s="845"/>
      <c r="CD131" s="845"/>
      <c r="CE131" s="845"/>
      <c r="CF131" s="845"/>
      <c r="CG131" s="845"/>
      <c r="CH131" s="845"/>
      <c r="CI131" s="845"/>
      <c r="CJ131" s="845"/>
      <c r="CK131" s="845"/>
      <c r="CL131" s="845"/>
      <c r="CM131" s="845"/>
      <c r="CN131" s="845"/>
      <c r="CO131" s="845"/>
      <c r="CP131" s="845"/>
      <c r="CQ131" s="845"/>
      <c r="CR131" s="845"/>
      <c r="CS131" s="845"/>
      <c r="CT131" s="845"/>
      <c r="CU131" s="845"/>
      <c r="CV131" s="845"/>
      <c r="CW131" s="845"/>
      <c r="CX131" s="845"/>
      <c r="CY131" s="845"/>
      <c r="CZ131" s="845"/>
      <c r="DA131" s="845"/>
      <c r="DB131" s="845"/>
      <c r="DC131" s="845"/>
      <c r="DD131" s="845"/>
      <c r="DE131" s="845"/>
      <c r="DF131" s="845"/>
      <c r="DG131" s="845"/>
      <c r="DH131" s="845"/>
      <c r="DI131" s="845"/>
      <c r="DJ131" s="845"/>
      <c r="DK131" s="845"/>
      <c r="DL131" s="845"/>
      <c r="DM131" s="845"/>
      <c r="DN131" s="845"/>
      <c r="DO131" s="845"/>
      <c r="DP131" s="845"/>
      <c r="DQ131" s="845"/>
      <c r="DR131" s="845"/>
      <c r="DS131" s="845"/>
      <c r="DT131" s="845"/>
      <c r="DU131" s="845"/>
      <c r="DV131" s="845"/>
      <c r="DW131" s="845"/>
      <c r="DX131" s="845"/>
      <c r="DY131" s="845"/>
      <c r="DZ131" s="845"/>
      <c r="EA131" s="845"/>
      <c r="EB131" s="845"/>
      <c r="EC131" s="845"/>
      <c r="ED131" s="845"/>
      <c r="EE131" s="845"/>
      <c r="EF131" s="845"/>
      <c r="EG131" s="845"/>
      <c r="EH131" s="845"/>
      <c r="EI131" s="845"/>
    </row>
    <row r="132" spans="2:139" ht="12.75" customHeight="1">
      <c r="B132" s="41" t="s">
        <v>590</v>
      </c>
      <c r="C132" s="211"/>
      <c r="D132" s="203"/>
      <c r="E132" s="203">
        <f t="shared" ref="E132:N133" si="188">SUMIF($S$6:$EI$6,E$5,$S132:$EI132)</f>
        <v>0</v>
      </c>
      <c r="F132" s="203">
        <f t="shared" si="188"/>
        <v>0</v>
      </c>
      <c r="G132" s="203">
        <f t="shared" si="188"/>
        <v>0</v>
      </c>
      <c r="H132" s="203">
        <f t="shared" si="188"/>
        <v>0</v>
      </c>
      <c r="I132" s="203">
        <f t="shared" si="188"/>
        <v>0</v>
      </c>
      <c r="J132" s="203">
        <f t="shared" si="188"/>
        <v>0</v>
      </c>
      <c r="K132" s="203">
        <f t="shared" si="188"/>
        <v>0</v>
      </c>
      <c r="L132" s="203">
        <f t="shared" si="188"/>
        <v>0</v>
      </c>
      <c r="M132" s="203">
        <f t="shared" si="188"/>
        <v>0</v>
      </c>
      <c r="N132" s="203">
        <f t="shared" si="188"/>
        <v>0</v>
      </c>
      <c r="O132" s="853">
        <f>SUM(D132:N132)</f>
        <v>0</v>
      </c>
      <c r="P132" s="313"/>
      <c r="Q132" s="313"/>
      <c r="R132" s="313"/>
      <c r="S132" s="845"/>
      <c r="T132" s="845">
        <f t="shared" ref="T132:AY132" si="189">-T146*T137/12</f>
        <v>0</v>
      </c>
      <c r="U132" s="845">
        <f t="shared" si="189"/>
        <v>0</v>
      </c>
      <c r="V132" s="845">
        <f t="shared" si="189"/>
        <v>0</v>
      </c>
      <c r="W132" s="845">
        <f t="shared" si="189"/>
        <v>0</v>
      </c>
      <c r="X132" s="845">
        <f t="shared" si="189"/>
        <v>0</v>
      </c>
      <c r="Y132" s="845">
        <f t="shared" si="189"/>
        <v>0</v>
      </c>
      <c r="Z132" s="845">
        <f t="shared" si="189"/>
        <v>0</v>
      </c>
      <c r="AA132" s="845">
        <f t="shared" si="189"/>
        <v>0</v>
      </c>
      <c r="AB132" s="845">
        <f t="shared" si="189"/>
        <v>0</v>
      </c>
      <c r="AC132" s="845">
        <f t="shared" si="189"/>
        <v>0</v>
      </c>
      <c r="AD132" s="845">
        <f t="shared" si="189"/>
        <v>0</v>
      </c>
      <c r="AE132" s="845">
        <f t="shared" si="189"/>
        <v>0</v>
      </c>
      <c r="AF132" s="845">
        <f t="shared" si="189"/>
        <v>0</v>
      </c>
      <c r="AG132" s="845">
        <f t="shared" si="189"/>
        <v>0</v>
      </c>
      <c r="AH132" s="845">
        <f t="shared" si="189"/>
        <v>0</v>
      </c>
      <c r="AI132" s="845">
        <f t="shared" si="189"/>
        <v>0</v>
      </c>
      <c r="AJ132" s="845">
        <f t="shared" si="189"/>
        <v>0</v>
      </c>
      <c r="AK132" s="845">
        <f t="shared" si="189"/>
        <v>0</v>
      </c>
      <c r="AL132" s="845">
        <f t="shared" si="189"/>
        <v>0</v>
      </c>
      <c r="AM132" s="845">
        <f t="shared" si="189"/>
        <v>0</v>
      </c>
      <c r="AN132" s="845">
        <f t="shared" si="189"/>
        <v>0</v>
      </c>
      <c r="AO132" s="845">
        <f t="shared" si="189"/>
        <v>0</v>
      </c>
      <c r="AP132" s="845">
        <f t="shared" si="189"/>
        <v>0</v>
      </c>
      <c r="AQ132" s="845">
        <f t="shared" si="189"/>
        <v>0</v>
      </c>
      <c r="AR132" s="845">
        <f t="shared" si="189"/>
        <v>0</v>
      </c>
      <c r="AS132" s="845">
        <f t="shared" si="189"/>
        <v>0</v>
      </c>
      <c r="AT132" s="845">
        <f t="shared" si="189"/>
        <v>0</v>
      </c>
      <c r="AU132" s="845">
        <f t="shared" si="189"/>
        <v>0</v>
      </c>
      <c r="AV132" s="845">
        <f t="shared" si="189"/>
        <v>0</v>
      </c>
      <c r="AW132" s="845">
        <f t="shared" si="189"/>
        <v>0</v>
      </c>
      <c r="AX132" s="845">
        <f t="shared" si="189"/>
        <v>0</v>
      </c>
      <c r="AY132" s="845">
        <f t="shared" si="189"/>
        <v>0</v>
      </c>
      <c r="AZ132" s="845">
        <f t="shared" ref="AZ132:CE132" si="190">-AZ146*AZ137/12</f>
        <v>0</v>
      </c>
      <c r="BA132" s="845">
        <f t="shared" si="190"/>
        <v>0</v>
      </c>
      <c r="BB132" s="845">
        <f t="shared" si="190"/>
        <v>0</v>
      </c>
      <c r="BC132" s="845">
        <f t="shared" si="190"/>
        <v>0</v>
      </c>
      <c r="BD132" s="845">
        <f t="shared" si="190"/>
        <v>0</v>
      </c>
      <c r="BE132" s="845">
        <f t="shared" si="190"/>
        <v>0</v>
      </c>
      <c r="BF132" s="845">
        <f t="shared" si="190"/>
        <v>0</v>
      </c>
      <c r="BG132" s="845">
        <f t="shared" si="190"/>
        <v>0</v>
      </c>
      <c r="BH132" s="845">
        <f t="shared" si="190"/>
        <v>0</v>
      </c>
      <c r="BI132" s="845">
        <f t="shared" si="190"/>
        <v>0</v>
      </c>
      <c r="BJ132" s="845">
        <f t="shared" si="190"/>
        <v>0</v>
      </c>
      <c r="BK132" s="845">
        <f t="shared" si="190"/>
        <v>0</v>
      </c>
      <c r="BL132" s="845">
        <f t="shared" si="190"/>
        <v>0</v>
      </c>
      <c r="BM132" s="845">
        <f t="shared" si="190"/>
        <v>0</v>
      </c>
      <c r="BN132" s="845">
        <f t="shared" si="190"/>
        <v>0</v>
      </c>
      <c r="BO132" s="845">
        <f t="shared" si="190"/>
        <v>0</v>
      </c>
      <c r="BP132" s="845">
        <f t="shared" si="190"/>
        <v>0</v>
      </c>
      <c r="BQ132" s="845">
        <f t="shared" si="190"/>
        <v>0</v>
      </c>
      <c r="BR132" s="845">
        <f t="shared" si="190"/>
        <v>0</v>
      </c>
      <c r="BS132" s="845">
        <f t="shared" si="190"/>
        <v>0</v>
      </c>
      <c r="BT132" s="845">
        <f t="shared" si="190"/>
        <v>0</v>
      </c>
      <c r="BU132" s="845">
        <f t="shared" si="190"/>
        <v>0</v>
      </c>
      <c r="BV132" s="845">
        <f t="shared" si="190"/>
        <v>0</v>
      </c>
      <c r="BW132" s="845">
        <f t="shared" si="190"/>
        <v>0</v>
      </c>
      <c r="BX132" s="845">
        <f t="shared" si="190"/>
        <v>0</v>
      </c>
      <c r="BY132" s="845">
        <f t="shared" si="190"/>
        <v>0</v>
      </c>
      <c r="BZ132" s="845">
        <f t="shared" si="190"/>
        <v>0</v>
      </c>
      <c r="CA132" s="845">
        <f t="shared" si="190"/>
        <v>0</v>
      </c>
      <c r="CB132" s="845">
        <f t="shared" si="190"/>
        <v>0</v>
      </c>
      <c r="CC132" s="845">
        <f t="shared" si="190"/>
        <v>0</v>
      </c>
      <c r="CD132" s="845">
        <f t="shared" si="190"/>
        <v>0</v>
      </c>
      <c r="CE132" s="845">
        <f t="shared" si="190"/>
        <v>0</v>
      </c>
      <c r="CF132" s="845">
        <f t="shared" ref="CF132:DK132" si="191">-CF146*CF137/12</f>
        <v>0</v>
      </c>
      <c r="CG132" s="845">
        <f t="shared" si="191"/>
        <v>0</v>
      </c>
      <c r="CH132" s="845">
        <f t="shared" si="191"/>
        <v>0</v>
      </c>
      <c r="CI132" s="845">
        <f t="shared" si="191"/>
        <v>0</v>
      </c>
      <c r="CJ132" s="845">
        <f t="shared" si="191"/>
        <v>0</v>
      </c>
      <c r="CK132" s="845">
        <f t="shared" si="191"/>
        <v>0</v>
      </c>
      <c r="CL132" s="845">
        <f t="shared" si="191"/>
        <v>0</v>
      </c>
      <c r="CM132" s="845">
        <f t="shared" si="191"/>
        <v>0</v>
      </c>
      <c r="CN132" s="845">
        <f t="shared" si="191"/>
        <v>0</v>
      </c>
      <c r="CO132" s="845">
        <f t="shared" si="191"/>
        <v>0</v>
      </c>
      <c r="CP132" s="845">
        <f t="shared" si="191"/>
        <v>0</v>
      </c>
      <c r="CQ132" s="845">
        <f t="shared" si="191"/>
        <v>0</v>
      </c>
      <c r="CR132" s="845">
        <f t="shared" si="191"/>
        <v>0</v>
      </c>
      <c r="CS132" s="845">
        <f t="shared" si="191"/>
        <v>0</v>
      </c>
      <c r="CT132" s="845">
        <f t="shared" si="191"/>
        <v>0</v>
      </c>
      <c r="CU132" s="845">
        <f t="shared" si="191"/>
        <v>0</v>
      </c>
      <c r="CV132" s="845">
        <f t="shared" si="191"/>
        <v>0</v>
      </c>
      <c r="CW132" s="845">
        <f t="shared" si="191"/>
        <v>0</v>
      </c>
      <c r="CX132" s="845">
        <f t="shared" si="191"/>
        <v>0</v>
      </c>
      <c r="CY132" s="845">
        <f t="shared" si="191"/>
        <v>0</v>
      </c>
      <c r="CZ132" s="845">
        <f t="shared" si="191"/>
        <v>0</v>
      </c>
      <c r="DA132" s="845">
        <f t="shared" si="191"/>
        <v>0</v>
      </c>
      <c r="DB132" s="845">
        <f t="shared" si="191"/>
        <v>0</v>
      </c>
      <c r="DC132" s="845">
        <f t="shared" si="191"/>
        <v>0</v>
      </c>
      <c r="DD132" s="845">
        <f t="shared" si="191"/>
        <v>0</v>
      </c>
      <c r="DE132" s="845">
        <f t="shared" si="191"/>
        <v>0</v>
      </c>
      <c r="DF132" s="845">
        <f t="shared" si="191"/>
        <v>0</v>
      </c>
      <c r="DG132" s="845">
        <f t="shared" si="191"/>
        <v>0</v>
      </c>
      <c r="DH132" s="845">
        <f t="shared" si="191"/>
        <v>0</v>
      </c>
      <c r="DI132" s="845">
        <f t="shared" si="191"/>
        <v>0</v>
      </c>
      <c r="DJ132" s="845">
        <f t="shared" si="191"/>
        <v>0</v>
      </c>
      <c r="DK132" s="845">
        <f t="shared" si="191"/>
        <v>0</v>
      </c>
      <c r="DL132" s="845">
        <f t="shared" ref="DL132:EI132" si="192">-DL146*DL137/12</f>
        <v>0</v>
      </c>
      <c r="DM132" s="845">
        <f t="shared" si="192"/>
        <v>0</v>
      </c>
      <c r="DN132" s="845">
        <f t="shared" si="192"/>
        <v>0</v>
      </c>
      <c r="DO132" s="845">
        <f t="shared" si="192"/>
        <v>0</v>
      </c>
      <c r="DP132" s="845">
        <f t="shared" si="192"/>
        <v>0</v>
      </c>
      <c r="DQ132" s="845">
        <f t="shared" si="192"/>
        <v>0</v>
      </c>
      <c r="DR132" s="845">
        <f t="shared" si="192"/>
        <v>0</v>
      </c>
      <c r="DS132" s="845">
        <f t="shared" si="192"/>
        <v>0</v>
      </c>
      <c r="DT132" s="845">
        <f t="shared" si="192"/>
        <v>0</v>
      </c>
      <c r="DU132" s="845">
        <f t="shared" si="192"/>
        <v>0</v>
      </c>
      <c r="DV132" s="845">
        <f t="shared" si="192"/>
        <v>0</v>
      </c>
      <c r="DW132" s="845">
        <f t="shared" si="192"/>
        <v>0</v>
      </c>
      <c r="DX132" s="845">
        <f t="shared" si="192"/>
        <v>0</v>
      </c>
      <c r="DY132" s="845">
        <f t="shared" si="192"/>
        <v>0</v>
      </c>
      <c r="DZ132" s="845">
        <f t="shared" si="192"/>
        <v>0</v>
      </c>
      <c r="EA132" s="845">
        <f t="shared" si="192"/>
        <v>0</v>
      </c>
      <c r="EB132" s="845">
        <f t="shared" si="192"/>
        <v>0</v>
      </c>
      <c r="EC132" s="845">
        <f t="shared" si="192"/>
        <v>0</v>
      </c>
      <c r="ED132" s="845">
        <f t="shared" si="192"/>
        <v>0</v>
      </c>
      <c r="EE132" s="845">
        <f t="shared" si="192"/>
        <v>0</v>
      </c>
      <c r="EF132" s="845">
        <f t="shared" si="192"/>
        <v>0</v>
      </c>
      <c r="EG132" s="845">
        <f t="shared" si="192"/>
        <v>0</v>
      </c>
      <c r="EH132" s="845">
        <f t="shared" si="192"/>
        <v>0</v>
      </c>
      <c r="EI132" s="845">
        <f t="shared" si="192"/>
        <v>0</v>
      </c>
    </row>
    <row r="133" spans="2:139" ht="12.75" customHeight="1">
      <c r="B133" s="41" t="s">
        <v>591</v>
      </c>
      <c r="C133" s="211"/>
      <c r="D133" s="203">
        <f>SUMIF($S$6:$EI$6,D$5,$S133:$EI133)</f>
        <v>0</v>
      </c>
      <c r="E133" s="203">
        <f t="shared" si="188"/>
        <v>0</v>
      </c>
      <c r="F133" s="203">
        <f t="shared" si="188"/>
        <v>0</v>
      </c>
      <c r="G133" s="203">
        <f t="shared" si="188"/>
        <v>0</v>
      </c>
      <c r="H133" s="203">
        <f t="shared" si="188"/>
        <v>0</v>
      </c>
      <c r="I133" s="203">
        <f t="shared" si="188"/>
        <v>0</v>
      </c>
      <c r="J133" s="203">
        <f t="shared" si="188"/>
        <v>0</v>
      </c>
      <c r="K133" s="203">
        <f t="shared" si="188"/>
        <v>0</v>
      </c>
      <c r="L133" s="203">
        <f t="shared" si="188"/>
        <v>0</v>
      </c>
      <c r="M133" s="203">
        <f t="shared" si="188"/>
        <v>0</v>
      </c>
      <c r="N133" s="203">
        <f t="shared" si="188"/>
        <v>0</v>
      </c>
      <c r="O133" s="853">
        <f>SUM(D133:N133)</f>
        <v>0</v>
      </c>
      <c r="P133" s="313"/>
      <c r="Q133" s="313"/>
      <c r="R133" s="313"/>
      <c r="S133" s="845"/>
      <c r="T133" s="845">
        <f t="shared" ref="T133:AY133" si="193">-Assum1PrpyFee*(T140&lt;&gt;0)</f>
        <v>0</v>
      </c>
      <c r="U133" s="845">
        <f t="shared" si="193"/>
        <v>0</v>
      </c>
      <c r="V133" s="845">
        <f t="shared" si="193"/>
        <v>0</v>
      </c>
      <c r="W133" s="845">
        <f t="shared" si="193"/>
        <v>0</v>
      </c>
      <c r="X133" s="845">
        <f t="shared" si="193"/>
        <v>0</v>
      </c>
      <c r="Y133" s="845">
        <f t="shared" si="193"/>
        <v>0</v>
      </c>
      <c r="Z133" s="845">
        <f t="shared" si="193"/>
        <v>0</v>
      </c>
      <c r="AA133" s="845">
        <f t="shared" si="193"/>
        <v>0</v>
      </c>
      <c r="AB133" s="845">
        <f t="shared" si="193"/>
        <v>0</v>
      </c>
      <c r="AC133" s="845">
        <f t="shared" si="193"/>
        <v>0</v>
      </c>
      <c r="AD133" s="845">
        <f t="shared" si="193"/>
        <v>0</v>
      </c>
      <c r="AE133" s="845">
        <f t="shared" si="193"/>
        <v>0</v>
      </c>
      <c r="AF133" s="845">
        <f t="shared" si="193"/>
        <v>0</v>
      </c>
      <c r="AG133" s="845">
        <f t="shared" si="193"/>
        <v>0</v>
      </c>
      <c r="AH133" s="845">
        <f t="shared" si="193"/>
        <v>0</v>
      </c>
      <c r="AI133" s="845">
        <f t="shared" si="193"/>
        <v>0</v>
      </c>
      <c r="AJ133" s="845">
        <f t="shared" si="193"/>
        <v>0</v>
      </c>
      <c r="AK133" s="845">
        <f t="shared" si="193"/>
        <v>0</v>
      </c>
      <c r="AL133" s="845">
        <f t="shared" si="193"/>
        <v>0</v>
      </c>
      <c r="AM133" s="845">
        <f t="shared" si="193"/>
        <v>0</v>
      </c>
      <c r="AN133" s="845">
        <f t="shared" si="193"/>
        <v>0</v>
      </c>
      <c r="AO133" s="845">
        <f t="shared" si="193"/>
        <v>0</v>
      </c>
      <c r="AP133" s="845">
        <f t="shared" si="193"/>
        <v>0</v>
      </c>
      <c r="AQ133" s="845">
        <f t="shared" si="193"/>
        <v>0</v>
      </c>
      <c r="AR133" s="845">
        <f t="shared" si="193"/>
        <v>0</v>
      </c>
      <c r="AS133" s="845">
        <f t="shared" si="193"/>
        <v>0</v>
      </c>
      <c r="AT133" s="845">
        <f t="shared" si="193"/>
        <v>0</v>
      </c>
      <c r="AU133" s="845">
        <f t="shared" si="193"/>
        <v>0</v>
      </c>
      <c r="AV133" s="845">
        <f t="shared" si="193"/>
        <v>0</v>
      </c>
      <c r="AW133" s="845">
        <f t="shared" si="193"/>
        <v>0</v>
      </c>
      <c r="AX133" s="845">
        <f t="shared" si="193"/>
        <v>0</v>
      </c>
      <c r="AY133" s="845">
        <f t="shared" si="193"/>
        <v>0</v>
      </c>
      <c r="AZ133" s="845">
        <f t="shared" ref="AZ133:CE133" si="194">-Assum1PrpyFee*(AZ140&lt;&gt;0)</f>
        <v>0</v>
      </c>
      <c r="BA133" s="845">
        <f t="shared" si="194"/>
        <v>0</v>
      </c>
      <c r="BB133" s="845">
        <f t="shared" si="194"/>
        <v>0</v>
      </c>
      <c r="BC133" s="845">
        <f t="shared" si="194"/>
        <v>0</v>
      </c>
      <c r="BD133" s="845">
        <f t="shared" si="194"/>
        <v>0</v>
      </c>
      <c r="BE133" s="845">
        <f t="shared" si="194"/>
        <v>0</v>
      </c>
      <c r="BF133" s="845">
        <f t="shared" si="194"/>
        <v>0</v>
      </c>
      <c r="BG133" s="845">
        <f t="shared" si="194"/>
        <v>0</v>
      </c>
      <c r="BH133" s="845">
        <f t="shared" si="194"/>
        <v>0</v>
      </c>
      <c r="BI133" s="845">
        <f t="shared" si="194"/>
        <v>0</v>
      </c>
      <c r="BJ133" s="845">
        <f t="shared" si="194"/>
        <v>0</v>
      </c>
      <c r="BK133" s="845">
        <f t="shared" si="194"/>
        <v>0</v>
      </c>
      <c r="BL133" s="845">
        <f t="shared" si="194"/>
        <v>0</v>
      </c>
      <c r="BM133" s="845">
        <f t="shared" si="194"/>
        <v>0</v>
      </c>
      <c r="BN133" s="845">
        <f t="shared" si="194"/>
        <v>0</v>
      </c>
      <c r="BO133" s="845">
        <f t="shared" si="194"/>
        <v>0</v>
      </c>
      <c r="BP133" s="845">
        <f t="shared" si="194"/>
        <v>0</v>
      </c>
      <c r="BQ133" s="845">
        <f t="shared" si="194"/>
        <v>0</v>
      </c>
      <c r="BR133" s="845">
        <f t="shared" si="194"/>
        <v>0</v>
      </c>
      <c r="BS133" s="845">
        <f t="shared" si="194"/>
        <v>0</v>
      </c>
      <c r="BT133" s="845">
        <f t="shared" si="194"/>
        <v>0</v>
      </c>
      <c r="BU133" s="845">
        <f t="shared" si="194"/>
        <v>0</v>
      </c>
      <c r="BV133" s="845">
        <f t="shared" si="194"/>
        <v>0</v>
      </c>
      <c r="BW133" s="845">
        <f t="shared" si="194"/>
        <v>0</v>
      </c>
      <c r="BX133" s="845">
        <f t="shared" si="194"/>
        <v>0</v>
      </c>
      <c r="BY133" s="845">
        <f t="shared" si="194"/>
        <v>0</v>
      </c>
      <c r="BZ133" s="845">
        <f t="shared" si="194"/>
        <v>0</v>
      </c>
      <c r="CA133" s="845">
        <f t="shared" si="194"/>
        <v>0</v>
      </c>
      <c r="CB133" s="845">
        <f t="shared" si="194"/>
        <v>0</v>
      </c>
      <c r="CC133" s="845">
        <f t="shared" si="194"/>
        <v>0</v>
      </c>
      <c r="CD133" s="845">
        <f t="shared" si="194"/>
        <v>0</v>
      </c>
      <c r="CE133" s="845">
        <f t="shared" si="194"/>
        <v>0</v>
      </c>
      <c r="CF133" s="845">
        <f t="shared" ref="CF133:DK133" si="195">-Assum1PrpyFee*(CF140&lt;&gt;0)</f>
        <v>0</v>
      </c>
      <c r="CG133" s="845">
        <f t="shared" si="195"/>
        <v>0</v>
      </c>
      <c r="CH133" s="845">
        <f t="shared" si="195"/>
        <v>0</v>
      </c>
      <c r="CI133" s="845">
        <f t="shared" si="195"/>
        <v>0</v>
      </c>
      <c r="CJ133" s="845">
        <f t="shared" si="195"/>
        <v>0</v>
      </c>
      <c r="CK133" s="845">
        <f t="shared" si="195"/>
        <v>0</v>
      </c>
      <c r="CL133" s="845">
        <f t="shared" si="195"/>
        <v>0</v>
      </c>
      <c r="CM133" s="845">
        <f t="shared" si="195"/>
        <v>0</v>
      </c>
      <c r="CN133" s="845">
        <f t="shared" si="195"/>
        <v>0</v>
      </c>
      <c r="CO133" s="845">
        <f t="shared" si="195"/>
        <v>0</v>
      </c>
      <c r="CP133" s="845">
        <f t="shared" si="195"/>
        <v>0</v>
      </c>
      <c r="CQ133" s="845">
        <f t="shared" si="195"/>
        <v>0</v>
      </c>
      <c r="CR133" s="845">
        <f t="shared" si="195"/>
        <v>0</v>
      </c>
      <c r="CS133" s="845">
        <f t="shared" si="195"/>
        <v>0</v>
      </c>
      <c r="CT133" s="845">
        <f t="shared" si="195"/>
        <v>0</v>
      </c>
      <c r="CU133" s="845">
        <f t="shared" si="195"/>
        <v>0</v>
      </c>
      <c r="CV133" s="845">
        <f t="shared" si="195"/>
        <v>0</v>
      </c>
      <c r="CW133" s="845">
        <f t="shared" si="195"/>
        <v>0</v>
      </c>
      <c r="CX133" s="845">
        <f t="shared" si="195"/>
        <v>0</v>
      </c>
      <c r="CY133" s="845">
        <f t="shared" si="195"/>
        <v>0</v>
      </c>
      <c r="CZ133" s="845">
        <f t="shared" si="195"/>
        <v>0</v>
      </c>
      <c r="DA133" s="845">
        <f t="shared" si="195"/>
        <v>0</v>
      </c>
      <c r="DB133" s="845">
        <f t="shared" si="195"/>
        <v>0</v>
      </c>
      <c r="DC133" s="845">
        <f t="shared" si="195"/>
        <v>0</v>
      </c>
      <c r="DD133" s="845">
        <f t="shared" si="195"/>
        <v>0</v>
      </c>
      <c r="DE133" s="845">
        <f t="shared" si="195"/>
        <v>0</v>
      </c>
      <c r="DF133" s="845">
        <f t="shared" si="195"/>
        <v>0</v>
      </c>
      <c r="DG133" s="845">
        <f t="shared" si="195"/>
        <v>0</v>
      </c>
      <c r="DH133" s="845">
        <f t="shared" si="195"/>
        <v>0</v>
      </c>
      <c r="DI133" s="845">
        <f t="shared" si="195"/>
        <v>0</v>
      </c>
      <c r="DJ133" s="845">
        <f t="shared" si="195"/>
        <v>0</v>
      </c>
      <c r="DK133" s="845">
        <f t="shared" si="195"/>
        <v>0</v>
      </c>
      <c r="DL133" s="845">
        <f t="shared" ref="DL133:EI133" si="196">-Assum1PrpyFee*(DL140&lt;&gt;0)</f>
        <v>0</v>
      </c>
      <c r="DM133" s="845">
        <f t="shared" si="196"/>
        <v>0</v>
      </c>
      <c r="DN133" s="845">
        <f t="shared" si="196"/>
        <v>0</v>
      </c>
      <c r="DO133" s="845">
        <f t="shared" si="196"/>
        <v>0</v>
      </c>
      <c r="DP133" s="845">
        <f t="shared" si="196"/>
        <v>0</v>
      </c>
      <c r="DQ133" s="845">
        <f t="shared" si="196"/>
        <v>0</v>
      </c>
      <c r="DR133" s="845">
        <f t="shared" si="196"/>
        <v>0</v>
      </c>
      <c r="DS133" s="845">
        <f t="shared" si="196"/>
        <v>0</v>
      </c>
      <c r="DT133" s="845">
        <f t="shared" si="196"/>
        <v>0</v>
      </c>
      <c r="DU133" s="845">
        <f t="shared" si="196"/>
        <v>0</v>
      </c>
      <c r="DV133" s="845">
        <f t="shared" si="196"/>
        <v>0</v>
      </c>
      <c r="DW133" s="845">
        <f t="shared" si="196"/>
        <v>0</v>
      </c>
      <c r="DX133" s="845">
        <f t="shared" si="196"/>
        <v>0</v>
      </c>
      <c r="DY133" s="845">
        <f t="shared" si="196"/>
        <v>0</v>
      </c>
      <c r="DZ133" s="845">
        <f t="shared" si="196"/>
        <v>0</v>
      </c>
      <c r="EA133" s="845">
        <f t="shared" si="196"/>
        <v>0</v>
      </c>
      <c r="EB133" s="845">
        <f t="shared" si="196"/>
        <v>0</v>
      </c>
      <c r="EC133" s="845">
        <f t="shared" si="196"/>
        <v>0</v>
      </c>
      <c r="ED133" s="845">
        <f t="shared" si="196"/>
        <v>0</v>
      </c>
      <c r="EE133" s="845">
        <f t="shared" si="196"/>
        <v>0</v>
      </c>
      <c r="EF133" s="845">
        <f t="shared" si="196"/>
        <v>0</v>
      </c>
      <c r="EG133" s="845">
        <f t="shared" si="196"/>
        <v>0</v>
      </c>
      <c r="EH133" s="845">
        <f t="shared" si="196"/>
        <v>0</v>
      </c>
      <c r="EI133" s="845">
        <f t="shared" si="196"/>
        <v>0</v>
      </c>
    </row>
    <row r="134" spans="2:139" ht="12.75" customHeight="1">
      <c r="B134" s="46" t="s">
        <v>231</v>
      </c>
      <c r="C134" s="209"/>
      <c r="D134" s="854">
        <f t="shared" ref="D134:O134" si="197">SUBTOTAL(9,D131:D133)</f>
        <v>0</v>
      </c>
      <c r="E134" s="854">
        <f t="shared" si="197"/>
        <v>0</v>
      </c>
      <c r="F134" s="854">
        <f t="shared" si="197"/>
        <v>0</v>
      </c>
      <c r="G134" s="854">
        <f t="shared" si="197"/>
        <v>0</v>
      </c>
      <c r="H134" s="854">
        <f t="shared" si="197"/>
        <v>0</v>
      </c>
      <c r="I134" s="854">
        <f t="shared" si="197"/>
        <v>0</v>
      </c>
      <c r="J134" s="854">
        <f t="shared" si="197"/>
        <v>0</v>
      </c>
      <c r="K134" s="854">
        <f t="shared" si="197"/>
        <v>0</v>
      </c>
      <c r="L134" s="854">
        <f t="shared" si="197"/>
        <v>0</v>
      </c>
      <c r="M134" s="854">
        <f t="shared" si="197"/>
        <v>0</v>
      </c>
      <c r="N134" s="854">
        <f t="shared" si="197"/>
        <v>0</v>
      </c>
      <c r="O134" s="855">
        <f t="shared" si="197"/>
        <v>0</v>
      </c>
      <c r="P134" s="313"/>
      <c r="Q134" s="313"/>
      <c r="R134" s="313"/>
      <c r="S134" s="856">
        <f t="shared" ref="S134:AX134" si="198">SUBTOTAL(9,S131:S133)</f>
        <v>0</v>
      </c>
      <c r="T134" s="856">
        <f t="shared" si="198"/>
        <v>0</v>
      </c>
      <c r="U134" s="856">
        <f t="shared" si="198"/>
        <v>0</v>
      </c>
      <c r="V134" s="856">
        <f t="shared" si="198"/>
        <v>0</v>
      </c>
      <c r="W134" s="856">
        <f t="shared" si="198"/>
        <v>0</v>
      </c>
      <c r="X134" s="856">
        <f t="shared" si="198"/>
        <v>0</v>
      </c>
      <c r="Y134" s="856">
        <f t="shared" si="198"/>
        <v>0</v>
      </c>
      <c r="Z134" s="856">
        <f t="shared" si="198"/>
        <v>0</v>
      </c>
      <c r="AA134" s="856">
        <f t="shared" si="198"/>
        <v>0</v>
      </c>
      <c r="AB134" s="856">
        <f t="shared" si="198"/>
        <v>0</v>
      </c>
      <c r="AC134" s="856">
        <f t="shared" si="198"/>
        <v>0</v>
      </c>
      <c r="AD134" s="856">
        <f t="shared" si="198"/>
        <v>0</v>
      </c>
      <c r="AE134" s="856">
        <f t="shared" si="198"/>
        <v>0</v>
      </c>
      <c r="AF134" s="856">
        <f t="shared" si="198"/>
        <v>0</v>
      </c>
      <c r="AG134" s="856">
        <f t="shared" si="198"/>
        <v>0</v>
      </c>
      <c r="AH134" s="856">
        <f t="shared" si="198"/>
        <v>0</v>
      </c>
      <c r="AI134" s="856">
        <f t="shared" si="198"/>
        <v>0</v>
      </c>
      <c r="AJ134" s="856">
        <f t="shared" si="198"/>
        <v>0</v>
      </c>
      <c r="AK134" s="856">
        <f t="shared" si="198"/>
        <v>0</v>
      </c>
      <c r="AL134" s="856">
        <f t="shared" si="198"/>
        <v>0</v>
      </c>
      <c r="AM134" s="856">
        <f t="shared" si="198"/>
        <v>0</v>
      </c>
      <c r="AN134" s="856">
        <f t="shared" si="198"/>
        <v>0</v>
      </c>
      <c r="AO134" s="856">
        <f t="shared" si="198"/>
        <v>0</v>
      </c>
      <c r="AP134" s="856">
        <f t="shared" si="198"/>
        <v>0</v>
      </c>
      <c r="AQ134" s="856">
        <f t="shared" si="198"/>
        <v>0</v>
      </c>
      <c r="AR134" s="856">
        <f t="shared" si="198"/>
        <v>0</v>
      </c>
      <c r="AS134" s="856">
        <f t="shared" si="198"/>
        <v>0</v>
      </c>
      <c r="AT134" s="856">
        <f t="shared" si="198"/>
        <v>0</v>
      </c>
      <c r="AU134" s="856">
        <f t="shared" si="198"/>
        <v>0</v>
      </c>
      <c r="AV134" s="856">
        <f t="shared" si="198"/>
        <v>0</v>
      </c>
      <c r="AW134" s="856">
        <f t="shared" si="198"/>
        <v>0</v>
      </c>
      <c r="AX134" s="856">
        <f t="shared" si="198"/>
        <v>0</v>
      </c>
      <c r="AY134" s="856">
        <f t="shared" ref="AY134:CD134" si="199">SUBTOTAL(9,AY131:AY133)</f>
        <v>0</v>
      </c>
      <c r="AZ134" s="856">
        <f t="shared" si="199"/>
        <v>0</v>
      </c>
      <c r="BA134" s="856">
        <f t="shared" si="199"/>
        <v>0</v>
      </c>
      <c r="BB134" s="856">
        <f t="shared" si="199"/>
        <v>0</v>
      </c>
      <c r="BC134" s="856">
        <f t="shared" si="199"/>
        <v>0</v>
      </c>
      <c r="BD134" s="856">
        <f t="shared" si="199"/>
        <v>0</v>
      </c>
      <c r="BE134" s="856">
        <f t="shared" si="199"/>
        <v>0</v>
      </c>
      <c r="BF134" s="856">
        <f t="shared" si="199"/>
        <v>0</v>
      </c>
      <c r="BG134" s="856">
        <f t="shared" si="199"/>
        <v>0</v>
      </c>
      <c r="BH134" s="856">
        <f t="shared" si="199"/>
        <v>0</v>
      </c>
      <c r="BI134" s="856">
        <f t="shared" si="199"/>
        <v>0</v>
      </c>
      <c r="BJ134" s="856">
        <f t="shared" si="199"/>
        <v>0</v>
      </c>
      <c r="BK134" s="856">
        <f t="shared" si="199"/>
        <v>0</v>
      </c>
      <c r="BL134" s="856">
        <f t="shared" si="199"/>
        <v>0</v>
      </c>
      <c r="BM134" s="856">
        <f t="shared" si="199"/>
        <v>0</v>
      </c>
      <c r="BN134" s="856">
        <f t="shared" si="199"/>
        <v>0</v>
      </c>
      <c r="BO134" s="856">
        <f t="shared" si="199"/>
        <v>0</v>
      </c>
      <c r="BP134" s="856">
        <f t="shared" si="199"/>
        <v>0</v>
      </c>
      <c r="BQ134" s="856">
        <f t="shared" si="199"/>
        <v>0</v>
      </c>
      <c r="BR134" s="856">
        <f t="shared" si="199"/>
        <v>0</v>
      </c>
      <c r="BS134" s="856">
        <f t="shared" si="199"/>
        <v>0</v>
      </c>
      <c r="BT134" s="856">
        <f t="shared" si="199"/>
        <v>0</v>
      </c>
      <c r="BU134" s="856">
        <f t="shared" si="199"/>
        <v>0</v>
      </c>
      <c r="BV134" s="856">
        <f t="shared" si="199"/>
        <v>0</v>
      </c>
      <c r="BW134" s="856">
        <f t="shared" si="199"/>
        <v>0</v>
      </c>
      <c r="BX134" s="856">
        <f t="shared" si="199"/>
        <v>0</v>
      </c>
      <c r="BY134" s="856">
        <f t="shared" si="199"/>
        <v>0</v>
      </c>
      <c r="BZ134" s="856">
        <f t="shared" si="199"/>
        <v>0</v>
      </c>
      <c r="CA134" s="856">
        <f t="shared" si="199"/>
        <v>0</v>
      </c>
      <c r="CB134" s="856">
        <f t="shared" si="199"/>
        <v>0</v>
      </c>
      <c r="CC134" s="856">
        <f t="shared" si="199"/>
        <v>0</v>
      </c>
      <c r="CD134" s="856">
        <f t="shared" si="199"/>
        <v>0</v>
      </c>
      <c r="CE134" s="856">
        <f t="shared" ref="CE134:DJ134" si="200">SUBTOTAL(9,CE131:CE133)</f>
        <v>0</v>
      </c>
      <c r="CF134" s="856">
        <f t="shared" si="200"/>
        <v>0</v>
      </c>
      <c r="CG134" s="856">
        <f t="shared" si="200"/>
        <v>0</v>
      </c>
      <c r="CH134" s="856">
        <f t="shared" si="200"/>
        <v>0</v>
      </c>
      <c r="CI134" s="856">
        <f t="shared" si="200"/>
        <v>0</v>
      </c>
      <c r="CJ134" s="856">
        <f t="shared" si="200"/>
        <v>0</v>
      </c>
      <c r="CK134" s="856">
        <f t="shared" si="200"/>
        <v>0</v>
      </c>
      <c r="CL134" s="856">
        <f t="shared" si="200"/>
        <v>0</v>
      </c>
      <c r="CM134" s="856">
        <f t="shared" si="200"/>
        <v>0</v>
      </c>
      <c r="CN134" s="856">
        <f t="shared" si="200"/>
        <v>0</v>
      </c>
      <c r="CO134" s="856">
        <f t="shared" si="200"/>
        <v>0</v>
      </c>
      <c r="CP134" s="856">
        <f t="shared" si="200"/>
        <v>0</v>
      </c>
      <c r="CQ134" s="856">
        <f t="shared" si="200"/>
        <v>0</v>
      </c>
      <c r="CR134" s="856">
        <f t="shared" si="200"/>
        <v>0</v>
      </c>
      <c r="CS134" s="856">
        <f t="shared" si="200"/>
        <v>0</v>
      </c>
      <c r="CT134" s="856">
        <f t="shared" si="200"/>
        <v>0</v>
      </c>
      <c r="CU134" s="856">
        <f t="shared" si="200"/>
        <v>0</v>
      </c>
      <c r="CV134" s="856">
        <f t="shared" si="200"/>
        <v>0</v>
      </c>
      <c r="CW134" s="856">
        <f t="shared" si="200"/>
        <v>0</v>
      </c>
      <c r="CX134" s="856">
        <f t="shared" si="200"/>
        <v>0</v>
      </c>
      <c r="CY134" s="856">
        <f t="shared" si="200"/>
        <v>0</v>
      </c>
      <c r="CZ134" s="856">
        <f t="shared" si="200"/>
        <v>0</v>
      </c>
      <c r="DA134" s="856">
        <f t="shared" si="200"/>
        <v>0</v>
      </c>
      <c r="DB134" s="856">
        <f t="shared" si="200"/>
        <v>0</v>
      </c>
      <c r="DC134" s="856">
        <f t="shared" si="200"/>
        <v>0</v>
      </c>
      <c r="DD134" s="856">
        <f t="shared" si="200"/>
        <v>0</v>
      </c>
      <c r="DE134" s="856">
        <f t="shared" si="200"/>
        <v>0</v>
      </c>
      <c r="DF134" s="856">
        <f t="shared" si="200"/>
        <v>0</v>
      </c>
      <c r="DG134" s="856">
        <f t="shared" si="200"/>
        <v>0</v>
      </c>
      <c r="DH134" s="856">
        <f t="shared" si="200"/>
        <v>0</v>
      </c>
      <c r="DI134" s="856">
        <f t="shared" si="200"/>
        <v>0</v>
      </c>
      <c r="DJ134" s="856">
        <f t="shared" si="200"/>
        <v>0</v>
      </c>
      <c r="DK134" s="856">
        <f t="shared" ref="DK134:EP134" si="201">SUBTOTAL(9,DK131:DK133)</f>
        <v>0</v>
      </c>
      <c r="DL134" s="856">
        <f t="shared" si="201"/>
        <v>0</v>
      </c>
      <c r="DM134" s="856">
        <f t="shared" si="201"/>
        <v>0</v>
      </c>
      <c r="DN134" s="856">
        <f t="shared" si="201"/>
        <v>0</v>
      </c>
      <c r="DO134" s="856">
        <f t="shared" si="201"/>
        <v>0</v>
      </c>
      <c r="DP134" s="856">
        <f t="shared" si="201"/>
        <v>0</v>
      </c>
      <c r="DQ134" s="856">
        <f t="shared" si="201"/>
        <v>0</v>
      </c>
      <c r="DR134" s="856">
        <f t="shared" si="201"/>
        <v>0</v>
      </c>
      <c r="DS134" s="856">
        <f t="shared" si="201"/>
        <v>0</v>
      </c>
      <c r="DT134" s="856">
        <f t="shared" si="201"/>
        <v>0</v>
      </c>
      <c r="DU134" s="856">
        <f t="shared" si="201"/>
        <v>0</v>
      </c>
      <c r="DV134" s="856">
        <f t="shared" si="201"/>
        <v>0</v>
      </c>
      <c r="DW134" s="856">
        <f t="shared" si="201"/>
        <v>0</v>
      </c>
      <c r="DX134" s="856">
        <f t="shared" si="201"/>
        <v>0</v>
      </c>
      <c r="DY134" s="856">
        <f t="shared" si="201"/>
        <v>0</v>
      </c>
      <c r="DZ134" s="856">
        <f t="shared" si="201"/>
        <v>0</v>
      </c>
      <c r="EA134" s="856">
        <f t="shared" si="201"/>
        <v>0</v>
      </c>
      <c r="EB134" s="856">
        <f t="shared" si="201"/>
        <v>0</v>
      </c>
      <c r="EC134" s="856">
        <f t="shared" si="201"/>
        <v>0</v>
      </c>
      <c r="ED134" s="856">
        <f t="shared" si="201"/>
        <v>0</v>
      </c>
      <c r="EE134" s="856">
        <f t="shared" si="201"/>
        <v>0</v>
      </c>
      <c r="EF134" s="856">
        <f t="shared" si="201"/>
        <v>0</v>
      </c>
      <c r="EG134" s="856">
        <f t="shared" si="201"/>
        <v>0</v>
      </c>
      <c r="EH134" s="856">
        <f t="shared" si="201"/>
        <v>0</v>
      </c>
      <c r="EI134" s="856">
        <f t="shared" si="201"/>
        <v>0</v>
      </c>
    </row>
    <row r="135" spans="2:139" ht="12.75" customHeight="1">
      <c r="B135" s="46"/>
      <c r="C135" s="209"/>
      <c r="D135" s="857"/>
      <c r="E135" s="857"/>
      <c r="F135" s="857"/>
      <c r="G135" s="857"/>
      <c r="H135" s="857"/>
      <c r="I135" s="857"/>
      <c r="J135" s="857"/>
      <c r="K135" s="857"/>
      <c r="L135" s="857"/>
      <c r="M135" s="857"/>
      <c r="N135" s="857"/>
      <c r="O135" s="858"/>
      <c r="P135" s="313"/>
      <c r="Q135" s="313"/>
      <c r="R135" s="313"/>
      <c r="S135" s="859"/>
      <c r="T135" s="859"/>
      <c r="U135" s="859"/>
      <c r="V135" s="859"/>
      <c r="W135" s="859"/>
      <c r="X135" s="859"/>
      <c r="Y135" s="859"/>
      <c r="Z135" s="859"/>
      <c r="AA135" s="859"/>
      <c r="AB135" s="859"/>
      <c r="AC135" s="859"/>
      <c r="AD135" s="859"/>
      <c r="AE135" s="859"/>
      <c r="AF135" s="859"/>
      <c r="AG135" s="859"/>
      <c r="AH135" s="859"/>
      <c r="AI135" s="859"/>
      <c r="AJ135" s="859"/>
      <c r="AK135" s="859"/>
      <c r="AL135" s="859"/>
      <c r="AM135" s="859"/>
      <c r="AN135" s="859"/>
      <c r="AO135" s="859"/>
      <c r="AP135" s="859"/>
      <c r="AQ135" s="859"/>
      <c r="AR135" s="859"/>
      <c r="AS135" s="859"/>
      <c r="AT135" s="859"/>
      <c r="AU135" s="859"/>
      <c r="AV135" s="859"/>
      <c r="AW135" s="859"/>
      <c r="AX135" s="859"/>
      <c r="AY135" s="859"/>
      <c r="AZ135" s="859"/>
      <c r="BA135" s="859"/>
      <c r="BB135" s="859"/>
      <c r="BC135" s="859"/>
      <c r="BD135" s="859"/>
      <c r="BE135" s="859"/>
      <c r="BF135" s="859"/>
      <c r="BG135" s="859"/>
      <c r="BH135" s="859"/>
      <c r="BI135" s="859"/>
      <c r="BJ135" s="859"/>
      <c r="BK135" s="859"/>
      <c r="BL135" s="859"/>
      <c r="BM135" s="859"/>
      <c r="BN135" s="859"/>
      <c r="BO135" s="859"/>
      <c r="BP135" s="859"/>
      <c r="BQ135" s="859"/>
      <c r="BR135" s="859"/>
      <c r="BS135" s="859"/>
      <c r="BT135" s="859"/>
      <c r="BU135" s="859"/>
      <c r="BV135" s="859"/>
      <c r="BW135" s="859"/>
      <c r="BX135" s="859"/>
      <c r="BY135" s="859"/>
      <c r="BZ135" s="859"/>
      <c r="CA135" s="859"/>
      <c r="CB135" s="859"/>
      <c r="CC135" s="859"/>
      <c r="CD135" s="859"/>
      <c r="CE135" s="859"/>
      <c r="CF135" s="859"/>
      <c r="CG135" s="859"/>
      <c r="CH135" s="859"/>
      <c r="CI135" s="859"/>
      <c r="CJ135" s="859"/>
      <c r="CK135" s="859"/>
      <c r="CL135" s="859"/>
      <c r="CM135" s="859"/>
      <c r="CN135" s="859"/>
      <c r="CO135" s="859"/>
      <c r="CP135" s="859"/>
      <c r="CQ135" s="859"/>
      <c r="CR135" s="859"/>
      <c r="CS135" s="859"/>
      <c r="CT135" s="859"/>
      <c r="CU135" s="859"/>
      <c r="CV135" s="859"/>
      <c r="CW135" s="859"/>
      <c r="CX135" s="859"/>
      <c r="CY135" s="859"/>
      <c r="CZ135" s="859"/>
      <c r="DA135" s="859"/>
      <c r="DB135" s="859"/>
      <c r="DC135" s="859"/>
      <c r="DD135" s="859"/>
      <c r="DE135" s="859"/>
      <c r="DF135" s="859"/>
      <c r="DG135" s="859"/>
      <c r="DH135" s="859"/>
      <c r="DI135" s="859"/>
      <c r="DJ135" s="859"/>
      <c r="DK135" s="859"/>
      <c r="DL135" s="859"/>
      <c r="DM135" s="859"/>
      <c r="DN135" s="859"/>
      <c r="DO135" s="859"/>
      <c r="DP135" s="859"/>
      <c r="DQ135" s="859"/>
      <c r="DR135" s="859"/>
      <c r="DS135" s="859"/>
      <c r="DT135" s="859"/>
      <c r="DU135" s="859"/>
      <c r="DV135" s="859"/>
      <c r="DW135" s="859"/>
      <c r="DX135" s="859"/>
      <c r="DY135" s="859"/>
      <c r="DZ135" s="859"/>
      <c r="EA135" s="859"/>
      <c r="EB135" s="859"/>
      <c r="EC135" s="859"/>
      <c r="ED135" s="859"/>
      <c r="EE135" s="859"/>
      <c r="EF135" s="859"/>
      <c r="EG135" s="859"/>
      <c r="EH135" s="859"/>
      <c r="EI135" s="859"/>
    </row>
    <row r="136" spans="2:139" ht="12.75" customHeight="1">
      <c r="B136" s="1045" t="s">
        <v>592</v>
      </c>
      <c r="C136" s="211"/>
      <c r="D136" s="203"/>
      <c r="E136" s="203"/>
      <c r="F136" s="203"/>
      <c r="G136" s="203"/>
      <c r="H136" s="203"/>
      <c r="I136" s="203"/>
      <c r="J136" s="203"/>
      <c r="K136" s="203"/>
      <c r="L136" s="203"/>
      <c r="M136" s="203"/>
      <c r="N136" s="203"/>
      <c r="O136" s="853"/>
      <c r="P136" s="313"/>
      <c r="Q136" s="313"/>
      <c r="R136" s="313"/>
      <c r="S136" s="845"/>
      <c r="T136" s="845"/>
      <c r="U136" s="845"/>
      <c r="V136" s="845"/>
      <c r="W136" s="845"/>
      <c r="X136" s="845"/>
      <c r="Y136" s="845"/>
      <c r="Z136" s="845"/>
      <c r="AA136" s="845"/>
      <c r="AB136" s="845"/>
      <c r="AC136" s="845"/>
      <c r="AD136" s="845"/>
      <c r="AE136" s="845"/>
      <c r="AF136" s="845"/>
      <c r="AG136" s="845"/>
      <c r="AH136" s="845"/>
      <c r="AI136" s="845"/>
      <c r="AJ136" s="845"/>
      <c r="AK136" s="845"/>
      <c r="AL136" s="845"/>
      <c r="AM136" s="845"/>
      <c r="AN136" s="845"/>
      <c r="AO136" s="845"/>
      <c r="AP136" s="845"/>
      <c r="AQ136" s="845"/>
      <c r="AR136" s="845"/>
      <c r="AS136" s="845"/>
      <c r="AT136" s="845"/>
      <c r="AU136" s="845"/>
      <c r="AV136" s="845"/>
      <c r="AW136" s="845"/>
      <c r="AX136" s="845"/>
      <c r="AY136" s="845"/>
      <c r="AZ136" s="845"/>
      <c r="BA136" s="845"/>
      <c r="BB136" s="845"/>
      <c r="BC136" s="845"/>
      <c r="BD136" s="845"/>
      <c r="BE136" s="845"/>
      <c r="BF136" s="845"/>
      <c r="BG136" s="845"/>
      <c r="BH136" s="845"/>
      <c r="BI136" s="845"/>
      <c r="BJ136" s="845"/>
      <c r="BK136" s="845"/>
      <c r="BL136" s="845"/>
      <c r="BM136" s="845"/>
      <c r="BN136" s="845"/>
      <c r="BO136" s="845"/>
      <c r="BP136" s="845"/>
      <c r="BQ136" s="845"/>
      <c r="BR136" s="845"/>
      <c r="BS136" s="845"/>
      <c r="BT136" s="845"/>
      <c r="BU136" s="845"/>
      <c r="BV136" s="845"/>
      <c r="BW136" s="845"/>
      <c r="BX136" s="845"/>
      <c r="BY136" s="845"/>
      <c r="BZ136" s="845"/>
      <c r="CA136" s="845"/>
      <c r="CB136" s="845"/>
      <c r="CC136" s="845"/>
      <c r="CD136" s="845"/>
      <c r="CE136" s="845"/>
      <c r="CF136" s="845"/>
      <c r="CG136" s="845"/>
      <c r="CH136" s="845"/>
      <c r="CI136" s="845"/>
      <c r="CJ136" s="845"/>
      <c r="CK136" s="845"/>
      <c r="CL136" s="845"/>
      <c r="CM136" s="845"/>
      <c r="CN136" s="845"/>
      <c r="CO136" s="845"/>
      <c r="CP136" s="845"/>
      <c r="CQ136" s="845"/>
      <c r="CR136" s="845"/>
      <c r="CS136" s="845"/>
      <c r="CT136" s="845"/>
      <c r="CU136" s="845"/>
      <c r="CV136" s="845"/>
      <c r="CW136" s="845"/>
      <c r="CX136" s="845"/>
      <c r="CY136" s="845"/>
      <c r="CZ136" s="845"/>
      <c r="DA136" s="845"/>
      <c r="DB136" s="845"/>
      <c r="DC136" s="845"/>
      <c r="DD136" s="845"/>
      <c r="DE136" s="845"/>
      <c r="DF136" s="845"/>
      <c r="DG136" s="845"/>
      <c r="DH136" s="845"/>
      <c r="DI136" s="845"/>
      <c r="DJ136" s="845"/>
      <c r="DK136" s="845"/>
      <c r="DL136" s="845"/>
      <c r="DM136" s="845"/>
      <c r="DN136" s="845"/>
      <c r="DO136" s="845"/>
      <c r="DP136" s="845"/>
      <c r="DQ136" s="845"/>
      <c r="DR136" s="845"/>
      <c r="DS136" s="845"/>
      <c r="DT136" s="845"/>
      <c r="DU136" s="845"/>
      <c r="DV136" s="845"/>
      <c r="DW136" s="845"/>
      <c r="DX136" s="845"/>
      <c r="DY136" s="845"/>
      <c r="DZ136" s="845"/>
      <c r="EA136" s="845"/>
      <c r="EB136" s="845"/>
      <c r="EC136" s="845"/>
      <c r="ED136" s="845"/>
      <c r="EE136" s="845"/>
      <c r="EF136" s="845"/>
      <c r="EG136" s="845"/>
      <c r="EH136" s="845"/>
      <c r="EI136" s="845"/>
    </row>
    <row r="137" spans="2:139" ht="12.75" customHeight="1">
      <c r="B137" s="41" t="s">
        <v>593</v>
      </c>
      <c r="C137" s="211"/>
      <c r="D137" s="203"/>
      <c r="E137" s="203">
        <f t="shared" ref="E137:N137" si="202">D141</f>
        <v>0</v>
      </c>
      <c r="F137" s="203">
        <f t="shared" si="202"/>
        <v>0</v>
      </c>
      <c r="G137" s="203">
        <f t="shared" si="202"/>
        <v>0</v>
      </c>
      <c r="H137" s="203">
        <f t="shared" si="202"/>
        <v>0</v>
      </c>
      <c r="I137" s="203">
        <f t="shared" si="202"/>
        <v>0</v>
      </c>
      <c r="J137" s="203">
        <f t="shared" si="202"/>
        <v>0</v>
      </c>
      <c r="K137" s="203">
        <f t="shared" si="202"/>
        <v>0</v>
      </c>
      <c r="L137" s="203">
        <f t="shared" si="202"/>
        <v>0</v>
      </c>
      <c r="M137" s="203">
        <f t="shared" si="202"/>
        <v>0</v>
      </c>
      <c r="N137" s="203">
        <f t="shared" si="202"/>
        <v>0</v>
      </c>
      <c r="O137" s="853"/>
      <c r="P137" s="313"/>
      <c r="Q137" s="313"/>
      <c r="R137" s="313"/>
      <c r="S137" s="845"/>
      <c r="T137" s="845">
        <f t="shared" ref="T137:AY137" si="203">S141</f>
        <v>0</v>
      </c>
      <c r="U137" s="845">
        <f t="shared" si="203"/>
        <v>0</v>
      </c>
      <c r="V137" s="845">
        <f t="shared" si="203"/>
        <v>0</v>
      </c>
      <c r="W137" s="845">
        <f t="shared" si="203"/>
        <v>0</v>
      </c>
      <c r="X137" s="845">
        <f t="shared" si="203"/>
        <v>0</v>
      </c>
      <c r="Y137" s="845">
        <f t="shared" si="203"/>
        <v>0</v>
      </c>
      <c r="Z137" s="845">
        <f t="shared" si="203"/>
        <v>0</v>
      </c>
      <c r="AA137" s="845">
        <f t="shared" si="203"/>
        <v>0</v>
      </c>
      <c r="AB137" s="845">
        <f t="shared" si="203"/>
        <v>0</v>
      </c>
      <c r="AC137" s="845">
        <f t="shared" si="203"/>
        <v>0</v>
      </c>
      <c r="AD137" s="845">
        <f t="shared" si="203"/>
        <v>0</v>
      </c>
      <c r="AE137" s="845">
        <f t="shared" si="203"/>
        <v>0</v>
      </c>
      <c r="AF137" s="845">
        <f t="shared" si="203"/>
        <v>0</v>
      </c>
      <c r="AG137" s="845">
        <f t="shared" si="203"/>
        <v>0</v>
      </c>
      <c r="AH137" s="845">
        <f t="shared" si="203"/>
        <v>0</v>
      </c>
      <c r="AI137" s="845">
        <f t="shared" si="203"/>
        <v>0</v>
      </c>
      <c r="AJ137" s="845">
        <f t="shared" si="203"/>
        <v>0</v>
      </c>
      <c r="AK137" s="845">
        <f t="shared" si="203"/>
        <v>0</v>
      </c>
      <c r="AL137" s="845">
        <f t="shared" si="203"/>
        <v>0</v>
      </c>
      <c r="AM137" s="845">
        <f t="shared" si="203"/>
        <v>0</v>
      </c>
      <c r="AN137" s="845">
        <f t="shared" si="203"/>
        <v>0</v>
      </c>
      <c r="AO137" s="845">
        <f t="shared" si="203"/>
        <v>0</v>
      </c>
      <c r="AP137" s="845">
        <f t="shared" si="203"/>
        <v>0</v>
      </c>
      <c r="AQ137" s="845">
        <f t="shared" si="203"/>
        <v>0</v>
      </c>
      <c r="AR137" s="845">
        <f t="shared" si="203"/>
        <v>0</v>
      </c>
      <c r="AS137" s="845">
        <f t="shared" si="203"/>
        <v>0</v>
      </c>
      <c r="AT137" s="845">
        <f t="shared" si="203"/>
        <v>0</v>
      </c>
      <c r="AU137" s="845">
        <f t="shared" si="203"/>
        <v>0</v>
      </c>
      <c r="AV137" s="845">
        <f t="shared" si="203"/>
        <v>0</v>
      </c>
      <c r="AW137" s="845">
        <f t="shared" si="203"/>
        <v>0</v>
      </c>
      <c r="AX137" s="845">
        <f t="shared" si="203"/>
        <v>0</v>
      </c>
      <c r="AY137" s="845">
        <f t="shared" si="203"/>
        <v>0</v>
      </c>
      <c r="AZ137" s="845">
        <f t="shared" ref="AZ137:CE137" si="204">AY141</f>
        <v>0</v>
      </c>
      <c r="BA137" s="845">
        <f t="shared" si="204"/>
        <v>0</v>
      </c>
      <c r="BB137" s="845">
        <f t="shared" si="204"/>
        <v>0</v>
      </c>
      <c r="BC137" s="845">
        <f t="shared" si="204"/>
        <v>0</v>
      </c>
      <c r="BD137" s="845">
        <f t="shared" si="204"/>
        <v>0</v>
      </c>
      <c r="BE137" s="845">
        <f t="shared" si="204"/>
        <v>0</v>
      </c>
      <c r="BF137" s="845">
        <f t="shared" si="204"/>
        <v>0</v>
      </c>
      <c r="BG137" s="845">
        <f t="shared" si="204"/>
        <v>0</v>
      </c>
      <c r="BH137" s="845">
        <f t="shared" si="204"/>
        <v>0</v>
      </c>
      <c r="BI137" s="845">
        <f t="shared" si="204"/>
        <v>0</v>
      </c>
      <c r="BJ137" s="845">
        <f t="shared" si="204"/>
        <v>0</v>
      </c>
      <c r="BK137" s="845">
        <f t="shared" si="204"/>
        <v>0</v>
      </c>
      <c r="BL137" s="845">
        <f t="shared" si="204"/>
        <v>0</v>
      </c>
      <c r="BM137" s="845">
        <f t="shared" si="204"/>
        <v>0</v>
      </c>
      <c r="BN137" s="845">
        <f t="shared" si="204"/>
        <v>0</v>
      </c>
      <c r="BO137" s="845">
        <f t="shared" si="204"/>
        <v>0</v>
      </c>
      <c r="BP137" s="845">
        <f t="shared" si="204"/>
        <v>0</v>
      </c>
      <c r="BQ137" s="845">
        <f t="shared" si="204"/>
        <v>0</v>
      </c>
      <c r="BR137" s="845">
        <f t="shared" si="204"/>
        <v>0</v>
      </c>
      <c r="BS137" s="845">
        <f t="shared" si="204"/>
        <v>0</v>
      </c>
      <c r="BT137" s="845">
        <f t="shared" si="204"/>
        <v>0</v>
      </c>
      <c r="BU137" s="845">
        <f t="shared" si="204"/>
        <v>0</v>
      </c>
      <c r="BV137" s="845">
        <f t="shared" si="204"/>
        <v>0</v>
      </c>
      <c r="BW137" s="845">
        <f t="shared" si="204"/>
        <v>0</v>
      </c>
      <c r="BX137" s="845">
        <f t="shared" si="204"/>
        <v>0</v>
      </c>
      <c r="BY137" s="845">
        <f t="shared" si="204"/>
        <v>0</v>
      </c>
      <c r="BZ137" s="845">
        <f t="shared" si="204"/>
        <v>0</v>
      </c>
      <c r="CA137" s="845">
        <f t="shared" si="204"/>
        <v>0</v>
      </c>
      <c r="CB137" s="845">
        <f t="shared" si="204"/>
        <v>0</v>
      </c>
      <c r="CC137" s="845">
        <f t="shared" si="204"/>
        <v>0</v>
      </c>
      <c r="CD137" s="845">
        <f t="shared" si="204"/>
        <v>0</v>
      </c>
      <c r="CE137" s="845">
        <f t="shared" si="204"/>
        <v>0</v>
      </c>
      <c r="CF137" s="845">
        <f t="shared" ref="CF137:DK137" si="205">CE141</f>
        <v>0</v>
      </c>
      <c r="CG137" s="845">
        <f t="shared" si="205"/>
        <v>0</v>
      </c>
      <c r="CH137" s="845">
        <f t="shared" si="205"/>
        <v>0</v>
      </c>
      <c r="CI137" s="845">
        <f t="shared" si="205"/>
        <v>0</v>
      </c>
      <c r="CJ137" s="845">
        <f t="shared" si="205"/>
        <v>0</v>
      </c>
      <c r="CK137" s="845">
        <f t="shared" si="205"/>
        <v>0</v>
      </c>
      <c r="CL137" s="845">
        <f t="shared" si="205"/>
        <v>0</v>
      </c>
      <c r="CM137" s="845">
        <f t="shared" si="205"/>
        <v>0</v>
      </c>
      <c r="CN137" s="845">
        <f t="shared" si="205"/>
        <v>0</v>
      </c>
      <c r="CO137" s="845">
        <f t="shared" si="205"/>
        <v>0</v>
      </c>
      <c r="CP137" s="845">
        <f t="shared" si="205"/>
        <v>0</v>
      </c>
      <c r="CQ137" s="845">
        <f t="shared" si="205"/>
        <v>0</v>
      </c>
      <c r="CR137" s="845">
        <f t="shared" si="205"/>
        <v>0</v>
      </c>
      <c r="CS137" s="845">
        <f t="shared" si="205"/>
        <v>0</v>
      </c>
      <c r="CT137" s="845">
        <f t="shared" si="205"/>
        <v>0</v>
      </c>
      <c r="CU137" s="845">
        <f t="shared" si="205"/>
        <v>0</v>
      </c>
      <c r="CV137" s="845">
        <f t="shared" si="205"/>
        <v>0</v>
      </c>
      <c r="CW137" s="845">
        <f t="shared" si="205"/>
        <v>0</v>
      </c>
      <c r="CX137" s="845">
        <f t="shared" si="205"/>
        <v>0</v>
      </c>
      <c r="CY137" s="845">
        <f t="shared" si="205"/>
        <v>0</v>
      </c>
      <c r="CZ137" s="845">
        <f t="shared" si="205"/>
        <v>0</v>
      </c>
      <c r="DA137" s="845">
        <f t="shared" si="205"/>
        <v>0</v>
      </c>
      <c r="DB137" s="845">
        <f t="shared" si="205"/>
        <v>0</v>
      </c>
      <c r="DC137" s="845">
        <f t="shared" si="205"/>
        <v>0</v>
      </c>
      <c r="DD137" s="845">
        <f t="shared" si="205"/>
        <v>0</v>
      </c>
      <c r="DE137" s="845">
        <f t="shared" si="205"/>
        <v>0</v>
      </c>
      <c r="DF137" s="845">
        <f t="shared" si="205"/>
        <v>0</v>
      </c>
      <c r="DG137" s="845">
        <f t="shared" si="205"/>
        <v>0</v>
      </c>
      <c r="DH137" s="845">
        <f t="shared" si="205"/>
        <v>0</v>
      </c>
      <c r="DI137" s="845">
        <f t="shared" si="205"/>
        <v>0</v>
      </c>
      <c r="DJ137" s="845">
        <f t="shared" si="205"/>
        <v>0</v>
      </c>
      <c r="DK137" s="845">
        <f t="shared" si="205"/>
        <v>0</v>
      </c>
      <c r="DL137" s="845">
        <f t="shared" ref="DL137:EI137" si="206">DK141</f>
        <v>0</v>
      </c>
      <c r="DM137" s="845">
        <f t="shared" si="206"/>
        <v>0</v>
      </c>
      <c r="DN137" s="845">
        <f t="shared" si="206"/>
        <v>0</v>
      </c>
      <c r="DO137" s="845">
        <f t="shared" si="206"/>
        <v>0</v>
      </c>
      <c r="DP137" s="845">
        <f t="shared" si="206"/>
        <v>0</v>
      </c>
      <c r="DQ137" s="845">
        <f t="shared" si="206"/>
        <v>0</v>
      </c>
      <c r="DR137" s="845">
        <f t="shared" si="206"/>
        <v>0</v>
      </c>
      <c r="DS137" s="845">
        <f t="shared" si="206"/>
        <v>0</v>
      </c>
      <c r="DT137" s="845">
        <f t="shared" si="206"/>
        <v>0</v>
      </c>
      <c r="DU137" s="845">
        <f t="shared" si="206"/>
        <v>0</v>
      </c>
      <c r="DV137" s="845">
        <f t="shared" si="206"/>
        <v>0</v>
      </c>
      <c r="DW137" s="845">
        <f t="shared" si="206"/>
        <v>0</v>
      </c>
      <c r="DX137" s="845">
        <f t="shared" si="206"/>
        <v>0</v>
      </c>
      <c r="DY137" s="845">
        <f t="shared" si="206"/>
        <v>0</v>
      </c>
      <c r="DZ137" s="845">
        <f t="shared" si="206"/>
        <v>0</v>
      </c>
      <c r="EA137" s="845">
        <f t="shared" si="206"/>
        <v>0</v>
      </c>
      <c r="EB137" s="845">
        <f t="shared" si="206"/>
        <v>0</v>
      </c>
      <c r="EC137" s="845">
        <f t="shared" si="206"/>
        <v>0</v>
      </c>
      <c r="ED137" s="845">
        <f t="shared" si="206"/>
        <v>0</v>
      </c>
      <c r="EE137" s="845">
        <f t="shared" si="206"/>
        <v>0</v>
      </c>
      <c r="EF137" s="845">
        <f t="shared" si="206"/>
        <v>0</v>
      </c>
      <c r="EG137" s="845">
        <f t="shared" si="206"/>
        <v>0</v>
      </c>
      <c r="EH137" s="845">
        <f t="shared" si="206"/>
        <v>0</v>
      </c>
      <c r="EI137" s="845">
        <f t="shared" si="206"/>
        <v>0</v>
      </c>
    </row>
    <row r="138" spans="2:139" ht="12.75" customHeight="1">
      <c r="B138" s="41" t="s">
        <v>180</v>
      </c>
      <c r="C138" s="211"/>
      <c r="D138" s="203">
        <f>SUMIF($S$6:$EI$6,D$5,$S138:$EI138)</f>
        <v>0</v>
      </c>
      <c r="E138" s="203"/>
      <c r="F138" s="203"/>
      <c r="G138" s="203"/>
      <c r="H138" s="203"/>
      <c r="I138" s="203"/>
      <c r="J138" s="203"/>
      <c r="K138" s="203"/>
      <c r="L138" s="203"/>
      <c r="M138" s="203"/>
      <c r="N138" s="203"/>
      <c r="O138" s="853">
        <f>SUM(D138:N138)</f>
        <v>0</v>
      </c>
      <c r="P138" s="313"/>
      <c r="Q138" s="313"/>
      <c r="R138" s="313"/>
      <c r="S138" s="845">
        <f>Assum1CurrBal*HasAssumableDebt1</f>
        <v>0</v>
      </c>
      <c r="T138" s="845"/>
      <c r="U138" s="845"/>
      <c r="V138" s="845"/>
      <c r="W138" s="845"/>
      <c r="X138" s="845"/>
      <c r="Y138" s="845"/>
      <c r="Z138" s="845"/>
      <c r="AA138" s="845"/>
      <c r="AB138" s="845"/>
      <c r="AC138" s="845"/>
      <c r="AD138" s="845"/>
      <c r="AE138" s="845"/>
      <c r="AF138" s="845"/>
      <c r="AG138" s="845"/>
      <c r="AH138" s="845"/>
      <c r="AI138" s="845"/>
      <c r="AJ138" s="845"/>
      <c r="AK138" s="845"/>
      <c r="AL138" s="845"/>
      <c r="AM138" s="845"/>
      <c r="AN138" s="845"/>
      <c r="AO138" s="845"/>
      <c r="AP138" s="845"/>
      <c r="AQ138" s="845"/>
      <c r="AR138" s="845"/>
      <c r="AS138" s="845"/>
      <c r="AT138" s="845"/>
      <c r="AU138" s="845"/>
      <c r="AV138" s="845"/>
      <c r="AW138" s="845"/>
      <c r="AX138" s="845"/>
      <c r="AY138" s="845"/>
      <c r="AZ138" s="845"/>
      <c r="BA138" s="845"/>
      <c r="BB138" s="845"/>
      <c r="BC138" s="845"/>
      <c r="BD138" s="845"/>
      <c r="BE138" s="845"/>
      <c r="BF138" s="845"/>
      <c r="BG138" s="845"/>
      <c r="BH138" s="845"/>
      <c r="BI138" s="845"/>
      <c r="BJ138" s="845"/>
      <c r="BK138" s="845"/>
      <c r="BL138" s="845"/>
      <c r="BM138" s="845"/>
      <c r="BN138" s="845"/>
      <c r="BO138" s="845"/>
      <c r="BP138" s="845"/>
      <c r="BQ138" s="845"/>
      <c r="BR138" s="845"/>
      <c r="BS138" s="845"/>
      <c r="BT138" s="845"/>
      <c r="BU138" s="845"/>
      <c r="BV138" s="845"/>
      <c r="BW138" s="845"/>
      <c r="BX138" s="845"/>
      <c r="BY138" s="845"/>
      <c r="BZ138" s="845"/>
      <c r="CA138" s="845"/>
      <c r="CB138" s="845"/>
      <c r="CC138" s="845"/>
      <c r="CD138" s="845"/>
      <c r="CE138" s="845"/>
      <c r="CF138" s="845"/>
      <c r="CG138" s="845"/>
      <c r="CH138" s="845"/>
      <c r="CI138" s="845"/>
      <c r="CJ138" s="845"/>
      <c r="CK138" s="845"/>
      <c r="CL138" s="845"/>
      <c r="CM138" s="845"/>
      <c r="CN138" s="845"/>
      <c r="CO138" s="845"/>
      <c r="CP138" s="845"/>
      <c r="CQ138" s="845"/>
      <c r="CR138" s="845"/>
      <c r="CS138" s="845"/>
      <c r="CT138" s="845"/>
      <c r="CU138" s="845"/>
      <c r="CV138" s="845"/>
      <c r="CW138" s="845"/>
      <c r="CX138" s="845"/>
      <c r="CY138" s="845"/>
      <c r="CZ138" s="845"/>
      <c r="DA138" s="845"/>
      <c r="DB138" s="845"/>
      <c r="DC138" s="845"/>
      <c r="DD138" s="845"/>
      <c r="DE138" s="845"/>
      <c r="DF138" s="845"/>
      <c r="DG138" s="845"/>
      <c r="DH138" s="845"/>
      <c r="DI138" s="845"/>
      <c r="DJ138" s="845"/>
      <c r="DK138" s="845"/>
      <c r="DL138" s="845"/>
      <c r="DM138" s="845"/>
      <c r="DN138" s="845"/>
      <c r="DO138" s="845"/>
      <c r="DP138" s="845"/>
      <c r="DQ138" s="845"/>
      <c r="DR138" s="845"/>
      <c r="DS138" s="845"/>
      <c r="DT138" s="845"/>
      <c r="DU138" s="845"/>
      <c r="DV138" s="845"/>
      <c r="DW138" s="845"/>
      <c r="DX138" s="845"/>
      <c r="DY138" s="845"/>
      <c r="DZ138" s="845"/>
      <c r="EA138" s="845"/>
      <c r="EB138" s="845"/>
      <c r="EC138" s="845"/>
      <c r="ED138" s="845"/>
      <c r="EE138" s="845"/>
      <c r="EF138" s="845"/>
      <c r="EG138" s="845"/>
      <c r="EH138" s="845"/>
      <c r="EI138" s="845"/>
    </row>
    <row r="139" spans="2:139" ht="12.75" customHeight="1">
      <c r="B139" s="41" t="s">
        <v>594</v>
      </c>
      <c r="C139" s="211"/>
      <c r="D139" s="203"/>
      <c r="E139" s="203">
        <f t="shared" ref="E139:N140" si="207">SUMIF($S$6:$EI$6,E$5,$S139:$EI139)</f>
        <v>0</v>
      </c>
      <c r="F139" s="203">
        <f t="shared" si="207"/>
        <v>0</v>
      </c>
      <c r="G139" s="203">
        <f t="shared" si="207"/>
        <v>0</v>
      </c>
      <c r="H139" s="203">
        <f t="shared" si="207"/>
        <v>0</v>
      </c>
      <c r="I139" s="203">
        <f t="shared" si="207"/>
        <v>0</v>
      </c>
      <c r="J139" s="203">
        <f t="shared" si="207"/>
        <v>0</v>
      </c>
      <c r="K139" s="203">
        <f t="shared" si="207"/>
        <v>0</v>
      </c>
      <c r="L139" s="203">
        <f t="shared" si="207"/>
        <v>0</v>
      </c>
      <c r="M139" s="203">
        <f t="shared" si="207"/>
        <v>0</v>
      </c>
      <c r="N139" s="203">
        <f t="shared" si="207"/>
        <v>0</v>
      </c>
      <c r="O139" s="853">
        <f>SUM(D139:N139)</f>
        <v>0</v>
      </c>
      <c r="P139" s="313"/>
      <c r="Q139" s="313"/>
      <c r="R139" s="313"/>
      <c r="S139" s="845"/>
      <c r="T139" s="845">
        <f>IF(AND(HasAssumableDebt1,Assumable1HasAmort,T137,T$5&gt;Assum1RemainTerm-AssumLoan1Term+Assume1IOPer),IF(Assum1PmtType=VariablePmt,PPMT(Assum1IntRate/12,T$5+AssumLoan1Term-Assum1RemainTerm-Assume1IOPer,Assum1AmortPer*12,Assum1OrigBal),-MIN(T137,PMT(Assum1IntRate/12,Assum1AmortPer*12,-Assum1OrigBal)+T132)),)</f>
        <v>0</v>
      </c>
      <c r="U139" s="845">
        <f>IF(AND(HasAssumableDebt1,Assumable1HasAmort,U137,U$5&gt;Assum1RemainTerm-AssumLoan1Term+Assume1IOPer),IF(Assum1PmtType=VariablePmt,PPMT(Assum1IntRate/12,U$5+AssumLoan1Term-Assum1RemainTerm-Assume1IOPer,Assum1AmortPer*12,Assum1OrigBal),-MIN(U137,PMT(Assum1IntRate/12,Assum1AmortPer*12,-Assum1OrigBal)+U132)),)</f>
        <v>0</v>
      </c>
      <c r="V139" s="845">
        <f>IF(AND(HasAssumableDebt1,Assumable1HasAmort,V137,V$5&gt;Assum1RemainTerm-AssumLoan1Term+Assume1IOPer),IF(Assum1PmtType=VariablePmt,PPMT(Assum1IntRate/12,V$5+AssumLoan1Term-Assum1RemainTerm-Assume1IOPer,Assum1AmortPer*12,Assum1OrigBal),-MIN(V137,PMT(Assum1IntRate/12,Assum1AmortPer*12,-Assum1OrigBal)+V132)),)</f>
        <v>0</v>
      </c>
      <c r="W139" s="845">
        <f>IF(AND(HasAssumableDebt1,Assumable1HasAmort,W137,W$5&gt;Assum1RemainTerm-AssumLoan1Term+Assume1IOPer),IF(Assum1PmtType=VariablePmt,PPMT(Assum1IntRate/12,W$5+AssumLoan1Term-Assum1RemainTerm-Assume1IOPer,Assum1AmortPer*12,Assum1OrigBal),-MIN(W137,PMT(Assum1IntRate/12,Assum1AmortPer*12,-Assum1OrigBal)+W132)),)</f>
        <v>0</v>
      </c>
      <c r="X139" s="845">
        <f>IF(AND(HasAssumableDebt1,Assumable1HasAmort,X137,X$5&gt;Assum1RemainTerm-AssumLoan1Term+Assume1IOPer),IF(Assum1PmtType=VariablePmt,PPMT(Assum1IntRate/12,X$5+AssumLoan1Term-Assum1RemainTerm-Assume1IOPer,Assum1AmortPer*12,Assum1OrigBal),-MIN(X137,PMT(Assum1IntRate/12,Assum1AmortPer*12,-Assum1OrigBal)+X132)),)</f>
        <v>0</v>
      </c>
      <c r="Y139" s="845">
        <f>IF(AND(HasAssumableDebt1,Assumable1HasAmort,Y137,Y$5&gt;Assum1RemainTerm-AssumLoan1Term+Assume1IOPer),IF(Assum1PmtType=VariablePmt,PPMT(Assum1IntRate/12,Y$5+AssumLoan1Term-Assum1RemainTerm-Assume1IOPer,Assum1AmortPer*12,Assum1OrigBal),-MIN(Y137,PMT(Assum1IntRate/12,Assum1AmortPer*12,-Assum1OrigBal)+Y132)),)</f>
        <v>0</v>
      </c>
      <c r="Z139" s="845">
        <f>IF(AND(HasAssumableDebt1,Assumable1HasAmort,Z137,Z$5&gt;Assum1RemainTerm-AssumLoan1Term+Assume1IOPer),IF(Assum1PmtType=VariablePmt,PPMT(Assum1IntRate/12,Z$5+AssumLoan1Term-Assum1RemainTerm-Assume1IOPer,Assum1AmortPer*12,Assum1OrigBal),-MIN(Z137,PMT(Assum1IntRate/12,Assum1AmortPer*12,-Assum1OrigBal)+Z132)),)</f>
        <v>0</v>
      </c>
      <c r="AA139" s="845">
        <f>IF(AND(HasAssumableDebt1,Assumable1HasAmort,AA137,AA$5&gt;Assum1RemainTerm-AssumLoan1Term+Assume1IOPer),IF(Assum1PmtType=VariablePmt,PPMT(Assum1IntRate/12,AA$5+AssumLoan1Term-Assum1RemainTerm-Assume1IOPer,Assum1AmortPer*12,Assum1OrigBal),-MIN(AA137,PMT(Assum1IntRate/12,Assum1AmortPer*12,-Assum1OrigBal)+AA132)),)</f>
        <v>0</v>
      </c>
      <c r="AB139" s="845">
        <f>IF(AND(HasAssumableDebt1,Assumable1HasAmort,AB137,AB$5&gt;Assum1RemainTerm-AssumLoan1Term+Assume1IOPer),IF(Assum1PmtType=VariablePmt,PPMT(Assum1IntRate/12,AB$5+AssumLoan1Term-Assum1RemainTerm-Assume1IOPer,Assum1AmortPer*12,Assum1OrigBal),-MIN(AB137,PMT(Assum1IntRate/12,Assum1AmortPer*12,-Assum1OrigBal)+AB132)),)</f>
        <v>0</v>
      </c>
      <c r="AC139" s="845">
        <f>IF(AND(HasAssumableDebt1,Assumable1HasAmort,AC137,AC$5&gt;Assum1RemainTerm-AssumLoan1Term+Assume1IOPer),IF(Assum1PmtType=VariablePmt,PPMT(Assum1IntRate/12,AC$5+AssumLoan1Term-Assum1RemainTerm-Assume1IOPer,Assum1AmortPer*12,Assum1OrigBal),-MIN(AC137,PMT(Assum1IntRate/12,Assum1AmortPer*12,-Assum1OrigBal)+AC132)),)</f>
        <v>0</v>
      </c>
      <c r="AD139" s="845">
        <f>IF(AND(HasAssumableDebt1,Assumable1HasAmort,AD137,AD$5&gt;Assum1RemainTerm-AssumLoan1Term+Assume1IOPer),IF(Assum1PmtType=VariablePmt,PPMT(Assum1IntRate/12,AD$5+AssumLoan1Term-Assum1RemainTerm-Assume1IOPer,Assum1AmortPer*12,Assum1OrigBal),-MIN(AD137,PMT(Assum1IntRate/12,Assum1AmortPer*12,-Assum1OrigBal)+AD132)),)</f>
        <v>0</v>
      </c>
      <c r="AE139" s="845">
        <f>IF(AND(HasAssumableDebt1,Assumable1HasAmort,AE137,AE$5&gt;Assum1RemainTerm-AssumLoan1Term+Assume1IOPer),IF(Assum1PmtType=VariablePmt,PPMT(Assum1IntRate/12,AE$5+AssumLoan1Term-Assum1RemainTerm-Assume1IOPer,Assum1AmortPer*12,Assum1OrigBal),-MIN(AE137,PMT(Assum1IntRate/12,Assum1AmortPer*12,-Assum1OrigBal)+AE132)),)</f>
        <v>0</v>
      </c>
      <c r="AF139" s="845">
        <f>IF(AND(HasAssumableDebt1,Assumable1HasAmort,AF137,AF$5&gt;Assum1RemainTerm-AssumLoan1Term+Assume1IOPer),IF(Assum1PmtType=VariablePmt,PPMT(Assum1IntRate/12,AF$5+AssumLoan1Term-Assum1RemainTerm-Assume1IOPer,Assum1AmortPer*12,Assum1OrigBal),-MIN(AF137,PMT(Assum1IntRate/12,Assum1AmortPer*12,-Assum1OrigBal)+AF132)),)</f>
        <v>0</v>
      </c>
      <c r="AG139" s="845">
        <f>IF(AND(HasAssumableDebt1,Assumable1HasAmort,AG137,AG$5&gt;Assum1RemainTerm-AssumLoan1Term+Assume1IOPer),IF(Assum1PmtType=VariablePmt,PPMT(Assum1IntRate/12,AG$5+AssumLoan1Term-Assum1RemainTerm-Assume1IOPer,Assum1AmortPer*12,Assum1OrigBal),-MIN(AG137,PMT(Assum1IntRate/12,Assum1AmortPer*12,-Assum1OrigBal)+AG132)),)</f>
        <v>0</v>
      </c>
      <c r="AH139" s="845">
        <f>IF(AND(HasAssumableDebt1,Assumable1HasAmort,AH137,AH$5&gt;Assum1RemainTerm-AssumLoan1Term+Assume1IOPer),IF(Assum1PmtType=VariablePmt,PPMT(Assum1IntRate/12,AH$5+AssumLoan1Term-Assum1RemainTerm-Assume1IOPer,Assum1AmortPer*12,Assum1OrigBal),-MIN(AH137,PMT(Assum1IntRate/12,Assum1AmortPer*12,-Assum1OrigBal)+AH132)),)</f>
        <v>0</v>
      </c>
      <c r="AI139" s="845">
        <f>IF(AND(HasAssumableDebt1,Assumable1HasAmort,AI137,AI$5&gt;Assum1RemainTerm-AssumLoan1Term+Assume1IOPer),IF(Assum1PmtType=VariablePmt,PPMT(Assum1IntRate/12,AI$5+AssumLoan1Term-Assum1RemainTerm-Assume1IOPer,Assum1AmortPer*12,Assum1OrigBal),-MIN(AI137,PMT(Assum1IntRate/12,Assum1AmortPer*12,-Assum1OrigBal)+AI132)),)</f>
        <v>0</v>
      </c>
      <c r="AJ139" s="845">
        <f>IF(AND(HasAssumableDebt1,Assumable1HasAmort,AJ137,AJ$5&gt;Assum1RemainTerm-AssumLoan1Term+Assume1IOPer),IF(Assum1PmtType=VariablePmt,PPMT(Assum1IntRate/12,AJ$5+AssumLoan1Term-Assum1RemainTerm-Assume1IOPer,Assum1AmortPer*12,Assum1OrigBal),-MIN(AJ137,PMT(Assum1IntRate/12,Assum1AmortPer*12,-Assum1OrigBal)+AJ132)),)</f>
        <v>0</v>
      </c>
      <c r="AK139" s="845">
        <f>IF(AND(HasAssumableDebt1,Assumable1HasAmort,AK137,AK$5&gt;Assum1RemainTerm-AssumLoan1Term+Assume1IOPer),IF(Assum1PmtType=VariablePmt,PPMT(Assum1IntRate/12,AK$5+AssumLoan1Term-Assum1RemainTerm-Assume1IOPer,Assum1AmortPer*12,Assum1OrigBal),-MIN(AK137,PMT(Assum1IntRate/12,Assum1AmortPer*12,-Assum1OrigBal)+AK132)),)</f>
        <v>0</v>
      </c>
      <c r="AL139" s="845">
        <f>IF(AND(HasAssumableDebt1,Assumable1HasAmort,AL137,AL$5&gt;Assum1RemainTerm-AssumLoan1Term+Assume1IOPer),IF(Assum1PmtType=VariablePmt,PPMT(Assum1IntRate/12,AL$5+AssumLoan1Term-Assum1RemainTerm-Assume1IOPer,Assum1AmortPer*12,Assum1OrigBal),-MIN(AL137,PMT(Assum1IntRate/12,Assum1AmortPer*12,-Assum1OrigBal)+AL132)),)</f>
        <v>0</v>
      </c>
      <c r="AM139" s="845">
        <f>IF(AND(HasAssumableDebt1,Assumable1HasAmort,AM137,AM$5&gt;Assum1RemainTerm-AssumLoan1Term+Assume1IOPer),IF(Assum1PmtType=VariablePmt,PPMT(Assum1IntRate/12,AM$5+AssumLoan1Term-Assum1RemainTerm-Assume1IOPer,Assum1AmortPer*12,Assum1OrigBal),-MIN(AM137,PMT(Assum1IntRate/12,Assum1AmortPer*12,-Assum1OrigBal)+AM132)),)</f>
        <v>0</v>
      </c>
      <c r="AN139" s="845">
        <f>IF(AND(HasAssumableDebt1,Assumable1HasAmort,AN137,AN$5&gt;Assum1RemainTerm-AssumLoan1Term+Assume1IOPer),IF(Assum1PmtType=VariablePmt,PPMT(Assum1IntRate/12,AN$5+AssumLoan1Term-Assum1RemainTerm-Assume1IOPer,Assum1AmortPer*12,Assum1OrigBal),-MIN(AN137,PMT(Assum1IntRate/12,Assum1AmortPer*12,-Assum1OrigBal)+AN132)),)</f>
        <v>0</v>
      </c>
      <c r="AO139" s="845">
        <f>IF(AND(HasAssumableDebt1,Assumable1HasAmort,AO137,AO$5&gt;Assum1RemainTerm-AssumLoan1Term+Assume1IOPer),IF(Assum1PmtType=VariablePmt,PPMT(Assum1IntRate/12,AO$5+AssumLoan1Term-Assum1RemainTerm-Assume1IOPer,Assum1AmortPer*12,Assum1OrigBal),-MIN(AO137,PMT(Assum1IntRate/12,Assum1AmortPer*12,-Assum1OrigBal)+AO132)),)</f>
        <v>0</v>
      </c>
      <c r="AP139" s="845">
        <f>IF(AND(HasAssumableDebt1,Assumable1HasAmort,AP137,AP$5&gt;Assum1RemainTerm-AssumLoan1Term+Assume1IOPer),IF(Assum1PmtType=VariablePmt,PPMT(Assum1IntRate/12,AP$5+AssumLoan1Term-Assum1RemainTerm-Assume1IOPer,Assum1AmortPer*12,Assum1OrigBal),-MIN(AP137,PMT(Assum1IntRate/12,Assum1AmortPer*12,-Assum1OrigBal)+AP132)),)</f>
        <v>0</v>
      </c>
      <c r="AQ139" s="845">
        <f>IF(AND(HasAssumableDebt1,Assumable1HasAmort,AQ137,AQ$5&gt;Assum1RemainTerm-AssumLoan1Term+Assume1IOPer),IF(Assum1PmtType=VariablePmt,PPMT(Assum1IntRate/12,AQ$5+AssumLoan1Term-Assum1RemainTerm-Assume1IOPer,Assum1AmortPer*12,Assum1OrigBal),-MIN(AQ137,PMT(Assum1IntRate/12,Assum1AmortPer*12,-Assum1OrigBal)+AQ132)),)</f>
        <v>0</v>
      </c>
      <c r="AR139" s="845">
        <f>IF(AND(HasAssumableDebt1,Assumable1HasAmort,AR137,AR$5&gt;Assum1RemainTerm-AssumLoan1Term+Assume1IOPer),IF(Assum1PmtType=VariablePmt,PPMT(Assum1IntRate/12,AR$5+AssumLoan1Term-Assum1RemainTerm-Assume1IOPer,Assum1AmortPer*12,Assum1OrigBal),-MIN(AR137,PMT(Assum1IntRate/12,Assum1AmortPer*12,-Assum1OrigBal)+AR132)),)</f>
        <v>0</v>
      </c>
      <c r="AS139" s="845">
        <f>IF(AND(HasAssumableDebt1,Assumable1HasAmort,AS137,AS$5&gt;Assum1RemainTerm-AssumLoan1Term+Assume1IOPer),IF(Assum1PmtType=VariablePmt,PPMT(Assum1IntRate/12,AS$5+AssumLoan1Term-Assum1RemainTerm-Assume1IOPer,Assum1AmortPer*12,Assum1OrigBal),-MIN(AS137,PMT(Assum1IntRate/12,Assum1AmortPer*12,-Assum1OrigBal)+AS132)),)</f>
        <v>0</v>
      </c>
      <c r="AT139" s="845">
        <f>IF(AND(HasAssumableDebt1,Assumable1HasAmort,AT137,AT$5&gt;Assum1RemainTerm-AssumLoan1Term+Assume1IOPer),IF(Assum1PmtType=VariablePmt,PPMT(Assum1IntRate/12,AT$5+AssumLoan1Term-Assum1RemainTerm-Assume1IOPer,Assum1AmortPer*12,Assum1OrigBal),-MIN(AT137,PMT(Assum1IntRate/12,Assum1AmortPer*12,-Assum1OrigBal)+AT132)),)</f>
        <v>0</v>
      </c>
      <c r="AU139" s="845">
        <f>IF(AND(HasAssumableDebt1,Assumable1HasAmort,AU137,AU$5&gt;Assum1RemainTerm-AssumLoan1Term+Assume1IOPer),IF(Assum1PmtType=VariablePmt,PPMT(Assum1IntRate/12,AU$5+AssumLoan1Term-Assum1RemainTerm-Assume1IOPer,Assum1AmortPer*12,Assum1OrigBal),-MIN(AU137,PMT(Assum1IntRate/12,Assum1AmortPer*12,-Assum1OrigBal)+AU132)),)</f>
        <v>0</v>
      </c>
      <c r="AV139" s="845">
        <f>IF(AND(HasAssumableDebt1,Assumable1HasAmort,AV137,AV$5&gt;Assum1RemainTerm-AssumLoan1Term+Assume1IOPer),IF(Assum1PmtType=VariablePmt,PPMT(Assum1IntRate/12,AV$5+AssumLoan1Term-Assum1RemainTerm-Assume1IOPer,Assum1AmortPer*12,Assum1OrigBal),-MIN(AV137,PMT(Assum1IntRate/12,Assum1AmortPer*12,-Assum1OrigBal)+AV132)),)</f>
        <v>0</v>
      </c>
      <c r="AW139" s="845">
        <f>IF(AND(HasAssumableDebt1,Assumable1HasAmort,AW137,AW$5&gt;Assum1RemainTerm-AssumLoan1Term+Assume1IOPer),IF(Assum1PmtType=VariablePmt,PPMT(Assum1IntRate/12,AW$5+AssumLoan1Term-Assum1RemainTerm-Assume1IOPer,Assum1AmortPer*12,Assum1OrigBal),-MIN(AW137,PMT(Assum1IntRate/12,Assum1AmortPer*12,-Assum1OrigBal)+AW132)),)</f>
        <v>0</v>
      </c>
      <c r="AX139" s="845">
        <f>IF(AND(HasAssumableDebt1,Assumable1HasAmort,AX137,AX$5&gt;Assum1RemainTerm-AssumLoan1Term+Assume1IOPer),IF(Assum1PmtType=VariablePmt,PPMT(Assum1IntRate/12,AX$5+AssumLoan1Term-Assum1RemainTerm-Assume1IOPer,Assum1AmortPer*12,Assum1OrigBal),-MIN(AX137,PMT(Assum1IntRate/12,Assum1AmortPer*12,-Assum1OrigBal)+AX132)),)</f>
        <v>0</v>
      </c>
      <c r="AY139" s="845">
        <f>IF(AND(HasAssumableDebt1,Assumable1HasAmort,AY137,AY$5&gt;Assum1RemainTerm-AssumLoan1Term+Assume1IOPer),IF(Assum1PmtType=VariablePmt,PPMT(Assum1IntRate/12,AY$5+AssumLoan1Term-Assum1RemainTerm-Assume1IOPer,Assum1AmortPer*12,Assum1OrigBal),-MIN(AY137,PMT(Assum1IntRate/12,Assum1AmortPer*12,-Assum1OrigBal)+AY132)),)</f>
        <v>0</v>
      </c>
      <c r="AZ139" s="845">
        <f>IF(AND(HasAssumableDebt1,Assumable1HasAmort,AZ137,AZ$5&gt;Assum1RemainTerm-AssumLoan1Term+Assume1IOPer),IF(Assum1PmtType=VariablePmt,PPMT(Assum1IntRate/12,AZ$5+AssumLoan1Term-Assum1RemainTerm-Assume1IOPer,Assum1AmortPer*12,Assum1OrigBal),-MIN(AZ137,PMT(Assum1IntRate/12,Assum1AmortPer*12,-Assum1OrigBal)+AZ132)),)</f>
        <v>0</v>
      </c>
      <c r="BA139" s="845">
        <f>IF(AND(HasAssumableDebt1,Assumable1HasAmort,BA137,BA$5&gt;Assum1RemainTerm-AssumLoan1Term+Assume1IOPer),IF(Assum1PmtType=VariablePmt,PPMT(Assum1IntRate/12,BA$5+AssumLoan1Term-Assum1RemainTerm-Assume1IOPer,Assum1AmortPer*12,Assum1OrigBal),-MIN(BA137,PMT(Assum1IntRate/12,Assum1AmortPer*12,-Assum1OrigBal)+BA132)),)</f>
        <v>0</v>
      </c>
      <c r="BB139" s="845">
        <f>IF(AND(HasAssumableDebt1,Assumable1HasAmort,BB137,BB$5&gt;Assum1RemainTerm-AssumLoan1Term+Assume1IOPer),IF(Assum1PmtType=VariablePmt,PPMT(Assum1IntRate/12,BB$5+AssumLoan1Term-Assum1RemainTerm-Assume1IOPer,Assum1AmortPer*12,Assum1OrigBal),-MIN(BB137,PMT(Assum1IntRate/12,Assum1AmortPer*12,-Assum1OrigBal)+BB132)),)</f>
        <v>0</v>
      </c>
      <c r="BC139" s="845">
        <f>IF(AND(HasAssumableDebt1,Assumable1HasAmort,BC137,BC$5&gt;Assum1RemainTerm-AssumLoan1Term+Assume1IOPer),IF(Assum1PmtType=VariablePmt,PPMT(Assum1IntRate/12,BC$5+AssumLoan1Term-Assum1RemainTerm-Assume1IOPer,Assum1AmortPer*12,Assum1OrigBal),-MIN(BC137,PMT(Assum1IntRate/12,Assum1AmortPer*12,-Assum1OrigBal)+BC132)),)</f>
        <v>0</v>
      </c>
      <c r="BD139" s="845">
        <f>IF(AND(HasAssumableDebt1,Assumable1HasAmort,BD137,BD$5&gt;Assum1RemainTerm-AssumLoan1Term+Assume1IOPer),IF(Assum1PmtType=VariablePmt,PPMT(Assum1IntRate/12,BD$5+AssumLoan1Term-Assum1RemainTerm-Assume1IOPer,Assum1AmortPer*12,Assum1OrigBal),-MIN(BD137,PMT(Assum1IntRate/12,Assum1AmortPer*12,-Assum1OrigBal)+BD132)),)</f>
        <v>0</v>
      </c>
      <c r="BE139" s="845">
        <f>IF(AND(HasAssumableDebt1,Assumable1HasAmort,BE137,BE$5&gt;Assum1RemainTerm-AssumLoan1Term+Assume1IOPer),IF(Assum1PmtType=VariablePmt,PPMT(Assum1IntRate/12,BE$5+AssumLoan1Term-Assum1RemainTerm-Assume1IOPer,Assum1AmortPer*12,Assum1OrigBal),-MIN(BE137,PMT(Assum1IntRate/12,Assum1AmortPer*12,-Assum1OrigBal)+BE132)),)</f>
        <v>0</v>
      </c>
      <c r="BF139" s="845">
        <f>IF(AND(HasAssumableDebt1,Assumable1HasAmort,BF137,BF$5&gt;Assum1RemainTerm-AssumLoan1Term+Assume1IOPer),IF(Assum1PmtType=VariablePmt,PPMT(Assum1IntRate/12,BF$5+AssumLoan1Term-Assum1RemainTerm-Assume1IOPer,Assum1AmortPer*12,Assum1OrigBal),-MIN(BF137,PMT(Assum1IntRate/12,Assum1AmortPer*12,-Assum1OrigBal)+BF132)),)</f>
        <v>0</v>
      </c>
      <c r="BG139" s="845">
        <f>IF(AND(HasAssumableDebt1,Assumable1HasAmort,BG137,BG$5&gt;Assum1RemainTerm-AssumLoan1Term+Assume1IOPer),IF(Assum1PmtType=VariablePmt,PPMT(Assum1IntRate/12,BG$5+AssumLoan1Term-Assum1RemainTerm-Assume1IOPer,Assum1AmortPer*12,Assum1OrigBal),-MIN(BG137,PMT(Assum1IntRate/12,Assum1AmortPer*12,-Assum1OrigBal)+BG132)),)</f>
        <v>0</v>
      </c>
      <c r="BH139" s="845">
        <f>IF(AND(HasAssumableDebt1,Assumable1HasAmort,BH137,BH$5&gt;Assum1RemainTerm-AssumLoan1Term+Assume1IOPer),IF(Assum1PmtType=VariablePmt,PPMT(Assum1IntRate/12,BH$5+AssumLoan1Term-Assum1RemainTerm-Assume1IOPer,Assum1AmortPer*12,Assum1OrigBal),-MIN(BH137,PMT(Assum1IntRate/12,Assum1AmortPer*12,-Assum1OrigBal)+BH132)),)</f>
        <v>0</v>
      </c>
      <c r="BI139" s="845">
        <f>IF(AND(HasAssumableDebt1,Assumable1HasAmort,BI137,BI$5&gt;Assum1RemainTerm-AssumLoan1Term+Assume1IOPer),IF(Assum1PmtType=VariablePmt,PPMT(Assum1IntRate/12,BI$5+AssumLoan1Term-Assum1RemainTerm-Assume1IOPer,Assum1AmortPer*12,Assum1OrigBal),-MIN(BI137,PMT(Assum1IntRate/12,Assum1AmortPer*12,-Assum1OrigBal)+BI132)),)</f>
        <v>0</v>
      </c>
      <c r="BJ139" s="845">
        <f>IF(AND(HasAssumableDebt1,Assumable1HasAmort,BJ137,BJ$5&gt;Assum1RemainTerm-AssumLoan1Term+Assume1IOPer),IF(Assum1PmtType=VariablePmt,PPMT(Assum1IntRate/12,BJ$5+AssumLoan1Term-Assum1RemainTerm-Assume1IOPer,Assum1AmortPer*12,Assum1OrigBal),-MIN(BJ137,PMT(Assum1IntRate/12,Assum1AmortPer*12,-Assum1OrigBal)+BJ132)),)</f>
        <v>0</v>
      </c>
      <c r="BK139" s="845">
        <f>IF(AND(HasAssumableDebt1,Assumable1HasAmort,BK137,BK$5&gt;Assum1RemainTerm-AssumLoan1Term+Assume1IOPer),IF(Assum1PmtType=VariablePmt,PPMT(Assum1IntRate/12,BK$5+AssumLoan1Term-Assum1RemainTerm-Assume1IOPer,Assum1AmortPer*12,Assum1OrigBal),-MIN(BK137,PMT(Assum1IntRate/12,Assum1AmortPer*12,-Assum1OrigBal)+BK132)),)</f>
        <v>0</v>
      </c>
      <c r="BL139" s="845">
        <f>IF(AND(HasAssumableDebt1,Assumable1HasAmort,BL137,BL$5&gt;Assum1RemainTerm-AssumLoan1Term+Assume1IOPer),IF(Assum1PmtType=VariablePmt,PPMT(Assum1IntRate/12,BL$5+AssumLoan1Term-Assum1RemainTerm-Assume1IOPer,Assum1AmortPer*12,Assum1OrigBal),-MIN(BL137,PMT(Assum1IntRate/12,Assum1AmortPer*12,-Assum1OrigBal)+BL132)),)</f>
        <v>0</v>
      </c>
      <c r="BM139" s="845">
        <f>IF(AND(HasAssumableDebt1,Assumable1HasAmort,BM137,BM$5&gt;Assum1RemainTerm-AssumLoan1Term+Assume1IOPer),IF(Assum1PmtType=VariablePmt,PPMT(Assum1IntRate/12,BM$5+AssumLoan1Term-Assum1RemainTerm-Assume1IOPer,Assum1AmortPer*12,Assum1OrigBal),-MIN(BM137,PMT(Assum1IntRate/12,Assum1AmortPer*12,-Assum1OrigBal)+BM132)),)</f>
        <v>0</v>
      </c>
      <c r="BN139" s="845">
        <f>IF(AND(HasAssumableDebt1,Assumable1HasAmort,BN137,BN$5&gt;Assum1RemainTerm-AssumLoan1Term+Assume1IOPer),IF(Assum1PmtType=VariablePmt,PPMT(Assum1IntRate/12,BN$5+AssumLoan1Term-Assum1RemainTerm-Assume1IOPer,Assum1AmortPer*12,Assum1OrigBal),-MIN(BN137,PMT(Assum1IntRate/12,Assum1AmortPer*12,-Assum1OrigBal)+BN132)),)</f>
        <v>0</v>
      </c>
      <c r="BO139" s="845">
        <f>IF(AND(HasAssumableDebt1,Assumable1HasAmort,BO137,BO$5&gt;Assum1RemainTerm-AssumLoan1Term+Assume1IOPer),IF(Assum1PmtType=VariablePmt,PPMT(Assum1IntRate/12,BO$5+AssumLoan1Term-Assum1RemainTerm-Assume1IOPer,Assum1AmortPer*12,Assum1OrigBal),-MIN(BO137,PMT(Assum1IntRate/12,Assum1AmortPer*12,-Assum1OrigBal)+BO132)),)</f>
        <v>0</v>
      </c>
      <c r="BP139" s="845">
        <f>IF(AND(HasAssumableDebt1,Assumable1HasAmort,BP137,BP$5&gt;Assum1RemainTerm-AssumLoan1Term+Assume1IOPer),IF(Assum1PmtType=VariablePmt,PPMT(Assum1IntRate/12,BP$5+AssumLoan1Term-Assum1RemainTerm-Assume1IOPer,Assum1AmortPer*12,Assum1OrigBal),-MIN(BP137,PMT(Assum1IntRate/12,Assum1AmortPer*12,-Assum1OrigBal)+BP132)),)</f>
        <v>0</v>
      </c>
      <c r="BQ139" s="845">
        <f>IF(AND(HasAssumableDebt1,Assumable1HasAmort,BQ137,BQ$5&gt;Assum1RemainTerm-AssumLoan1Term+Assume1IOPer),IF(Assum1PmtType=VariablePmt,PPMT(Assum1IntRate/12,BQ$5+AssumLoan1Term-Assum1RemainTerm-Assume1IOPer,Assum1AmortPer*12,Assum1OrigBal),-MIN(BQ137,PMT(Assum1IntRate/12,Assum1AmortPer*12,-Assum1OrigBal)+BQ132)),)</f>
        <v>0</v>
      </c>
      <c r="BR139" s="845">
        <f>IF(AND(HasAssumableDebt1,Assumable1HasAmort,BR137,BR$5&gt;Assum1RemainTerm-AssumLoan1Term+Assume1IOPer),IF(Assum1PmtType=VariablePmt,PPMT(Assum1IntRate/12,BR$5+AssumLoan1Term-Assum1RemainTerm-Assume1IOPer,Assum1AmortPer*12,Assum1OrigBal),-MIN(BR137,PMT(Assum1IntRate/12,Assum1AmortPer*12,-Assum1OrigBal)+BR132)),)</f>
        <v>0</v>
      </c>
      <c r="BS139" s="845">
        <f>IF(AND(HasAssumableDebt1,Assumable1HasAmort,BS137,BS$5&gt;Assum1RemainTerm-AssumLoan1Term+Assume1IOPer),IF(Assum1PmtType=VariablePmt,PPMT(Assum1IntRate/12,BS$5+AssumLoan1Term-Assum1RemainTerm-Assume1IOPer,Assum1AmortPer*12,Assum1OrigBal),-MIN(BS137,PMT(Assum1IntRate/12,Assum1AmortPer*12,-Assum1OrigBal)+BS132)),)</f>
        <v>0</v>
      </c>
      <c r="BT139" s="845">
        <f>IF(AND(HasAssumableDebt1,Assumable1HasAmort,BT137,BT$5&gt;Assum1RemainTerm-AssumLoan1Term+Assume1IOPer),IF(Assum1PmtType=VariablePmt,PPMT(Assum1IntRate/12,BT$5+AssumLoan1Term-Assum1RemainTerm-Assume1IOPer,Assum1AmortPer*12,Assum1OrigBal),-MIN(BT137,PMT(Assum1IntRate/12,Assum1AmortPer*12,-Assum1OrigBal)+BT132)),)</f>
        <v>0</v>
      </c>
      <c r="BU139" s="845">
        <f>IF(AND(HasAssumableDebt1,Assumable1HasAmort,BU137,BU$5&gt;Assum1RemainTerm-AssumLoan1Term+Assume1IOPer),IF(Assum1PmtType=VariablePmt,PPMT(Assum1IntRate/12,BU$5+AssumLoan1Term-Assum1RemainTerm-Assume1IOPer,Assum1AmortPer*12,Assum1OrigBal),-MIN(BU137,PMT(Assum1IntRate/12,Assum1AmortPer*12,-Assum1OrigBal)+BU132)),)</f>
        <v>0</v>
      </c>
      <c r="BV139" s="845">
        <f>IF(AND(HasAssumableDebt1,Assumable1HasAmort,BV137,BV$5&gt;Assum1RemainTerm-AssumLoan1Term+Assume1IOPer),IF(Assum1PmtType=VariablePmt,PPMT(Assum1IntRate/12,BV$5+AssumLoan1Term-Assum1RemainTerm-Assume1IOPer,Assum1AmortPer*12,Assum1OrigBal),-MIN(BV137,PMT(Assum1IntRate/12,Assum1AmortPer*12,-Assum1OrigBal)+BV132)),)</f>
        <v>0</v>
      </c>
      <c r="BW139" s="845">
        <f>IF(AND(HasAssumableDebt1,Assumable1HasAmort,BW137,BW$5&gt;Assum1RemainTerm-AssumLoan1Term+Assume1IOPer),IF(Assum1PmtType=VariablePmt,PPMT(Assum1IntRate/12,BW$5+AssumLoan1Term-Assum1RemainTerm-Assume1IOPer,Assum1AmortPer*12,Assum1OrigBal),-MIN(BW137,PMT(Assum1IntRate/12,Assum1AmortPer*12,-Assum1OrigBal)+BW132)),)</f>
        <v>0</v>
      </c>
      <c r="BX139" s="845">
        <f>IF(AND(HasAssumableDebt1,Assumable1HasAmort,BX137,BX$5&gt;Assum1RemainTerm-AssumLoan1Term+Assume1IOPer),IF(Assum1PmtType=VariablePmt,PPMT(Assum1IntRate/12,BX$5+AssumLoan1Term-Assum1RemainTerm-Assume1IOPer,Assum1AmortPer*12,Assum1OrigBal),-MIN(BX137,PMT(Assum1IntRate/12,Assum1AmortPer*12,-Assum1OrigBal)+BX132)),)</f>
        <v>0</v>
      </c>
      <c r="BY139" s="845">
        <f>IF(AND(HasAssumableDebt1,Assumable1HasAmort,BY137,BY$5&gt;Assum1RemainTerm-AssumLoan1Term+Assume1IOPer),IF(Assum1PmtType=VariablePmt,PPMT(Assum1IntRate/12,BY$5+AssumLoan1Term-Assum1RemainTerm-Assume1IOPer,Assum1AmortPer*12,Assum1OrigBal),-MIN(BY137,PMT(Assum1IntRate/12,Assum1AmortPer*12,-Assum1OrigBal)+BY132)),)</f>
        <v>0</v>
      </c>
      <c r="BZ139" s="845">
        <f>IF(AND(HasAssumableDebt1,Assumable1HasAmort,BZ137,BZ$5&gt;Assum1RemainTerm-AssumLoan1Term+Assume1IOPer),IF(Assum1PmtType=VariablePmt,PPMT(Assum1IntRate/12,BZ$5+AssumLoan1Term-Assum1RemainTerm-Assume1IOPer,Assum1AmortPer*12,Assum1OrigBal),-MIN(BZ137,PMT(Assum1IntRate/12,Assum1AmortPer*12,-Assum1OrigBal)+BZ132)),)</f>
        <v>0</v>
      </c>
      <c r="CA139" s="845">
        <f>IF(AND(HasAssumableDebt1,Assumable1HasAmort,CA137,CA$5&gt;Assum1RemainTerm-AssumLoan1Term+Assume1IOPer),IF(Assum1PmtType=VariablePmt,PPMT(Assum1IntRate/12,CA$5+AssumLoan1Term-Assum1RemainTerm-Assume1IOPer,Assum1AmortPer*12,Assum1OrigBal),-MIN(CA137,PMT(Assum1IntRate/12,Assum1AmortPer*12,-Assum1OrigBal)+CA132)),)</f>
        <v>0</v>
      </c>
      <c r="CB139" s="845">
        <f>IF(AND(HasAssumableDebt1,Assumable1HasAmort,CB137,CB$5&gt;Assum1RemainTerm-AssumLoan1Term+Assume1IOPer),IF(Assum1PmtType=VariablePmt,PPMT(Assum1IntRate/12,CB$5+AssumLoan1Term-Assum1RemainTerm-Assume1IOPer,Assum1AmortPer*12,Assum1OrigBal),-MIN(CB137,PMT(Assum1IntRate/12,Assum1AmortPer*12,-Assum1OrigBal)+CB132)),)</f>
        <v>0</v>
      </c>
      <c r="CC139" s="845">
        <f>IF(AND(HasAssumableDebt1,Assumable1HasAmort,CC137,CC$5&gt;Assum1RemainTerm-AssumLoan1Term+Assume1IOPer),IF(Assum1PmtType=VariablePmt,PPMT(Assum1IntRate/12,CC$5+AssumLoan1Term-Assum1RemainTerm-Assume1IOPer,Assum1AmortPer*12,Assum1OrigBal),-MIN(CC137,PMT(Assum1IntRate/12,Assum1AmortPer*12,-Assum1OrigBal)+CC132)),)</f>
        <v>0</v>
      </c>
      <c r="CD139" s="845">
        <f>IF(AND(HasAssumableDebt1,Assumable1HasAmort,CD137,CD$5&gt;Assum1RemainTerm-AssumLoan1Term+Assume1IOPer),IF(Assum1PmtType=VariablePmt,PPMT(Assum1IntRate/12,CD$5+AssumLoan1Term-Assum1RemainTerm-Assume1IOPer,Assum1AmortPer*12,Assum1OrigBal),-MIN(CD137,PMT(Assum1IntRate/12,Assum1AmortPer*12,-Assum1OrigBal)+CD132)),)</f>
        <v>0</v>
      </c>
      <c r="CE139" s="845">
        <f>IF(AND(HasAssumableDebt1,Assumable1HasAmort,CE137,CE$5&gt;Assum1RemainTerm-AssumLoan1Term+Assume1IOPer),IF(Assum1PmtType=VariablePmt,PPMT(Assum1IntRate/12,CE$5+AssumLoan1Term-Assum1RemainTerm-Assume1IOPer,Assum1AmortPer*12,Assum1OrigBal),-MIN(CE137,PMT(Assum1IntRate/12,Assum1AmortPer*12,-Assum1OrigBal)+CE132)),)</f>
        <v>0</v>
      </c>
      <c r="CF139" s="845">
        <f>IF(AND(HasAssumableDebt1,Assumable1HasAmort,CF137,CF$5&gt;Assum1RemainTerm-AssumLoan1Term+Assume1IOPer),IF(Assum1PmtType=VariablePmt,PPMT(Assum1IntRate/12,CF$5+AssumLoan1Term-Assum1RemainTerm-Assume1IOPer,Assum1AmortPer*12,Assum1OrigBal),-MIN(CF137,PMT(Assum1IntRate/12,Assum1AmortPer*12,-Assum1OrigBal)+CF132)),)</f>
        <v>0</v>
      </c>
      <c r="CG139" s="845">
        <f>IF(AND(HasAssumableDebt1,Assumable1HasAmort,CG137,CG$5&gt;Assum1RemainTerm-AssumLoan1Term+Assume1IOPer),IF(Assum1PmtType=VariablePmt,PPMT(Assum1IntRate/12,CG$5+AssumLoan1Term-Assum1RemainTerm-Assume1IOPer,Assum1AmortPer*12,Assum1OrigBal),-MIN(CG137,PMT(Assum1IntRate/12,Assum1AmortPer*12,-Assum1OrigBal)+CG132)),)</f>
        <v>0</v>
      </c>
      <c r="CH139" s="845">
        <f>IF(AND(HasAssumableDebt1,Assumable1HasAmort,CH137,CH$5&gt;Assum1RemainTerm-AssumLoan1Term+Assume1IOPer),IF(Assum1PmtType=VariablePmt,PPMT(Assum1IntRate/12,CH$5+AssumLoan1Term-Assum1RemainTerm-Assume1IOPer,Assum1AmortPer*12,Assum1OrigBal),-MIN(CH137,PMT(Assum1IntRate/12,Assum1AmortPer*12,-Assum1OrigBal)+CH132)),)</f>
        <v>0</v>
      </c>
      <c r="CI139" s="845">
        <f>IF(AND(HasAssumableDebt1,Assumable1HasAmort,CI137,CI$5&gt;Assum1RemainTerm-AssumLoan1Term+Assume1IOPer),IF(Assum1PmtType=VariablePmt,PPMT(Assum1IntRate/12,CI$5+AssumLoan1Term-Assum1RemainTerm-Assume1IOPer,Assum1AmortPer*12,Assum1OrigBal),-MIN(CI137,PMT(Assum1IntRate/12,Assum1AmortPer*12,-Assum1OrigBal)+CI132)),)</f>
        <v>0</v>
      </c>
      <c r="CJ139" s="845">
        <f>IF(AND(HasAssumableDebt1,Assumable1HasAmort,CJ137,CJ$5&gt;Assum1RemainTerm-AssumLoan1Term+Assume1IOPer),IF(Assum1PmtType=VariablePmt,PPMT(Assum1IntRate/12,CJ$5+AssumLoan1Term-Assum1RemainTerm-Assume1IOPer,Assum1AmortPer*12,Assum1OrigBal),-MIN(CJ137,PMT(Assum1IntRate/12,Assum1AmortPer*12,-Assum1OrigBal)+CJ132)),)</f>
        <v>0</v>
      </c>
      <c r="CK139" s="845">
        <f>IF(AND(HasAssumableDebt1,Assumable1HasAmort,CK137,CK$5&gt;Assum1RemainTerm-AssumLoan1Term+Assume1IOPer),IF(Assum1PmtType=VariablePmt,PPMT(Assum1IntRate/12,CK$5+AssumLoan1Term-Assum1RemainTerm-Assume1IOPer,Assum1AmortPer*12,Assum1OrigBal),-MIN(CK137,PMT(Assum1IntRate/12,Assum1AmortPer*12,-Assum1OrigBal)+CK132)),)</f>
        <v>0</v>
      </c>
      <c r="CL139" s="845">
        <f>IF(AND(HasAssumableDebt1,Assumable1HasAmort,CL137,CL$5&gt;Assum1RemainTerm-AssumLoan1Term+Assume1IOPer),IF(Assum1PmtType=VariablePmt,PPMT(Assum1IntRate/12,CL$5+AssumLoan1Term-Assum1RemainTerm-Assume1IOPer,Assum1AmortPer*12,Assum1OrigBal),-MIN(CL137,PMT(Assum1IntRate/12,Assum1AmortPer*12,-Assum1OrigBal)+CL132)),)</f>
        <v>0</v>
      </c>
      <c r="CM139" s="845">
        <f>IF(AND(HasAssumableDebt1,Assumable1HasAmort,CM137,CM$5&gt;Assum1RemainTerm-AssumLoan1Term+Assume1IOPer),IF(Assum1PmtType=VariablePmt,PPMT(Assum1IntRate/12,CM$5+AssumLoan1Term-Assum1RemainTerm-Assume1IOPer,Assum1AmortPer*12,Assum1OrigBal),-MIN(CM137,PMT(Assum1IntRate/12,Assum1AmortPer*12,-Assum1OrigBal)+CM132)),)</f>
        <v>0</v>
      </c>
      <c r="CN139" s="845">
        <f>IF(AND(HasAssumableDebt1,Assumable1HasAmort,CN137,CN$5&gt;Assum1RemainTerm-AssumLoan1Term+Assume1IOPer),IF(Assum1PmtType=VariablePmt,PPMT(Assum1IntRate/12,CN$5+AssumLoan1Term-Assum1RemainTerm-Assume1IOPer,Assum1AmortPer*12,Assum1OrigBal),-MIN(CN137,PMT(Assum1IntRate/12,Assum1AmortPer*12,-Assum1OrigBal)+CN132)),)</f>
        <v>0</v>
      </c>
      <c r="CO139" s="845">
        <f>IF(AND(HasAssumableDebt1,Assumable1HasAmort,CO137,CO$5&gt;Assum1RemainTerm-AssumLoan1Term+Assume1IOPer),IF(Assum1PmtType=VariablePmt,PPMT(Assum1IntRate/12,CO$5+AssumLoan1Term-Assum1RemainTerm-Assume1IOPer,Assum1AmortPer*12,Assum1OrigBal),-MIN(CO137,PMT(Assum1IntRate/12,Assum1AmortPer*12,-Assum1OrigBal)+CO132)),)</f>
        <v>0</v>
      </c>
      <c r="CP139" s="845">
        <f>IF(AND(HasAssumableDebt1,Assumable1HasAmort,CP137,CP$5&gt;Assum1RemainTerm-AssumLoan1Term+Assume1IOPer),IF(Assum1PmtType=VariablePmt,PPMT(Assum1IntRate/12,CP$5+AssumLoan1Term-Assum1RemainTerm-Assume1IOPer,Assum1AmortPer*12,Assum1OrigBal),-MIN(CP137,PMT(Assum1IntRate/12,Assum1AmortPer*12,-Assum1OrigBal)+CP132)),)</f>
        <v>0</v>
      </c>
      <c r="CQ139" s="845">
        <f>IF(AND(HasAssumableDebt1,Assumable1HasAmort,CQ137,CQ$5&gt;Assum1RemainTerm-AssumLoan1Term+Assume1IOPer),IF(Assum1PmtType=VariablePmt,PPMT(Assum1IntRate/12,CQ$5+AssumLoan1Term-Assum1RemainTerm-Assume1IOPer,Assum1AmortPer*12,Assum1OrigBal),-MIN(CQ137,PMT(Assum1IntRate/12,Assum1AmortPer*12,-Assum1OrigBal)+CQ132)),)</f>
        <v>0</v>
      </c>
      <c r="CR139" s="845">
        <f>IF(AND(HasAssumableDebt1,Assumable1HasAmort,CR137,CR$5&gt;Assum1RemainTerm-AssumLoan1Term+Assume1IOPer),IF(Assum1PmtType=VariablePmt,PPMT(Assum1IntRate/12,CR$5+AssumLoan1Term-Assum1RemainTerm-Assume1IOPer,Assum1AmortPer*12,Assum1OrigBal),-MIN(CR137,PMT(Assum1IntRate/12,Assum1AmortPer*12,-Assum1OrigBal)+CR132)),)</f>
        <v>0</v>
      </c>
      <c r="CS139" s="845">
        <f>IF(AND(HasAssumableDebt1,Assumable1HasAmort,CS137,CS$5&gt;Assum1RemainTerm-AssumLoan1Term+Assume1IOPer),IF(Assum1PmtType=VariablePmt,PPMT(Assum1IntRate/12,CS$5+AssumLoan1Term-Assum1RemainTerm-Assume1IOPer,Assum1AmortPer*12,Assum1OrigBal),-MIN(CS137,PMT(Assum1IntRate/12,Assum1AmortPer*12,-Assum1OrigBal)+CS132)),)</f>
        <v>0</v>
      </c>
      <c r="CT139" s="845">
        <f>IF(AND(HasAssumableDebt1,Assumable1HasAmort,CT137,CT$5&gt;Assum1RemainTerm-AssumLoan1Term+Assume1IOPer),IF(Assum1PmtType=VariablePmt,PPMT(Assum1IntRate/12,CT$5+AssumLoan1Term-Assum1RemainTerm-Assume1IOPer,Assum1AmortPer*12,Assum1OrigBal),-MIN(CT137,PMT(Assum1IntRate/12,Assum1AmortPer*12,-Assum1OrigBal)+CT132)),)</f>
        <v>0</v>
      </c>
      <c r="CU139" s="845">
        <f>IF(AND(HasAssumableDebt1,Assumable1HasAmort,CU137,CU$5&gt;Assum1RemainTerm-AssumLoan1Term+Assume1IOPer),IF(Assum1PmtType=VariablePmt,PPMT(Assum1IntRate/12,CU$5+AssumLoan1Term-Assum1RemainTerm-Assume1IOPer,Assum1AmortPer*12,Assum1OrigBal),-MIN(CU137,PMT(Assum1IntRate/12,Assum1AmortPer*12,-Assum1OrigBal)+CU132)),)</f>
        <v>0</v>
      </c>
      <c r="CV139" s="845">
        <f>IF(AND(HasAssumableDebt1,Assumable1HasAmort,CV137,CV$5&gt;Assum1RemainTerm-AssumLoan1Term+Assume1IOPer),IF(Assum1PmtType=VariablePmt,PPMT(Assum1IntRate/12,CV$5+AssumLoan1Term-Assum1RemainTerm-Assume1IOPer,Assum1AmortPer*12,Assum1OrigBal),-MIN(CV137,PMT(Assum1IntRate/12,Assum1AmortPer*12,-Assum1OrigBal)+CV132)),)</f>
        <v>0</v>
      </c>
      <c r="CW139" s="845">
        <f>IF(AND(HasAssumableDebt1,Assumable1HasAmort,CW137,CW$5&gt;Assum1RemainTerm-AssumLoan1Term+Assume1IOPer),IF(Assum1PmtType=VariablePmt,PPMT(Assum1IntRate/12,CW$5+AssumLoan1Term-Assum1RemainTerm-Assume1IOPer,Assum1AmortPer*12,Assum1OrigBal),-MIN(CW137,PMT(Assum1IntRate/12,Assum1AmortPer*12,-Assum1OrigBal)+CW132)),)</f>
        <v>0</v>
      </c>
      <c r="CX139" s="845">
        <f>IF(AND(HasAssumableDebt1,Assumable1HasAmort,CX137,CX$5&gt;Assum1RemainTerm-AssumLoan1Term+Assume1IOPer),IF(Assum1PmtType=VariablePmt,PPMT(Assum1IntRate/12,CX$5+AssumLoan1Term-Assum1RemainTerm-Assume1IOPer,Assum1AmortPer*12,Assum1OrigBal),-MIN(CX137,PMT(Assum1IntRate/12,Assum1AmortPer*12,-Assum1OrigBal)+CX132)),)</f>
        <v>0</v>
      </c>
      <c r="CY139" s="845">
        <f>IF(AND(HasAssumableDebt1,Assumable1HasAmort,CY137,CY$5&gt;Assum1RemainTerm-AssumLoan1Term+Assume1IOPer),IF(Assum1PmtType=VariablePmt,PPMT(Assum1IntRate/12,CY$5+AssumLoan1Term-Assum1RemainTerm-Assume1IOPer,Assum1AmortPer*12,Assum1OrigBal),-MIN(CY137,PMT(Assum1IntRate/12,Assum1AmortPer*12,-Assum1OrigBal)+CY132)),)</f>
        <v>0</v>
      </c>
      <c r="CZ139" s="845">
        <f>IF(AND(HasAssumableDebt1,Assumable1HasAmort,CZ137,CZ$5&gt;Assum1RemainTerm-AssumLoan1Term+Assume1IOPer),IF(Assum1PmtType=VariablePmt,PPMT(Assum1IntRate/12,CZ$5+AssumLoan1Term-Assum1RemainTerm-Assume1IOPer,Assum1AmortPer*12,Assum1OrigBal),-MIN(CZ137,PMT(Assum1IntRate/12,Assum1AmortPer*12,-Assum1OrigBal)+CZ132)),)</f>
        <v>0</v>
      </c>
      <c r="DA139" s="845">
        <f>IF(AND(HasAssumableDebt1,Assumable1HasAmort,DA137,DA$5&gt;Assum1RemainTerm-AssumLoan1Term+Assume1IOPer),IF(Assum1PmtType=VariablePmt,PPMT(Assum1IntRate/12,DA$5+AssumLoan1Term-Assum1RemainTerm-Assume1IOPer,Assum1AmortPer*12,Assum1OrigBal),-MIN(DA137,PMT(Assum1IntRate/12,Assum1AmortPer*12,-Assum1OrigBal)+DA132)),)</f>
        <v>0</v>
      </c>
      <c r="DB139" s="845">
        <f>IF(AND(HasAssumableDebt1,Assumable1HasAmort,DB137,DB$5&gt;Assum1RemainTerm-AssumLoan1Term+Assume1IOPer),IF(Assum1PmtType=VariablePmt,PPMT(Assum1IntRate/12,DB$5+AssumLoan1Term-Assum1RemainTerm-Assume1IOPer,Assum1AmortPer*12,Assum1OrigBal),-MIN(DB137,PMT(Assum1IntRate/12,Assum1AmortPer*12,-Assum1OrigBal)+DB132)),)</f>
        <v>0</v>
      </c>
      <c r="DC139" s="845">
        <f>IF(AND(HasAssumableDebt1,Assumable1HasAmort,DC137,DC$5&gt;Assum1RemainTerm-AssumLoan1Term+Assume1IOPer),IF(Assum1PmtType=VariablePmt,PPMT(Assum1IntRate/12,DC$5+AssumLoan1Term-Assum1RemainTerm-Assume1IOPer,Assum1AmortPer*12,Assum1OrigBal),-MIN(DC137,PMT(Assum1IntRate/12,Assum1AmortPer*12,-Assum1OrigBal)+DC132)),)</f>
        <v>0</v>
      </c>
      <c r="DD139" s="845">
        <f>IF(AND(HasAssumableDebt1,Assumable1HasAmort,DD137,DD$5&gt;Assum1RemainTerm-AssumLoan1Term+Assume1IOPer),IF(Assum1PmtType=VariablePmt,PPMT(Assum1IntRate/12,DD$5+AssumLoan1Term-Assum1RemainTerm-Assume1IOPer,Assum1AmortPer*12,Assum1OrigBal),-MIN(DD137,PMT(Assum1IntRate/12,Assum1AmortPer*12,-Assum1OrigBal)+DD132)),)</f>
        <v>0</v>
      </c>
      <c r="DE139" s="845">
        <f>IF(AND(HasAssumableDebt1,Assumable1HasAmort,DE137,DE$5&gt;Assum1RemainTerm-AssumLoan1Term+Assume1IOPer),IF(Assum1PmtType=VariablePmt,PPMT(Assum1IntRate/12,DE$5+AssumLoan1Term-Assum1RemainTerm-Assume1IOPer,Assum1AmortPer*12,Assum1OrigBal),-MIN(DE137,PMT(Assum1IntRate/12,Assum1AmortPer*12,-Assum1OrigBal)+DE132)),)</f>
        <v>0</v>
      </c>
      <c r="DF139" s="845">
        <f>IF(AND(HasAssumableDebt1,Assumable1HasAmort,DF137,DF$5&gt;Assum1RemainTerm-AssumLoan1Term+Assume1IOPer),IF(Assum1PmtType=VariablePmt,PPMT(Assum1IntRate/12,DF$5+AssumLoan1Term-Assum1RemainTerm-Assume1IOPer,Assum1AmortPer*12,Assum1OrigBal),-MIN(DF137,PMT(Assum1IntRate/12,Assum1AmortPer*12,-Assum1OrigBal)+DF132)),)</f>
        <v>0</v>
      </c>
      <c r="DG139" s="845">
        <f>IF(AND(HasAssumableDebt1,Assumable1HasAmort,DG137,DG$5&gt;Assum1RemainTerm-AssumLoan1Term+Assume1IOPer),IF(Assum1PmtType=VariablePmt,PPMT(Assum1IntRate/12,DG$5+AssumLoan1Term-Assum1RemainTerm-Assume1IOPer,Assum1AmortPer*12,Assum1OrigBal),-MIN(DG137,PMT(Assum1IntRate/12,Assum1AmortPer*12,-Assum1OrigBal)+DG132)),)</f>
        <v>0</v>
      </c>
      <c r="DH139" s="845">
        <f>IF(AND(HasAssumableDebt1,Assumable1HasAmort,DH137,DH$5&gt;Assum1RemainTerm-AssumLoan1Term+Assume1IOPer),IF(Assum1PmtType=VariablePmt,PPMT(Assum1IntRate/12,DH$5+AssumLoan1Term-Assum1RemainTerm-Assume1IOPer,Assum1AmortPer*12,Assum1OrigBal),-MIN(DH137,PMT(Assum1IntRate/12,Assum1AmortPer*12,-Assum1OrigBal)+DH132)),)</f>
        <v>0</v>
      </c>
      <c r="DI139" s="845">
        <f>IF(AND(HasAssumableDebt1,Assumable1HasAmort,DI137,DI$5&gt;Assum1RemainTerm-AssumLoan1Term+Assume1IOPer),IF(Assum1PmtType=VariablePmt,PPMT(Assum1IntRate/12,DI$5+AssumLoan1Term-Assum1RemainTerm-Assume1IOPer,Assum1AmortPer*12,Assum1OrigBal),-MIN(DI137,PMT(Assum1IntRate/12,Assum1AmortPer*12,-Assum1OrigBal)+DI132)),)</f>
        <v>0</v>
      </c>
      <c r="DJ139" s="845">
        <f>IF(AND(HasAssumableDebt1,Assumable1HasAmort,DJ137,DJ$5&gt;Assum1RemainTerm-AssumLoan1Term+Assume1IOPer),IF(Assum1PmtType=VariablePmt,PPMT(Assum1IntRate/12,DJ$5+AssumLoan1Term-Assum1RemainTerm-Assume1IOPer,Assum1AmortPer*12,Assum1OrigBal),-MIN(DJ137,PMT(Assum1IntRate/12,Assum1AmortPer*12,-Assum1OrigBal)+DJ132)),)</f>
        <v>0</v>
      </c>
      <c r="DK139" s="845">
        <f>IF(AND(HasAssumableDebt1,Assumable1HasAmort,DK137,DK$5&gt;Assum1RemainTerm-AssumLoan1Term+Assume1IOPer),IF(Assum1PmtType=VariablePmt,PPMT(Assum1IntRate/12,DK$5+AssumLoan1Term-Assum1RemainTerm-Assume1IOPer,Assum1AmortPer*12,Assum1OrigBal),-MIN(DK137,PMT(Assum1IntRate/12,Assum1AmortPer*12,-Assum1OrigBal)+DK132)),)</f>
        <v>0</v>
      </c>
      <c r="DL139" s="845">
        <f>IF(AND(HasAssumableDebt1,Assumable1HasAmort,DL137,DL$5&gt;Assum1RemainTerm-AssumLoan1Term+Assume1IOPer),IF(Assum1PmtType=VariablePmt,PPMT(Assum1IntRate/12,DL$5+AssumLoan1Term-Assum1RemainTerm-Assume1IOPer,Assum1AmortPer*12,Assum1OrigBal),-MIN(DL137,PMT(Assum1IntRate/12,Assum1AmortPer*12,-Assum1OrigBal)+DL132)),)</f>
        <v>0</v>
      </c>
      <c r="DM139" s="845">
        <f>IF(AND(HasAssumableDebt1,Assumable1HasAmort,DM137,DM$5&gt;Assum1RemainTerm-AssumLoan1Term+Assume1IOPer),IF(Assum1PmtType=VariablePmt,PPMT(Assum1IntRate/12,DM$5+AssumLoan1Term-Assum1RemainTerm-Assume1IOPer,Assum1AmortPer*12,Assum1OrigBal),-MIN(DM137,PMT(Assum1IntRate/12,Assum1AmortPer*12,-Assum1OrigBal)+DM132)),)</f>
        <v>0</v>
      </c>
      <c r="DN139" s="845">
        <f>IF(AND(HasAssumableDebt1,Assumable1HasAmort,DN137,DN$5&gt;Assum1RemainTerm-AssumLoan1Term+Assume1IOPer),IF(Assum1PmtType=VariablePmt,PPMT(Assum1IntRate/12,DN$5+AssumLoan1Term-Assum1RemainTerm-Assume1IOPer,Assum1AmortPer*12,Assum1OrigBal),-MIN(DN137,PMT(Assum1IntRate/12,Assum1AmortPer*12,-Assum1OrigBal)+DN132)),)</f>
        <v>0</v>
      </c>
      <c r="DO139" s="845">
        <f>IF(AND(HasAssumableDebt1,Assumable1HasAmort,DO137,DO$5&gt;Assum1RemainTerm-AssumLoan1Term+Assume1IOPer),IF(Assum1PmtType=VariablePmt,PPMT(Assum1IntRate/12,DO$5+AssumLoan1Term-Assum1RemainTerm-Assume1IOPer,Assum1AmortPer*12,Assum1OrigBal),-MIN(DO137,PMT(Assum1IntRate/12,Assum1AmortPer*12,-Assum1OrigBal)+DO132)),)</f>
        <v>0</v>
      </c>
      <c r="DP139" s="845">
        <f>IF(AND(HasAssumableDebt1,Assumable1HasAmort,DP137,DP$5&gt;Assum1RemainTerm-AssumLoan1Term+Assume1IOPer),IF(Assum1PmtType=VariablePmt,PPMT(Assum1IntRate/12,DP$5+AssumLoan1Term-Assum1RemainTerm-Assume1IOPer,Assum1AmortPer*12,Assum1OrigBal),-MIN(DP137,PMT(Assum1IntRate/12,Assum1AmortPer*12,-Assum1OrigBal)+DP132)),)</f>
        <v>0</v>
      </c>
      <c r="DQ139" s="845">
        <f>IF(AND(HasAssumableDebt1,Assumable1HasAmort,DQ137,DQ$5&gt;Assum1RemainTerm-AssumLoan1Term+Assume1IOPer),IF(Assum1PmtType=VariablePmt,PPMT(Assum1IntRate/12,DQ$5+AssumLoan1Term-Assum1RemainTerm-Assume1IOPer,Assum1AmortPer*12,Assum1OrigBal),-MIN(DQ137,PMT(Assum1IntRate/12,Assum1AmortPer*12,-Assum1OrigBal)+DQ132)),)</f>
        <v>0</v>
      </c>
      <c r="DR139" s="845">
        <f>IF(AND(HasAssumableDebt1,Assumable1HasAmort,DR137,DR$5&gt;Assum1RemainTerm-AssumLoan1Term+Assume1IOPer),IF(Assum1PmtType=VariablePmt,PPMT(Assum1IntRate/12,DR$5+AssumLoan1Term-Assum1RemainTerm-Assume1IOPer,Assum1AmortPer*12,Assum1OrigBal),-MIN(DR137,PMT(Assum1IntRate/12,Assum1AmortPer*12,-Assum1OrigBal)+DR132)),)</f>
        <v>0</v>
      </c>
      <c r="DS139" s="845">
        <f>IF(AND(HasAssumableDebt1,Assumable1HasAmort,DS137,DS$5&gt;Assum1RemainTerm-AssumLoan1Term+Assume1IOPer),IF(Assum1PmtType=VariablePmt,PPMT(Assum1IntRate/12,DS$5+AssumLoan1Term-Assum1RemainTerm-Assume1IOPer,Assum1AmortPer*12,Assum1OrigBal),-MIN(DS137,PMT(Assum1IntRate/12,Assum1AmortPer*12,-Assum1OrigBal)+DS132)),)</f>
        <v>0</v>
      </c>
      <c r="DT139" s="845">
        <f>IF(AND(HasAssumableDebt1,Assumable1HasAmort,DT137,DT$5&gt;Assum1RemainTerm-AssumLoan1Term+Assume1IOPer),IF(Assum1PmtType=VariablePmt,PPMT(Assum1IntRate/12,DT$5+AssumLoan1Term-Assum1RemainTerm-Assume1IOPer,Assum1AmortPer*12,Assum1OrigBal),-MIN(DT137,PMT(Assum1IntRate/12,Assum1AmortPer*12,-Assum1OrigBal)+DT132)),)</f>
        <v>0</v>
      </c>
      <c r="DU139" s="845">
        <f>IF(AND(HasAssumableDebt1,Assumable1HasAmort,DU137,DU$5&gt;Assum1RemainTerm-AssumLoan1Term+Assume1IOPer),IF(Assum1PmtType=VariablePmt,PPMT(Assum1IntRate/12,DU$5+AssumLoan1Term-Assum1RemainTerm-Assume1IOPer,Assum1AmortPer*12,Assum1OrigBal),-MIN(DU137,PMT(Assum1IntRate/12,Assum1AmortPer*12,-Assum1OrigBal)+DU132)),)</f>
        <v>0</v>
      </c>
      <c r="DV139" s="845">
        <f>IF(AND(HasAssumableDebt1,Assumable1HasAmort,DV137,DV$5&gt;Assum1RemainTerm-AssumLoan1Term+Assume1IOPer),IF(Assum1PmtType=VariablePmt,PPMT(Assum1IntRate/12,DV$5+AssumLoan1Term-Assum1RemainTerm-Assume1IOPer,Assum1AmortPer*12,Assum1OrigBal),-MIN(DV137,PMT(Assum1IntRate/12,Assum1AmortPer*12,-Assum1OrigBal)+DV132)),)</f>
        <v>0</v>
      </c>
      <c r="DW139" s="845">
        <f>IF(AND(HasAssumableDebt1,Assumable1HasAmort,DW137,DW$5&gt;Assum1RemainTerm-AssumLoan1Term+Assume1IOPer),IF(Assum1PmtType=VariablePmt,PPMT(Assum1IntRate/12,DW$5+AssumLoan1Term-Assum1RemainTerm-Assume1IOPer,Assum1AmortPer*12,Assum1OrigBal),-MIN(DW137,PMT(Assum1IntRate/12,Assum1AmortPer*12,-Assum1OrigBal)+DW132)),)</f>
        <v>0</v>
      </c>
      <c r="DX139" s="845">
        <f>IF(AND(HasAssumableDebt1,Assumable1HasAmort,DX137,DX$5&gt;Assum1RemainTerm-AssumLoan1Term+Assume1IOPer),IF(Assum1PmtType=VariablePmt,PPMT(Assum1IntRate/12,DX$5+AssumLoan1Term-Assum1RemainTerm-Assume1IOPer,Assum1AmortPer*12,Assum1OrigBal),-MIN(DX137,PMT(Assum1IntRate/12,Assum1AmortPer*12,-Assum1OrigBal)+DX132)),)</f>
        <v>0</v>
      </c>
      <c r="DY139" s="845">
        <f>IF(AND(HasAssumableDebt1,Assumable1HasAmort,DY137,DY$5&gt;Assum1RemainTerm-AssumLoan1Term+Assume1IOPer),IF(Assum1PmtType=VariablePmt,PPMT(Assum1IntRate/12,DY$5+AssumLoan1Term-Assum1RemainTerm-Assume1IOPer,Assum1AmortPer*12,Assum1OrigBal),-MIN(DY137,PMT(Assum1IntRate/12,Assum1AmortPer*12,-Assum1OrigBal)+DY132)),)</f>
        <v>0</v>
      </c>
      <c r="DZ139" s="845">
        <f>IF(AND(HasAssumableDebt1,Assumable1HasAmort,DZ137,DZ$5&gt;Assum1RemainTerm-AssumLoan1Term+Assume1IOPer),IF(Assum1PmtType=VariablePmt,PPMT(Assum1IntRate/12,DZ$5+AssumLoan1Term-Assum1RemainTerm-Assume1IOPer,Assum1AmortPer*12,Assum1OrigBal),-MIN(DZ137,PMT(Assum1IntRate/12,Assum1AmortPer*12,-Assum1OrigBal)+DZ132)),)</f>
        <v>0</v>
      </c>
      <c r="EA139" s="845">
        <f>IF(AND(HasAssumableDebt1,Assumable1HasAmort,EA137,EA$5&gt;Assum1RemainTerm-AssumLoan1Term+Assume1IOPer),IF(Assum1PmtType=VariablePmt,PPMT(Assum1IntRate/12,EA$5+AssumLoan1Term-Assum1RemainTerm-Assume1IOPer,Assum1AmortPer*12,Assum1OrigBal),-MIN(EA137,PMT(Assum1IntRate/12,Assum1AmortPer*12,-Assum1OrigBal)+EA132)),)</f>
        <v>0</v>
      </c>
      <c r="EB139" s="845">
        <f>IF(AND(HasAssumableDebt1,Assumable1HasAmort,EB137,EB$5&gt;Assum1RemainTerm-AssumLoan1Term+Assume1IOPer),IF(Assum1PmtType=VariablePmt,PPMT(Assum1IntRate/12,EB$5+AssumLoan1Term-Assum1RemainTerm-Assume1IOPer,Assum1AmortPer*12,Assum1OrigBal),-MIN(EB137,PMT(Assum1IntRate/12,Assum1AmortPer*12,-Assum1OrigBal)+EB132)),)</f>
        <v>0</v>
      </c>
      <c r="EC139" s="845">
        <f>IF(AND(HasAssumableDebt1,Assumable1HasAmort,EC137,EC$5&gt;Assum1RemainTerm-AssumLoan1Term+Assume1IOPer),IF(Assum1PmtType=VariablePmt,PPMT(Assum1IntRate/12,EC$5+AssumLoan1Term-Assum1RemainTerm-Assume1IOPer,Assum1AmortPer*12,Assum1OrigBal),-MIN(EC137,PMT(Assum1IntRate/12,Assum1AmortPer*12,-Assum1OrigBal)+EC132)),)</f>
        <v>0</v>
      </c>
      <c r="ED139" s="845">
        <f>IF(AND(HasAssumableDebt1,Assumable1HasAmort,ED137,ED$5&gt;Assum1RemainTerm-AssumLoan1Term+Assume1IOPer),IF(Assum1PmtType=VariablePmt,PPMT(Assum1IntRate/12,ED$5+AssumLoan1Term-Assum1RemainTerm-Assume1IOPer,Assum1AmortPer*12,Assum1OrigBal),-MIN(ED137,PMT(Assum1IntRate/12,Assum1AmortPer*12,-Assum1OrigBal)+ED132)),)</f>
        <v>0</v>
      </c>
      <c r="EE139" s="845">
        <f>IF(AND(HasAssumableDebt1,Assumable1HasAmort,EE137,EE$5&gt;Assum1RemainTerm-AssumLoan1Term+Assume1IOPer),IF(Assum1PmtType=VariablePmt,PPMT(Assum1IntRate/12,EE$5+AssumLoan1Term-Assum1RemainTerm-Assume1IOPer,Assum1AmortPer*12,Assum1OrigBal),-MIN(EE137,PMT(Assum1IntRate/12,Assum1AmortPer*12,-Assum1OrigBal)+EE132)),)</f>
        <v>0</v>
      </c>
      <c r="EF139" s="845">
        <f>IF(AND(HasAssumableDebt1,Assumable1HasAmort,EF137,EF$5&gt;Assum1RemainTerm-AssumLoan1Term+Assume1IOPer),IF(Assum1PmtType=VariablePmt,PPMT(Assum1IntRate/12,EF$5+AssumLoan1Term-Assum1RemainTerm-Assume1IOPer,Assum1AmortPer*12,Assum1OrigBal),-MIN(EF137,PMT(Assum1IntRate/12,Assum1AmortPer*12,-Assum1OrigBal)+EF132)),)</f>
        <v>0</v>
      </c>
      <c r="EG139" s="845">
        <f>IF(AND(HasAssumableDebt1,Assumable1HasAmort,EG137,EG$5&gt;Assum1RemainTerm-AssumLoan1Term+Assume1IOPer),IF(Assum1PmtType=VariablePmt,PPMT(Assum1IntRate/12,EG$5+AssumLoan1Term-Assum1RemainTerm-Assume1IOPer,Assum1AmortPer*12,Assum1OrigBal),-MIN(EG137,PMT(Assum1IntRate/12,Assum1AmortPer*12,-Assum1OrigBal)+EG132)),)</f>
        <v>0</v>
      </c>
      <c r="EH139" s="845">
        <f>IF(AND(HasAssumableDebt1,Assumable1HasAmort,EH137,EH$5&gt;Assum1RemainTerm-AssumLoan1Term+Assume1IOPer),IF(Assum1PmtType=VariablePmt,PPMT(Assum1IntRate/12,EH$5+AssumLoan1Term-Assum1RemainTerm-Assume1IOPer,Assum1AmortPer*12,Assum1OrigBal),-MIN(EH137,PMT(Assum1IntRate/12,Assum1AmortPer*12,-Assum1OrigBal)+EH132)),)</f>
        <v>0</v>
      </c>
      <c r="EI139" s="845">
        <f>IF(AND(HasAssumableDebt1,Assumable1HasAmort,EI137,EI$5&gt;Assum1RemainTerm-AssumLoan1Term+Assume1IOPer),IF(Assum1PmtType=VariablePmt,PPMT(Assum1IntRate/12,EI$5+AssumLoan1Term-Assum1RemainTerm-Assume1IOPer,Assum1AmortPer*12,Assum1OrigBal),-MIN(EI137,PMT(Assum1IntRate/12,Assum1AmortPer*12,-Assum1OrigBal)+EI132)),)</f>
        <v>0</v>
      </c>
    </row>
    <row r="140" spans="2:139" ht="12.75" customHeight="1">
      <c r="B140" s="41" t="s">
        <v>184</v>
      </c>
      <c r="C140" s="211"/>
      <c r="D140" s="203">
        <f>SUMIF($S$6:$EI$6,D$5,$S140:$EI140)</f>
        <v>0</v>
      </c>
      <c r="E140" s="203">
        <f t="shared" si="207"/>
        <v>0</v>
      </c>
      <c r="F140" s="203">
        <f t="shared" si="207"/>
        <v>0</v>
      </c>
      <c r="G140" s="203">
        <f t="shared" si="207"/>
        <v>0</v>
      </c>
      <c r="H140" s="203">
        <f t="shared" si="207"/>
        <v>0</v>
      </c>
      <c r="I140" s="203">
        <f t="shared" si="207"/>
        <v>0</v>
      </c>
      <c r="J140" s="203">
        <f t="shared" si="207"/>
        <v>0</v>
      </c>
      <c r="K140" s="203">
        <f t="shared" si="207"/>
        <v>0</v>
      </c>
      <c r="L140" s="203">
        <f t="shared" si="207"/>
        <v>0</v>
      </c>
      <c r="M140" s="203">
        <f t="shared" si="207"/>
        <v>0</v>
      </c>
      <c r="N140" s="203">
        <f t="shared" si="207"/>
        <v>0</v>
      </c>
      <c r="O140" s="853">
        <f>SUM(D140:N140)</f>
        <v>0</v>
      </c>
      <c r="P140" s="313"/>
      <c r="Q140" s="313"/>
      <c r="R140" s="313"/>
      <c r="S140" s="845">
        <f t="shared" ref="S140:AX140" si="208">-SUM(S137:S139)*AND(S$5=MIN(Assum1PydwnMnth,Assum1RemainTerm,MAX(YrOfExit,1)*12))</f>
        <v>0</v>
      </c>
      <c r="T140" s="845">
        <f t="shared" si="208"/>
        <v>0</v>
      </c>
      <c r="U140" s="845">
        <f t="shared" si="208"/>
        <v>0</v>
      </c>
      <c r="V140" s="845">
        <f t="shared" si="208"/>
        <v>0</v>
      </c>
      <c r="W140" s="845">
        <f t="shared" si="208"/>
        <v>0</v>
      </c>
      <c r="X140" s="845">
        <f t="shared" si="208"/>
        <v>0</v>
      </c>
      <c r="Y140" s="845">
        <f t="shared" si="208"/>
        <v>0</v>
      </c>
      <c r="Z140" s="845">
        <f t="shared" si="208"/>
        <v>0</v>
      </c>
      <c r="AA140" s="845">
        <f t="shared" si="208"/>
        <v>0</v>
      </c>
      <c r="AB140" s="845">
        <f t="shared" si="208"/>
        <v>0</v>
      </c>
      <c r="AC140" s="845">
        <f t="shared" si="208"/>
        <v>0</v>
      </c>
      <c r="AD140" s="845">
        <f t="shared" si="208"/>
        <v>0</v>
      </c>
      <c r="AE140" s="845">
        <f t="shared" si="208"/>
        <v>0</v>
      </c>
      <c r="AF140" s="845">
        <f t="shared" si="208"/>
        <v>0</v>
      </c>
      <c r="AG140" s="845">
        <f t="shared" si="208"/>
        <v>0</v>
      </c>
      <c r="AH140" s="845">
        <f t="shared" si="208"/>
        <v>0</v>
      </c>
      <c r="AI140" s="845">
        <f t="shared" si="208"/>
        <v>0</v>
      </c>
      <c r="AJ140" s="845">
        <f t="shared" si="208"/>
        <v>0</v>
      </c>
      <c r="AK140" s="845">
        <f t="shared" si="208"/>
        <v>0</v>
      </c>
      <c r="AL140" s="845">
        <f t="shared" si="208"/>
        <v>0</v>
      </c>
      <c r="AM140" s="845">
        <f t="shared" si="208"/>
        <v>0</v>
      </c>
      <c r="AN140" s="845">
        <f t="shared" si="208"/>
        <v>0</v>
      </c>
      <c r="AO140" s="845">
        <f t="shared" si="208"/>
        <v>0</v>
      </c>
      <c r="AP140" s="845">
        <f t="shared" si="208"/>
        <v>0</v>
      </c>
      <c r="AQ140" s="845">
        <f t="shared" si="208"/>
        <v>0</v>
      </c>
      <c r="AR140" s="845">
        <f t="shared" si="208"/>
        <v>0</v>
      </c>
      <c r="AS140" s="845">
        <f t="shared" si="208"/>
        <v>0</v>
      </c>
      <c r="AT140" s="845">
        <f t="shared" si="208"/>
        <v>0</v>
      </c>
      <c r="AU140" s="845">
        <f t="shared" si="208"/>
        <v>0</v>
      </c>
      <c r="AV140" s="845">
        <f t="shared" si="208"/>
        <v>0</v>
      </c>
      <c r="AW140" s="845">
        <f t="shared" si="208"/>
        <v>0</v>
      </c>
      <c r="AX140" s="845">
        <f t="shared" si="208"/>
        <v>0</v>
      </c>
      <c r="AY140" s="845">
        <f t="shared" ref="AY140:CD140" si="209">-SUM(AY137:AY139)*AND(AY$5=MIN(Assum1PydwnMnth,Assum1RemainTerm,MAX(YrOfExit,1)*12))</f>
        <v>0</v>
      </c>
      <c r="AZ140" s="845">
        <f t="shared" si="209"/>
        <v>0</v>
      </c>
      <c r="BA140" s="845">
        <f t="shared" si="209"/>
        <v>0</v>
      </c>
      <c r="BB140" s="845">
        <f t="shared" si="209"/>
        <v>0</v>
      </c>
      <c r="BC140" s="845">
        <f t="shared" si="209"/>
        <v>0</v>
      </c>
      <c r="BD140" s="845">
        <f t="shared" si="209"/>
        <v>0</v>
      </c>
      <c r="BE140" s="845">
        <f t="shared" si="209"/>
        <v>0</v>
      </c>
      <c r="BF140" s="845">
        <f t="shared" si="209"/>
        <v>0</v>
      </c>
      <c r="BG140" s="845">
        <f t="shared" si="209"/>
        <v>0</v>
      </c>
      <c r="BH140" s="845">
        <f t="shared" si="209"/>
        <v>0</v>
      </c>
      <c r="BI140" s="845">
        <f t="shared" si="209"/>
        <v>0</v>
      </c>
      <c r="BJ140" s="845">
        <f t="shared" si="209"/>
        <v>0</v>
      </c>
      <c r="BK140" s="845">
        <f t="shared" si="209"/>
        <v>0</v>
      </c>
      <c r="BL140" s="845">
        <f t="shared" si="209"/>
        <v>0</v>
      </c>
      <c r="BM140" s="845">
        <f t="shared" si="209"/>
        <v>0</v>
      </c>
      <c r="BN140" s="845">
        <f t="shared" si="209"/>
        <v>0</v>
      </c>
      <c r="BO140" s="845">
        <f t="shared" si="209"/>
        <v>0</v>
      </c>
      <c r="BP140" s="845">
        <f t="shared" si="209"/>
        <v>0</v>
      </c>
      <c r="BQ140" s="845">
        <f t="shared" si="209"/>
        <v>0</v>
      </c>
      <c r="BR140" s="845">
        <f t="shared" si="209"/>
        <v>0</v>
      </c>
      <c r="BS140" s="845">
        <f t="shared" si="209"/>
        <v>0</v>
      </c>
      <c r="BT140" s="845">
        <f t="shared" si="209"/>
        <v>0</v>
      </c>
      <c r="BU140" s="845">
        <f t="shared" si="209"/>
        <v>0</v>
      </c>
      <c r="BV140" s="845">
        <f t="shared" si="209"/>
        <v>0</v>
      </c>
      <c r="BW140" s="845">
        <f t="shared" si="209"/>
        <v>0</v>
      </c>
      <c r="BX140" s="845">
        <f t="shared" si="209"/>
        <v>0</v>
      </c>
      <c r="BY140" s="845">
        <f t="shared" si="209"/>
        <v>0</v>
      </c>
      <c r="BZ140" s="845">
        <f t="shared" si="209"/>
        <v>0</v>
      </c>
      <c r="CA140" s="845">
        <f t="shared" si="209"/>
        <v>0</v>
      </c>
      <c r="CB140" s="845">
        <f t="shared" si="209"/>
        <v>0</v>
      </c>
      <c r="CC140" s="845">
        <f t="shared" si="209"/>
        <v>0</v>
      </c>
      <c r="CD140" s="845">
        <f t="shared" si="209"/>
        <v>0</v>
      </c>
      <c r="CE140" s="845">
        <f t="shared" ref="CE140:DJ140" si="210">-SUM(CE137:CE139)*AND(CE$5=MIN(Assum1PydwnMnth,Assum1RemainTerm,MAX(YrOfExit,1)*12))</f>
        <v>0</v>
      </c>
      <c r="CF140" s="845">
        <f t="shared" si="210"/>
        <v>0</v>
      </c>
      <c r="CG140" s="845">
        <f t="shared" si="210"/>
        <v>0</v>
      </c>
      <c r="CH140" s="845">
        <f t="shared" si="210"/>
        <v>0</v>
      </c>
      <c r="CI140" s="845">
        <f t="shared" si="210"/>
        <v>0</v>
      </c>
      <c r="CJ140" s="845">
        <f t="shared" si="210"/>
        <v>0</v>
      </c>
      <c r="CK140" s="845">
        <f t="shared" si="210"/>
        <v>0</v>
      </c>
      <c r="CL140" s="845">
        <f t="shared" si="210"/>
        <v>0</v>
      </c>
      <c r="CM140" s="845">
        <f t="shared" si="210"/>
        <v>0</v>
      </c>
      <c r="CN140" s="845">
        <f t="shared" si="210"/>
        <v>0</v>
      </c>
      <c r="CO140" s="845">
        <f t="shared" si="210"/>
        <v>0</v>
      </c>
      <c r="CP140" s="845">
        <f t="shared" si="210"/>
        <v>0</v>
      </c>
      <c r="CQ140" s="845">
        <f t="shared" si="210"/>
        <v>0</v>
      </c>
      <c r="CR140" s="845">
        <f t="shared" si="210"/>
        <v>0</v>
      </c>
      <c r="CS140" s="845">
        <f t="shared" si="210"/>
        <v>0</v>
      </c>
      <c r="CT140" s="845">
        <f t="shared" si="210"/>
        <v>0</v>
      </c>
      <c r="CU140" s="845">
        <f t="shared" si="210"/>
        <v>0</v>
      </c>
      <c r="CV140" s="845">
        <f t="shared" si="210"/>
        <v>0</v>
      </c>
      <c r="CW140" s="845">
        <f t="shared" si="210"/>
        <v>0</v>
      </c>
      <c r="CX140" s="845">
        <f t="shared" si="210"/>
        <v>0</v>
      </c>
      <c r="CY140" s="845">
        <f t="shared" si="210"/>
        <v>0</v>
      </c>
      <c r="CZ140" s="845">
        <f t="shared" si="210"/>
        <v>0</v>
      </c>
      <c r="DA140" s="845">
        <f t="shared" si="210"/>
        <v>0</v>
      </c>
      <c r="DB140" s="845">
        <f t="shared" si="210"/>
        <v>0</v>
      </c>
      <c r="DC140" s="845">
        <f t="shared" si="210"/>
        <v>0</v>
      </c>
      <c r="DD140" s="845">
        <f t="shared" si="210"/>
        <v>0</v>
      </c>
      <c r="DE140" s="845">
        <f t="shared" si="210"/>
        <v>0</v>
      </c>
      <c r="DF140" s="845">
        <f t="shared" si="210"/>
        <v>0</v>
      </c>
      <c r="DG140" s="845">
        <f t="shared" si="210"/>
        <v>0</v>
      </c>
      <c r="DH140" s="845">
        <f t="shared" si="210"/>
        <v>0</v>
      </c>
      <c r="DI140" s="845">
        <f t="shared" si="210"/>
        <v>0</v>
      </c>
      <c r="DJ140" s="845">
        <f t="shared" si="210"/>
        <v>0</v>
      </c>
      <c r="DK140" s="845">
        <f t="shared" ref="DK140:EP140" si="211">-SUM(DK137:DK139)*AND(DK$5=MIN(Assum1PydwnMnth,Assum1RemainTerm,MAX(YrOfExit,1)*12))</f>
        <v>0</v>
      </c>
      <c r="DL140" s="845">
        <f t="shared" si="211"/>
        <v>0</v>
      </c>
      <c r="DM140" s="845">
        <f t="shared" si="211"/>
        <v>0</v>
      </c>
      <c r="DN140" s="845">
        <f t="shared" si="211"/>
        <v>0</v>
      </c>
      <c r="DO140" s="845">
        <f t="shared" si="211"/>
        <v>0</v>
      </c>
      <c r="DP140" s="845">
        <f t="shared" si="211"/>
        <v>0</v>
      </c>
      <c r="DQ140" s="845">
        <f t="shared" si="211"/>
        <v>0</v>
      </c>
      <c r="DR140" s="845">
        <f t="shared" si="211"/>
        <v>0</v>
      </c>
      <c r="DS140" s="845">
        <f t="shared" si="211"/>
        <v>0</v>
      </c>
      <c r="DT140" s="845">
        <f t="shared" si="211"/>
        <v>0</v>
      </c>
      <c r="DU140" s="845">
        <f t="shared" si="211"/>
        <v>0</v>
      </c>
      <c r="DV140" s="845">
        <f t="shared" si="211"/>
        <v>0</v>
      </c>
      <c r="DW140" s="845">
        <f t="shared" si="211"/>
        <v>0</v>
      </c>
      <c r="DX140" s="845">
        <f t="shared" si="211"/>
        <v>0</v>
      </c>
      <c r="DY140" s="845">
        <f t="shared" si="211"/>
        <v>0</v>
      </c>
      <c r="DZ140" s="845">
        <f t="shared" si="211"/>
        <v>0</v>
      </c>
      <c r="EA140" s="845">
        <f t="shared" si="211"/>
        <v>0</v>
      </c>
      <c r="EB140" s="845">
        <f t="shared" si="211"/>
        <v>0</v>
      </c>
      <c r="EC140" s="845">
        <f t="shared" si="211"/>
        <v>0</v>
      </c>
      <c r="ED140" s="845">
        <f t="shared" si="211"/>
        <v>0</v>
      </c>
      <c r="EE140" s="845">
        <f t="shared" si="211"/>
        <v>0</v>
      </c>
      <c r="EF140" s="845">
        <f t="shared" si="211"/>
        <v>0</v>
      </c>
      <c r="EG140" s="845">
        <f t="shared" si="211"/>
        <v>0</v>
      </c>
      <c r="EH140" s="845">
        <f t="shared" si="211"/>
        <v>0</v>
      </c>
      <c r="EI140" s="845">
        <f t="shared" si="211"/>
        <v>0</v>
      </c>
    </row>
    <row r="141" spans="2:139" ht="12.75" customHeight="1">
      <c r="B141" s="46" t="s">
        <v>595</v>
      </c>
      <c r="C141" s="209"/>
      <c r="D141" s="854">
        <f t="shared" ref="D141:O141" si="212">SUBTOTAL(9,D137:D140)*(SUM(D137:D140)&gt;1)</f>
        <v>0</v>
      </c>
      <c r="E141" s="854">
        <f t="shared" si="212"/>
        <v>0</v>
      </c>
      <c r="F141" s="854">
        <f t="shared" si="212"/>
        <v>0</v>
      </c>
      <c r="G141" s="854">
        <f t="shared" si="212"/>
        <v>0</v>
      </c>
      <c r="H141" s="854">
        <f t="shared" si="212"/>
        <v>0</v>
      </c>
      <c r="I141" s="854">
        <f t="shared" si="212"/>
        <v>0</v>
      </c>
      <c r="J141" s="854">
        <f t="shared" si="212"/>
        <v>0</v>
      </c>
      <c r="K141" s="854">
        <f t="shared" si="212"/>
        <v>0</v>
      </c>
      <c r="L141" s="854">
        <f t="shared" si="212"/>
        <v>0</v>
      </c>
      <c r="M141" s="854">
        <f t="shared" si="212"/>
        <v>0</v>
      </c>
      <c r="N141" s="854">
        <f t="shared" si="212"/>
        <v>0</v>
      </c>
      <c r="O141" s="855">
        <f t="shared" si="212"/>
        <v>0</v>
      </c>
      <c r="P141" s="313"/>
      <c r="Q141" s="313"/>
      <c r="R141" s="313"/>
      <c r="S141" s="856">
        <f t="shared" ref="S141:AX141" si="213">SUBTOTAL(9,S137:S140)*(SUM(S137:S140)&gt;1)</f>
        <v>0</v>
      </c>
      <c r="T141" s="856">
        <f t="shared" si="213"/>
        <v>0</v>
      </c>
      <c r="U141" s="856">
        <f t="shared" si="213"/>
        <v>0</v>
      </c>
      <c r="V141" s="856">
        <f t="shared" si="213"/>
        <v>0</v>
      </c>
      <c r="W141" s="856">
        <f t="shared" si="213"/>
        <v>0</v>
      </c>
      <c r="X141" s="856">
        <f t="shared" si="213"/>
        <v>0</v>
      </c>
      <c r="Y141" s="856">
        <f t="shared" si="213"/>
        <v>0</v>
      </c>
      <c r="Z141" s="856">
        <f t="shared" si="213"/>
        <v>0</v>
      </c>
      <c r="AA141" s="856">
        <f t="shared" si="213"/>
        <v>0</v>
      </c>
      <c r="AB141" s="856">
        <f t="shared" si="213"/>
        <v>0</v>
      </c>
      <c r="AC141" s="856">
        <f t="shared" si="213"/>
        <v>0</v>
      </c>
      <c r="AD141" s="856">
        <f t="shared" si="213"/>
        <v>0</v>
      </c>
      <c r="AE141" s="856">
        <f t="shared" si="213"/>
        <v>0</v>
      </c>
      <c r="AF141" s="856">
        <f t="shared" si="213"/>
        <v>0</v>
      </c>
      <c r="AG141" s="856">
        <f t="shared" si="213"/>
        <v>0</v>
      </c>
      <c r="AH141" s="856">
        <f t="shared" si="213"/>
        <v>0</v>
      </c>
      <c r="AI141" s="856">
        <f t="shared" si="213"/>
        <v>0</v>
      </c>
      <c r="AJ141" s="856">
        <f t="shared" si="213"/>
        <v>0</v>
      </c>
      <c r="AK141" s="856">
        <f t="shared" si="213"/>
        <v>0</v>
      </c>
      <c r="AL141" s="856">
        <f t="shared" si="213"/>
        <v>0</v>
      </c>
      <c r="AM141" s="856">
        <f t="shared" si="213"/>
        <v>0</v>
      </c>
      <c r="AN141" s="856">
        <f t="shared" si="213"/>
        <v>0</v>
      </c>
      <c r="AO141" s="856">
        <f t="shared" si="213"/>
        <v>0</v>
      </c>
      <c r="AP141" s="856">
        <f t="shared" si="213"/>
        <v>0</v>
      </c>
      <c r="AQ141" s="856">
        <f t="shared" si="213"/>
        <v>0</v>
      </c>
      <c r="AR141" s="856">
        <f t="shared" si="213"/>
        <v>0</v>
      </c>
      <c r="AS141" s="856">
        <f t="shared" si="213"/>
        <v>0</v>
      </c>
      <c r="AT141" s="856">
        <f t="shared" si="213"/>
        <v>0</v>
      </c>
      <c r="AU141" s="856">
        <f t="shared" si="213"/>
        <v>0</v>
      </c>
      <c r="AV141" s="856">
        <f t="shared" si="213"/>
        <v>0</v>
      </c>
      <c r="AW141" s="856">
        <f t="shared" si="213"/>
        <v>0</v>
      </c>
      <c r="AX141" s="856">
        <f t="shared" si="213"/>
        <v>0</v>
      </c>
      <c r="AY141" s="856">
        <f t="shared" ref="AY141:CD141" si="214">SUBTOTAL(9,AY137:AY140)*(SUM(AY137:AY140)&gt;1)</f>
        <v>0</v>
      </c>
      <c r="AZ141" s="856">
        <f t="shared" si="214"/>
        <v>0</v>
      </c>
      <c r="BA141" s="856">
        <f t="shared" si="214"/>
        <v>0</v>
      </c>
      <c r="BB141" s="856">
        <f t="shared" si="214"/>
        <v>0</v>
      </c>
      <c r="BC141" s="856">
        <f t="shared" si="214"/>
        <v>0</v>
      </c>
      <c r="BD141" s="856">
        <f t="shared" si="214"/>
        <v>0</v>
      </c>
      <c r="BE141" s="856">
        <f t="shared" si="214"/>
        <v>0</v>
      </c>
      <c r="BF141" s="856">
        <f t="shared" si="214"/>
        <v>0</v>
      </c>
      <c r="BG141" s="856">
        <f t="shared" si="214"/>
        <v>0</v>
      </c>
      <c r="BH141" s="856">
        <f t="shared" si="214"/>
        <v>0</v>
      </c>
      <c r="BI141" s="856">
        <f t="shared" si="214"/>
        <v>0</v>
      </c>
      <c r="BJ141" s="856">
        <f t="shared" si="214"/>
        <v>0</v>
      </c>
      <c r="BK141" s="856">
        <f t="shared" si="214"/>
        <v>0</v>
      </c>
      <c r="BL141" s="856">
        <f t="shared" si="214"/>
        <v>0</v>
      </c>
      <c r="BM141" s="856">
        <f t="shared" si="214"/>
        <v>0</v>
      </c>
      <c r="BN141" s="856">
        <f t="shared" si="214"/>
        <v>0</v>
      </c>
      <c r="BO141" s="856">
        <f t="shared" si="214"/>
        <v>0</v>
      </c>
      <c r="BP141" s="856">
        <f t="shared" si="214"/>
        <v>0</v>
      </c>
      <c r="BQ141" s="856">
        <f t="shared" si="214"/>
        <v>0</v>
      </c>
      <c r="BR141" s="856">
        <f t="shared" si="214"/>
        <v>0</v>
      </c>
      <c r="BS141" s="856">
        <f t="shared" si="214"/>
        <v>0</v>
      </c>
      <c r="BT141" s="856">
        <f t="shared" si="214"/>
        <v>0</v>
      </c>
      <c r="BU141" s="856">
        <f t="shared" si="214"/>
        <v>0</v>
      </c>
      <c r="BV141" s="856">
        <f t="shared" si="214"/>
        <v>0</v>
      </c>
      <c r="BW141" s="856">
        <f t="shared" si="214"/>
        <v>0</v>
      </c>
      <c r="BX141" s="856">
        <f t="shared" si="214"/>
        <v>0</v>
      </c>
      <c r="BY141" s="856">
        <f t="shared" si="214"/>
        <v>0</v>
      </c>
      <c r="BZ141" s="856">
        <f t="shared" si="214"/>
        <v>0</v>
      </c>
      <c r="CA141" s="856">
        <f t="shared" si="214"/>
        <v>0</v>
      </c>
      <c r="CB141" s="856">
        <f t="shared" si="214"/>
        <v>0</v>
      </c>
      <c r="CC141" s="856">
        <f t="shared" si="214"/>
        <v>0</v>
      </c>
      <c r="CD141" s="856">
        <f t="shared" si="214"/>
        <v>0</v>
      </c>
      <c r="CE141" s="856">
        <f t="shared" ref="CE141:DJ141" si="215">SUBTOTAL(9,CE137:CE140)*(SUM(CE137:CE140)&gt;1)</f>
        <v>0</v>
      </c>
      <c r="CF141" s="856">
        <f t="shared" si="215"/>
        <v>0</v>
      </c>
      <c r="CG141" s="856">
        <f t="shared" si="215"/>
        <v>0</v>
      </c>
      <c r="CH141" s="856">
        <f t="shared" si="215"/>
        <v>0</v>
      </c>
      <c r="CI141" s="856">
        <f t="shared" si="215"/>
        <v>0</v>
      </c>
      <c r="CJ141" s="856">
        <f t="shared" si="215"/>
        <v>0</v>
      </c>
      <c r="CK141" s="856">
        <f t="shared" si="215"/>
        <v>0</v>
      </c>
      <c r="CL141" s="856">
        <f t="shared" si="215"/>
        <v>0</v>
      </c>
      <c r="CM141" s="856">
        <f t="shared" si="215"/>
        <v>0</v>
      </c>
      <c r="CN141" s="856">
        <f t="shared" si="215"/>
        <v>0</v>
      </c>
      <c r="CO141" s="856">
        <f t="shared" si="215"/>
        <v>0</v>
      </c>
      <c r="CP141" s="856">
        <f t="shared" si="215"/>
        <v>0</v>
      </c>
      <c r="CQ141" s="856">
        <f t="shared" si="215"/>
        <v>0</v>
      </c>
      <c r="CR141" s="856">
        <f t="shared" si="215"/>
        <v>0</v>
      </c>
      <c r="CS141" s="856">
        <f t="shared" si="215"/>
        <v>0</v>
      </c>
      <c r="CT141" s="856">
        <f t="shared" si="215"/>
        <v>0</v>
      </c>
      <c r="CU141" s="856">
        <f t="shared" si="215"/>
        <v>0</v>
      </c>
      <c r="CV141" s="856">
        <f t="shared" si="215"/>
        <v>0</v>
      </c>
      <c r="CW141" s="856">
        <f t="shared" si="215"/>
        <v>0</v>
      </c>
      <c r="CX141" s="856">
        <f t="shared" si="215"/>
        <v>0</v>
      </c>
      <c r="CY141" s="856">
        <f t="shared" si="215"/>
        <v>0</v>
      </c>
      <c r="CZ141" s="856">
        <f t="shared" si="215"/>
        <v>0</v>
      </c>
      <c r="DA141" s="856">
        <f t="shared" si="215"/>
        <v>0</v>
      </c>
      <c r="DB141" s="856">
        <f t="shared" si="215"/>
        <v>0</v>
      </c>
      <c r="DC141" s="856">
        <f t="shared" si="215"/>
        <v>0</v>
      </c>
      <c r="DD141" s="856">
        <f t="shared" si="215"/>
        <v>0</v>
      </c>
      <c r="DE141" s="856">
        <f t="shared" si="215"/>
        <v>0</v>
      </c>
      <c r="DF141" s="856">
        <f t="shared" si="215"/>
        <v>0</v>
      </c>
      <c r="DG141" s="856">
        <f t="shared" si="215"/>
        <v>0</v>
      </c>
      <c r="DH141" s="856">
        <f t="shared" si="215"/>
        <v>0</v>
      </c>
      <c r="DI141" s="856">
        <f t="shared" si="215"/>
        <v>0</v>
      </c>
      <c r="DJ141" s="856">
        <f t="shared" si="215"/>
        <v>0</v>
      </c>
      <c r="DK141" s="856">
        <f t="shared" ref="DK141:EP141" si="216">SUBTOTAL(9,DK137:DK140)*(SUM(DK137:DK140)&gt;1)</f>
        <v>0</v>
      </c>
      <c r="DL141" s="856">
        <f t="shared" si="216"/>
        <v>0</v>
      </c>
      <c r="DM141" s="856">
        <f t="shared" si="216"/>
        <v>0</v>
      </c>
      <c r="DN141" s="856">
        <f t="shared" si="216"/>
        <v>0</v>
      </c>
      <c r="DO141" s="856">
        <f t="shared" si="216"/>
        <v>0</v>
      </c>
      <c r="DP141" s="856">
        <f t="shared" si="216"/>
        <v>0</v>
      </c>
      <c r="DQ141" s="856">
        <f t="shared" si="216"/>
        <v>0</v>
      </c>
      <c r="DR141" s="856">
        <f t="shared" si="216"/>
        <v>0</v>
      </c>
      <c r="DS141" s="856">
        <f t="shared" si="216"/>
        <v>0</v>
      </c>
      <c r="DT141" s="856">
        <f t="shared" si="216"/>
        <v>0</v>
      </c>
      <c r="DU141" s="856">
        <f t="shared" si="216"/>
        <v>0</v>
      </c>
      <c r="DV141" s="856">
        <f t="shared" si="216"/>
        <v>0</v>
      </c>
      <c r="DW141" s="856">
        <f t="shared" si="216"/>
        <v>0</v>
      </c>
      <c r="DX141" s="856">
        <f t="shared" si="216"/>
        <v>0</v>
      </c>
      <c r="DY141" s="856">
        <f t="shared" si="216"/>
        <v>0</v>
      </c>
      <c r="DZ141" s="856">
        <f t="shared" si="216"/>
        <v>0</v>
      </c>
      <c r="EA141" s="856">
        <f t="shared" si="216"/>
        <v>0</v>
      </c>
      <c r="EB141" s="856">
        <f t="shared" si="216"/>
        <v>0</v>
      </c>
      <c r="EC141" s="856">
        <f t="shared" si="216"/>
        <v>0</v>
      </c>
      <c r="ED141" s="856">
        <f t="shared" si="216"/>
        <v>0</v>
      </c>
      <c r="EE141" s="856">
        <f t="shared" si="216"/>
        <v>0</v>
      </c>
      <c r="EF141" s="856">
        <f t="shared" si="216"/>
        <v>0</v>
      </c>
      <c r="EG141" s="856">
        <f t="shared" si="216"/>
        <v>0</v>
      </c>
      <c r="EH141" s="856">
        <f t="shared" si="216"/>
        <v>0</v>
      </c>
      <c r="EI141" s="856">
        <f t="shared" si="216"/>
        <v>0</v>
      </c>
    </row>
    <row r="142" spans="2:139" ht="12.75" customHeight="1">
      <c r="B142" s="46"/>
      <c r="C142" s="209"/>
      <c r="D142" s="857"/>
      <c r="E142" s="857"/>
      <c r="F142" s="857"/>
      <c r="G142" s="857"/>
      <c r="H142" s="857"/>
      <c r="I142" s="857"/>
      <c r="J142" s="857"/>
      <c r="K142" s="857"/>
      <c r="L142" s="857"/>
      <c r="M142" s="857"/>
      <c r="N142" s="857"/>
      <c r="O142" s="858"/>
      <c r="P142" s="313"/>
      <c r="Q142" s="313"/>
      <c r="R142" s="313"/>
      <c r="S142" s="859"/>
      <c r="T142" s="859"/>
      <c r="U142" s="859"/>
      <c r="V142" s="859"/>
      <c r="W142" s="859"/>
      <c r="X142" s="859"/>
      <c r="Y142" s="859"/>
      <c r="Z142" s="859"/>
      <c r="AA142" s="859"/>
      <c r="AB142" s="859"/>
      <c r="AC142" s="859"/>
      <c r="AD142" s="859"/>
      <c r="AE142" s="859"/>
      <c r="AF142" s="859"/>
      <c r="AG142" s="859"/>
      <c r="AH142" s="859"/>
      <c r="AI142" s="859"/>
      <c r="AJ142" s="859"/>
      <c r="AK142" s="859"/>
      <c r="AL142" s="859"/>
      <c r="AM142" s="859"/>
      <c r="AN142" s="859"/>
      <c r="AO142" s="859"/>
      <c r="AP142" s="859"/>
      <c r="AQ142" s="859"/>
      <c r="AR142" s="859"/>
      <c r="AS142" s="859"/>
      <c r="AT142" s="859"/>
      <c r="AU142" s="859"/>
      <c r="AV142" s="859"/>
      <c r="AW142" s="859"/>
      <c r="AX142" s="859"/>
      <c r="AY142" s="859"/>
      <c r="AZ142" s="859"/>
      <c r="BA142" s="859"/>
      <c r="BB142" s="859"/>
      <c r="BC142" s="859"/>
      <c r="BD142" s="859"/>
      <c r="BE142" s="859"/>
      <c r="BF142" s="859"/>
      <c r="BG142" s="859"/>
      <c r="BH142" s="859"/>
      <c r="BI142" s="859"/>
      <c r="BJ142" s="859"/>
      <c r="BK142" s="859"/>
      <c r="BL142" s="859"/>
      <c r="BM142" s="859"/>
      <c r="BN142" s="859"/>
      <c r="BO142" s="859"/>
      <c r="BP142" s="859"/>
      <c r="BQ142" s="859"/>
      <c r="BR142" s="859"/>
      <c r="BS142" s="859"/>
      <c r="BT142" s="859"/>
      <c r="BU142" s="859"/>
      <c r="BV142" s="859"/>
      <c r="BW142" s="859"/>
      <c r="BX142" s="859"/>
      <c r="BY142" s="859"/>
      <c r="BZ142" s="859"/>
      <c r="CA142" s="859"/>
      <c r="CB142" s="859"/>
      <c r="CC142" s="859"/>
      <c r="CD142" s="859"/>
      <c r="CE142" s="859"/>
      <c r="CF142" s="859"/>
      <c r="CG142" s="859"/>
      <c r="CH142" s="859"/>
      <c r="CI142" s="859"/>
      <c r="CJ142" s="859"/>
      <c r="CK142" s="859"/>
      <c r="CL142" s="859"/>
      <c r="CM142" s="859"/>
      <c r="CN142" s="859"/>
      <c r="CO142" s="859"/>
      <c r="CP142" s="859"/>
      <c r="CQ142" s="859"/>
      <c r="CR142" s="859"/>
      <c r="CS142" s="859"/>
      <c r="CT142" s="859"/>
      <c r="CU142" s="859"/>
      <c r="CV142" s="859"/>
      <c r="CW142" s="859"/>
      <c r="CX142" s="859"/>
      <c r="CY142" s="859"/>
      <c r="CZ142" s="859"/>
      <c r="DA142" s="859"/>
      <c r="DB142" s="859"/>
      <c r="DC142" s="859"/>
      <c r="DD142" s="859"/>
      <c r="DE142" s="859"/>
      <c r="DF142" s="859"/>
      <c r="DG142" s="859"/>
      <c r="DH142" s="859"/>
      <c r="DI142" s="859"/>
      <c r="DJ142" s="859"/>
      <c r="DK142" s="859"/>
      <c r="DL142" s="859"/>
      <c r="DM142" s="859"/>
      <c r="DN142" s="859"/>
      <c r="DO142" s="859"/>
      <c r="DP142" s="859"/>
      <c r="DQ142" s="859"/>
      <c r="DR142" s="859"/>
      <c r="DS142" s="859"/>
      <c r="DT142" s="859"/>
      <c r="DU142" s="859"/>
      <c r="DV142" s="859"/>
      <c r="DW142" s="859"/>
      <c r="DX142" s="859"/>
      <c r="DY142" s="859"/>
      <c r="DZ142" s="859"/>
      <c r="EA142" s="859"/>
      <c r="EB142" s="859"/>
      <c r="EC142" s="859"/>
      <c r="ED142" s="859"/>
      <c r="EE142" s="859"/>
      <c r="EF142" s="859"/>
      <c r="EG142" s="859"/>
      <c r="EH142" s="859"/>
      <c r="EI142" s="859"/>
    </row>
    <row r="143" spans="2:139" ht="12.75" customHeight="1">
      <c r="B143" s="1045" t="s">
        <v>48</v>
      </c>
      <c r="C143" s="211"/>
      <c r="D143" s="203"/>
      <c r="E143" s="203"/>
      <c r="F143" s="203"/>
      <c r="G143" s="203"/>
      <c r="H143" s="203"/>
      <c r="I143" s="203"/>
      <c r="J143" s="203"/>
      <c r="K143" s="203"/>
      <c r="L143" s="203"/>
      <c r="M143" s="203"/>
      <c r="N143" s="203"/>
      <c r="O143" s="853"/>
      <c r="P143" s="313"/>
      <c r="Q143" s="313"/>
      <c r="R143" s="313"/>
      <c r="S143" s="845"/>
      <c r="T143" s="845"/>
      <c r="U143" s="845"/>
      <c r="V143" s="845"/>
      <c r="W143" s="845"/>
      <c r="X143" s="845"/>
      <c r="Y143" s="845"/>
      <c r="Z143" s="845"/>
      <c r="AA143" s="845"/>
      <c r="AB143" s="845"/>
      <c r="AC143" s="845"/>
      <c r="AD143" s="845"/>
      <c r="AE143" s="845"/>
      <c r="AF143" s="845"/>
      <c r="AG143" s="845"/>
      <c r="AH143" s="845"/>
      <c r="AI143" s="845"/>
      <c r="AJ143" s="845"/>
      <c r="AK143" s="845"/>
      <c r="AL143" s="845"/>
      <c r="AM143" s="845"/>
      <c r="AN143" s="845"/>
      <c r="AO143" s="845"/>
      <c r="AP143" s="845"/>
      <c r="AQ143" s="845"/>
      <c r="AR143" s="845"/>
      <c r="AS143" s="845"/>
      <c r="AT143" s="845"/>
      <c r="AU143" s="845"/>
      <c r="AV143" s="845"/>
      <c r="AW143" s="845"/>
      <c r="AX143" s="845"/>
      <c r="AY143" s="845"/>
      <c r="AZ143" s="845"/>
      <c r="BA143" s="845"/>
      <c r="BB143" s="845"/>
      <c r="BC143" s="845"/>
      <c r="BD143" s="845"/>
      <c r="BE143" s="845"/>
      <c r="BF143" s="845"/>
      <c r="BG143" s="845"/>
      <c r="BH143" s="845"/>
      <c r="BI143" s="845"/>
      <c r="BJ143" s="845"/>
      <c r="BK143" s="845"/>
      <c r="BL143" s="845"/>
      <c r="BM143" s="845"/>
      <c r="BN143" s="845"/>
      <c r="BO143" s="845"/>
      <c r="BP143" s="845"/>
      <c r="BQ143" s="845"/>
      <c r="BR143" s="845"/>
      <c r="BS143" s="845"/>
      <c r="BT143" s="845"/>
      <c r="BU143" s="845"/>
      <c r="BV143" s="845"/>
      <c r="BW143" s="845"/>
      <c r="BX143" s="845"/>
      <c r="BY143" s="845"/>
      <c r="BZ143" s="845"/>
      <c r="CA143" s="845"/>
      <c r="CB143" s="845"/>
      <c r="CC143" s="845"/>
      <c r="CD143" s="845"/>
      <c r="CE143" s="845"/>
      <c r="CF143" s="845"/>
      <c r="CG143" s="845"/>
      <c r="CH143" s="845"/>
      <c r="CI143" s="845"/>
      <c r="CJ143" s="845"/>
      <c r="CK143" s="845"/>
      <c r="CL143" s="845"/>
      <c r="CM143" s="845"/>
      <c r="CN143" s="845"/>
      <c r="CO143" s="845"/>
      <c r="CP143" s="845"/>
      <c r="CQ143" s="845"/>
      <c r="CR143" s="845"/>
      <c r="CS143" s="845"/>
      <c r="CT143" s="845"/>
      <c r="CU143" s="845"/>
      <c r="CV143" s="845"/>
      <c r="CW143" s="845"/>
      <c r="CX143" s="845"/>
      <c r="CY143" s="845"/>
      <c r="CZ143" s="845"/>
      <c r="DA143" s="845"/>
      <c r="DB143" s="845"/>
      <c r="DC143" s="845"/>
      <c r="DD143" s="845"/>
      <c r="DE143" s="845"/>
      <c r="DF143" s="845"/>
      <c r="DG143" s="845"/>
      <c r="DH143" s="845"/>
      <c r="DI143" s="845"/>
      <c r="DJ143" s="845"/>
      <c r="DK143" s="845"/>
      <c r="DL143" s="845"/>
      <c r="DM143" s="845"/>
      <c r="DN143" s="845"/>
      <c r="DO143" s="845"/>
      <c r="DP143" s="845"/>
      <c r="DQ143" s="845"/>
      <c r="DR143" s="845"/>
      <c r="DS143" s="845"/>
      <c r="DT143" s="845"/>
      <c r="DU143" s="845"/>
      <c r="DV143" s="845"/>
      <c r="DW143" s="845"/>
      <c r="DX143" s="845"/>
      <c r="DY143" s="845"/>
      <c r="DZ143" s="845"/>
      <c r="EA143" s="845"/>
      <c r="EB143" s="845"/>
      <c r="EC143" s="845"/>
      <c r="ED143" s="845"/>
      <c r="EE143" s="845"/>
      <c r="EF143" s="845"/>
      <c r="EG143" s="845"/>
      <c r="EH143" s="845"/>
      <c r="EI143" s="845"/>
    </row>
    <row r="144" spans="2:139" ht="12.75" customHeight="1">
      <c r="B144" s="41" t="str">
        <f>IF(AssumIntType=FixedInterest,B146,"Interest Rate before Floor/Cap")</f>
        <v>Assumable Loan Interest Rate</v>
      </c>
      <c r="C144" s="211"/>
      <c r="D144" s="203"/>
      <c r="E144" s="860">
        <f>IF(Assum1IntType=FixedInterest,Assum1IntRate,(SUMIF('Multiple Assumable Loans'!$I$17:$I$26,E$4,'Multiple Assumable Loans'!$K$17:$K$26)+Assum1IntSprd/10000))*AND(AssumLoan1Term&lt;&gt;"",E$4&gt;AnalysisStartDate,E$137+E138&gt;0)</f>
        <v>0</v>
      </c>
      <c r="F144" s="860">
        <f>IF(Assum1IntType=FixedInterest,Assum1IntRate,(SUMIF('Multiple Assumable Loans'!$I$17:$I$26,F$4,'Multiple Assumable Loans'!$K$17:$K$26)+Assum1IntSprd/10000))*AND(AssumLoan1Term&lt;&gt;"",F$4&gt;AnalysisStartDate,F$137+F138&gt;0)</f>
        <v>0</v>
      </c>
      <c r="G144" s="860">
        <f>IF(Assum1IntType=FixedInterest,Assum1IntRate,(SUMIF('Multiple Assumable Loans'!$I$17:$I$26,G$4,'Multiple Assumable Loans'!$K$17:$K$26)+Assum1IntSprd/10000))*AND(AssumLoan1Term&lt;&gt;"",G$4&gt;AnalysisStartDate,G$137+G138&gt;0)</f>
        <v>0</v>
      </c>
      <c r="H144" s="860">
        <f>IF(Assum1IntType=FixedInterest,Assum1IntRate,(SUMIF('Multiple Assumable Loans'!$I$17:$I$26,H$4,'Multiple Assumable Loans'!$K$17:$K$26)+Assum1IntSprd/10000))*AND(AssumLoan1Term&lt;&gt;"",H$4&gt;AnalysisStartDate,H$137+H138&gt;0)</f>
        <v>0</v>
      </c>
      <c r="I144" s="860">
        <f>IF(Assum1IntType=FixedInterest,Assum1IntRate,(SUMIF('Multiple Assumable Loans'!$I$17:$I$26,I$4,'Multiple Assumable Loans'!$K$17:$K$26)+Assum1IntSprd/10000))*AND(AssumLoan1Term&lt;&gt;"",I$4&gt;AnalysisStartDate,I$137+I138&gt;0)</f>
        <v>0</v>
      </c>
      <c r="J144" s="860">
        <f>IF(Assum1IntType=FixedInterest,Assum1IntRate,(SUMIF('Multiple Assumable Loans'!$I$17:$I$26,J$4,'Multiple Assumable Loans'!$K$17:$K$26)+Assum1IntSprd/10000))*AND(AssumLoan1Term&lt;&gt;"",J$4&gt;AnalysisStartDate,J$137+J138&gt;0)</f>
        <v>0</v>
      </c>
      <c r="K144" s="860">
        <f>IF(Assum1IntType=FixedInterest,Assum1IntRate,(SUMIF('Multiple Assumable Loans'!$I$17:$I$26,K$4,'Multiple Assumable Loans'!$K$17:$K$26)+Assum1IntSprd/10000))*AND(AssumLoan1Term&lt;&gt;"",K$4&gt;AnalysisStartDate,K$137+K138&gt;0)</f>
        <v>0</v>
      </c>
      <c r="L144" s="860">
        <f>IF(Assum1IntType=FixedInterest,Assum1IntRate,(SUMIF('Multiple Assumable Loans'!$I$17:$I$26,L$4,'Multiple Assumable Loans'!$K$17:$K$26)+Assum1IntSprd/10000))*AND(AssumLoan1Term&lt;&gt;"",L$4&gt;AnalysisStartDate,L$137+L138&gt;0)</f>
        <v>0</v>
      </c>
      <c r="M144" s="860">
        <f>IF(Assum1IntType=FixedInterest,Assum1IntRate,(SUMIF('Multiple Assumable Loans'!$I$17:$I$26,M$4,'Multiple Assumable Loans'!$K$17:$K$26)+Assum1IntSprd/10000))*AND(AssumLoan1Term&lt;&gt;"",M$4&gt;AnalysisStartDate,M$137+M138&gt;0)</f>
        <v>0</v>
      </c>
      <c r="N144" s="860">
        <f>IF(Assum1IntType=FixedInterest,Assum1IntRate,(SUMIF('Multiple Assumable Loans'!$I$17:$I$26,N$4,'Multiple Assumable Loans'!$K$17:$K$26)+Assum1IntSprd/10000))*AND(AssumLoan1Term&lt;&gt;"",N$4&gt;AnalysisStartDate,N$137+N138&gt;0)</f>
        <v>0</v>
      </c>
      <c r="O144" s="853"/>
      <c r="P144" s="313"/>
      <c r="Q144" s="313"/>
      <c r="R144" s="313"/>
      <c r="S144" s="845"/>
      <c r="T144" s="860">
        <f t="shared" ref="T144:AY144" si="217">SUMIF($D$5:$N$5,T$6,$D144:$N144)*(T137+T138&gt;0)</f>
        <v>0</v>
      </c>
      <c r="U144" s="860">
        <f t="shared" si="217"/>
        <v>0</v>
      </c>
      <c r="V144" s="860">
        <f t="shared" si="217"/>
        <v>0</v>
      </c>
      <c r="W144" s="860">
        <f t="shared" si="217"/>
        <v>0</v>
      </c>
      <c r="X144" s="860">
        <f t="shared" si="217"/>
        <v>0</v>
      </c>
      <c r="Y144" s="860">
        <f t="shared" si="217"/>
        <v>0</v>
      </c>
      <c r="Z144" s="860">
        <f t="shared" si="217"/>
        <v>0</v>
      </c>
      <c r="AA144" s="860">
        <f t="shared" si="217"/>
        <v>0</v>
      </c>
      <c r="AB144" s="860">
        <f t="shared" si="217"/>
        <v>0</v>
      </c>
      <c r="AC144" s="860">
        <f t="shared" si="217"/>
        <v>0</v>
      </c>
      <c r="AD144" s="860">
        <f t="shared" si="217"/>
        <v>0</v>
      </c>
      <c r="AE144" s="860">
        <f t="shared" si="217"/>
        <v>0</v>
      </c>
      <c r="AF144" s="860">
        <f t="shared" si="217"/>
        <v>0</v>
      </c>
      <c r="AG144" s="860">
        <f t="shared" si="217"/>
        <v>0</v>
      </c>
      <c r="AH144" s="860">
        <f t="shared" si="217"/>
        <v>0</v>
      </c>
      <c r="AI144" s="860">
        <f t="shared" si="217"/>
        <v>0</v>
      </c>
      <c r="AJ144" s="860">
        <f t="shared" si="217"/>
        <v>0</v>
      </c>
      <c r="AK144" s="860">
        <f t="shared" si="217"/>
        <v>0</v>
      </c>
      <c r="AL144" s="860">
        <f t="shared" si="217"/>
        <v>0</v>
      </c>
      <c r="AM144" s="860">
        <f t="shared" si="217"/>
        <v>0</v>
      </c>
      <c r="AN144" s="860">
        <f t="shared" si="217"/>
        <v>0</v>
      </c>
      <c r="AO144" s="860">
        <f t="shared" si="217"/>
        <v>0</v>
      </c>
      <c r="AP144" s="860">
        <f t="shared" si="217"/>
        <v>0</v>
      </c>
      <c r="AQ144" s="860">
        <f t="shared" si="217"/>
        <v>0</v>
      </c>
      <c r="AR144" s="860">
        <f t="shared" si="217"/>
        <v>0</v>
      </c>
      <c r="AS144" s="860">
        <f t="shared" si="217"/>
        <v>0</v>
      </c>
      <c r="AT144" s="860">
        <f t="shared" si="217"/>
        <v>0</v>
      </c>
      <c r="AU144" s="860">
        <f t="shared" si="217"/>
        <v>0</v>
      </c>
      <c r="AV144" s="860">
        <f t="shared" si="217"/>
        <v>0</v>
      </c>
      <c r="AW144" s="860">
        <f t="shared" si="217"/>
        <v>0</v>
      </c>
      <c r="AX144" s="860">
        <f t="shared" si="217"/>
        <v>0</v>
      </c>
      <c r="AY144" s="860">
        <f t="shared" si="217"/>
        <v>0</v>
      </c>
      <c r="AZ144" s="860">
        <f t="shared" ref="AZ144:CE144" si="218">SUMIF($D$5:$N$5,AZ$6,$D144:$N144)*(AZ137+AZ138&gt;0)</f>
        <v>0</v>
      </c>
      <c r="BA144" s="860">
        <f t="shared" si="218"/>
        <v>0</v>
      </c>
      <c r="BB144" s="860">
        <f t="shared" si="218"/>
        <v>0</v>
      </c>
      <c r="BC144" s="860">
        <f t="shared" si="218"/>
        <v>0</v>
      </c>
      <c r="BD144" s="860">
        <f t="shared" si="218"/>
        <v>0</v>
      </c>
      <c r="BE144" s="860">
        <f t="shared" si="218"/>
        <v>0</v>
      </c>
      <c r="BF144" s="860">
        <f t="shared" si="218"/>
        <v>0</v>
      </c>
      <c r="BG144" s="860">
        <f t="shared" si="218"/>
        <v>0</v>
      </c>
      <c r="BH144" s="860">
        <f t="shared" si="218"/>
        <v>0</v>
      </c>
      <c r="BI144" s="860">
        <f t="shared" si="218"/>
        <v>0</v>
      </c>
      <c r="BJ144" s="860">
        <f t="shared" si="218"/>
        <v>0</v>
      </c>
      <c r="BK144" s="860">
        <f t="shared" si="218"/>
        <v>0</v>
      </c>
      <c r="BL144" s="860">
        <f t="shared" si="218"/>
        <v>0</v>
      </c>
      <c r="BM144" s="860">
        <f t="shared" si="218"/>
        <v>0</v>
      </c>
      <c r="BN144" s="860">
        <f t="shared" si="218"/>
        <v>0</v>
      </c>
      <c r="BO144" s="860">
        <f t="shared" si="218"/>
        <v>0</v>
      </c>
      <c r="BP144" s="860">
        <f t="shared" si="218"/>
        <v>0</v>
      </c>
      <c r="BQ144" s="860">
        <f t="shared" si="218"/>
        <v>0</v>
      </c>
      <c r="BR144" s="860">
        <f t="shared" si="218"/>
        <v>0</v>
      </c>
      <c r="BS144" s="860">
        <f t="shared" si="218"/>
        <v>0</v>
      </c>
      <c r="BT144" s="860">
        <f t="shared" si="218"/>
        <v>0</v>
      </c>
      <c r="BU144" s="860">
        <f t="shared" si="218"/>
        <v>0</v>
      </c>
      <c r="BV144" s="860">
        <f t="shared" si="218"/>
        <v>0</v>
      </c>
      <c r="BW144" s="860">
        <f t="shared" si="218"/>
        <v>0</v>
      </c>
      <c r="BX144" s="860">
        <f t="shared" si="218"/>
        <v>0</v>
      </c>
      <c r="BY144" s="860">
        <f t="shared" si="218"/>
        <v>0</v>
      </c>
      <c r="BZ144" s="860">
        <f t="shared" si="218"/>
        <v>0</v>
      </c>
      <c r="CA144" s="860">
        <f t="shared" si="218"/>
        <v>0</v>
      </c>
      <c r="CB144" s="860">
        <f t="shared" si="218"/>
        <v>0</v>
      </c>
      <c r="CC144" s="860">
        <f t="shared" si="218"/>
        <v>0</v>
      </c>
      <c r="CD144" s="860">
        <f t="shared" si="218"/>
        <v>0</v>
      </c>
      <c r="CE144" s="860">
        <f t="shared" si="218"/>
        <v>0</v>
      </c>
      <c r="CF144" s="860">
        <f t="shared" ref="CF144:DK144" si="219">SUMIF($D$5:$N$5,CF$6,$D144:$N144)*(CF137+CF138&gt;0)</f>
        <v>0</v>
      </c>
      <c r="CG144" s="860">
        <f t="shared" si="219"/>
        <v>0</v>
      </c>
      <c r="CH144" s="860">
        <f t="shared" si="219"/>
        <v>0</v>
      </c>
      <c r="CI144" s="860">
        <f t="shared" si="219"/>
        <v>0</v>
      </c>
      <c r="CJ144" s="860">
        <f t="shared" si="219"/>
        <v>0</v>
      </c>
      <c r="CK144" s="860">
        <f t="shared" si="219"/>
        <v>0</v>
      </c>
      <c r="CL144" s="860">
        <f t="shared" si="219"/>
        <v>0</v>
      </c>
      <c r="CM144" s="860">
        <f t="shared" si="219"/>
        <v>0</v>
      </c>
      <c r="CN144" s="860">
        <f t="shared" si="219"/>
        <v>0</v>
      </c>
      <c r="CO144" s="860">
        <f t="shared" si="219"/>
        <v>0</v>
      </c>
      <c r="CP144" s="860">
        <f t="shared" si="219"/>
        <v>0</v>
      </c>
      <c r="CQ144" s="860">
        <f t="shared" si="219"/>
        <v>0</v>
      </c>
      <c r="CR144" s="860">
        <f t="shared" si="219"/>
        <v>0</v>
      </c>
      <c r="CS144" s="860">
        <f t="shared" si="219"/>
        <v>0</v>
      </c>
      <c r="CT144" s="860">
        <f t="shared" si="219"/>
        <v>0</v>
      </c>
      <c r="CU144" s="860">
        <f t="shared" si="219"/>
        <v>0</v>
      </c>
      <c r="CV144" s="860">
        <f t="shared" si="219"/>
        <v>0</v>
      </c>
      <c r="CW144" s="860">
        <f t="shared" si="219"/>
        <v>0</v>
      </c>
      <c r="CX144" s="860">
        <f t="shared" si="219"/>
        <v>0</v>
      </c>
      <c r="CY144" s="860">
        <f t="shared" si="219"/>
        <v>0</v>
      </c>
      <c r="CZ144" s="860">
        <f t="shared" si="219"/>
        <v>0</v>
      </c>
      <c r="DA144" s="860">
        <f t="shared" si="219"/>
        <v>0</v>
      </c>
      <c r="DB144" s="860">
        <f t="shared" si="219"/>
        <v>0</v>
      </c>
      <c r="DC144" s="860">
        <f t="shared" si="219"/>
        <v>0</v>
      </c>
      <c r="DD144" s="860">
        <f t="shared" si="219"/>
        <v>0</v>
      </c>
      <c r="DE144" s="860">
        <f t="shared" si="219"/>
        <v>0</v>
      </c>
      <c r="DF144" s="860">
        <f t="shared" si="219"/>
        <v>0</v>
      </c>
      <c r="DG144" s="860">
        <f t="shared" si="219"/>
        <v>0</v>
      </c>
      <c r="DH144" s="860">
        <f t="shared" si="219"/>
        <v>0</v>
      </c>
      <c r="DI144" s="860">
        <f t="shared" si="219"/>
        <v>0</v>
      </c>
      <c r="DJ144" s="860">
        <f t="shared" si="219"/>
        <v>0</v>
      </c>
      <c r="DK144" s="860">
        <f t="shared" si="219"/>
        <v>0</v>
      </c>
      <c r="DL144" s="860">
        <f t="shared" ref="DL144:EI144" si="220">SUMIF($D$5:$N$5,DL$6,$D144:$N144)*(DL137+DL138&gt;0)</f>
        <v>0</v>
      </c>
      <c r="DM144" s="860">
        <f t="shared" si="220"/>
        <v>0</v>
      </c>
      <c r="DN144" s="860">
        <f t="shared" si="220"/>
        <v>0</v>
      </c>
      <c r="DO144" s="860">
        <f t="shared" si="220"/>
        <v>0</v>
      </c>
      <c r="DP144" s="860">
        <f t="shared" si="220"/>
        <v>0</v>
      </c>
      <c r="DQ144" s="860">
        <f t="shared" si="220"/>
        <v>0</v>
      </c>
      <c r="DR144" s="860">
        <f t="shared" si="220"/>
        <v>0</v>
      </c>
      <c r="DS144" s="860">
        <f t="shared" si="220"/>
        <v>0</v>
      </c>
      <c r="DT144" s="860">
        <f t="shared" si="220"/>
        <v>0</v>
      </c>
      <c r="DU144" s="860">
        <f t="shared" si="220"/>
        <v>0</v>
      </c>
      <c r="DV144" s="860">
        <f t="shared" si="220"/>
        <v>0</v>
      </c>
      <c r="DW144" s="860">
        <f t="shared" si="220"/>
        <v>0</v>
      </c>
      <c r="DX144" s="860">
        <f t="shared" si="220"/>
        <v>0</v>
      </c>
      <c r="DY144" s="860">
        <f t="shared" si="220"/>
        <v>0</v>
      </c>
      <c r="DZ144" s="860">
        <f t="shared" si="220"/>
        <v>0</v>
      </c>
      <c r="EA144" s="860">
        <f t="shared" si="220"/>
        <v>0</v>
      </c>
      <c r="EB144" s="860">
        <f t="shared" si="220"/>
        <v>0</v>
      </c>
      <c r="EC144" s="860">
        <f t="shared" si="220"/>
        <v>0</v>
      </c>
      <c r="ED144" s="860">
        <f t="shared" si="220"/>
        <v>0</v>
      </c>
      <c r="EE144" s="860">
        <f t="shared" si="220"/>
        <v>0</v>
      </c>
      <c r="EF144" s="860">
        <f t="shared" si="220"/>
        <v>0</v>
      </c>
      <c r="EG144" s="860">
        <f t="shared" si="220"/>
        <v>0</v>
      </c>
      <c r="EH144" s="860">
        <f t="shared" si="220"/>
        <v>0</v>
      </c>
      <c r="EI144" s="860">
        <f t="shared" si="220"/>
        <v>0</v>
      </c>
    </row>
    <row r="145" spans="2:139" ht="12.75" hidden="1" customHeight="1">
      <c r="B145" s="861" t="s">
        <v>596</v>
      </c>
      <c r="C145" s="211"/>
      <c r="D145" s="203"/>
      <c r="E145" s="862">
        <f t="shared" ref="E145:N145" si="221">E146-E144</f>
        <v>0</v>
      </c>
      <c r="F145" s="862">
        <f t="shared" si="221"/>
        <v>0</v>
      </c>
      <c r="G145" s="862">
        <f t="shared" si="221"/>
        <v>0</v>
      </c>
      <c r="H145" s="862">
        <f t="shared" si="221"/>
        <v>0</v>
      </c>
      <c r="I145" s="862">
        <f t="shared" si="221"/>
        <v>0</v>
      </c>
      <c r="J145" s="862">
        <f t="shared" si="221"/>
        <v>0</v>
      </c>
      <c r="K145" s="862">
        <f t="shared" si="221"/>
        <v>0</v>
      </c>
      <c r="L145" s="862">
        <f t="shared" si="221"/>
        <v>0</v>
      </c>
      <c r="M145" s="862">
        <f t="shared" si="221"/>
        <v>0</v>
      </c>
      <c r="N145" s="862">
        <f t="shared" si="221"/>
        <v>0</v>
      </c>
      <c r="O145" s="853"/>
      <c r="P145" s="313"/>
      <c r="Q145" s="313"/>
      <c r="R145" s="313"/>
      <c r="S145" s="845"/>
      <c r="T145" s="860">
        <f t="shared" ref="T145:AY145" si="222">T146-T144</f>
        <v>0</v>
      </c>
      <c r="U145" s="860">
        <f t="shared" si="222"/>
        <v>0</v>
      </c>
      <c r="V145" s="860">
        <f t="shared" si="222"/>
        <v>0</v>
      </c>
      <c r="W145" s="860">
        <f t="shared" si="222"/>
        <v>0</v>
      </c>
      <c r="X145" s="860">
        <f t="shared" si="222"/>
        <v>0</v>
      </c>
      <c r="Y145" s="860">
        <f t="shared" si="222"/>
        <v>0</v>
      </c>
      <c r="Z145" s="860">
        <f t="shared" si="222"/>
        <v>0</v>
      </c>
      <c r="AA145" s="860">
        <f t="shared" si="222"/>
        <v>0</v>
      </c>
      <c r="AB145" s="860">
        <f t="shared" si="222"/>
        <v>0</v>
      </c>
      <c r="AC145" s="860">
        <f t="shared" si="222"/>
        <v>0</v>
      </c>
      <c r="AD145" s="860">
        <f t="shared" si="222"/>
        <v>0</v>
      </c>
      <c r="AE145" s="860">
        <f t="shared" si="222"/>
        <v>0</v>
      </c>
      <c r="AF145" s="860">
        <f t="shared" si="222"/>
        <v>0</v>
      </c>
      <c r="AG145" s="860">
        <f t="shared" si="222"/>
        <v>0</v>
      </c>
      <c r="AH145" s="860">
        <f t="shared" si="222"/>
        <v>0</v>
      </c>
      <c r="AI145" s="860">
        <f t="shared" si="222"/>
        <v>0</v>
      </c>
      <c r="AJ145" s="860">
        <f t="shared" si="222"/>
        <v>0</v>
      </c>
      <c r="AK145" s="860">
        <f t="shared" si="222"/>
        <v>0</v>
      </c>
      <c r="AL145" s="860">
        <f t="shared" si="222"/>
        <v>0</v>
      </c>
      <c r="AM145" s="860">
        <f t="shared" si="222"/>
        <v>0</v>
      </c>
      <c r="AN145" s="860">
        <f t="shared" si="222"/>
        <v>0</v>
      </c>
      <c r="AO145" s="860">
        <f t="shared" si="222"/>
        <v>0</v>
      </c>
      <c r="AP145" s="860">
        <f t="shared" si="222"/>
        <v>0</v>
      </c>
      <c r="AQ145" s="860">
        <f t="shared" si="222"/>
        <v>0</v>
      </c>
      <c r="AR145" s="860">
        <f t="shared" si="222"/>
        <v>0</v>
      </c>
      <c r="AS145" s="860">
        <f t="shared" si="222"/>
        <v>0</v>
      </c>
      <c r="AT145" s="860">
        <f t="shared" si="222"/>
        <v>0</v>
      </c>
      <c r="AU145" s="860">
        <f t="shared" si="222"/>
        <v>0</v>
      </c>
      <c r="AV145" s="860">
        <f t="shared" si="222"/>
        <v>0</v>
      </c>
      <c r="AW145" s="860">
        <f t="shared" si="222"/>
        <v>0</v>
      </c>
      <c r="AX145" s="860">
        <f t="shared" si="222"/>
        <v>0</v>
      </c>
      <c r="AY145" s="860">
        <f t="shared" si="222"/>
        <v>0</v>
      </c>
      <c r="AZ145" s="860">
        <f t="shared" ref="AZ145:CE145" si="223">AZ146-AZ144</f>
        <v>0</v>
      </c>
      <c r="BA145" s="860">
        <f t="shared" si="223"/>
        <v>0</v>
      </c>
      <c r="BB145" s="860">
        <f t="shared" si="223"/>
        <v>0</v>
      </c>
      <c r="BC145" s="860">
        <f t="shared" si="223"/>
        <v>0</v>
      </c>
      <c r="BD145" s="860">
        <f t="shared" si="223"/>
        <v>0</v>
      </c>
      <c r="BE145" s="860">
        <f t="shared" si="223"/>
        <v>0</v>
      </c>
      <c r="BF145" s="860">
        <f t="shared" si="223"/>
        <v>0</v>
      </c>
      <c r="BG145" s="860">
        <f t="shared" si="223"/>
        <v>0</v>
      </c>
      <c r="BH145" s="860">
        <f t="shared" si="223"/>
        <v>0</v>
      </c>
      <c r="BI145" s="860">
        <f t="shared" si="223"/>
        <v>0</v>
      </c>
      <c r="BJ145" s="860">
        <f t="shared" si="223"/>
        <v>0</v>
      </c>
      <c r="BK145" s="860">
        <f t="shared" si="223"/>
        <v>0</v>
      </c>
      <c r="BL145" s="860">
        <f t="shared" si="223"/>
        <v>0</v>
      </c>
      <c r="BM145" s="860">
        <f t="shared" si="223"/>
        <v>0</v>
      </c>
      <c r="BN145" s="860">
        <f t="shared" si="223"/>
        <v>0</v>
      </c>
      <c r="BO145" s="860">
        <f t="shared" si="223"/>
        <v>0</v>
      </c>
      <c r="BP145" s="860">
        <f t="shared" si="223"/>
        <v>0</v>
      </c>
      <c r="BQ145" s="860">
        <f t="shared" si="223"/>
        <v>0</v>
      </c>
      <c r="BR145" s="860">
        <f t="shared" si="223"/>
        <v>0</v>
      </c>
      <c r="BS145" s="860">
        <f t="shared" si="223"/>
        <v>0</v>
      </c>
      <c r="BT145" s="860">
        <f t="shared" si="223"/>
        <v>0</v>
      </c>
      <c r="BU145" s="860">
        <f t="shared" si="223"/>
        <v>0</v>
      </c>
      <c r="BV145" s="860">
        <f t="shared" si="223"/>
        <v>0</v>
      </c>
      <c r="BW145" s="860">
        <f t="shared" si="223"/>
        <v>0</v>
      </c>
      <c r="BX145" s="860">
        <f t="shared" si="223"/>
        <v>0</v>
      </c>
      <c r="BY145" s="860">
        <f t="shared" si="223"/>
        <v>0</v>
      </c>
      <c r="BZ145" s="860">
        <f t="shared" si="223"/>
        <v>0</v>
      </c>
      <c r="CA145" s="860">
        <f t="shared" si="223"/>
        <v>0</v>
      </c>
      <c r="CB145" s="860">
        <f t="shared" si="223"/>
        <v>0</v>
      </c>
      <c r="CC145" s="860">
        <f t="shared" si="223"/>
        <v>0</v>
      </c>
      <c r="CD145" s="860">
        <f t="shared" si="223"/>
        <v>0</v>
      </c>
      <c r="CE145" s="860">
        <f t="shared" si="223"/>
        <v>0</v>
      </c>
      <c r="CF145" s="860">
        <f t="shared" ref="CF145:DK145" si="224">CF146-CF144</f>
        <v>0</v>
      </c>
      <c r="CG145" s="860">
        <f t="shared" si="224"/>
        <v>0</v>
      </c>
      <c r="CH145" s="860">
        <f t="shared" si="224"/>
        <v>0</v>
      </c>
      <c r="CI145" s="860">
        <f t="shared" si="224"/>
        <v>0</v>
      </c>
      <c r="CJ145" s="860">
        <f t="shared" si="224"/>
        <v>0</v>
      </c>
      <c r="CK145" s="860">
        <f t="shared" si="224"/>
        <v>0</v>
      </c>
      <c r="CL145" s="860">
        <f t="shared" si="224"/>
        <v>0</v>
      </c>
      <c r="CM145" s="860">
        <f t="shared" si="224"/>
        <v>0</v>
      </c>
      <c r="CN145" s="860">
        <f t="shared" si="224"/>
        <v>0</v>
      </c>
      <c r="CO145" s="860">
        <f t="shared" si="224"/>
        <v>0</v>
      </c>
      <c r="CP145" s="860">
        <f t="shared" si="224"/>
        <v>0</v>
      </c>
      <c r="CQ145" s="860">
        <f t="shared" si="224"/>
        <v>0</v>
      </c>
      <c r="CR145" s="860">
        <f t="shared" si="224"/>
        <v>0</v>
      </c>
      <c r="CS145" s="860">
        <f t="shared" si="224"/>
        <v>0</v>
      </c>
      <c r="CT145" s="860">
        <f t="shared" si="224"/>
        <v>0</v>
      </c>
      <c r="CU145" s="860">
        <f t="shared" si="224"/>
        <v>0</v>
      </c>
      <c r="CV145" s="860">
        <f t="shared" si="224"/>
        <v>0</v>
      </c>
      <c r="CW145" s="860">
        <f t="shared" si="224"/>
        <v>0</v>
      </c>
      <c r="CX145" s="860">
        <f t="shared" si="224"/>
        <v>0</v>
      </c>
      <c r="CY145" s="860">
        <f t="shared" si="224"/>
        <v>0</v>
      </c>
      <c r="CZ145" s="860">
        <f t="shared" si="224"/>
        <v>0</v>
      </c>
      <c r="DA145" s="860">
        <f t="shared" si="224"/>
        <v>0</v>
      </c>
      <c r="DB145" s="860">
        <f t="shared" si="224"/>
        <v>0</v>
      </c>
      <c r="DC145" s="860">
        <f t="shared" si="224"/>
        <v>0</v>
      </c>
      <c r="DD145" s="860">
        <f t="shared" si="224"/>
        <v>0</v>
      </c>
      <c r="DE145" s="860">
        <f t="shared" si="224"/>
        <v>0</v>
      </c>
      <c r="DF145" s="860">
        <f t="shared" si="224"/>
        <v>0</v>
      </c>
      <c r="DG145" s="860">
        <f t="shared" si="224"/>
        <v>0</v>
      </c>
      <c r="DH145" s="860">
        <f t="shared" si="224"/>
        <v>0</v>
      </c>
      <c r="DI145" s="860">
        <f t="shared" si="224"/>
        <v>0</v>
      </c>
      <c r="DJ145" s="860">
        <f t="shared" si="224"/>
        <v>0</v>
      </c>
      <c r="DK145" s="860">
        <f t="shared" si="224"/>
        <v>0</v>
      </c>
      <c r="DL145" s="860">
        <f t="shared" ref="DL145:EQ145" si="225">DL146-DL144</f>
        <v>0</v>
      </c>
      <c r="DM145" s="860">
        <f t="shared" si="225"/>
        <v>0</v>
      </c>
      <c r="DN145" s="860">
        <f t="shared" si="225"/>
        <v>0</v>
      </c>
      <c r="DO145" s="860">
        <f t="shared" si="225"/>
        <v>0</v>
      </c>
      <c r="DP145" s="860">
        <f t="shared" si="225"/>
        <v>0</v>
      </c>
      <c r="DQ145" s="860">
        <f t="shared" si="225"/>
        <v>0</v>
      </c>
      <c r="DR145" s="860">
        <f t="shared" si="225"/>
        <v>0</v>
      </c>
      <c r="DS145" s="860">
        <f t="shared" si="225"/>
        <v>0</v>
      </c>
      <c r="DT145" s="860">
        <f t="shared" si="225"/>
        <v>0</v>
      </c>
      <c r="DU145" s="860">
        <f t="shared" si="225"/>
        <v>0</v>
      </c>
      <c r="DV145" s="860">
        <f t="shared" si="225"/>
        <v>0</v>
      </c>
      <c r="DW145" s="860">
        <f t="shared" si="225"/>
        <v>0</v>
      </c>
      <c r="DX145" s="860">
        <f t="shared" si="225"/>
        <v>0</v>
      </c>
      <c r="DY145" s="860">
        <f t="shared" si="225"/>
        <v>0</v>
      </c>
      <c r="DZ145" s="860">
        <f t="shared" si="225"/>
        <v>0</v>
      </c>
      <c r="EA145" s="860">
        <f t="shared" si="225"/>
        <v>0</v>
      </c>
      <c r="EB145" s="860">
        <f t="shared" si="225"/>
        <v>0</v>
      </c>
      <c r="EC145" s="860">
        <f t="shared" si="225"/>
        <v>0</v>
      </c>
      <c r="ED145" s="860">
        <f t="shared" si="225"/>
        <v>0</v>
      </c>
      <c r="EE145" s="860">
        <f t="shared" si="225"/>
        <v>0</v>
      </c>
      <c r="EF145" s="860">
        <f t="shared" si="225"/>
        <v>0</v>
      </c>
      <c r="EG145" s="860">
        <f t="shared" si="225"/>
        <v>0</v>
      </c>
      <c r="EH145" s="860">
        <f t="shared" si="225"/>
        <v>0</v>
      </c>
      <c r="EI145" s="860">
        <f t="shared" si="225"/>
        <v>0</v>
      </c>
    </row>
    <row r="146" spans="2:139" ht="12.75" hidden="1" customHeight="1" collapsed="1">
      <c r="B146" s="863" t="s">
        <v>597</v>
      </c>
      <c r="C146" s="209"/>
      <c r="D146" s="203"/>
      <c r="E146" s="864">
        <f>IF(Assum1IntType=FixedInterest,E144,MIN(MAX(E144,'Multiple Assumable Loans'!$K$28),'Multiple Assumable Loans'!$K$29))*AND(AssumLoan1Term&lt;&gt;"",E$4&gt;AnalysisStartDate,E$137+E138&gt;0)</f>
        <v>0</v>
      </c>
      <c r="F146" s="864">
        <f>IF(Assum1IntType=FixedInterest,F144,MIN(MAX(F144,'Multiple Assumable Loans'!$K$28),'Multiple Assumable Loans'!$K$29))*AND(AssumLoan1Term&lt;&gt;"",F$4&gt;AnalysisStartDate,F$137+F138&gt;0)</f>
        <v>0</v>
      </c>
      <c r="G146" s="864">
        <f>IF(Assum1IntType=FixedInterest,G144,MIN(MAX(G144,'Multiple Assumable Loans'!$K$28),'Multiple Assumable Loans'!$K$29))*AND(AssumLoan1Term&lt;&gt;"",G$4&gt;AnalysisStartDate,G$137+G138&gt;0)</f>
        <v>0</v>
      </c>
      <c r="H146" s="864">
        <f>IF(Assum1IntType=FixedInterest,H144,MIN(MAX(H144,'Multiple Assumable Loans'!$K$28),'Multiple Assumable Loans'!$K$29))*AND(AssumLoan1Term&lt;&gt;"",H$4&gt;AnalysisStartDate,H$137+H138&gt;0)</f>
        <v>0</v>
      </c>
      <c r="I146" s="864">
        <f>IF(Assum1IntType=FixedInterest,I144,MIN(MAX(I144,'Multiple Assumable Loans'!$K$28),'Multiple Assumable Loans'!$K$29))*AND(AssumLoan1Term&lt;&gt;"",I$4&gt;AnalysisStartDate,I$137+I138&gt;0)</f>
        <v>0</v>
      </c>
      <c r="J146" s="864">
        <f>IF(Assum1IntType=FixedInterest,J144,MIN(MAX(J144,'Multiple Assumable Loans'!$K$28),'Multiple Assumable Loans'!$K$29))*AND(AssumLoan1Term&lt;&gt;"",J$4&gt;AnalysisStartDate,J$137+J138&gt;0)</f>
        <v>0</v>
      </c>
      <c r="K146" s="864">
        <f>IF(Assum1IntType=FixedInterest,K144,MIN(MAX(K144,'Multiple Assumable Loans'!$K$28),'Multiple Assumable Loans'!$K$29))*AND(AssumLoan1Term&lt;&gt;"",K$4&gt;AnalysisStartDate,K$137+K138&gt;0)</f>
        <v>0</v>
      </c>
      <c r="L146" s="864">
        <f>IF(Assum1IntType=FixedInterest,L144,MIN(MAX(L144,'Multiple Assumable Loans'!$K$28),'Multiple Assumable Loans'!$K$29))*AND(AssumLoan1Term&lt;&gt;"",L$4&gt;AnalysisStartDate,L$137+L138&gt;0)</f>
        <v>0</v>
      </c>
      <c r="M146" s="864">
        <f>IF(Assum1IntType=FixedInterest,M144,MIN(MAX(M144,'Multiple Assumable Loans'!$K$28),'Multiple Assumable Loans'!$K$29))*AND(AssumLoan1Term&lt;&gt;"",M$4&gt;AnalysisStartDate,M$137+M138&gt;0)</f>
        <v>0</v>
      </c>
      <c r="N146" s="864">
        <f>IF(Assum1IntType=FixedInterest,N144,MIN(MAX(N144,'Multiple Assumable Loans'!$K$28),'Multiple Assumable Loans'!$K$29))*AND(AssumLoan1Term&lt;&gt;"",N$4&gt;AnalysisStartDate,N$137+N138&gt;0)</f>
        <v>0</v>
      </c>
      <c r="O146" s="865"/>
      <c r="P146" s="313"/>
      <c r="Q146" s="313"/>
      <c r="R146" s="313"/>
      <c r="S146" s="845"/>
      <c r="T146" s="866">
        <f t="shared" ref="T146:AY146" si="226">SUMIF($D$5:$N$5,T$6,$D146:$N146)*(T137+T138&gt;0)</f>
        <v>0</v>
      </c>
      <c r="U146" s="866">
        <f t="shared" si="226"/>
        <v>0</v>
      </c>
      <c r="V146" s="866">
        <f t="shared" si="226"/>
        <v>0</v>
      </c>
      <c r="W146" s="866">
        <f t="shared" si="226"/>
        <v>0</v>
      </c>
      <c r="X146" s="866">
        <f t="shared" si="226"/>
        <v>0</v>
      </c>
      <c r="Y146" s="866">
        <f t="shared" si="226"/>
        <v>0</v>
      </c>
      <c r="Z146" s="866">
        <f t="shared" si="226"/>
        <v>0</v>
      </c>
      <c r="AA146" s="866">
        <f t="shared" si="226"/>
        <v>0</v>
      </c>
      <c r="AB146" s="866">
        <f t="shared" si="226"/>
        <v>0</v>
      </c>
      <c r="AC146" s="866">
        <f t="shared" si="226"/>
        <v>0</v>
      </c>
      <c r="AD146" s="866">
        <f t="shared" si="226"/>
        <v>0</v>
      </c>
      <c r="AE146" s="866">
        <f t="shared" si="226"/>
        <v>0</v>
      </c>
      <c r="AF146" s="866">
        <f t="shared" si="226"/>
        <v>0</v>
      </c>
      <c r="AG146" s="866">
        <f t="shared" si="226"/>
        <v>0</v>
      </c>
      <c r="AH146" s="866">
        <f t="shared" si="226"/>
        <v>0</v>
      </c>
      <c r="AI146" s="866">
        <f t="shared" si="226"/>
        <v>0</v>
      </c>
      <c r="AJ146" s="866">
        <f t="shared" si="226"/>
        <v>0</v>
      </c>
      <c r="AK146" s="866">
        <f t="shared" si="226"/>
        <v>0</v>
      </c>
      <c r="AL146" s="866">
        <f t="shared" si="226"/>
        <v>0</v>
      </c>
      <c r="AM146" s="866">
        <f t="shared" si="226"/>
        <v>0</v>
      </c>
      <c r="AN146" s="866">
        <f t="shared" si="226"/>
        <v>0</v>
      </c>
      <c r="AO146" s="866">
        <f t="shared" si="226"/>
        <v>0</v>
      </c>
      <c r="AP146" s="866">
        <f t="shared" si="226"/>
        <v>0</v>
      </c>
      <c r="AQ146" s="866">
        <f t="shared" si="226"/>
        <v>0</v>
      </c>
      <c r="AR146" s="866">
        <f t="shared" si="226"/>
        <v>0</v>
      </c>
      <c r="AS146" s="866">
        <f t="shared" si="226"/>
        <v>0</v>
      </c>
      <c r="AT146" s="866">
        <f t="shared" si="226"/>
        <v>0</v>
      </c>
      <c r="AU146" s="866">
        <f t="shared" si="226"/>
        <v>0</v>
      </c>
      <c r="AV146" s="866">
        <f t="shared" si="226"/>
        <v>0</v>
      </c>
      <c r="AW146" s="866">
        <f t="shared" si="226"/>
        <v>0</v>
      </c>
      <c r="AX146" s="866">
        <f t="shared" si="226"/>
        <v>0</v>
      </c>
      <c r="AY146" s="866">
        <f t="shared" si="226"/>
        <v>0</v>
      </c>
      <c r="AZ146" s="866">
        <f t="shared" ref="AZ146:CE146" si="227">SUMIF($D$5:$N$5,AZ$6,$D146:$N146)*(AZ137+AZ138&gt;0)</f>
        <v>0</v>
      </c>
      <c r="BA146" s="866">
        <f t="shared" si="227"/>
        <v>0</v>
      </c>
      <c r="BB146" s="866">
        <f t="shared" si="227"/>
        <v>0</v>
      </c>
      <c r="BC146" s="866">
        <f t="shared" si="227"/>
        <v>0</v>
      </c>
      <c r="BD146" s="866">
        <f t="shared" si="227"/>
        <v>0</v>
      </c>
      <c r="BE146" s="866">
        <f t="shared" si="227"/>
        <v>0</v>
      </c>
      <c r="BF146" s="866">
        <f t="shared" si="227"/>
        <v>0</v>
      </c>
      <c r="BG146" s="866">
        <f t="shared" si="227"/>
        <v>0</v>
      </c>
      <c r="BH146" s="866">
        <f t="shared" si="227"/>
        <v>0</v>
      </c>
      <c r="BI146" s="866">
        <f t="shared" si="227"/>
        <v>0</v>
      </c>
      <c r="BJ146" s="866">
        <f t="shared" si="227"/>
        <v>0</v>
      </c>
      <c r="BK146" s="866">
        <f t="shared" si="227"/>
        <v>0</v>
      </c>
      <c r="BL146" s="866">
        <f t="shared" si="227"/>
        <v>0</v>
      </c>
      <c r="BM146" s="866">
        <f t="shared" si="227"/>
        <v>0</v>
      </c>
      <c r="BN146" s="866">
        <f t="shared" si="227"/>
        <v>0</v>
      </c>
      <c r="BO146" s="866">
        <f t="shared" si="227"/>
        <v>0</v>
      </c>
      <c r="BP146" s="866">
        <f t="shared" si="227"/>
        <v>0</v>
      </c>
      <c r="BQ146" s="866">
        <f t="shared" si="227"/>
        <v>0</v>
      </c>
      <c r="BR146" s="866">
        <f t="shared" si="227"/>
        <v>0</v>
      </c>
      <c r="BS146" s="866">
        <f t="shared" si="227"/>
        <v>0</v>
      </c>
      <c r="BT146" s="866">
        <f t="shared" si="227"/>
        <v>0</v>
      </c>
      <c r="BU146" s="866">
        <f t="shared" si="227"/>
        <v>0</v>
      </c>
      <c r="BV146" s="866">
        <f t="shared" si="227"/>
        <v>0</v>
      </c>
      <c r="BW146" s="866">
        <f t="shared" si="227"/>
        <v>0</v>
      </c>
      <c r="BX146" s="866">
        <f t="shared" si="227"/>
        <v>0</v>
      </c>
      <c r="BY146" s="866">
        <f t="shared" si="227"/>
        <v>0</v>
      </c>
      <c r="BZ146" s="866">
        <f t="shared" si="227"/>
        <v>0</v>
      </c>
      <c r="CA146" s="866">
        <f t="shared" si="227"/>
        <v>0</v>
      </c>
      <c r="CB146" s="866">
        <f t="shared" si="227"/>
        <v>0</v>
      </c>
      <c r="CC146" s="866">
        <f t="shared" si="227"/>
        <v>0</v>
      </c>
      <c r="CD146" s="866">
        <f t="shared" si="227"/>
        <v>0</v>
      </c>
      <c r="CE146" s="866">
        <f t="shared" si="227"/>
        <v>0</v>
      </c>
      <c r="CF146" s="866">
        <f t="shared" ref="CF146:DK146" si="228">SUMIF($D$5:$N$5,CF$6,$D146:$N146)*(CF137+CF138&gt;0)</f>
        <v>0</v>
      </c>
      <c r="CG146" s="866">
        <f t="shared" si="228"/>
        <v>0</v>
      </c>
      <c r="CH146" s="866">
        <f t="shared" si="228"/>
        <v>0</v>
      </c>
      <c r="CI146" s="866">
        <f t="shared" si="228"/>
        <v>0</v>
      </c>
      <c r="CJ146" s="866">
        <f t="shared" si="228"/>
        <v>0</v>
      </c>
      <c r="CK146" s="866">
        <f t="shared" si="228"/>
        <v>0</v>
      </c>
      <c r="CL146" s="866">
        <f t="shared" si="228"/>
        <v>0</v>
      </c>
      <c r="CM146" s="866">
        <f t="shared" si="228"/>
        <v>0</v>
      </c>
      <c r="CN146" s="866">
        <f t="shared" si="228"/>
        <v>0</v>
      </c>
      <c r="CO146" s="866">
        <f t="shared" si="228"/>
        <v>0</v>
      </c>
      <c r="CP146" s="866">
        <f t="shared" si="228"/>
        <v>0</v>
      </c>
      <c r="CQ146" s="866">
        <f t="shared" si="228"/>
        <v>0</v>
      </c>
      <c r="CR146" s="866">
        <f t="shared" si="228"/>
        <v>0</v>
      </c>
      <c r="CS146" s="866">
        <f t="shared" si="228"/>
        <v>0</v>
      </c>
      <c r="CT146" s="866">
        <f t="shared" si="228"/>
        <v>0</v>
      </c>
      <c r="CU146" s="866">
        <f t="shared" si="228"/>
        <v>0</v>
      </c>
      <c r="CV146" s="866">
        <f t="shared" si="228"/>
        <v>0</v>
      </c>
      <c r="CW146" s="866">
        <f t="shared" si="228"/>
        <v>0</v>
      </c>
      <c r="CX146" s="866">
        <f t="shared" si="228"/>
        <v>0</v>
      </c>
      <c r="CY146" s="866">
        <f t="shared" si="228"/>
        <v>0</v>
      </c>
      <c r="CZ146" s="866">
        <f t="shared" si="228"/>
        <v>0</v>
      </c>
      <c r="DA146" s="866">
        <f t="shared" si="228"/>
        <v>0</v>
      </c>
      <c r="DB146" s="866">
        <f t="shared" si="228"/>
        <v>0</v>
      </c>
      <c r="DC146" s="866">
        <f t="shared" si="228"/>
        <v>0</v>
      </c>
      <c r="DD146" s="866">
        <f t="shared" si="228"/>
        <v>0</v>
      </c>
      <c r="DE146" s="866">
        <f t="shared" si="228"/>
        <v>0</v>
      </c>
      <c r="DF146" s="866">
        <f t="shared" si="228"/>
        <v>0</v>
      </c>
      <c r="DG146" s="866">
        <f t="shared" si="228"/>
        <v>0</v>
      </c>
      <c r="DH146" s="866">
        <f t="shared" si="228"/>
        <v>0</v>
      </c>
      <c r="DI146" s="866">
        <f t="shared" si="228"/>
        <v>0</v>
      </c>
      <c r="DJ146" s="866">
        <f t="shared" si="228"/>
        <v>0</v>
      </c>
      <c r="DK146" s="866">
        <f t="shared" si="228"/>
        <v>0</v>
      </c>
      <c r="DL146" s="866">
        <f t="shared" ref="DL146:EI146" si="229">SUMIF($D$5:$N$5,DL$6,$D146:$N146)*(DL137+DL138&gt;0)</f>
        <v>0</v>
      </c>
      <c r="DM146" s="866">
        <f t="shared" si="229"/>
        <v>0</v>
      </c>
      <c r="DN146" s="866">
        <f t="shared" si="229"/>
        <v>0</v>
      </c>
      <c r="DO146" s="866">
        <f t="shared" si="229"/>
        <v>0</v>
      </c>
      <c r="DP146" s="866">
        <f t="shared" si="229"/>
        <v>0</v>
      </c>
      <c r="DQ146" s="866">
        <f t="shared" si="229"/>
        <v>0</v>
      </c>
      <c r="DR146" s="866">
        <f t="shared" si="229"/>
        <v>0</v>
      </c>
      <c r="DS146" s="866">
        <f t="shared" si="229"/>
        <v>0</v>
      </c>
      <c r="DT146" s="866">
        <f t="shared" si="229"/>
        <v>0</v>
      </c>
      <c r="DU146" s="866">
        <f t="shared" si="229"/>
        <v>0</v>
      </c>
      <c r="DV146" s="866">
        <f t="shared" si="229"/>
        <v>0</v>
      </c>
      <c r="DW146" s="866">
        <f t="shared" si="229"/>
        <v>0</v>
      </c>
      <c r="DX146" s="866">
        <f t="shared" si="229"/>
        <v>0</v>
      </c>
      <c r="DY146" s="866">
        <f t="shared" si="229"/>
        <v>0</v>
      </c>
      <c r="DZ146" s="866">
        <f t="shared" si="229"/>
        <v>0</v>
      </c>
      <c r="EA146" s="866">
        <f t="shared" si="229"/>
        <v>0</v>
      </c>
      <c r="EB146" s="866">
        <f t="shared" si="229"/>
        <v>0</v>
      </c>
      <c r="EC146" s="866">
        <f t="shared" si="229"/>
        <v>0</v>
      </c>
      <c r="ED146" s="866">
        <f t="shared" si="229"/>
        <v>0</v>
      </c>
      <c r="EE146" s="866">
        <f t="shared" si="229"/>
        <v>0</v>
      </c>
      <c r="EF146" s="866">
        <f t="shared" si="229"/>
        <v>0</v>
      </c>
      <c r="EG146" s="866">
        <f t="shared" si="229"/>
        <v>0</v>
      </c>
      <c r="EH146" s="866">
        <f t="shared" si="229"/>
        <v>0</v>
      </c>
      <c r="EI146" s="866">
        <f t="shared" si="229"/>
        <v>0</v>
      </c>
    </row>
    <row r="147" spans="2:139" ht="12.75" customHeight="1">
      <c r="B147" s="46"/>
      <c r="C147" s="209"/>
      <c r="D147" s="857"/>
      <c r="E147" s="857"/>
      <c r="F147" s="857"/>
      <c r="G147" s="857"/>
      <c r="H147" s="857"/>
      <c r="I147" s="857"/>
      <c r="J147" s="857"/>
      <c r="K147" s="857"/>
      <c r="L147" s="857"/>
      <c r="M147" s="857"/>
      <c r="N147" s="857"/>
      <c r="O147" s="858"/>
      <c r="P147" s="313"/>
      <c r="Q147" s="313"/>
      <c r="R147" s="313"/>
      <c r="S147" s="859"/>
      <c r="T147" s="859"/>
      <c r="U147" s="859"/>
      <c r="V147" s="859"/>
      <c r="W147" s="859"/>
      <c r="X147" s="859"/>
      <c r="Y147" s="859"/>
      <c r="Z147" s="859"/>
      <c r="AA147" s="859"/>
      <c r="AB147" s="859"/>
      <c r="AC147" s="859"/>
      <c r="AD147" s="859"/>
      <c r="AE147" s="859"/>
      <c r="AF147" s="859"/>
      <c r="AG147" s="859"/>
      <c r="AH147" s="859"/>
      <c r="AI147" s="859"/>
      <c r="AJ147" s="859"/>
      <c r="AK147" s="859"/>
      <c r="AL147" s="859"/>
      <c r="AM147" s="859"/>
      <c r="AN147" s="859"/>
      <c r="AO147" s="859"/>
      <c r="AP147" s="859"/>
      <c r="AQ147" s="859"/>
      <c r="AR147" s="859"/>
      <c r="AS147" s="859"/>
      <c r="AT147" s="859"/>
      <c r="AU147" s="859"/>
      <c r="AV147" s="859"/>
      <c r="AW147" s="859"/>
      <c r="AX147" s="859"/>
      <c r="AY147" s="859"/>
      <c r="AZ147" s="859"/>
      <c r="BA147" s="859"/>
      <c r="BB147" s="859"/>
      <c r="BC147" s="859"/>
      <c r="BD147" s="859"/>
      <c r="BE147" s="859"/>
      <c r="BF147" s="859"/>
      <c r="BG147" s="859"/>
      <c r="BH147" s="859"/>
      <c r="BI147" s="859"/>
      <c r="BJ147" s="859"/>
      <c r="BK147" s="859"/>
      <c r="BL147" s="859"/>
      <c r="BM147" s="859"/>
      <c r="BN147" s="859"/>
      <c r="BO147" s="859"/>
      <c r="BP147" s="859"/>
      <c r="BQ147" s="859"/>
      <c r="BR147" s="859"/>
      <c r="BS147" s="859"/>
      <c r="BT147" s="859"/>
      <c r="BU147" s="859"/>
      <c r="BV147" s="859"/>
      <c r="BW147" s="859"/>
      <c r="BX147" s="859"/>
      <c r="BY147" s="859"/>
      <c r="BZ147" s="859"/>
      <c r="CA147" s="859"/>
      <c r="CB147" s="859"/>
      <c r="CC147" s="859"/>
      <c r="CD147" s="859"/>
      <c r="CE147" s="859"/>
      <c r="CF147" s="859"/>
      <c r="CG147" s="859"/>
      <c r="CH147" s="859"/>
      <c r="CI147" s="859"/>
      <c r="CJ147" s="859"/>
      <c r="CK147" s="859"/>
      <c r="CL147" s="859"/>
      <c r="CM147" s="859"/>
      <c r="CN147" s="859"/>
      <c r="CO147" s="859"/>
      <c r="CP147" s="859"/>
      <c r="CQ147" s="859"/>
      <c r="CR147" s="859"/>
      <c r="CS147" s="859"/>
      <c r="CT147" s="859"/>
      <c r="CU147" s="859"/>
      <c r="CV147" s="859"/>
      <c r="CW147" s="859"/>
      <c r="CX147" s="859"/>
      <c r="CY147" s="859"/>
      <c r="CZ147" s="859"/>
      <c r="DA147" s="859"/>
      <c r="DB147" s="859"/>
      <c r="DC147" s="859"/>
      <c r="DD147" s="859"/>
      <c r="DE147" s="859"/>
      <c r="DF147" s="859"/>
      <c r="DG147" s="859"/>
      <c r="DH147" s="859"/>
      <c r="DI147" s="859"/>
      <c r="DJ147" s="859"/>
      <c r="DK147" s="859"/>
      <c r="DL147" s="859"/>
      <c r="DM147" s="859"/>
      <c r="DN147" s="859"/>
      <c r="DO147" s="859"/>
      <c r="DP147" s="859"/>
      <c r="DQ147" s="859"/>
      <c r="DR147" s="859"/>
      <c r="DS147" s="859"/>
      <c r="DT147" s="859"/>
      <c r="DU147" s="859"/>
      <c r="DV147" s="859"/>
      <c r="DW147" s="859"/>
      <c r="DX147" s="859"/>
      <c r="DY147" s="859"/>
      <c r="DZ147" s="859"/>
      <c r="EA147" s="859"/>
      <c r="EB147" s="859"/>
      <c r="EC147" s="859"/>
      <c r="ED147" s="859"/>
      <c r="EE147" s="859"/>
      <c r="EF147" s="859"/>
      <c r="EG147" s="859"/>
      <c r="EH147" s="859"/>
      <c r="EI147" s="859"/>
    </row>
    <row r="148" spans="2:139" ht="12.75" customHeight="1">
      <c r="B148" s="32" t="s">
        <v>598</v>
      </c>
      <c r="C148" s="209"/>
      <c r="D148" s="867">
        <f t="shared" ref="D148:N148" si="230">SUMPRODUCT($S$4:$EI$4*(D$5=$S$6:$EI$6)*($S148:$EI148=1))</f>
        <v>0</v>
      </c>
      <c r="E148" s="867">
        <f t="shared" si="230"/>
        <v>0</v>
      </c>
      <c r="F148" s="867">
        <f t="shared" si="230"/>
        <v>0</v>
      </c>
      <c r="G148" s="867">
        <f t="shared" si="230"/>
        <v>0</v>
      </c>
      <c r="H148" s="867">
        <f t="shared" si="230"/>
        <v>0</v>
      </c>
      <c r="I148" s="867">
        <f t="shared" si="230"/>
        <v>0</v>
      </c>
      <c r="J148" s="867">
        <f t="shared" si="230"/>
        <v>0</v>
      </c>
      <c r="K148" s="867">
        <f t="shared" si="230"/>
        <v>0</v>
      </c>
      <c r="L148" s="867">
        <f t="shared" si="230"/>
        <v>0</v>
      </c>
      <c r="M148" s="867">
        <f t="shared" si="230"/>
        <v>0</v>
      </c>
      <c r="N148" s="867">
        <f t="shared" si="230"/>
        <v>0</v>
      </c>
      <c r="O148" s="858"/>
      <c r="P148" s="313"/>
      <c r="Q148" s="313"/>
      <c r="R148" s="313"/>
      <c r="S148" s="868">
        <f t="shared" ref="S148:AX148" si="231">AND(S140*1,OR(S$206,S$270,S$292))*1</f>
        <v>0</v>
      </c>
      <c r="T148" s="868">
        <f t="shared" si="231"/>
        <v>0</v>
      </c>
      <c r="U148" s="868">
        <f t="shared" si="231"/>
        <v>0</v>
      </c>
      <c r="V148" s="868">
        <f t="shared" si="231"/>
        <v>0</v>
      </c>
      <c r="W148" s="868">
        <f t="shared" si="231"/>
        <v>0</v>
      </c>
      <c r="X148" s="868">
        <f t="shared" si="231"/>
        <v>0</v>
      </c>
      <c r="Y148" s="868">
        <f t="shared" si="231"/>
        <v>0</v>
      </c>
      <c r="Z148" s="868">
        <f t="shared" si="231"/>
        <v>0</v>
      </c>
      <c r="AA148" s="868">
        <f t="shared" si="231"/>
        <v>0</v>
      </c>
      <c r="AB148" s="868">
        <f t="shared" si="231"/>
        <v>0</v>
      </c>
      <c r="AC148" s="868">
        <f t="shared" si="231"/>
        <v>0</v>
      </c>
      <c r="AD148" s="868">
        <f t="shared" si="231"/>
        <v>0</v>
      </c>
      <c r="AE148" s="868">
        <f t="shared" si="231"/>
        <v>0</v>
      </c>
      <c r="AF148" s="868">
        <f t="shared" si="231"/>
        <v>0</v>
      </c>
      <c r="AG148" s="868">
        <f t="shared" si="231"/>
        <v>0</v>
      </c>
      <c r="AH148" s="868">
        <f t="shared" si="231"/>
        <v>0</v>
      </c>
      <c r="AI148" s="868">
        <f t="shared" si="231"/>
        <v>0</v>
      </c>
      <c r="AJ148" s="868">
        <f t="shared" si="231"/>
        <v>0</v>
      </c>
      <c r="AK148" s="868">
        <f t="shared" si="231"/>
        <v>0</v>
      </c>
      <c r="AL148" s="868">
        <f t="shared" si="231"/>
        <v>0</v>
      </c>
      <c r="AM148" s="868">
        <f t="shared" si="231"/>
        <v>0</v>
      </c>
      <c r="AN148" s="868">
        <f t="shared" si="231"/>
        <v>0</v>
      </c>
      <c r="AO148" s="868">
        <f t="shared" si="231"/>
        <v>0</v>
      </c>
      <c r="AP148" s="868">
        <f t="shared" si="231"/>
        <v>0</v>
      </c>
      <c r="AQ148" s="868">
        <f t="shared" si="231"/>
        <v>0</v>
      </c>
      <c r="AR148" s="868">
        <f t="shared" si="231"/>
        <v>0</v>
      </c>
      <c r="AS148" s="868">
        <f t="shared" si="231"/>
        <v>0</v>
      </c>
      <c r="AT148" s="868">
        <f t="shared" si="231"/>
        <v>0</v>
      </c>
      <c r="AU148" s="868">
        <f t="shared" si="231"/>
        <v>0</v>
      </c>
      <c r="AV148" s="868">
        <f t="shared" si="231"/>
        <v>0</v>
      </c>
      <c r="AW148" s="868">
        <f t="shared" si="231"/>
        <v>0</v>
      </c>
      <c r="AX148" s="868">
        <f t="shared" si="231"/>
        <v>0</v>
      </c>
      <c r="AY148" s="868">
        <f t="shared" ref="AY148:CD148" si="232">AND(AY140*1,OR(AY$206,AY$270,AY$292))*1</f>
        <v>0</v>
      </c>
      <c r="AZ148" s="868">
        <f t="shared" si="232"/>
        <v>0</v>
      </c>
      <c r="BA148" s="868">
        <f t="shared" si="232"/>
        <v>0</v>
      </c>
      <c r="BB148" s="868">
        <f t="shared" si="232"/>
        <v>0</v>
      </c>
      <c r="BC148" s="868">
        <f t="shared" si="232"/>
        <v>0</v>
      </c>
      <c r="BD148" s="868">
        <f t="shared" si="232"/>
        <v>0</v>
      </c>
      <c r="BE148" s="868">
        <f t="shared" si="232"/>
        <v>0</v>
      </c>
      <c r="BF148" s="868">
        <f t="shared" si="232"/>
        <v>0</v>
      </c>
      <c r="BG148" s="868">
        <f t="shared" si="232"/>
        <v>0</v>
      </c>
      <c r="BH148" s="868">
        <f t="shared" si="232"/>
        <v>0</v>
      </c>
      <c r="BI148" s="868">
        <f t="shared" si="232"/>
        <v>0</v>
      </c>
      <c r="BJ148" s="868">
        <f t="shared" si="232"/>
        <v>0</v>
      </c>
      <c r="BK148" s="868">
        <f t="shared" si="232"/>
        <v>0</v>
      </c>
      <c r="BL148" s="868">
        <f t="shared" si="232"/>
        <v>0</v>
      </c>
      <c r="BM148" s="868">
        <f t="shared" si="232"/>
        <v>0</v>
      </c>
      <c r="BN148" s="868">
        <f t="shared" si="232"/>
        <v>0</v>
      </c>
      <c r="BO148" s="868">
        <f t="shared" si="232"/>
        <v>0</v>
      </c>
      <c r="BP148" s="868">
        <f t="shared" si="232"/>
        <v>0</v>
      </c>
      <c r="BQ148" s="868">
        <f t="shared" si="232"/>
        <v>0</v>
      </c>
      <c r="BR148" s="868">
        <f t="shared" si="232"/>
        <v>0</v>
      </c>
      <c r="BS148" s="868">
        <f t="shared" si="232"/>
        <v>0</v>
      </c>
      <c r="BT148" s="868">
        <f t="shared" si="232"/>
        <v>0</v>
      </c>
      <c r="BU148" s="868">
        <f t="shared" si="232"/>
        <v>0</v>
      </c>
      <c r="BV148" s="868">
        <f t="shared" si="232"/>
        <v>0</v>
      </c>
      <c r="BW148" s="868">
        <f t="shared" si="232"/>
        <v>0</v>
      </c>
      <c r="BX148" s="868">
        <f t="shared" si="232"/>
        <v>0</v>
      </c>
      <c r="BY148" s="868">
        <f t="shared" si="232"/>
        <v>0</v>
      </c>
      <c r="BZ148" s="868">
        <f t="shared" si="232"/>
        <v>0</v>
      </c>
      <c r="CA148" s="868">
        <f t="shared" si="232"/>
        <v>0</v>
      </c>
      <c r="CB148" s="868">
        <f t="shared" si="232"/>
        <v>0</v>
      </c>
      <c r="CC148" s="868">
        <f t="shared" si="232"/>
        <v>0</v>
      </c>
      <c r="CD148" s="868">
        <f t="shared" si="232"/>
        <v>0</v>
      </c>
      <c r="CE148" s="868">
        <f t="shared" ref="CE148:DJ148" si="233">AND(CE140*1,OR(CE$206,CE$270,CE$292))*1</f>
        <v>0</v>
      </c>
      <c r="CF148" s="868">
        <f t="shared" si="233"/>
        <v>0</v>
      </c>
      <c r="CG148" s="868">
        <f t="shared" si="233"/>
        <v>0</v>
      </c>
      <c r="CH148" s="868">
        <f t="shared" si="233"/>
        <v>0</v>
      </c>
      <c r="CI148" s="868">
        <f t="shared" si="233"/>
        <v>0</v>
      </c>
      <c r="CJ148" s="868">
        <f t="shared" si="233"/>
        <v>0</v>
      </c>
      <c r="CK148" s="868">
        <f t="shared" si="233"/>
        <v>0</v>
      </c>
      <c r="CL148" s="868">
        <f t="shared" si="233"/>
        <v>0</v>
      </c>
      <c r="CM148" s="868">
        <f t="shared" si="233"/>
        <v>0</v>
      </c>
      <c r="CN148" s="868">
        <f t="shared" si="233"/>
        <v>0</v>
      </c>
      <c r="CO148" s="868">
        <f t="shared" si="233"/>
        <v>0</v>
      </c>
      <c r="CP148" s="868">
        <f t="shared" si="233"/>
        <v>0</v>
      </c>
      <c r="CQ148" s="868">
        <f t="shared" si="233"/>
        <v>0</v>
      </c>
      <c r="CR148" s="868">
        <f t="shared" si="233"/>
        <v>0</v>
      </c>
      <c r="CS148" s="868">
        <f t="shared" si="233"/>
        <v>0</v>
      </c>
      <c r="CT148" s="868">
        <f t="shared" si="233"/>
        <v>0</v>
      </c>
      <c r="CU148" s="868">
        <f t="shared" si="233"/>
        <v>0</v>
      </c>
      <c r="CV148" s="868">
        <f t="shared" si="233"/>
        <v>0</v>
      </c>
      <c r="CW148" s="868">
        <f t="shared" si="233"/>
        <v>0</v>
      </c>
      <c r="CX148" s="868">
        <f t="shared" si="233"/>
        <v>0</v>
      </c>
      <c r="CY148" s="868">
        <f t="shared" si="233"/>
        <v>0</v>
      </c>
      <c r="CZ148" s="868">
        <f t="shared" si="233"/>
        <v>0</v>
      </c>
      <c r="DA148" s="868">
        <f t="shared" si="233"/>
        <v>0</v>
      </c>
      <c r="DB148" s="868">
        <f t="shared" si="233"/>
        <v>0</v>
      </c>
      <c r="DC148" s="868">
        <f t="shared" si="233"/>
        <v>0</v>
      </c>
      <c r="DD148" s="868">
        <f t="shared" si="233"/>
        <v>0</v>
      </c>
      <c r="DE148" s="868">
        <f t="shared" si="233"/>
        <v>0</v>
      </c>
      <c r="DF148" s="868">
        <f t="shared" si="233"/>
        <v>0</v>
      </c>
      <c r="DG148" s="868">
        <f t="shared" si="233"/>
        <v>0</v>
      </c>
      <c r="DH148" s="868">
        <f t="shared" si="233"/>
        <v>0</v>
      </c>
      <c r="DI148" s="868">
        <f t="shared" si="233"/>
        <v>0</v>
      </c>
      <c r="DJ148" s="868">
        <f t="shared" si="233"/>
        <v>0</v>
      </c>
      <c r="DK148" s="868">
        <f t="shared" ref="DK148:EI148" si="234">AND(DK140*1,OR(DK$206,DK$270,DK$292))*1</f>
        <v>0</v>
      </c>
      <c r="DL148" s="868">
        <f t="shared" si="234"/>
        <v>0</v>
      </c>
      <c r="DM148" s="868">
        <f t="shared" si="234"/>
        <v>0</v>
      </c>
      <c r="DN148" s="868">
        <f t="shared" si="234"/>
        <v>0</v>
      </c>
      <c r="DO148" s="868">
        <f t="shared" si="234"/>
        <v>0</v>
      </c>
      <c r="DP148" s="868">
        <f t="shared" si="234"/>
        <v>0</v>
      </c>
      <c r="DQ148" s="868">
        <f t="shared" si="234"/>
        <v>0</v>
      </c>
      <c r="DR148" s="868">
        <f t="shared" si="234"/>
        <v>0</v>
      </c>
      <c r="DS148" s="868">
        <f t="shared" si="234"/>
        <v>0</v>
      </c>
      <c r="DT148" s="868">
        <f t="shared" si="234"/>
        <v>0</v>
      </c>
      <c r="DU148" s="868">
        <f t="shared" si="234"/>
        <v>0</v>
      </c>
      <c r="DV148" s="868">
        <f t="shared" si="234"/>
        <v>0</v>
      </c>
      <c r="DW148" s="868">
        <f t="shared" si="234"/>
        <v>0</v>
      </c>
      <c r="DX148" s="868">
        <f t="shared" si="234"/>
        <v>0</v>
      </c>
      <c r="DY148" s="868">
        <f t="shared" si="234"/>
        <v>0</v>
      </c>
      <c r="DZ148" s="868">
        <f t="shared" si="234"/>
        <v>0</v>
      </c>
      <c r="EA148" s="868">
        <f t="shared" si="234"/>
        <v>0</v>
      </c>
      <c r="EB148" s="868">
        <f t="shared" si="234"/>
        <v>0</v>
      </c>
      <c r="EC148" s="868">
        <f t="shared" si="234"/>
        <v>0</v>
      </c>
      <c r="ED148" s="868">
        <f t="shared" si="234"/>
        <v>0</v>
      </c>
      <c r="EE148" s="868">
        <f t="shared" si="234"/>
        <v>0</v>
      </c>
      <c r="EF148" s="868">
        <f t="shared" si="234"/>
        <v>0</v>
      </c>
      <c r="EG148" s="868">
        <f t="shared" si="234"/>
        <v>0</v>
      </c>
      <c r="EH148" s="868">
        <f t="shared" si="234"/>
        <v>0</v>
      </c>
      <c r="EI148" s="868">
        <f t="shared" si="234"/>
        <v>0</v>
      </c>
    </row>
    <row r="149" spans="2:139" ht="12.75" customHeight="1">
      <c r="B149" s="46"/>
      <c r="C149" s="209"/>
      <c r="D149" s="857"/>
      <c r="E149" s="857"/>
      <c r="F149" s="857"/>
      <c r="G149" s="857"/>
      <c r="H149" s="857"/>
      <c r="I149" s="857"/>
      <c r="J149" s="857"/>
      <c r="K149" s="857"/>
      <c r="L149" s="857"/>
      <c r="M149" s="857"/>
      <c r="N149" s="857"/>
      <c r="O149" s="858"/>
      <c r="P149" s="313"/>
      <c r="Q149" s="313"/>
      <c r="R149" s="313"/>
      <c r="S149" s="859"/>
      <c r="T149" s="859"/>
      <c r="U149" s="859"/>
      <c r="V149" s="859"/>
      <c r="W149" s="859"/>
      <c r="X149" s="859"/>
      <c r="Y149" s="859"/>
      <c r="Z149" s="859"/>
      <c r="AA149" s="859"/>
      <c r="AB149" s="859"/>
      <c r="AC149" s="859"/>
      <c r="AD149" s="859"/>
      <c r="AE149" s="859"/>
      <c r="AF149" s="859"/>
      <c r="AG149" s="859"/>
      <c r="AH149" s="859"/>
      <c r="AI149" s="859"/>
      <c r="AJ149" s="859"/>
      <c r="AK149" s="859"/>
      <c r="AL149" s="859"/>
      <c r="AM149" s="859"/>
      <c r="AN149" s="859"/>
      <c r="AO149" s="859"/>
      <c r="AP149" s="859"/>
      <c r="AQ149" s="859"/>
      <c r="AR149" s="859"/>
      <c r="AS149" s="859"/>
      <c r="AT149" s="859"/>
      <c r="AU149" s="859"/>
      <c r="AV149" s="859"/>
      <c r="AW149" s="859"/>
      <c r="AX149" s="859"/>
      <c r="AY149" s="859"/>
      <c r="AZ149" s="859"/>
      <c r="BA149" s="859"/>
      <c r="BB149" s="859"/>
      <c r="BC149" s="859"/>
      <c r="BD149" s="859"/>
      <c r="BE149" s="859"/>
      <c r="BF149" s="859"/>
      <c r="BG149" s="859"/>
      <c r="BH149" s="859"/>
      <c r="BI149" s="859"/>
      <c r="BJ149" s="859"/>
      <c r="BK149" s="859"/>
      <c r="BL149" s="859"/>
      <c r="BM149" s="859"/>
      <c r="BN149" s="859"/>
      <c r="BO149" s="859"/>
      <c r="BP149" s="859"/>
      <c r="BQ149" s="859"/>
      <c r="BR149" s="859"/>
      <c r="BS149" s="859"/>
      <c r="BT149" s="859"/>
      <c r="BU149" s="859"/>
      <c r="BV149" s="859"/>
      <c r="BW149" s="859"/>
      <c r="BX149" s="859"/>
      <c r="BY149" s="859"/>
      <c r="BZ149" s="859"/>
      <c r="CA149" s="859"/>
      <c r="CB149" s="859"/>
      <c r="CC149" s="859"/>
      <c r="CD149" s="859"/>
      <c r="CE149" s="859"/>
      <c r="CF149" s="859"/>
      <c r="CG149" s="859"/>
      <c r="CH149" s="859"/>
      <c r="CI149" s="859"/>
      <c r="CJ149" s="859"/>
      <c r="CK149" s="859"/>
      <c r="CL149" s="859"/>
      <c r="CM149" s="859"/>
      <c r="CN149" s="859"/>
      <c r="CO149" s="859"/>
      <c r="CP149" s="859"/>
      <c r="CQ149" s="859"/>
      <c r="CR149" s="859"/>
      <c r="CS149" s="859"/>
      <c r="CT149" s="859"/>
      <c r="CU149" s="859"/>
      <c r="CV149" s="859"/>
      <c r="CW149" s="859"/>
      <c r="CX149" s="859"/>
      <c r="CY149" s="859"/>
      <c r="CZ149" s="859"/>
      <c r="DA149" s="859"/>
      <c r="DB149" s="859"/>
      <c r="DC149" s="859"/>
      <c r="DD149" s="859"/>
      <c r="DE149" s="859"/>
      <c r="DF149" s="859"/>
      <c r="DG149" s="859"/>
      <c r="DH149" s="859"/>
      <c r="DI149" s="859"/>
      <c r="DJ149" s="859"/>
      <c r="DK149" s="859"/>
      <c r="DL149" s="859"/>
      <c r="DM149" s="859"/>
      <c r="DN149" s="859"/>
      <c r="DO149" s="859"/>
      <c r="DP149" s="859"/>
      <c r="DQ149" s="859"/>
      <c r="DR149" s="859"/>
      <c r="DS149" s="859"/>
      <c r="DT149" s="859"/>
      <c r="DU149" s="859"/>
      <c r="DV149" s="859"/>
      <c r="DW149" s="859"/>
      <c r="DX149" s="859"/>
      <c r="DY149" s="859"/>
      <c r="DZ149" s="859"/>
      <c r="EA149" s="859"/>
      <c r="EB149" s="859"/>
      <c r="EC149" s="859"/>
      <c r="ED149" s="859"/>
      <c r="EE149" s="859"/>
      <c r="EF149" s="859"/>
      <c r="EG149" s="859"/>
      <c r="EH149" s="859"/>
      <c r="EI149" s="859"/>
    </row>
    <row r="150" spans="2:139">
      <c r="D150" s="313"/>
      <c r="E150" s="313"/>
      <c r="F150" s="313"/>
      <c r="G150" s="313"/>
      <c r="H150" s="313"/>
      <c r="I150" s="313"/>
      <c r="J150" s="313"/>
      <c r="K150" s="313"/>
      <c r="L150" s="313"/>
      <c r="M150" s="313"/>
      <c r="N150" s="313"/>
      <c r="O150" s="313"/>
      <c r="P150" s="313"/>
      <c r="Q150" s="313"/>
      <c r="R150" s="313"/>
      <c r="S150" s="313"/>
      <c r="T150" s="313"/>
      <c r="U150" s="313"/>
      <c r="V150" s="313"/>
      <c r="W150" s="313"/>
      <c r="X150" s="313"/>
      <c r="Y150" s="313"/>
      <c r="Z150" s="313"/>
      <c r="AA150" s="313"/>
      <c r="AB150" s="313"/>
      <c r="AC150" s="313"/>
      <c r="AD150" s="313"/>
      <c r="AE150" s="313"/>
      <c r="AF150" s="313"/>
      <c r="AG150" s="313"/>
      <c r="AH150" s="313"/>
      <c r="AI150" s="313"/>
      <c r="AJ150" s="313"/>
      <c r="AK150" s="313"/>
      <c r="AL150" s="313"/>
      <c r="AM150" s="313"/>
      <c r="AN150" s="313"/>
      <c r="AO150" s="313"/>
      <c r="AP150" s="313"/>
      <c r="AQ150" s="313"/>
      <c r="AR150" s="313"/>
      <c r="AS150" s="313"/>
      <c r="AT150" s="313"/>
      <c r="AU150" s="313"/>
      <c r="AV150" s="313"/>
      <c r="AW150" s="313"/>
      <c r="AX150" s="313"/>
      <c r="AY150" s="313"/>
      <c r="AZ150" s="313"/>
      <c r="BA150" s="313"/>
      <c r="BB150" s="313"/>
      <c r="BC150" s="313"/>
      <c r="BD150" s="313"/>
      <c r="BE150" s="313"/>
      <c r="BF150" s="313"/>
      <c r="BG150" s="313"/>
      <c r="BH150" s="313"/>
      <c r="BI150" s="313"/>
      <c r="BJ150" s="313"/>
      <c r="BK150" s="313"/>
      <c r="BL150" s="313"/>
      <c r="BM150" s="313"/>
      <c r="BN150" s="313"/>
      <c r="BO150" s="313"/>
      <c r="BP150" s="313"/>
      <c r="BQ150" s="313"/>
      <c r="BR150" s="313"/>
      <c r="BS150" s="313"/>
      <c r="BT150" s="313"/>
      <c r="BU150" s="313"/>
      <c r="BV150" s="313"/>
      <c r="BW150" s="313"/>
      <c r="BX150" s="313"/>
      <c r="BY150" s="313"/>
      <c r="BZ150" s="313"/>
      <c r="CA150" s="313"/>
      <c r="CB150" s="313"/>
      <c r="CC150" s="313"/>
      <c r="CD150" s="313"/>
      <c r="CE150" s="313"/>
      <c r="CF150" s="313"/>
      <c r="CG150" s="313"/>
      <c r="CH150" s="313"/>
      <c r="CI150" s="313"/>
      <c r="CJ150" s="313"/>
      <c r="CK150" s="313"/>
      <c r="CL150" s="313"/>
      <c r="CM150" s="313"/>
      <c r="CN150" s="313"/>
      <c r="CO150" s="313"/>
      <c r="CP150" s="313"/>
      <c r="CQ150" s="313"/>
      <c r="CR150" s="313"/>
      <c r="CS150" s="313"/>
      <c r="CT150" s="313"/>
      <c r="CU150" s="313"/>
      <c r="CV150" s="313"/>
      <c r="CW150" s="313"/>
      <c r="CX150" s="313"/>
      <c r="CY150" s="313"/>
      <c r="CZ150" s="313"/>
      <c r="DA150" s="313"/>
      <c r="DB150" s="313"/>
      <c r="DC150" s="313"/>
      <c r="DD150" s="313"/>
      <c r="DE150" s="313"/>
      <c r="DF150" s="313"/>
      <c r="DG150" s="313"/>
      <c r="DH150" s="313"/>
      <c r="DI150" s="313"/>
      <c r="DJ150" s="313"/>
      <c r="DK150" s="313"/>
      <c r="DL150" s="313"/>
      <c r="DM150" s="313"/>
      <c r="DN150" s="313"/>
      <c r="DO150" s="313"/>
      <c r="DP150" s="313"/>
      <c r="DQ150" s="313"/>
      <c r="DR150" s="313"/>
      <c r="DS150" s="313"/>
      <c r="DT150" s="313"/>
      <c r="DU150" s="313"/>
      <c r="DV150" s="313"/>
      <c r="DW150" s="313"/>
      <c r="DX150" s="313"/>
      <c r="DY150" s="313"/>
      <c r="DZ150" s="313"/>
      <c r="EA150" s="313"/>
      <c r="EB150" s="313"/>
      <c r="EC150" s="313"/>
      <c r="ED150" s="313"/>
      <c r="EE150" s="313"/>
      <c r="EF150" s="313"/>
      <c r="EG150" s="313"/>
      <c r="EH150" s="313"/>
      <c r="EI150" s="313"/>
    </row>
    <row r="151" spans="2:139">
      <c r="D151" s="313"/>
      <c r="E151" s="313"/>
      <c r="F151" s="313"/>
      <c r="G151" s="313"/>
      <c r="H151" s="313"/>
      <c r="I151" s="313"/>
      <c r="J151" s="313"/>
      <c r="K151" s="313"/>
      <c r="L151" s="313"/>
      <c r="M151" s="313"/>
      <c r="N151" s="313"/>
      <c r="O151" s="313"/>
      <c r="P151" s="313"/>
      <c r="Q151" s="313"/>
      <c r="R151" s="313"/>
      <c r="S151" s="313"/>
      <c r="T151" s="313"/>
      <c r="U151" s="313"/>
      <c r="V151" s="313"/>
      <c r="W151" s="313"/>
      <c r="X151" s="313"/>
      <c r="Y151" s="313"/>
      <c r="Z151" s="313"/>
      <c r="AA151" s="313"/>
      <c r="AB151" s="313"/>
      <c r="AC151" s="313"/>
      <c r="AD151" s="313"/>
      <c r="AE151" s="313"/>
      <c r="AF151" s="313"/>
      <c r="AG151" s="313"/>
      <c r="AH151" s="313"/>
      <c r="AI151" s="313"/>
      <c r="AJ151" s="313"/>
      <c r="AK151" s="313"/>
      <c r="AL151" s="313"/>
      <c r="AM151" s="313"/>
      <c r="AN151" s="313"/>
      <c r="AO151" s="313"/>
      <c r="AP151" s="313"/>
      <c r="AQ151" s="313"/>
      <c r="AR151" s="313"/>
      <c r="AS151" s="313"/>
      <c r="AT151" s="313"/>
      <c r="AU151" s="313"/>
      <c r="AV151" s="313"/>
      <c r="AW151" s="313"/>
      <c r="AX151" s="313"/>
      <c r="AY151" s="313"/>
      <c r="AZ151" s="313"/>
      <c r="BA151" s="313"/>
      <c r="BB151" s="313"/>
      <c r="BC151" s="313"/>
      <c r="BD151" s="313"/>
      <c r="BE151" s="313"/>
      <c r="BF151" s="313"/>
      <c r="BG151" s="313"/>
      <c r="BH151" s="313"/>
      <c r="BI151" s="313"/>
      <c r="BJ151" s="313"/>
      <c r="BK151" s="313"/>
      <c r="BL151" s="313"/>
      <c r="BM151" s="313"/>
      <c r="BN151" s="313"/>
      <c r="BO151" s="313"/>
      <c r="BP151" s="313"/>
      <c r="BQ151" s="313"/>
      <c r="BR151" s="313"/>
      <c r="BS151" s="313"/>
      <c r="BT151" s="313"/>
      <c r="BU151" s="313"/>
      <c r="BV151" s="313"/>
      <c r="BW151" s="313"/>
      <c r="BX151" s="313"/>
      <c r="BY151" s="313"/>
      <c r="BZ151" s="313"/>
      <c r="CA151" s="313"/>
      <c r="CB151" s="313"/>
      <c r="CC151" s="313"/>
      <c r="CD151" s="313"/>
      <c r="CE151" s="313"/>
      <c r="CF151" s="313"/>
      <c r="CG151" s="313"/>
      <c r="CH151" s="313"/>
      <c r="CI151" s="313"/>
      <c r="CJ151" s="313"/>
      <c r="CK151" s="313"/>
      <c r="CL151" s="313"/>
      <c r="CM151" s="313"/>
      <c r="CN151" s="313"/>
      <c r="CO151" s="313"/>
      <c r="CP151" s="313"/>
      <c r="CQ151" s="313"/>
      <c r="CR151" s="313"/>
      <c r="CS151" s="313"/>
      <c r="CT151" s="313"/>
      <c r="CU151" s="313"/>
      <c r="CV151" s="313"/>
      <c r="CW151" s="313"/>
      <c r="CX151" s="313"/>
      <c r="CY151" s="313"/>
      <c r="CZ151" s="313"/>
      <c r="DA151" s="313"/>
      <c r="DB151" s="313"/>
      <c r="DC151" s="313"/>
      <c r="DD151" s="313"/>
      <c r="DE151" s="313"/>
      <c r="DF151" s="313"/>
      <c r="DG151" s="313"/>
      <c r="DH151" s="313"/>
      <c r="DI151" s="313"/>
      <c r="DJ151" s="313"/>
      <c r="DK151" s="313"/>
      <c r="DL151" s="313"/>
      <c r="DM151" s="313"/>
      <c r="DN151" s="313"/>
      <c r="DO151" s="313"/>
      <c r="DP151" s="313"/>
      <c r="DQ151" s="313"/>
      <c r="DR151" s="313"/>
      <c r="DS151" s="313"/>
      <c r="DT151" s="313"/>
      <c r="DU151" s="313"/>
      <c r="DV151" s="313"/>
      <c r="DW151" s="313"/>
      <c r="DX151" s="313"/>
      <c r="DY151" s="313"/>
      <c r="DZ151" s="313"/>
      <c r="EA151" s="313"/>
      <c r="EB151" s="313"/>
      <c r="EC151" s="313"/>
      <c r="ED151" s="313"/>
      <c r="EE151" s="313"/>
      <c r="EF151" s="313"/>
      <c r="EG151" s="313"/>
      <c r="EH151" s="313"/>
      <c r="EI151" s="313"/>
    </row>
    <row r="152" spans="2:139" s="192" customFormat="1" ht="14.25" customHeight="1">
      <c r="B152" s="1043" t="s">
        <v>599</v>
      </c>
      <c r="C152" s="196"/>
      <c r="D152" s="869"/>
      <c r="E152" s="869"/>
      <c r="F152" s="870"/>
      <c r="G152" s="870"/>
      <c r="H152" s="870"/>
      <c r="I152" s="870"/>
      <c r="J152" s="870"/>
      <c r="K152" s="870"/>
      <c r="L152" s="870"/>
      <c r="M152" s="870"/>
      <c r="N152" s="870"/>
      <c r="O152" s="870"/>
      <c r="P152" s="313"/>
      <c r="Q152" s="313"/>
      <c r="R152" s="313"/>
      <c r="S152" s="870"/>
      <c r="T152" s="870"/>
      <c r="U152" s="870"/>
      <c r="V152" s="870"/>
      <c r="W152" s="870"/>
      <c r="X152" s="870"/>
      <c r="Y152" s="870"/>
      <c r="Z152" s="870"/>
      <c r="AA152" s="870"/>
      <c r="AB152" s="870"/>
      <c r="AC152" s="870"/>
      <c r="AD152" s="870"/>
      <c r="AE152" s="870"/>
      <c r="AF152" s="870"/>
      <c r="AG152" s="870"/>
      <c r="AH152" s="870"/>
      <c r="AI152" s="870"/>
      <c r="AJ152" s="870"/>
      <c r="AK152" s="870"/>
      <c r="AL152" s="870"/>
      <c r="AM152" s="870"/>
      <c r="AN152" s="870"/>
      <c r="AO152" s="870"/>
      <c r="AP152" s="870"/>
      <c r="AQ152" s="870"/>
      <c r="AR152" s="870"/>
      <c r="AS152" s="870"/>
      <c r="AT152" s="870"/>
      <c r="AU152" s="870"/>
      <c r="AV152" s="870"/>
      <c r="AW152" s="870"/>
      <c r="AX152" s="870"/>
      <c r="AY152" s="870"/>
      <c r="AZ152" s="870"/>
      <c r="BA152" s="870"/>
      <c r="BB152" s="870"/>
      <c r="BC152" s="870"/>
      <c r="BD152" s="870"/>
      <c r="BE152" s="870"/>
      <c r="BF152" s="870"/>
      <c r="BG152" s="870"/>
      <c r="BH152" s="870"/>
      <c r="BI152" s="870"/>
      <c r="BJ152" s="870"/>
      <c r="BK152" s="870"/>
      <c r="BL152" s="870"/>
      <c r="BM152" s="870"/>
      <c r="BN152" s="870"/>
      <c r="BO152" s="870"/>
      <c r="BP152" s="870"/>
      <c r="BQ152" s="870"/>
      <c r="BR152" s="870"/>
      <c r="BS152" s="870"/>
      <c r="BT152" s="870"/>
      <c r="BU152" s="870"/>
      <c r="BV152" s="870"/>
      <c r="BW152" s="870"/>
      <c r="BX152" s="870"/>
      <c r="BY152" s="870"/>
      <c r="BZ152" s="870"/>
      <c r="CA152" s="870"/>
      <c r="CB152" s="870"/>
      <c r="CC152" s="870"/>
      <c r="CD152" s="870"/>
      <c r="CE152" s="870"/>
      <c r="CF152" s="870"/>
      <c r="CG152" s="870"/>
      <c r="CH152" s="870"/>
      <c r="CI152" s="870"/>
      <c r="CJ152" s="870"/>
      <c r="CK152" s="870"/>
      <c r="CL152" s="870"/>
      <c r="CM152" s="870"/>
      <c r="CN152" s="870"/>
      <c r="CO152" s="870"/>
      <c r="CP152" s="870"/>
      <c r="CQ152" s="870"/>
      <c r="CR152" s="870"/>
      <c r="CS152" s="870"/>
      <c r="CT152" s="870"/>
      <c r="CU152" s="870"/>
      <c r="CV152" s="870"/>
      <c r="CW152" s="870"/>
      <c r="CX152" s="870"/>
      <c r="CY152" s="870"/>
      <c r="CZ152" s="870"/>
      <c r="DA152" s="870"/>
      <c r="DB152" s="870"/>
      <c r="DC152" s="870"/>
      <c r="DD152" s="870"/>
      <c r="DE152" s="870"/>
      <c r="DF152" s="870"/>
      <c r="DG152" s="870"/>
      <c r="DH152" s="870"/>
      <c r="DI152" s="870"/>
      <c r="DJ152" s="870"/>
      <c r="DK152" s="870"/>
      <c r="DL152" s="870"/>
      <c r="DM152" s="870"/>
      <c r="DN152" s="870"/>
      <c r="DO152" s="870"/>
      <c r="DP152" s="870"/>
      <c r="DQ152" s="870"/>
      <c r="DR152" s="870"/>
      <c r="DS152" s="870"/>
      <c r="DT152" s="870"/>
      <c r="DU152" s="870"/>
      <c r="DV152" s="870"/>
      <c r="DW152" s="870"/>
      <c r="DX152" s="870"/>
      <c r="DY152" s="870"/>
      <c r="DZ152" s="870"/>
      <c r="EA152" s="870"/>
      <c r="EB152" s="870"/>
      <c r="EC152" s="870"/>
      <c r="ED152" s="870"/>
      <c r="EE152" s="870"/>
      <c r="EF152" s="870"/>
      <c r="EG152" s="870"/>
      <c r="EH152" s="870"/>
      <c r="EI152" s="870"/>
    </row>
    <row r="153" spans="2:139" ht="12.75" customHeight="1">
      <c r="B153" s="1045" t="s">
        <v>227</v>
      </c>
      <c r="C153" s="211"/>
      <c r="D153" s="203"/>
      <c r="E153" s="203"/>
      <c r="F153" s="203"/>
      <c r="G153" s="203"/>
      <c r="H153" s="203"/>
      <c r="I153" s="203"/>
      <c r="J153" s="203"/>
      <c r="K153" s="203"/>
      <c r="L153" s="203"/>
      <c r="M153" s="203"/>
      <c r="N153" s="203"/>
      <c r="O153" s="853"/>
      <c r="P153" s="313"/>
      <c r="Q153" s="313"/>
      <c r="R153" s="313"/>
      <c r="S153" s="845"/>
      <c r="T153" s="845"/>
      <c r="U153" s="845"/>
      <c r="V153" s="845"/>
      <c r="W153" s="845"/>
      <c r="X153" s="845"/>
      <c r="Y153" s="845"/>
      <c r="Z153" s="845"/>
      <c r="AA153" s="845"/>
      <c r="AB153" s="845"/>
      <c r="AC153" s="845"/>
      <c r="AD153" s="845"/>
      <c r="AE153" s="845"/>
      <c r="AF153" s="845"/>
      <c r="AG153" s="845"/>
      <c r="AH153" s="845"/>
      <c r="AI153" s="845"/>
      <c r="AJ153" s="845"/>
      <c r="AK153" s="845"/>
      <c r="AL153" s="845"/>
      <c r="AM153" s="845"/>
      <c r="AN153" s="845"/>
      <c r="AO153" s="845"/>
      <c r="AP153" s="845"/>
      <c r="AQ153" s="845"/>
      <c r="AR153" s="845"/>
      <c r="AS153" s="845"/>
      <c r="AT153" s="845"/>
      <c r="AU153" s="845"/>
      <c r="AV153" s="845"/>
      <c r="AW153" s="871"/>
      <c r="AX153" s="845"/>
      <c r="AY153" s="845"/>
      <c r="AZ153" s="845"/>
      <c r="BA153" s="845"/>
      <c r="BB153" s="845"/>
      <c r="BC153" s="845"/>
      <c r="BD153" s="845"/>
      <c r="BE153" s="845"/>
      <c r="BF153" s="845"/>
      <c r="BG153" s="845"/>
      <c r="BH153" s="845"/>
      <c r="BI153" s="845"/>
      <c r="BJ153" s="845"/>
      <c r="BK153" s="845"/>
      <c r="BL153" s="845"/>
      <c r="BM153" s="845"/>
      <c r="BN153" s="845"/>
      <c r="BO153" s="845"/>
      <c r="BP153" s="845"/>
      <c r="BQ153" s="845"/>
      <c r="BR153" s="845"/>
      <c r="BS153" s="845"/>
      <c r="BT153" s="845"/>
      <c r="BU153" s="845"/>
      <c r="BV153" s="845"/>
      <c r="BW153" s="845"/>
      <c r="BX153" s="845"/>
      <c r="BY153" s="845"/>
      <c r="BZ153" s="845"/>
      <c r="CA153" s="845"/>
      <c r="CB153" s="845"/>
      <c r="CC153" s="845"/>
      <c r="CD153" s="845"/>
      <c r="CE153" s="845"/>
      <c r="CF153" s="845"/>
      <c r="CG153" s="845"/>
      <c r="CH153" s="845"/>
      <c r="CI153" s="845"/>
      <c r="CJ153" s="845"/>
      <c r="CK153" s="845"/>
      <c r="CL153" s="845"/>
      <c r="CM153" s="845"/>
      <c r="CN153" s="845"/>
      <c r="CO153" s="845"/>
      <c r="CP153" s="845"/>
      <c r="CQ153" s="845"/>
      <c r="CR153" s="845"/>
      <c r="CS153" s="845"/>
      <c r="CT153" s="845"/>
      <c r="CU153" s="845"/>
      <c r="CV153" s="845"/>
      <c r="CW153" s="845"/>
      <c r="CX153" s="845"/>
      <c r="CY153" s="845"/>
      <c r="CZ153" s="845"/>
      <c r="DA153" s="845"/>
      <c r="DB153" s="845"/>
      <c r="DC153" s="845"/>
      <c r="DD153" s="845"/>
      <c r="DE153" s="845"/>
      <c r="DF153" s="845"/>
      <c r="DG153" s="845"/>
      <c r="DH153" s="845"/>
      <c r="DI153" s="845"/>
      <c r="DJ153" s="845"/>
      <c r="DK153" s="845"/>
      <c r="DL153" s="845"/>
      <c r="DM153" s="845"/>
      <c r="DN153" s="845"/>
      <c r="DO153" s="845"/>
      <c r="DP153" s="845"/>
      <c r="DQ153" s="845"/>
      <c r="DR153" s="845"/>
      <c r="DS153" s="845"/>
      <c r="DT153" s="845"/>
      <c r="DU153" s="845"/>
      <c r="DV153" s="845"/>
      <c r="DW153" s="845"/>
      <c r="DX153" s="845"/>
      <c r="DY153" s="845"/>
      <c r="DZ153" s="845"/>
      <c r="EA153" s="845"/>
      <c r="EB153" s="845"/>
      <c r="EC153" s="845"/>
      <c r="ED153" s="845"/>
      <c r="EE153" s="845"/>
      <c r="EF153" s="845"/>
      <c r="EG153" s="845"/>
      <c r="EH153" s="845"/>
      <c r="EI153" s="845"/>
    </row>
    <row r="154" spans="2:139" ht="12.75" customHeight="1">
      <c r="B154" s="41" t="s">
        <v>589</v>
      </c>
      <c r="C154" s="211"/>
      <c r="D154" s="203">
        <f>SUMIF($S$6:$EI$6,D$5,$S154:$EI154)</f>
        <v>0</v>
      </c>
      <c r="E154" s="203"/>
      <c r="F154" s="203"/>
      <c r="G154" s="203"/>
      <c r="H154" s="203"/>
      <c r="I154" s="203"/>
      <c r="J154" s="203"/>
      <c r="K154" s="203"/>
      <c r="L154" s="203"/>
      <c r="M154" s="203"/>
      <c r="N154" s="203"/>
      <c r="O154" s="853">
        <f>SUM(D154:N154)</f>
        <v>0</v>
      </c>
      <c r="P154" s="313"/>
      <c r="Q154" s="313"/>
      <c r="R154" s="313"/>
      <c r="S154" s="845">
        <f>-Assum2Fee*S161</f>
        <v>0</v>
      </c>
      <c r="T154" s="845"/>
      <c r="U154" s="845"/>
      <c r="V154" s="845"/>
      <c r="W154" s="845"/>
      <c r="X154" s="845"/>
      <c r="Y154" s="845"/>
      <c r="Z154" s="845"/>
      <c r="AA154" s="845"/>
      <c r="AB154" s="845"/>
      <c r="AC154" s="845"/>
      <c r="AD154" s="845"/>
      <c r="AE154" s="845"/>
      <c r="AF154" s="845"/>
      <c r="AG154" s="845"/>
      <c r="AH154" s="845"/>
      <c r="AI154" s="845"/>
      <c r="AJ154" s="845"/>
      <c r="AK154" s="845"/>
      <c r="AL154" s="845"/>
      <c r="AM154" s="845"/>
      <c r="AN154" s="845"/>
      <c r="AO154" s="845"/>
      <c r="AP154" s="845"/>
      <c r="AQ154" s="845"/>
      <c r="AR154" s="845"/>
      <c r="AS154" s="845"/>
      <c r="AT154" s="845"/>
      <c r="AU154" s="845"/>
      <c r="AV154" s="845"/>
      <c r="AW154" s="845"/>
      <c r="AX154" s="845"/>
      <c r="AY154" s="845"/>
      <c r="AZ154" s="845"/>
      <c r="BA154" s="845"/>
      <c r="BB154" s="845"/>
      <c r="BC154" s="845"/>
      <c r="BD154" s="845"/>
      <c r="BE154" s="845"/>
      <c r="BF154" s="845"/>
      <c r="BG154" s="845"/>
      <c r="BH154" s="845"/>
      <c r="BI154" s="845"/>
      <c r="BJ154" s="845"/>
      <c r="BK154" s="845"/>
      <c r="BL154" s="845"/>
      <c r="BM154" s="845"/>
      <c r="BN154" s="845"/>
      <c r="BO154" s="845"/>
      <c r="BP154" s="845"/>
      <c r="BQ154" s="845"/>
      <c r="BR154" s="845"/>
      <c r="BS154" s="845"/>
      <c r="BT154" s="845"/>
      <c r="BU154" s="845"/>
      <c r="BV154" s="845"/>
      <c r="BW154" s="845"/>
      <c r="BX154" s="845"/>
      <c r="BY154" s="845"/>
      <c r="BZ154" s="845"/>
      <c r="CA154" s="845"/>
      <c r="CB154" s="845"/>
      <c r="CC154" s="845"/>
      <c r="CD154" s="845"/>
      <c r="CE154" s="845"/>
      <c r="CF154" s="845"/>
      <c r="CG154" s="845"/>
      <c r="CH154" s="845"/>
      <c r="CI154" s="845"/>
      <c r="CJ154" s="845"/>
      <c r="CK154" s="845"/>
      <c r="CL154" s="845"/>
      <c r="CM154" s="845"/>
      <c r="CN154" s="845"/>
      <c r="CO154" s="845"/>
      <c r="CP154" s="845"/>
      <c r="CQ154" s="845"/>
      <c r="CR154" s="845"/>
      <c r="CS154" s="845"/>
      <c r="CT154" s="845"/>
      <c r="CU154" s="845"/>
      <c r="CV154" s="845"/>
      <c r="CW154" s="845"/>
      <c r="CX154" s="845"/>
      <c r="CY154" s="845"/>
      <c r="CZ154" s="845"/>
      <c r="DA154" s="845"/>
      <c r="DB154" s="845"/>
      <c r="DC154" s="845"/>
      <c r="DD154" s="845"/>
      <c r="DE154" s="845"/>
      <c r="DF154" s="845"/>
      <c r="DG154" s="845"/>
      <c r="DH154" s="845"/>
      <c r="DI154" s="845"/>
      <c r="DJ154" s="845"/>
      <c r="DK154" s="845"/>
      <c r="DL154" s="845"/>
      <c r="DM154" s="845"/>
      <c r="DN154" s="845"/>
      <c r="DO154" s="845"/>
      <c r="DP154" s="845"/>
      <c r="DQ154" s="845"/>
      <c r="DR154" s="845"/>
      <c r="DS154" s="845"/>
      <c r="DT154" s="845"/>
      <c r="DU154" s="845"/>
      <c r="DV154" s="845"/>
      <c r="DW154" s="845"/>
      <c r="DX154" s="845"/>
      <c r="DY154" s="845"/>
      <c r="DZ154" s="845"/>
      <c r="EA154" s="845"/>
      <c r="EB154" s="845"/>
      <c r="EC154" s="845"/>
      <c r="ED154" s="845"/>
      <c r="EE154" s="845"/>
      <c r="EF154" s="845"/>
      <c r="EG154" s="845"/>
      <c r="EH154" s="845"/>
      <c r="EI154" s="845"/>
    </row>
    <row r="155" spans="2:139" ht="12.75" customHeight="1">
      <c r="B155" s="41" t="s">
        <v>590</v>
      </c>
      <c r="C155" s="211"/>
      <c r="D155" s="203"/>
      <c r="E155" s="203">
        <f t="shared" ref="E155:N156" si="235">SUMIF($S$6:$EI$6,E$5,$S155:$EI155)</f>
        <v>0</v>
      </c>
      <c r="F155" s="203">
        <f t="shared" si="235"/>
        <v>0</v>
      </c>
      <c r="G155" s="203">
        <f t="shared" si="235"/>
        <v>0</v>
      </c>
      <c r="H155" s="203">
        <f t="shared" si="235"/>
        <v>0</v>
      </c>
      <c r="I155" s="203">
        <f t="shared" si="235"/>
        <v>0</v>
      </c>
      <c r="J155" s="203">
        <f t="shared" si="235"/>
        <v>0</v>
      </c>
      <c r="K155" s="203">
        <f t="shared" si="235"/>
        <v>0</v>
      </c>
      <c r="L155" s="203">
        <f t="shared" si="235"/>
        <v>0</v>
      </c>
      <c r="M155" s="203">
        <f t="shared" si="235"/>
        <v>0</v>
      </c>
      <c r="N155" s="203">
        <f t="shared" si="235"/>
        <v>0</v>
      </c>
      <c r="O155" s="853">
        <f>SUM(D155:N155)</f>
        <v>0</v>
      </c>
      <c r="P155" s="313"/>
      <c r="Q155" s="313"/>
      <c r="R155" s="313"/>
      <c r="S155" s="845"/>
      <c r="T155" s="845">
        <f t="shared" ref="T155:AY155" si="236">-T169*T160/12</f>
        <v>0</v>
      </c>
      <c r="U155" s="845">
        <f t="shared" si="236"/>
        <v>0</v>
      </c>
      <c r="V155" s="845">
        <f t="shared" si="236"/>
        <v>0</v>
      </c>
      <c r="W155" s="845">
        <f t="shared" si="236"/>
        <v>0</v>
      </c>
      <c r="X155" s="845">
        <f t="shared" si="236"/>
        <v>0</v>
      </c>
      <c r="Y155" s="845">
        <f t="shared" si="236"/>
        <v>0</v>
      </c>
      <c r="Z155" s="845">
        <f t="shared" si="236"/>
        <v>0</v>
      </c>
      <c r="AA155" s="845">
        <f t="shared" si="236"/>
        <v>0</v>
      </c>
      <c r="AB155" s="845">
        <f t="shared" si="236"/>
        <v>0</v>
      </c>
      <c r="AC155" s="845">
        <f t="shared" si="236"/>
        <v>0</v>
      </c>
      <c r="AD155" s="845">
        <f t="shared" si="236"/>
        <v>0</v>
      </c>
      <c r="AE155" s="845">
        <f t="shared" si="236"/>
        <v>0</v>
      </c>
      <c r="AF155" s="845">
        <f t="shared" si="236"/>
        <v>0</v>
      </c>
      <c r="AG155" s="845">
        <f t="shared" si="236"/>
        <v>0</v>
      </c>
      <c r="AH155" s="845">
        <f t="shared" si="236"/>
        <v>0</v>
      </c>
      <c r="AI155" s="845">
        <f t="shared" si="236"/>
        <v>0</v>
      </c>
      <c r="AJ155" s="845">
        <f t="shared" si="236"/>
        <v>0</v>
      </c>
      <c r="AK155" s="845">
        <f t="shared" si="236"/>
        <v>0</v>
      </c>
      <c r="AL155" s="845">
        <f t="shared" si="236"/>
        <v>0</v>
      </c>
      <c r="AM155" s="845">
        <f t="shared" si="236"/>
        <v>0</v>
      </c>
      <c r="AN155" s="845">
        <f t="shared" si="236"/>
        <v>0</v>
      </c>
      <c r="AO155" s="845">
        <f t="shared" si="236"/>
        <v>0</v>
      </c>
      <c r="AP155" s="845">
        <f t="shared" si="236"/>
        <v>0</v>
      </c>
      <c r="AQ155" s="845">
        <f t="shared" si="236"/>
        <v>0</v>
      </c>
      <c r="AR155" s="845">
        <f t="shared" si="236"/>
        <v>0</v>
      </c>
      <c r="AS155" s="845">
        <f t="shared" si="236"/>
        <v>0</v>
      </c>
      <c r="AT155" s="845">
        <f t="shared" si="236"/>
        <v>0</v>
      </c>
      <c r="AU155" s="845">
        <f t="shared" si="236"/>
        <v>0</v>
      </c>
      <c r="AV155" s="845">
        <f t="shared" si="236"/>
        <v>0</v>
      </c>
      <c r="AW155" s="845">
        <f t="shared" si="236"/>
        <v>0</v>
      </c>
      <c r="AX155" s="845">
        <f t="shared" si="236"/>
        <v>0</v>
      </c>
      <c r="AY155" s="845">
        <f t="shared" si="236"/>
        <v>0</v>
      </c>
      <c r="AZ155" s="845">
        <f t="shared" ref="AZ155:CE155" si="237">-AZ169*AZ160/12</f>
        <v>0</v>
      </c>
      <c r="BA155" s="845">
        <f t="shared" si="237"/>
        <v>0</v>
      </c>
      <c r="BB155" s="845">
        <f t="shared" si="237"/>
        <v>0</v>
      </c>
      <c r="BC155" s="845">
        <f t="shared" si="237"/>
        <v>0</v>
      </c>
      <c r="BD155" s="845">
        <f t="shared" si="237"/>
        <v>0</v>
      </c>
      <c r="BE155" s="845">
        <f t="shared" si="237"/>
        <v>0</v>
      </c>
      <c r="BF155" s="845">
        <f t="shared" si="237"/>
        <v>0</v>
      </c>
      <c r="BG155" s="845">
        <f t="shared" si="237"/>
        <v>0</v>
      </c>
      <c r="BH155" s="845">
        <f t="shared" si="237"/>
        <v>0</v>
      </c>
      <c r="BI155" s="845">
        <f t="shared" si="237"/>
        <v>0</v>
      </c>
      <c r="BJ155" s="845">
        <f t="shared" si="237"/>
        <v>0</v>
      </c>
      <c r="BK155" s="845">
        <f t="shared" si="237"/>
        <v>0</v>
      </c>
      <c r="BL155" s="845">
        <f t="shared" si="237"/>
        <v>0</v>
      </c>
      <c r="BM155" s="845">
        <f t="shared" si="237"/>
        <v>0</v>
      </c>
      <c r="BN155" s="845">
        <f t="shared" si="237"/>
        <v>0</v>
      </c>
      <c r="BO155" s="845">
        <f t="shared" si="237"/>
        <v>0</v>
      </c>
      <c r="BP155" s="845">
        <f t="shared" si="237"/>
        <v>0</v>
      </c>
      <c r="BQ155" s="845">
        <f t="shared" si="237"/>
        <v>0</v>
      </c>
      <c r="BR155" s="845">
        <f t="shared" si="237"/>
        <v>0</v>
      </c>
      <c r="BS155" s="845">
        <f t="shared" si="237"/>
        <v>0</v>
      </c>
      <c r="BT155" s="845">
        <f t="shared" si="237"/>
        <v>0</v>
      </c>
      <c r="BU155" s="845">
        <f t="shared" si="237"/>
        <v>0</v>
      </c>
      <c r="BV155" s="845">
        <f t="shared" si="237"/>
        <v>0</v>
      </c>
      <c r="BW155" s="845">
        <f t="shared" si="237"/>
        <v>0</v>
      </c>
      <c r="BX155" s="845">
        <f t="shared" si="237"/>
        <v>0</v>
      </c>
      <c r="BY155" s="845">
        <f t="shared" si="237"/>
        <v>0</v>
      </c>
      <c r="BZ155" s="845">
        <f t="shared" si="237"/>
        <v>0</v>
      </c>
      <c r="CA155" s="845">
        <f t="shared" si="237"/>
        <v>0</v>
      </c>
      <c r="CB155" s="845">
        <f t="shared" si="237"/>
        <v>0</v>
      </c>
      <c r="CC155" s="845">
        <f t="shared" si="237"/>
        <v>0</v>
      </c>
      <c r="CD155" s="845">
        <f t="shared" si="237"/>
        <v>0</v>
      </c>
      <c r="CE155" s="845">
        <f t="shared" si="237"/>
        <v>0</v>
      </c>
      <c r="CF155" s="845">
        <f t="shared" ref="CF155:DK155" si="238">-CF169*CF160/12</f>
        <v>0</v>
      </c>
      <c r="CG155" s="845">
        <f t="shared" si="238"/>
        <v>0</v>
      </c>
      <c r="CH155" s="845">
        <f t="shared" si="238"/>
        <v>0</v>
      </c>
      <c r="CI155" s="845">
        <f t="shared" si="238"/>
        <v>0</v>
      </c>
      <c r="CJ155" s="845">
        <f t="shared" si="238"/>
        <v>0</v>
      </c>
      <c r="CK155" s="845">
        <f t="shared" si="238"/>
        <v>0</v>
      </c>
      <c r="CL155" s="845">
        <f t="shared" si="238"/>
        <v>0</v>
      </c>
      <c r="CM155" s="845">
        <f t="shared" si="238"/>
        <v>0</v>
      </c>
      <c r="CN155" s="845">
        <f t="shared" si="238"/>
        <v>0</v>
      </c>
      <c r="CO155" s="845">
        <f t="shared" si="238"/>
        <v>0</v>
      </c>
      <c r="CP155" s="845">
        <f t="shared" si="238"/>
        <v>0</v>
      </c>
      <c r="CQ155" s="845">
        <f t="shared" si="238"/>
        <v>0</v>
      </c>
      <c r="CR155" s="845">
        <f t="shared" si="238"/>
        <v>0</v>
      </c>
      <c r="CS155" s="845">
        <f t="shared" si="238"/>
        <v>0</v>
      </c>
      <c r="CT155" s="845">
        <f t="shared" si="238"/>
        <v>0</v>
      </c>
      <c r="CU155" s="845">
        <f t="shared" si="238"/>
        <v>0</v>
      </c>
      <c r="CV155" s="845">
        <f t="shared" si="238"/>
        <v>0</v>
      </c>
      <c r="CW155" s="845">
        <f t="shared" si="238"/>
        <v>0</v>
      </c>
      <c r="CX155" s="845">
        <f t="shared" si="238"/>
        <v>0</v>
      </c>
      <c r="CY155" s="845">
        <f t="shared" si="238"/>
        <v>0</v>
      </c>
      <c r="CZ155" s="845">
        <f t="shared" si="238"/>
        <v>0</v>
      </c>
      <c r="DA155" s="845">
        <f t="shared" si="238"/>
        <v>0</v>
      </c>
      <c r="DB155" s="845">
        <f t="shared" si="238"/>
        <v>0</v>
      </c>
      <c r="DC155" s="845">
        <f t="shared" si="238"/>
        <v>0</v>
      </c>
      <c r="DD155" s="845">
        <f t="shared" si="238"/>
        <v>0</v>
      </c>
      <c r="DE155" s="845">
        <f t="shared" si="238"/>
        <v>0</v>
      </c>
      <c r="DF155" s="845">
        <f t="shared" si="238"/>
        <v>0</v>
      </c>
      <c r="DG155" s="845">
        <f t="shared" si="238"/>
        <v>0</v>
      </c>
      <c r="DH155" s="845">
        <f t="shared" si="238"/>
        <v>0</v>
      </c>
      <c r="DI155" s="845">
        <f t="shared" si="238"/>
        <v>0</v>
      </c>
      <c r="DJ155" s="845">
        <f t="shared" si="238"/>
        <v>0</v>
      </c>
      <c r="DK155" s="845">
        <f t="shared" si="238"/>
        <v>0</v>
      </c>
      <c r="DL155" s="845">
        <f t="shared" ref="DL155:EI155" si="239">-DL169*DL160/12</f>
        <v>0</v>
      </c>
      <c r="DM155" s="845">
        <f t="shared" si="239"/>
        <v>0</v>
      </c>
      <c r="DN155" s="845">
        <f t="shared" si="239"/>
        <v>0</v>
      </c>
      <c r="DO155" s="845">
        <f t="shared" si="239"/>
        <v>0</v>
      </c>
      <c r="DP155" s="845">
        <f t="shared" si="239"/>
        <v>0</v>
      </c>
      <c r="DQ155" s="845">
        <f t="shared" si="239"/>
        <v>0</v>
      </c>
      <c r="DR155" s="845">
        <f t="shared" si="239"/>
        <v>0</v>
      </c>
      <c r="DS155" s="845">
        <f t="shared" si="239"/>
        <v>0</v>
      </c>
      <c r="DT155" s="845">
        <f t="shared" si="239"/>
        <v>0</v>
      </c>
      <c r="DU155" s="845">
        <f t="shared" si="239"/>
        <v>0</v>
      </c>
      <c r="DV155" s="845">
        <f t="shared" si="239"/>
        <v>0</v>
      </c>
      <c r="DW155" s="845">
        <f t="shared" si="239"/>
        <v>0</v>
      </c>
      <c r="DX155" s="845">
        <f t="shared" si="239"/>
        <v>0</v>
      </c>
      <c r="DY155" s="845">
        <f t="shared" si="239"/>
        <v>0</v>
      </c>
      <c r="DZ155" s="845">
        <f t="shared" si="239"/>
        <v>0</v>
      </c>
      <c r="EA155" s="845">
        <f t="shared" si="239"/>
        <v>0</v>
      </c>
      <c r="EB155" s="845">
        <f t="shared" si="239"/>
        <v>0</v>
      </c>
      <c r="EC155" s="845">
        <f t="shared" si="239"/>
        <v>0</v>
      </c>
      <c r="ED155" s="845">
        <f t="shared" si="239"/>
        <v>0</v>
      </c>
      <c r="EE155" s="845">
        <f t="shared" si="239"/>
        <v>0</v>
      </c>
      <c r="EF155" s="845">
        <f t="shared" si="239"/>
        <v>0</v>
      </c>
      <c r="EG155" s="845">
        <f t="shared" si="239"/>
        <v>0</v>
      </c>
      <c r="EH155" s="845">
        <f t="shared" si="239"/>
        <v>0</v>
      </c>
      <c r="EI155" s="845">
        <f t="shared" si="239"/>
        <v>0</v>
      </c>
    </row>
    <row r="156" spans="2:139" ht="12.75" customHeight="1">
      <c r="B156" s="41" t="s">
        <v>591</v>
      </c>
      <c r="C156" s="211"/>
      <c r="D156" s="203">
        <f>SUMIF($S$6:$EI$6,D$5,$S156:$EI156)</f>
        <v>0</v>
      </c>
      <c r="E156" s="203">
        <f t="shared" si="235"/>
        <v>0</v>
      </c>
      <c r="F156" s="203">
        <f t="shared" si="235"/>
        <v>0</v>
      </c>
      <c r="G156" s="203">
        <f t="shared" si="235"/>
        <v>0</v>
      </c>
      <c r="H156" s="203">
        <f t="shared" si="235"/>
        <v>0</v>
      </c>
      <c r="I156" s="203">
        <f t="shared" si="235"/>
        <v>0</v>
      </c>
      <c r="J156" s="203">
        <f t="shared" si="235"/>
        <v>0</v>
      </c>
      <c r="K156" s="203">
        <f t="shared" si="235"/>
        <v>0</v>
      </c>
      <c r="L156" s="203">
        <f t="shared" si="235"/>
        <v>0</v>
      </c>
      <c r="M156" s="203">
        <f t="shared" si="235"/>
        <v>0</v>
      </c>
      <c r="N156" s="203">
        <f t="shared" si="235"/>
        <v>0</v>
      </c>
      <c r="O156" s="853">
        <f>SUM(D156:N156)</f>
        <v>0</v>
      </c>
      <c r="P156" s="313"/>
      <c r="Q156" s="313"/>
      <c r="R156" s="313"/>
      <c r="S156" s="845"/>
      <c r="T156" s="845">
        <f t="shared" ref="T156:AY156" si="240">-Assum2PrpyFee*(T163&lt;&gt;0)</f>
        <v>0</v>
      </c>
      <c r="U156" s="845">
        <f t="shared" si="240"/>
        <v>0</v>
      </c>
      <c r="V156" s="845">
        <f t="shared" si="240"/>
        <v>0</v>
      </c>
      <c r="W156" s="845">
        <f t="shared" si="240"/>
        <v>0</v>
      </c>
      <c r="X156" s="845">
        <f t="shared" si="240"/>
        <v>0</v>
      </c>
      <c r="Y156" s="845">
        <f t="shared" si="240"/>
        <v>0</v>
      </c>
      <c r="Z156" s="845">
        <f t="shared" si="240"/>
        <v>0</v>
      </c>
      <c r="AA156" s="845">
        <f t="shared" si="240"/>
        <v>0</v>
      </c>
      <c r="AB156" s="845">
        <f t="shared" si="240"/>
        <v>0</v>
      </c>
      <c r="AC156" s="845">
        <f t="shared" si="240"/>
        <v>0</v>
      </c>
      <c r="AD156" s="845">
        <f t="shared" si="240"/>
        <v>0</v>
      </c>
      <c r="AE156" s="845">
        <f t="shared" si="240"/>
        <v>0</v>
      </c>
      <c r="AF156" s="845">
        <f t="shared" si="240"/>
        <v>0</v>
      </c>
      <c r="AG156" s="845">
        <f t="shared" si="240"/>
        <v>0</v>
      </c>
      <c r="AH156" s="845">
        <f t="shared" si="240"/>
        <v>0</v>
      </c>
      <c r="AI156" s="845">
        <f t="shared" si="240"/>
        <v>0</v>
      </c>
      <c r="AJ156" s="845">
        <f t="shared" si="240"/>
        <v>0</v>
      </c>
      <c r="AK156" s="845">
        <f t="shared" si="240"/>
        <v>0</v>
      </c>
      <c r="AL156" s="845">
        <f t="shared" si="240"/>
        <v>0</v>
      </c>
      <c r="AM156" s="845">
        <f t="shared" si="240"/>
        <v>0</v>
      </c>
      <c r="AN156" s="845">
        <f t="shared" si="240"/>
        <v>0</v>
      </c>
      <c r="AO156" s="845">
        <f t="shared" si="240"/>
        <v>0</v>
      </c>
      <c r="AP156" s="845">
        <f t="shared" si="240"/>
        <v>0</v>
      </c>
      <c r="AQ156" s="845">
        <f t="shared" si="240"/>
        <v>0</v>
      </c>
      <c r="AR156" s="845">
        <f t="shared" si="240"/>
        <v>0</v>
      </c>
      <c r="AS156" s="845">
        <f t="shared" si="240"/>
        <v>0</v>
      </c>
      <c r="AT156" s="845">
        <f t="shared" si="240"/>
        <v>0</v>
      </c>
      <c r="AU156" s="845">
        <f t="shared" si="240"/>
        <v>0</v>
      </c>
      <c r="AV156" s="845">
        <f t="shared" si="240"/>
        <v>0</v>
      </c>
      <c r="AW156" s="845">
        <f t="shared" si="240"/>
        <v>0</v>
      </c>
      <c r="AX156" s="845">
        <f t="shared" si="240"/>
        <v>0</v>
      </c>
      <c r="AY156" s="845">
        <f t="shared" si="240"/>
        <v>0</v>
      </c>
      <c r="AZ156" s="845">
        <f t="shared" ref="AZ156:CE156" si="241">-Assum2PrpyFee*(AZ163&lt;&gt;0)</f>
        <v>0</v>
      </c>
      <c r="BA156" s="845">
        <f t="shared" si="241"/>
        <v>0</v>
      </c>
      <c r="BB156" s="845">
        <f t="shared" si="241"/>
        <v>0</v>
      </c>
      <c r="BC156" s="845">
        <f t="shared" si="241"/>
        <v>0</v>
      </c>
      <c r="BD156" s="845">
        <f t="shared" si="241"/>
        <v>0</v>
      </c>
      <c r="BE156" s="845">
        <f t="shared" si="241"/>
        <v>0</v>
      </c>
      <c r="BF156" s="845">
        <f t="shared" si="241"/>
        <v>0</v>
      </c>
      <c r="BG156" s="845">
        <f t="shared" si="241"/>
        <v>0</v>
      </c>
      <c r="BH156" s="845">
        <f t="shared" si="241"/>
        <v>0</v>
      </c>
      <c r="BI156" s="845">
        <f t="shared" si="241"/>
        <v>0</v>
      </c>
      <c r="BJ156" s="845">
        <f t="shared" si="241"/>
        <v>0</v>
      </c>
      <c r="BK156" s="845">
        <f t="shared" si="241"/>
        <v>0</v>
      </c>
      <c r="BL156" s="845">
        <f t="shared" si="241"/>
        <v>0</v>
      </c>
      <c r="BM156" s="845">
        <f t="shared" si="241"/>
        <v>0</v>
      </c>
      <c r="BN156" s="845">
        <f t="shared" si="241"/>
        <v>0</v>
      </c>
      <c r="BO156" s="845">
        <f t="shared" si="241"/>
        <v>0</v>
      </c>
      <c r="BP156" s="845">
        <f t="shared" si="241"/>
        <v>0</v>
      </c>
      <c r="BQ156" s="845">
        <f t="shared" si="241"/>
        <v>0</v>
      </c>
      <c r="BR156" s="845">
        <f t="shared" si="241"/>
        <v>0</v>
      </c>
      <c r="BS156" s="845">
        <f t="shared" si="241"/>
        <v>0</v>
      </c>
      <c r="BT156" s="845">
        <f t="shared" si="241"/>
        <v>0</v>
      </c>
      <c r="BU156" s="845">
        <f t="shared" si="241"/>
        <v>0</v>
      </c>
      <c r="BV156" s="845">
        <f t="shared" si="241"/>
        <v>0</v>
      </c>
      <c r="BW156" s="845">
        <f t="shared" si="241"/>
        <v>0</v>
      </c>
      <c r="BX156" s="845">
        <f t="shared" si="241"/>
        <v>0</v>
      </c>
      <c r="BY156" s="845">
        <f t="shared" si="241"/>
        <v>0</v>
      </c>
      <c r="BZ156" s="845">
        <f t="shared" si="241"/>
        <v>0</v>
      </c>
      <c r="CA156" s="845">
        <f t="shared" si="241"/>
        <v>0</v>
      </c>
      <c r="CB156" s="845">
        <f t="shared" si="241"/>
        <v>0</v>
      </c>
      <c r="CC156" s="845">
        <f t="shared" si="241"/>
        <v>0</v>
      </c>
      <c r="CD156" s="845">
        <f t="shared" si="241"/>
        <v>0</v>
      </c>
      <c r="CE156" s="845">
        <f t="shared" si="241"/>
        <v>0</v>
      </c>
      <c r="CF156" s="845">
        <f t="shared" ref="CF156:DK156" si="242">-Assum2PrpyFee*(CF163&lt;&gt;0)</f>
        <v>0</v>
      </c>
      <c r="CG156" s="845">
        <f t="shared" si="242"/>
        <v>0</v>
      </c>
      <c r="CH156" s="845">
        <f t="shared" si="242"/>
        <v>0</v>
      </c>
      <c r="CI156" s="845">
        <f t="shared" si="242"/>
        <v>0</v>
      </c>
      <c r="CJ156" s="845">
        <f t="shared" si="242"/>
        <v>0</v>
      </c>
      <c r="CK156" s="845">
        <f t="shared" si="242"/>
        <v>0</v>
      </c>
      <c r="CL156" s="845">
        <f t="shared" si="242"/>
        <v>0</v>
      </c>
      <c r="CM156" s="845">
        <f t="shared" si="242"/>
        <v>0</v>
      </c>
      <c r="CN156" s="845">
        <f t="shared" si="242"/>
        <v>0</v>
      </c>
      <c r="CO156" s="845">
        <f t="shared" si="242"/>
        <v>0</v>
      </c>
      <c r="CP156" s="845">
        <f t="shared" si="242"/>
        <v>0</v>
      </c>
      <c r="CQ156" s="845">
        <f t="shared" si="242"/>
        <v>0</v>
      </c>
      <c r="CR156" s="845">
        <f t="shared" si="242"/>
        <v>0</v>
      </c>
      <c r="CS156" s="845">
        <f t="shared" si="242"/>
        <v>0</v>
      </c>
      <c r="CT156" s="845">
        <f t="shared" si="242"/>
        <v>0</v>
      </c>
      <c r="CU156" s="845">
        <f t="shared" si="242"/>
        <v>0</v>
      </c>
      <c r="CV156" s="845">
        <f t="shared" si="242"/>
        <v>0</v>
      </c>
      <c r="CW156" s="845">
        <f t="shared" si="242"/>
        <v>0</v>
      </c>
      <c r="CX156" s="845">
        <f t="shared" si="242"/>
        <v>0</v>
      </c>
      <c r="CY156" s="845">
        <f t="shared" si="242"/>
        <v>0</v>
      </c>
      <c r="CZ156" s="845">
        <f t="shared" si="242"/>
        <v>0</v>
      </c>
      <c r="DA156" s="845">
        <f t="shared" si="242"/>
        <v>0</v>
      </c>
      <c r="DB156" s="845">
        <f t="shared" si="242"/>
        <v>0</v>
      </c>
      <c r="DC156" s="845">
        <f t="shared" si="242"/>
        <v>0</v>
      </c>
      <c r="DD156" s="845">
        <f t="shared" si="242"/>
        <v>0</v>
      </c>
      <c r="DE156" s="845">
        <f t="shared" si="242"/>
        <v>0</v>
      </c>
      <c r="DF156" s="845">
        <f t="shared" si="242"/>
        <v>0</v>
      </c>
      <c r="DG156" s="845">
        <f t="shared" si="242"/>
        <v>0</v>
      </c>
      <c r="DH156" s="845">
        <f t="shared" si="242"/>
        <v>0</v>
      </c>
      <c r="DI156" s="845">
        <f t="shared" si="242"/>
        <v>0</v>
      </c>
      <c r="DJ156" s="845">
        <f t="shared" si="242"/>
        <v>0</v>
      </c>
      <c r="DK156" s="845">
        <f t="shared" si="242"/>
        <v>0</v>
      </c>
      <c r="DL156" s="845">
        <f t="shared" ref="DL156:EI156" si="243">-Assum2PrpyFee*(DL163&lt;&gt;0)</f>
        <v>0</v>
      </c>
      <c r="DM156" s="845">
        <f t="shared" si="243"/>
        <v>0</v>
      </c>
      <c r="DN156" s="845">
        <f t="shared" si="243"/>
        <v>0</v>
      </c>
      <c r="DO156" s="845">
        <f t="shared" si="243"/>
        <v>0</v>
      </c>
      <c r="DP156" s="845">
        <f t="shared" si="243"/>
        <v>0</v>
      </c>
      <c r="DQ156" s="845">
        <f t="shared" si="243"/>
        <v>0</v>
      </c>
      <c r="DR156" s="845">
        <f t="shared" si="243"/>
        <v>0</v>
      </c>
      <c r="DS156" s="845">
        <f t="shared" si="243"/>
        <v>0</v>
      </c>
      <c r="DT156" s="845">
        <f t="shared" si="243"/>
        <v>0</v>
      </c>
      <c r="DU156" s="845">
        <f t="shared" si="243"/>
        <v>0</v>
      </c>
      <c r="DV156" s="845">
        <f t="shared" si="243"/>
        <v>0</v>
      </c>
      <c r="DW156" s="845">
        <f t="shared" si="243"/>
        <v>0</v>
      </c>
      <c r="DX156" s="845">
        <f t="shared" si="243"/>
        <v>0</v>
      </c>
      <c r="DY156" s="845">
        <f t="shared" si="243"/>
        <v>0</v>
      </c>
      <c r="DZ156" s="845">
        <f t="shared" si="243"/>
        <v>0</v>
      </c>
      <c r="EA156" s="845">
        <f t="shared" si="243"/>
        <v>0</v>
      </c>
      <c r="EB156" s="845">
        <f t="shared" si="243"/>
        <v>0</v>
      </c>
      <c r="EC156" s="845">
        <f t="shared" si="243"/>
        <v>0</v>
      </c>
      <c r="ED156" s="845">
        <f t="shared" si="243"/>
        <v>0</v>
      </c>
      <c r="EE156" s="845">
        <f t="shared" si="243"/>
        <v>0</v>
      </c>
      <c r="EF156" s="845">
        <f t="shared" si="243"/>
        <v>0</v>
      </c>
      <c r="EG156" s="845">
        <f t="shared" si="243"/>
        <v>0</v>
      </c>
      <c r="EH156" s="845">
        <f t="shared" si="243"/>
        <v>0</v>
      </c>
      <c r="EI156" s="845">
        <f t="shared" si="243"/>
        <v>0</v>
      </c>
    </row>
    <row r="157" spans="2:139" ht="12.75" customHeight="1">
      <c r="B157" s="46" t="s">
        <v>231</v>
      </c>
      <c r="C157" s="209"/>
      <c r="D157" s="854">
        <f t="shared" ref="D157:O157" si="244">SUBTOTAL(9,D154:D156)</f>
        <v>0</v>
      </c>
      <c r="E157" s="854">
        <f t="shared" si="244"/>
        <v>0</v>
      </c>
      <c r="F157" s="854">
        <f t="shared" si="244"/>
        <v>0</v>
      </c>
      <c r="G157" s="854">
        <f t="shared" si="244"/>
        <v>0</v>
      </c>
      <c r="H157" s="854">
        <f t="shared" si="244"/>
        <v>0</v>
      </c>
      <c r="I157" s="854">
        <f t="shared" si="244"/>
        <v>0</v>
      </c>
      <c r="J157" s="854">
        <f t="shared" si="244"/>
        <v>0</v>
      </c>
      <c r="K157" s="854">
        <f t="shared" si="244"/>
        <v>0</v>
      </c>
      <c r="L157" s="854">
        <f t="shared" si="244"/>
        <v>0</v>
      </c>
      <c r="M157" s="854">
        <f t="shared" si="244"/>
        <v>0</v>
      </c>
      <c r="N157" s="854">
        <f t="shared" si="244"/>
        <v>0</v>
      </c>
      <c r="O157" s="855">
        <f t="shared" si="244"/>
        <v>0</v>
      </c>
      <c r="P157" s="313"/>
      <c r="Q157" s="313"/>
      <c r="R157" s="313"/>
      <c r="S157" s="856">
        <f t="shared" ref="S157:AX157" si="245">SUBTOTAL(9,S154:S156)</f>
        <v>0</v>
      </c>
      <c r="T157" s="856">
        <f t="shared" si="245"/>
        <v>0</v>
      </c>
      <c r="U157" s="856">
        <f t="shared" si="245"/>
        <v>0</v>
      </c>
      <c r="V157" s="856">
        <f t="shared" si="245"/>
        <v>0</v>
      </c>
      <c r="W157" s="856">
        <f t="shared" si="245"/>
        <v>0</v>
      </c>
      <c r="X157" s="856">
        <f t="shared" si="245"/>
        <v>0</v>
      </c>
      <c r="Y157" s="856">
        <f t="shared" si="245"/>
        <v>0</v>
      </c>
      <c r="Z157" s="856">
        <f t="shared" si="245"/>
        <v>0</v>
      </c>
      <c r="AA157" s="856">
        <f t="shared" si="245"/>
        <v>0</v>
      </c>
      <c r="AB157" s="856">
        <f t="shared" si="245"/>
        <v>0</v>
      </c>
      <c r="AC157" s="856">
        <f t="shared" si="245"/>
        <v>0</v>
      </c>
      <c r="AD157" s="856">
        <f t="shared" si="245"/>
        <v>0</v>
      </c>
      <c r="AE157" s="856">
        <f t="shared" si="245"/>
        <v>0</v>
      </c>
      <c r="AF157" s="856">
        <f t="shared" si="245"/>
        <v>0</v>
      </c>
      <c r="AG157" s="856">
        <f t="shared" si="245"/>
        <v>0</v>
      </c>
      <c r="AH157" s="856">
        <f t="shared" si="245"/>
        <v>0</v>
      </c>
      <c r="AI157" s="856">
        <f t="shared" si="245"/>
        <v>0</v>
      </c>
      <c r="AJ157" s="856">
        <f t="shared" si="245"/>
        <v>0</v>
      </c>
      <c r="AK157" s="856">
        <f t="shared" si="245"/>
        <v>0</v>
      </c>
      <c r="AL157" s="856">
        <f t="shared" si="245"/>
        <v>0</v>
      </c>
      <c r="AM157" s="856">
        <f t="shared" si="245"/>
        <v>0</v>
      </c>
      <c r="AN157" s="856">
        <f t="shared" si="245"/>
        <v>0</v>
      </c>
      <c r="AO157" s="856">
        <f t="shared" si="245"/>
        <v>0</v>
      </c>
      <c r="AP157" s="856">
        <f t="shared" si="245"/>
        <v>0</v>
      </c>
      <c r="AQ157" s="856">
        <f t="shared" si="245"/>
        <v>0</v>
      </c>
      <c r="AR157" s="856">
        <f t="shared" si="245"/>
        <v>0</v>
      </c>
      <c r="AS157" s="856">
        <f t="shared" si="245"/>
        <v>0</v>
      </c>
      <c r="AT157" s="856">
        <f t="shared" si="245"/>
        <v>0</v>
      </c>
      <c r="AU157" s="856">
        <f t="shared" si="245"/>
        <v>0</v>
      </c>
      <c r="AV157" s="856">
        <f t="shared" si="245"/>
        <v>0</v>
      </c>
      <c r="AW157" s="856">
        <f t="shared" si="245"/>
        <v>0</v>
      </c>
      <c r="AX157" s="856">
        <f t="shared" si="245"/>
        <v>0</v>
      </c>
      <c r="AY157" s="856">
        <f t="shared" ref="AY157:CD157" si="246">SUBTOTAL(9,AY154:AY156)</f>
        <v>0</v>
      </c>
      <c r="AZ157" s="856">
        <f t="shared" si="246"/>
        <v>0</v>
      </c>
      <c r="BA157" s="856">
        <f t="shared" si="246"/>
        <v>0</v>
      </c>
      <c r="BB157" s="856">
        <f t="shared" si="246"/>
        <v>0</v>
      </c>
      <c r="BC157" s="856">
        <f t="shared" si="246"/>
        <v>0</v>
      </c>
      <c r="BD157" s="856">
        <f t="shared" si="246"/>
        <v>0</v>
      </c>
      <c r="BE157" s="856">
        <f t="shared" si="246"/>
        <v>0</v>
      </c>
      <c r="BF157" s="856">
        <f t="shared" si="246"/>
        <v>0</v>
      </c>
      <c r="BG157" s="856">
        <f t="shared" si="246"/>
        <v>0</v>
      </c>
      <c r="BH157" s="856">
        <f t="shared" si="246"/>
        <v>0</v>
      </c>
      <c r="BI157" s="856">
        <f t="shared" si="246"/>
        <v>0</v>
      </c>
      <c r="BJ157" s="856">
        <f t="shared" si="246"/>
        <v>0</v>
      </c>
      <c r="BK157" s="856">
        <f t="shared" si="246"/>
        <v>0</v>
      </c>
      <c r="BL157" s="856">
        <f t="shared" si="246"/>
        <v>0</v>
      </c>
      <c r="BM157" s="856">
        <f t="shared" si="246"/>
        <v>0</v>
      </c>
      <c r="BN157" s="856">
        <f t="shared" si="246"/>
        <v>0</v>
      </c>
      <c r="BO157" s="856">
        <f t="shared" si="246"/>
        <v>0</v>
      </c>
      <c r="BP157" s="856">
        <f t="shared" si="246"/>
        <v>0</v>
      </c>
      <c r="BQ157" s="856">
        <f t="shared" si="246"/>
        <v>0</v>
      </c>
      <c r="BR157" s="856">
        <f t="shared" si="246"/>
        <v>0</v>
      </c>
      <c r="BS157" s="856">
        <f t="shared" si="246"/>
        <v>0</v>
      </c>
      <c r="BT157" s="856">
        <f t="shared" si="246"/>
        <v>0</v>
      </c>
      <c r="BU157" s="856">
        <f t="shared" si="246"/>
        <v>0</v>
      </c>
      <c r="BV157" s="856">
        <f t="shared" si="246"/>
        <v>0</v>
      </c>
      <c r="BW157" s="856">
        <f t="shared" si="246"/>
        <v>0</v>
      </c>
      <c r="BX157" s="856">
        <f t="shared" si="246"/>
        <v>0</v>
      </c>
      <c r="BY157" s="856">
        <f t="shared" si="246"/>
        <v>0</v>
      </c>
      <c r="BZ157" s="856">
        <f t="shared" si="246"/>
        <v>0</v>
      </c>
      <c r="CA157" s="856">
        <f t="shared" si="246"/>
        <v>0</v>
      </c>
      <c r="CB157" s="856">
        <f t="shared" si="246"/>
        <v>0</v>
      </c>
      <c r="CC157" s="856">
        <f t="shared" si="246"/>
        <v>0</v>
      </c>
      <c r="CD157" s="856">
        <f t="shared" si="246"/>
        <v>0</v>
      </c>
      <c r="CE157" s="856">
        <f t="shared" ref="CE157:DJ157" si="247">SUBTOTAL(9,CE154:CE156)</f>
        <v>0</v>
      </c>
      <c r="CF157" s="856">
        <f t="shared" si="247"/>
        <v>0</v>
      </c>
      <c r="CG157" s="856">
        <f t="shared" si="247"/>
        <v>0</v>
      </c>
      <c r="CH157" s="856">
        <f t="shared" si="247"/>
        <v>0</v>
      </c>
      <c r="CI157" s="856">
        <f t="shared" si="247"/>
        <v>0</v>
      </c>
      <c r="CJ157" s="856">
        <f t="shared" si="247"/>
        <v>0</v>
      </c>
      <c r="CK157" s="856">
        <f t="shared" si="247"/>
        <v>0</v>
      </c>
      <c r="CL157" s="856">
        <f t="shared" si="247"/>
        <v>0</v>
      </c>
      <c r="CM157" s="856">
        <f t="shared" si="247"/>
        <v>0</v>
      </c>
      <c r="CN157" s="856">
        <f t="shared" si="247"/>
        <v>0</v>
      </c>
      <c r="CO157" s="856">
        <f t="shared" si="247"/>
        <v>0</v>
      </c>
      <c r="CP157" s="856">
        <f t="shared" si="247"/>
        <v>0</v>
      </c>
      <c r="CQ157" s="856">
        <f t="shared" si="247"/>
        <v>0</v>
      </c>
      <c r="CR157" s="856">
        <f t="shared" si="247"/>
        <v>0</v>
      </c>
      <c r="CS157" s="856">
        <f t="shared" si="247"/>
        <v>0</v>
      </c>
      <c r="CT157" s="856">
        <f t="shared" si="247"/>
        <v>0</v>
      </c>
      <c r="CU157" s="856">
        <f t="shared" si="247"/>
        <v>0</v>
      </c>
      <c r="CV157" s="856">
        <f t="shared" si="247"/>
        <v>0</v>
      </c>
      <c r="CW157" s="856">
        <f t="shared" si="247"/>
        <v>0</v>
      </c>
      <c r="CX157" s="856">
        <f t="shared" si="247"/>
        <v>0</v>
      </c>
      <c r="CY157" s="856">
        <f t="shared" si="247"/>
        <v>0</v>
      </c>
      <c r="CZ157" s="856">
        <f t="shared" si="247"/>
        <v>0</v>
      </c>
      <c r="DA157" s="856">
        <f t="shared" si="247"/>
        <v>0</v>
      </c>
      <c r="DB157" s="856">
        <f t="shared" si="247"/>
        <v>0</v>
      </c>
      <c r="DC157" s="856">
        <f t="shared" si="247"/>
        <v>0</v>
      </c>
      <c r="DD157" s="856">
        <f t="shared" si="247"/>
        <v>0</v>
      </c>
      <c r="DE157" s="856">
        <f t="shared" si="247"/>
        <v>0</v>
      </c>
      <c r="DF157" s="856">
        <f t="shared" si="247"/>
        <v>0</v>
      </c>
      <c r="DG157" s="856">
        <f t="shared" si="247"/>
        <v>0</v>
      </c>
      <c r="DH157" s="856">
        <f t="shared" si="247"/>
        <v>0</v>
      </c>
      <c r="DI157" s="856">
        <f t="shared" si="247"/>
        <v>0</v>
      </c>
      <c r="DJ157" s="856">
        <f t="shared" si="247"/>
        <v>0</v>
      </c>
      <c r="DK157" s="856">
        <f t="shared" ref="DK157:EP157" si="248">SUBTOTAL(9,DK154:DK156)</f>
        <v>0</v>
      </c>
      <c r="DL157" s="856">
        <f t="shared" si="248"/>
        <v>0</v>
      </c>
      <c r="DM157" s="856">
        <f t="shared" si="248"/>
        <v>0</v>
      </c>
      <c r="DN157" s="856">
        <f t="shared" si="248"/>
        <v>0</v>
      </c>
      <c r="DO157" s="856">
        <f t="shared" si="248"/>
        <v>0</v>
      </c>
      <c r="DP157" s="856">
        <f t="shared" si="248"/>
        <v>0</v>
      </c>
      <c r="DQ157" s="856">
        <f t="shared" si="248"/>
        <v>0</v>
      </c>
      <c r="DR157" s="856">
        <f t="shared" si="248"/>
        <v>0</v>
      </c>
      <c r="DS157" s="856">
        <f t="shared" si="248"/>
        <v>0</v>
      </c>
      <c r="DT157" s="856">
        <f t="shared" si="248"/>
        <v>0</v>
      </c>
      <c r="DU157" s="856">
        <f t="shared" si="248"/>
        <v>0</v>
      </c>
      <c r="DV157" s="856">
        <f t="shared" si="248"/>
        <v>0</v>
      </c>
      <c r="DW157" s="856">
        <f t="shared" si="248"/>
        <v>0</v>
      </c>
      <c r="DX157" s="856">
        <f t="shared" si="248"/>
        <v>0</v>
      </c>
      <c r="DY157" s="856">
        <f t="shared" si="248"/>
        <v>0</v>
      </c>
      <c r="DZ157" s="856">
        <f t="shared" si="248"/>
        <v>0</v>
      </c>
      <c r="EA157" s="856">
        <f t="shared" si="248"/>
        <v>0</v>
      </c>
      <c r="EB157" s="856">
        <f t="shared" si="248"/>
        <v>0</v>
      </c>
      <c r="EC157" s="856">
        <f t="shared" si="248"/>
        <v>0</v>
      </c>
      <c r="ED157" s="856">
        <f t="shared" si="248"/>
        <v>0</v>
      </c>
      <c r="EE157" s="856">
        <f t="shared" si="248"/>
        <v>0</v>
      </c>
      <c r="EF157" s="856">
        <f t="shared" si="248"/>
        <v>0</v>
      </c>
      <c r="EG157" s="856">
        <f t="shared" si="248"/>
        <v>0</v>
      </c>
      <c r="EH157" s="856">
        <f t="shared" si="248"/>
        <v>0</v>
      </c>
      <c r="EI157" s="856">
        <f t="shared" si="248"/>
        <v>0</v>
      </c>
    </row>
    <row r="158" spans="2:139" ht="12.75" customHeight="1">
      <c r="B158" s="46"/>
      <c r="C158" s="209"/>
      <c r="D158" s="857"/>
      <c r="E158" s="857"/>
      <c r="F158" s="857"/>
      <c r="G158" s="857"/>
      <c r="H158" s="857"/>
      <c r="I158" s="857"/>
      <c r="J158" s="857"/>
      <c r="K158" s="857"/>
      <c r="L158" s="857"/>
      <c r="M158" s="857"/>
      <c r="N158" s="857"/>
      <c r="O158" s="858"/>
      <c r="P158" s="313"/>
      <c r="Q158" s="313"/>
      <c r="R158" s="313"/>
      <c r="S158" s="859"/>
      <c r="T158" s="859"/>
      <c r="U158" s="859"/>
      <c r="V158" s="859"/>
      <c r="W158" s="859"/>
      <c r="X158" s="859"/>
      <c r="Y158" s="859"/>
      <c r="Z158" s="859"/>
      <c r="AA158" s="859"/>
      <c r="AB158" s="859"/>
      <c r="AC158" s="859"/>
      <c r="AD158" s="859"/>
      <c r="AE158" s="859"/>
      <c r="AF158" s="859"/>
      <c r="AG158" s="859"/>
      <c r="AH158" s="859"/>
      <c r="AI158" s="859"/>
      <c r="AJ158" s="859"/>
      <c r="AK158" s="859"/>
      <c r="AL158" s="859"/>
      <c r="AM158" s="859"/>
      <c r="AN158" s="859"/>
      <c r="AO158" s="859"/>
      <c r="AP158" s="859"/>
      <c r="AQ158" s="859"/>
      <c r="AR158" s="859"/>
      <c r="AS158" s="859"/>
      <c r="AT158" s="859"/>
      <c r="AU158" s="859"/>
      <c r="AV158" s="859"/>
      <c r="AW158" s="859"/>
      <c r="AX158" s="859"/>
      <c r="AY158" s="859"/>
      <c r="AZ158" s="859"/>
      <c r="BA158" s="859"/>
      <c r="BB158" s="859"/>
      <c r="BC158" s="859"/>
      <c r="BD158" s="859"/>
      <c r="BE158" s="859"/>
      <c r="BF158" s="859"/>
      <c r="BG158" s="859"/>
      <c r="BH158" s="859"/>
      <c r="BI158" s="859"/>
      <c r="BJ158" s="859"/>
      <c r="BK158" s="859"/>
      <c r="BL158" s="859"/>
      <c r="BM158" s="859"/>
      <c r="BN158" s="859"/>
      <c r="BO158" s="859"/>
      <c r="BP158" s="859"/>
      <c r="BQ158" s="859"/>
      <c r="BR158" s="859"/>
      <c r="BS158" s="859"/>
      <c r="BT158" s="859"/>
      <c r="BU158" s="859"/>
      <c r="BV158" s="859"/>
      <c r="BW158" s="859"/>
      <c r="BX158" s="859"/>
      <c r="BY158" s="859"/>
      <c r="BZ158" s="859"/>
      <c r="CA158" s="859"/>
      <c r="CB158" s="859"/>
      <c r="CC158" s="859"/>
      <c r="CD158" s="859"/>
      <c r="CE158" s="859"/>
      <c r="CF158" s="859"/>
      <c r="CG158" s="859"/>
      <c r="CH158" s="859"/>
      <c r="CI158" s="859"/>
      <c r="CJ158" s="859"/>
      <c r="CK158" s="859"/>
      <c r="CL158" s="859"/>
      <c r="CM158" s="859"/>
      <c r="CN158" s="859"/>
      <c r="CO158" s="859"/>
      <c r="CP158" s="859"/>
      <c r="CQ158" s="859"/>
      <c r="CR158" s="859"/>
      <c r="CS158" s="859"/>
      <c r="CT158" s="859"/>
      <c r="CU158" s="859"/>
      <c r="CV158" s="859"/>
      <c r="CW158" s="859"/>
      <c r="CX158" s="859"/>
      <c r="CY158" s="859"/>
      <c r="CZ158" s="859"/>
      <c r="DA158" s="859"/>
      <c r="DB158" s="859"/>
      <c r="DC158" s="859"/>
      <c r="DD158" s="859"/>
      <c r="DE158" s="859"/>
      <c r="DF158" s="859"/>
      <c r="DG158" s="859"/>
      <c r="DH158" s="859"/>
      <c r="DI158" s="859"/>
      <c r="DJ158" s="859"/>
      <c r="DK158" s="859"/>
      <c r="DL158" s="859"/>
      <c r="DM158" s="859"/>
      <c r="DN158" s="859"/>
      <c r="DO158" s="859"/>
      <c r="DP158" s="859"/>
      <c r="DQ158" s="859"/>
      <c r="DR158" s="859"/>
      <c r="DS158" s="859"/>
      <c r="DT158" s="859"/>
      <c r="DU158" s="859"/>
      <c r="DV158" s="859"/>
      <c r="DW158" s="859"/>
      <c r="DX158" s="859"/>
      <c r="DY158" s="859"/>
      <c r="DZ158" s="859"/>
      <c r="EA158" s="859"/>
      <c r="EB158" s="859"/>
      <c r="EC158" s="859"/>
      <c r="ED158" s="859"/>
      <c r="EE158" s="859"/>
      <c r="EF158" s="859"/>
      <c r="EG158" s="859"/>
      <c r="EH158" s="859"/>
      <c r="EI158" s="859"/>
    </row>
    <row r="159" spans="2:139" ht="12.75" customHeight="1">
      <c r="B159" s="1045" t="s">
        <v>592</v>
      </c>
      <c r="C159" s="211"/>
      <c r="D159" s="203"/>
      <c r="E159" s="203"/>
      <c r="F159" s="203"/>
      <c r="G159" s="203"/>
      <c r="H159" s="203"/>
      <c r="I159" s="203"/>
      <c r="J159" s="203"/>
      <c r="K159" s="203"/>
      <c r="L159" s="203"/>
      <c r="M159" s="203"/>
      <c r="N159" s="203"/>
      <c r="O159" s="853"/>
      <c r="P159" s="313"/>
      <c r="Q159" s="313"/>
      <c r="R159" s="313"/>
      <c r="S159" s="845"/>
      <c r="T159" s="845"/>
      <c r="U159" s="845"/>
      <c r="V159" s="845"/>
      <c r="W159" s="845"/>
      <c r="X159" s="845"/>
      <c r="Y159" s="845"/>
      <c r="Z159" s="845"/>
      <c r="AA159" s="845"/>
      <c r="AB159" s="845"/>
      <c r="AC159" s="845"/>
      <c r="AD159" s="845"/>
      <c r="AE159" s="845"/>
      <c r="AF159" s="845"/>
      <c r="AG159" s="845"/>
      <c r="AH159" s="845"/>
      <c r="AI159" s="845"/>
      <c r="AJ159" s="845"/>
      <c r="AK159" s="845"/>
      <c r="AL159" s="845"/>
      <c r="AM159" s="845"/>
      <c r="AN159" s="845"/>
      <c r="AO159" s="845"/>
      <c r="AP159" s="845"/>
      <c r="AQ159" s="845"/>
      <c r="AR159" s="845"/>
      <c r="AS159" s="845"/>
      <c r="AT159" s="845"/>
      <c r="AU159" s="845"/>
      <c r="AV159" s="845"/>
      <c r="AW159" s="845"/>
      <c r="AX159" s="845"/>
      <c r="AY159" s="845"/>
      <c r="AZ159" s="845"/>
      <c r="BA159" s="845"/>
      <c r="BB159" s="845"/>
      <c r="BC159" s="845"/>
      <c r="BD159" s="845"/>
      <c r="BE159" s="845"/>
      <c r="BF159" s="845"/>
      <c r="BG159" s="845"/>
      <c r="BH159" s="845"/>
      <c r="BI159" s="845"/>
      <c r="BJ159" s="845"/>
      <c r="BK159" s="845"/>
      <c r="BL159" s="845"/>
      <c r="BM159" s="845"/>
      <c r="BN159" s="845"/>
      <c r="BO159" s="845"/>
      <c r="BP159" s="845"/>
      <c r="BQ159" s="845"/>
      <c r="BR159" s="845"/>
      <c r="BS159" s="845"/>
      <c r="BT159" s="845"/>
      <c r="BU159" s="845"/>
      <c r="BV159" s="845"/>
      <c r="BW159" s="845"/>
      <c r="BX159" s="845"/>
      <c r="BY159" s="845"/>
      <c r="BZ159" s="845"/>
      <c r="CA159" s="845"/>
      <c r="CB159" s="845"/>
      <c r="CC159" s="845"/>
      <c r="CD159" s="845"/>
      <c r="CE159" s="845"/>
      <c r="CF159" s="845"/>
      <c r="CG159" s="845"/>
      <c r="CH159" s="845"/>
      <c r="CI159" s="845"/>
      <c r="CJ159" s="845"/>
      <c r="CK159" s="845"/>
      <c r="CL159" s="845"/>
      <c r="CM159" s="845"/>
      <c r="CN159" s="845"/>
      <c r="CO159" s="845"/>
      <c r="CP159" s="845"/>
      <c r="CQ159" s="845"/>
      <c r="CR159" s="845"/>
      <c r="CS159" s="845"/>
      <c r="CT159" s="845"/>
      <c r="CU159" s="845"/>
      <c r="CV159" s="845"/>
      <c r="CW159" s="845"/>
      <c r="CX159" s="845"/>
      <c r="CY159" s="845"/>
      <c r="CZ159" s="845"/>
      <c r="DA159" s="845"/>
      <c r="DB159" s="845"/>
      <c r="DC159" s="845"/>
      <c r="DD159" s="845"/>
      <c r="DE159" s="845"/>
      <c r="DF159" s="845"/>
      <c r="DG159" s="845"/>
      <c r="DH159" s="845"/>
      <c r="DI159" s="845"/>
      <c r="DJ159" s="845"/>
      <c r="DK159" s="845"/>
      <c r="DL159" s="845"/>
      <c r="DM159" s="845"/>
      <c r="DN159" s="845"/>
      <c r="DO159" s="845"/>
      <c r="DP159" s="845"/>
      <c r="DQ159" s="845"/>
      <c r="DR159" s="845"/>
      <c r="DS159" s="845"/>
      <c r="DT159" s="845"/>
      <c r="DU159" s="845"/>
      <c r="DV159" s="845"/>
      <c r="DW159" s="845"/>
      <c r="DX159" s="845"/>
      <c r="DY159" s="845"/>
      <c r="DZ159" s="845"/>
      <c r="EA159" s="845"/>
      <c r="EB159" s="845"/>
      <c r="EC159" s="845"/>
      <c r="ED159" s="845"/>
      <c r="EE159" s="845"/>
      <c r="EF159" s="845"/>
      <c r="EG159" s="845"/>
      <c r="EH159" s="845"/>
      <c r="EI159" s="845"/>
    </row>
    <row r="160" spans="2:139" ht="12.75" customHeight="1">
      <c r="B160" s="41" t="s">
        <v>593</v>
      </c>
      <c r="C160" s="211"/>
      <c r="D160" s="203"/>
      <c r="E160" s="203">
        <f t="shared" ref="E160:N160" si="249">D164</f>
        <v>0</v>
      </c>
      <c r="F160" s="203">
        <f t="shared" si="249"/>
        <v>0</v>
      </c>
      <c r="G160" s="203">
        <f t="shared" si="249"/>
        <v>0</v>
      </c>
      <c r="H160" s="203">
        <f t="shared" si="249"/>
        <v>0</v>
      </c>
      <c r="I160" s="203">
        <f t="shared" si="249"/>
        <v>0</v>
      </c>
      <c r="J160" s="203">
        <f t="shared" si="249"/>
        <v>0</v>
      </c>
      <c r="K160" s="203">
        <f t="shared" si="249"/>
        <v>0</v>
      </c>
      <c r="L160" s="203">
        <f t="shared" si="249"/>
        <v>0</v>
      </c>
      <c r="M160" s="203">
        <f t="shared" si="249"/>
        <v>0</v>
      </c>
      <c r="N160" s="203">
        <f t="shared" si="249"/>
        <v>0</v>
      </c>
      <c r="O160" s="853"/>
      <c r="P160" s="313"/>
      <c r="Q160" s="313"/>
      <c r="R160" s="313"/>
      <c r="S160" s="845"/>
      <c r="T160" s="845">
        <f t="shared" ref="T160:AY160" si="250">S164</f>
        <v>0</v>
      </c>
      <c r="U160" s="845">
        <f t="shared" si="250"/>
        <v>0</v>
      </c>
      <c r="V160" s="845">
        <f t="shared" si="250"/>
        <v>0</v>
      </c>
      <c r="W160" s="845">
        <f t="shared" si="250"/>
        <v>0</v>
      </c>
      <c r="X160" s="845">
        <f t="shared" si="250"/>
        <v>0</v>
      </c>
      <c r="Y160" s="845">
        <f t="shared" si="250"/>
        <v>0</v>
      </c>
      <c r="Z160" s="845">
        <f t="shared" si="250"/>
        <v>0</v>
      </c>
      <c r="AA160" s="845">
        <f t="shared" si="250"/>
        <v>0</v>
      </c>
      <c r="AB160" s="845">
        <f t="shared" si="250"/>
        <v>0</v>
      </c>
      <c r="AC160" s="845">
        <f t="shared" si="250"/>
        <v>0</v>
      </c>
      <c r="AD160" s="845">
        <f t="shared" si="250"/>
        <v>0</v>
      </c>
      <c r="AE160" s="845">
        <f t="shared" si="250"/>
        <v>0</v>
      </c>
      <c r="AF160" s="845">
        <f t="shared" si="250"/>
        <v>0</v>
      </c>
      <c r="AG160" s="845">
        <f t="shared" si="250"/>
        <v>0</v>
      </c>
      <c r="AH160" s="845">
        <f t="shared" si="250"/>
        <v>0</v>
      </c>
      <c r="AI160" s="845">
        <f t="shared" si="250"/>
        <v>0</v>
      </c>
      <c r="AJ160" s="845">
        <f t="shared" si="250"/>
        <v>0</v>
      </c>
      <c r="AK160" s="845">
        <f t="shared" si="250"/>
        <v>0</v>
      </c>
      <c r="AL160" s="845">
        <f t="shared" si="250"/>
        <v>0</v>
      </c>
      <c r="AM160" s="845">
        <f t="shared" si="250"/>
        <v>0</v>
      </c>
      <c r="AN160" s="845">
        <f t="shared" si="250"/>
        <v>0</v>
      </c>
      <c r="AO160" s="845">
        <f t="shared" si="250"/>
        <v>0</v>
      </c>
      <c r="AP160" s="845">
        <f t="shared" si="250"/>
        <v>0</v>
      </c>
      <c r="AQ160" s="845">
        <f t="shared" si="250"/>
        <v>0</v>
      </c>
      <c r="AR160" s="845">
        <f t="shared" si="250"/>
        <v>0</v>
      </c>
      <c r="AS160" s="845">
        <f t="shared" si="250"/>
        <v>0</v>
      </c>
      <c r="AT160" s="845">
        <f t="shared" si="250"/>
        <v>0</v>
      </c>
      <c r="AU160" s="845">
        <f t="shared" si="250"/>
        <v>0</v>
      </c>
      <c r="AV160" s="845">
        <f t="shared" si="250"/>
        <v>0</v>
      </c>
      <c r="AW160" s="845">
        <f t="shared" si="250"/>
        <v>0</v>
      </c>
      <c r="AX160" s="845">
        <f t="shared" si="250"/>
        <v>0</v>
      </c>
      <c r="AY160" s="845">
        <f t="shared" si="250"/>
        <v>0</v>
      </c>
      <c r="AZ160" s="845">
        <f t="shared" ref="AZ160:CE160" si="251">AY164</f>
        <v>0</v>
      </c>
      <c r="BA160" s="845">
        <f t="shared" si="251"/>
        <v>0</v>
      </c>
      <c r="BB160" s="845">
        <f t="shared" si="251"/>
        <v>0</v>
      </c>
      <c r="BC160" s="845">
        <f t="shared" si="251"/>
        <v>0</v>
      </c>
      <c r="BD160" s="845">
        <f t="shared" si="251"/>
        <v>0</v>
      </c>
      <c r="BE160" s="845">
        <f t="shared" si="251"/>
        <v>0</v>
      </c>
      <c r="BF160" s="845">
        <f t="shared" si="251"/>
        <v>0</v>
      </c>
      <c r="BG160" s="845">
        <f t="shared" si="251"/>
        <v>0</v>
      </c>
      <c r="BH160" s="845">
        <f t="shared" si="251"/>
        <v>0</v>
      </c>
      <c r="BI160" s="845">
        <f t="shared" si="251"/>
        <v>0</v>
      </c>
      <c r="BJ160" s="845">
        <f t="shared" si="251"/>
        <v>0</v>
      </c>
      <c r="BK160" s="845">
        <f t="shared" si="251"/>
        <v>0</v>
      </c>
      <c r="BL160" s="845">
        <f t="shared" si="251"/>
        <v>0</v>
      </c>
      <c r="BM160" s="845">
        <f t="shared" si="251"/>
        <v>0</v>
      </c>
      <c r="BN160" s="845">
        <f t="shared" si="251"/>
        <v>0</v>
      </c>
      <c r="BO160" s="845">
        <f t="shared" si="251"/>
        <v>0</v>
      </c>
      <c r="BP160" s="845">
        <f t="shared" si="251"/>
        <v>0</v>
      </c>
      <c r="BQ160" s="845">
        <f t="shared" si="251"/>
        <v>0</v>
      </c>
      <c r="BR160" s="845">
        <f t="shared" si="251"/>
        <v>0</v>
      </c>
      <c r="BS160" s="845">
        <f t="shared" si="251"/>
        <v>0</v>
      </c>
      <c r="BT160" s="845">
        <f t="shared" si="251"/>
        <v>0</v>
      </c>
      <c r="BU160" s="845">
        <f t="shared" si="251"/>
        <v>0</v>
      </c>
      <c r="BV160" s="845">
        <f t="shared" si="251"/>
        <v>0</v>
      </c>
      <c r="BW160" s="845">
        <f t="shared" si="251"/>
        <v>0</v>
      </c>
      <c r="BX160" s="845">
        <f t="shared" si="251"/>
        <v>0</v>
      </c>
      <c r="BY160" s="845">
        <f t="shared" si="251"/>
        <v>0</v>
      </c>
      <c r="BZ160" s="845">
        <f t="shared" si="251"/>
        <v>0</v>
      </c>
      <c r="CA160" s="845">
        <f t="shared" si="251"/>
        <v>0</v>
      </c>
      <c r="CB160" s="845">
        <f t="shared" si="251"/>
        <v>0</v>
      </c>
      <c r="CC160" s="845">
        <f t="shared" si="251"/>
        <v>0</v>
      </c>
      <c r="CD160" s="845">
        <f t="shared" si="251"/>
        <v>0</v>
      </c>
      <c r="CE160" s="845">
        <f t="shared" si="251"/>
        <v>0</v>
      </c>
      <c r="CF160" s="845">
        <f t="shared" ref="CF160:DK160" si="252">CE164</f>
        <v>0</v>
      </c>
      <c r="CG160" s="845">
        <f t="shared" si="252"/>
        <v>0</v>
      </c>
      <c r="CH160" s="845">
        <f t="shared" si="252"/>
        <v>0</v>
      </c>
      <c r="CI160" s="845">
        <f t="shared" si="252"/>
        <v>0</v>
      </c>
      <c r="CJ160" s="845">
        <f t="shared" si="252"/>
        <v>0</v>
      </c>
      <c r="CK160" s="845">
        <f t="shared" si="252"/>
        <v>0</v>
      </c>
      <c r="CL160" s="845">
        <f t="shared" si="252"/>
        <v>0</v>
      </c>
      <c r="CM160" s="845">
        <f t="shared" si="252"/>
        <v>0</v>
      </c>
      <c r="CN160" s="845">
        <f t="shared" si="252"/>
        <v>0</v>
      </c>
      <c r="CO160" s="845">
        <f t="shared" si="252"/>
        <v>0</v>
      </c>
      <c r="CP160" s="845">
        <f t="shared" si="252"/>
        <v>0</v>
      </c>
      <c r="CQ160" s="845">
        <f t="shared" si="252"/>
        <v>0</v>
      </c>
      <c r="CR160" s="845">
        <f t="shared" si="252"/>
        <v>0</v>
      </c>
      <c r="CS160" s="845">
        <f t="shared" si="252"/>
        <v>0</v>
      </c>
      <c r="CT160" s="845">
        <f t="shared" si="252"/>
        <v>0</v>
      </c>
      <c r="CU160" s="845">
        <f t="shared" si="252"/>
        <v>0</v>
      </c>
      <c r="CV160" s="845">
        <f t="shared" si="252"/>
        <v>0</v>
      </c>
      <c r="CW160" s="845">
        <f t="shared" si="252"/>
        <v>0</v>
      </c>
      <c r="CX160" s="845">
        <f t="shared" si="252"/>
        <v>0</v>
      </c>
      <c r="CY160" s="845">
        <f t="shared" si="252"/>
        <v>0</v>
      </c>
      <c r="CZ160" s="845">
        <f t="shared" si="252"/>
        <v>0</v>
      </c>
      <c r="DA160" s="845">
        <f t="shared" si="252"/>
        <v>0</v>
      </c>
      <c r="DB160" s="845">
        <f t="shared" si="252"/>
        <v>0</v>
      </c>
      <c r="DC160" s="845">
        <f t="shared" si="252"/>
        <v>0</v>
      </c>
      <c r="DD160" s="845">
        <f t="shared" si="252"/>
        <v>0</v>
      </c>
      <c r="DE160" s="845">
        <f t="shared" si="252"/>
        <v>0</v>
      </c>
      <c r="DF160" s="845">
        <f t="shared" si="252"/>
        <v>0</v>
      </c>
      <c r="DG160" s="845">
        <f t="shared" si="252"/>
        <v>0</v>
      </c>
      <c r="DH160" s="845">
        <f t="shared" si="252"/>
        <v>0</v>
      </c>
      <c r="DI160" s="845">
        <f t="shared" si="252"/>
        <v>0</v>
      </c>
      <c r="DJ160" s="845">
        <f t="shared" si="252"/>
        <v>0</v>
      </c>
      <c r="DK160" s="845">
        <f t="shared" si="252"/>
        <v>0</v>
      </c>
      <c r="DL160" s="845">
        <f t="shared" ref="DL160:EI160" si="253">DK164</f>
        <v>0</v>
      </c>
      <c r="DM160" s="845">
        <f t="shared" si="253"/>
        <v>0</v>
      </c>
      <c r="DN160" s="845">
        <f t="shared" si="253"/>
        <v>0</v>
      </c>
      <c r="DO160" s="845">
        <f t="shared" si="253"/>
        <v>0</v>
      </c>
      <c r="DP160" s="845">
        <f t="shared" si="253"/>
        <v>0</v>
      </c>
      <c r="DQ160" s="845">
        <f t="shared" si="253"/>
        <v>0</v>
      </c>
      <c r="DR160" s="845">
        <f t="shared" si="253"/>
        <v>0</v>
      </c>
      <c r="DS160" s="845">
        <f t="shared" si="253"/>
        <v>0</v>
      </c>
      <c r="DT160" s="845">
        <f t="shared" si="253"/>
        <v>0</v>
      </c>
      <c r="DU160" s="845">
        <f t="shared" si="253"/>
        <v>0</v>
      </c>
      <c r="DV160" s="845">
        <f t="shared" si="253"/>
        <v>0</v>
      </c>
      <c r="DW160" s="845">
        <f t="shared" si="253"/>
        <v>0</v>
      </c>
      <c r="DX160" s="845">
        <f t="shared" si="253"/>
        <v>0</v>
      </c>
      <c r="DY160" s="845">
        <f t="shared" si="253"/>
        <v>0</v>
      </c>
      <c r="DZ160" s="845">
        <f t="shared" si="253"/>
        <v>0</v>
      </c>
      <c r="EA160" s="845">
        <f t="shared" si="253"/>
        <v>0</v>
      </c>
      <c r="EB160" s="845">
        <f t="shared" si="253"/>
        <v>0</v>
      </c>
      <c r="EC160" s="845">
        <f t="shared" si="253"/>
        <v>0</v>
      </c>
      <c r="ED160" s="845">
        <f t="shared" si="253"/>
        <v>0</v>
      </c>
      <c r="EE160" s="845">
        <f t="shared" si="253"/>
        <v>0</v>
      </c>
      <c r="EF160" s="845">
        <f t="shared" si="253"/>
        <v>0</v>
      </c>
      <c r="EG160" s="845">
        <f t="shared" si="253"/>
        <v>0</v>
      </c>
      <c r="EH160" s="845">
        <f t="shared" si="253"/>
        <v>0</v>
      </c>
      <c r="EI160" s="845">
        <f t="shared" si="253"/>
        <v>0</v>
      </c>
    </row>
    <row r="161" spans="2:139" ht="12.75" customHeight="1">
      <c r="B161" s="41" t="s">
        <v>180</v>
      </c>
      <c r="C161" s="211"/>
      <c r="D161" s="203">
        <f>SUMIF($S$6:$EI$6,D$5,$S161:$EI161)</f>
        <v>0</v>
      </c>
      <c r="E161" s="203"/>
      <c r="F161" s="203"/>
      <c r="G161" s="203"/>
      <c r="H161" s="203"/>
      <c r="I161" s="203"/>
      <c r="J161" s="203"/>
      <c r="K161" s="203"/>
      <c r="L161" s="203"/>
      <c r="M161" s="203"/>
      <c r="N161" s="203"/>
      <c r="O161" s="853">
        <f>SUM(D161:N161)</f>
        <v>0</v>
      </c>
      <c r="P161" s="313"/>
      <c r="Q161" s="313"/>
      <c r="R161" s="313"/>
      <c r="S161" s="845">
        <f>Assum2CurrBal*HasAssumableDebt2</f>
        <v>0</v>
      </c>
      <c r="T161" s="845"/>
      <c r="U161" s="845"/>
      <c r="V161" s="845"/>
      <c r="W161" s="845"/>
      <c r="X161" s="845"/>
      <c r="Y161" s="845"/>
      <c r="Z161" s="845"/>
      <c r="AA161" s="845"/>
      <c r="AB161" s="845"/>
      <c r="AC161" s="845"/>
      <c r="AD161" s="845"/>
      <c r="AE161" s="845"/>
      <c r="AF161" s="845"/>
      <c r="AG161" s="845"/>
      <c r="AH161" s="845"/>
      <c r="AI161" s="845"/>
      <c r="AJ161" s="845"/>
      <c r="AK161" s="845"/>
      <c r="AL161" s="845"/>
      <c r="AM161" s="845"/>
      <c r="AN161" s="845"/>
      <c r="AO161" s="845"/>
      <c r="AP161" s="845"/>
      <c r="AQ161" s="845"/>
      <c r="AR161" s="845"/>
      <c r="AS161" s="845"/>
      <c r="AT161" s="845"/>
      <c r="AU161" s="845"/>
      <c r="AV161" s="845"/>
      <c r="AW161" s="845"/>
      <c r="AX161" s="845"/>
      <c r="AY161" s="845"/>
      <c r="AZ161" s="845"/>
      <c r="BA161" s="845"/>
      <c r="BB161" s="845"/>
      <c r="BC161" s="845"/>
      <c r="BD161" s="845"/>
      <c r="BE161" s="845"/>
      <c r="BF161" s="845"/>
      <c r="BG161" s="845"/>
      <c r="BH161" s="845"/>
      <c r="BI161" s="845"/>
      <c r="BJ161" s="845"/>
      <c r="BK161" s="845"/>
      <c r="BL161" s="845"/>
      <c r="BM161" s="845"/>
      <c r="BN161" s="845"/>
      <c r="BO161" s="845"/>
      <c r="BP161" s="845"/>
      <c r="BQ161" s="845"/>
      <c r="BR161" s="845"/>
      <c r="BS161" s="845"/>
      <c r="BT161" s="845"/>
      <c r="BU161" s="845"/>
      <c r="BV161" s="845"/>
      <c r="BW161" s="845"/>
      <c r="BX161" s="845"/>
      <c r="BY161" s="845"/>
      <c r="BZ161" s="845"/>
      <c r="CA161" s="845"/>
      <c r="CB161" s="845"/>
      <c r="CC161" s="845"/>
      <c r="CD161" s="845"/>
      <c r="CE161" s="845"/>
      <c r="CF161" s="845"/>
      <c r="CG161" s="845"/>
      <c r="CH161" s="845"/>
      <c r="CI161" s="845"/>
      <c r="CJ161" s="845"/>
      <c r="CK161" s="845"/>
      <c r="CL161" s="845"/>
      <c r="CM161" s="845"/>
      <c r="CN161" s="845"/>
      <c r="CO161" s="845"/>
      <c r="CP161" s="845"/>
      <c r="CQ161" s="845"/>
      <c r="CR161" s="845"/>
      <c r="CS161" s="845"/>
      <c r="CT161" s="845"/>
      <c r="CU161" s="845"/>
      <c r="CV161" s="845"/>
      <c r="CW161" s="845"/>
      <c r="CX161" s="845"/>
      <c r="CY161" s="845"/>
      <c r="CZ161" s="845"/>
      <c r="DA161" s="845"/>
      <c r="DB161" s="845"/>
      <c r="DC161" s="845"/>
      <c r="DD161" s="845"/>
      <c r="DE161" s="845"/>
      <c r="DF161" s="845"/>
      <c r="DG161" s="845"/>
      <c r="DH161" s="845"/>
      <c r="DI161" s="845"/>
      <c r="DJ161" s="845"/>
      <c r="DK161" s="845"/>
      <c r="DL161" s="845"/>
      <c r="DM161" s="845"/>
      <c r="DN161" s="845"/>
      <c r="DO161" s="845"/>
      <c r="DP161" s="845"/>
      <c r="DQ161" s="845"/>
      <c r="DR161" s="845"/>
      <c r="DS161" s="845"/>
      <c r="DT161" s="845"/>
      <c r="DU161" s="845"/>
      <c r="DV161" s="845"/>
      <c r="DW161" s="845"/>
      <c r="DX161" s="845"/>
      <c r="DY161" s="845"/>
      <c r="DZ161" s="845"/>
      <c r="EA161" s="845"/>
      <c r="EB161" s="845"/>
      <c r="EC161" s="845"/>
      <c r="ED161" s="845"/>
      <c r="EE161" s="845"/>
      <c r="EF161" s="845"/>
      <c r="EG161" s="845"/>
      <c r="EH161" s="845"/>
      <c r="EI161" s="845"/>
    </row>
    <row r="162" spans="2:139" ht="12.75" customHeight="1">
      <c r="B162" s="41" t="s">
        <v>594</v>
      </c>
      <c r="C162" s="211"/>
      <c r="D162" s="203"/>
      <c r="E162" s="203">
        <f t="shared" ref="E162:N163" si="254">SUMIF($S$6:$EI$6,E$5,$S162:$EI162)</f>
        <v>0</v>
      </c>
      <c r="F162" s="203">
        <f t="shared" si="254"/>
        <v>0</v>
      </c>
      <c r="G162" s="203">
        <f t="shared" si="254"/>
        <v>0</v>
      </c>
      <c r="H162" s="203">
        <f t="shared" si="254"/>
        <v>0</v>
      </c>
      <c r="I162" s="203">
        <f t="shared" si="254"/>
        <v>0</v>
      </c>
      <c r="J162" s="203">
        <f t="shared" si="254"/>
        <v>0</v>
      </c>
      <c r="K162" s="203">
        <f t="shared" si="254"/>
        <v>0</v>
      </c>
      <c r="L162" s="203">
        <f t="shared" si="254"/>
        <v>0</v>
      </c>
      <c r="M162" s="203">
        <f t="shared" si="254"/>
        <v>0</v>
      </c>
      <c r="N162" s="203">
        <f t="shared" si="254"/>
        <v>0</v>
      </c>
      <c r="O162" s="853">
        <f>SUM(D162:N162)</f>
        <v>0</v>
      </c>
      <c r="P162" s="313"/>
      <c r="Q162" s="313"/>
      <c r="R162" s="313"/>
      <c r="S162" s="845"/>
      <c r="T162" s="845">
        <f>IF(AND(HasAssumableDebt2,Assumable2HasAmort,T160,T$5&gt;Assum2RemainTerm-AssumLoan2Term+Assume2IOPer),IF(Assum2PmtType=VariablePmt,PPMT(Assum2IntRate/12,T$5+AssumLoan2Term-Assum2RemainTerm-Assume2IOPer,Assum2AmortPer*12,Assum2OrigBal),-MIN(T160,PMT(Assum2IntRate/12,Assum2AmortPer*12,-Assum2OrigBal)+T155)),)</f>
        <v>0</v>
      </c>
      <c r="U162" s="845">
        <f>IF(AND(HasAssumableDebt2,Assumable2HasAmort,U160,U$5&gt;Assum2RemainTerm-AssumLoan2Term+Assume2IOPer),IF(Assum2PmtType=VariablePmt,PPMT(Assum2IntRate/12,U$5+AssumLoan2Term-Assum2RemainTerm-Assume2IOPer,Assum2AmortPer*12,Assum2OrigBal),-MIN(U160,PMT(Assum2IntRate/12,Assum2AmortPer*12,-Assum2OrigBal)+U155)),)</f>
        <v>0</v>
      </c>
      <c r="V162" s="845">
        <f>IF(AND(HasAssumableDebt2,Assumable2HasAmort,V160,V$5&gt;Assum2RemainTerm-AssumLoan2Term+Assume2IOPer),IF(Assum2PmtType=VariablePmt,PPMT(Assum2IntRate/12,V$5+AssumLoan2Term-Assum2RemainTerm-Assume2IOPer,Assum2AmortPer*12,Assum2OrigBal),-MIN(V160,PMT(Assum2IntRate/12,Assum2AmortPer*12,-Assum2OrigBal)+V155)),)</f>
        <v>0</v>
      </c>
      <c r="W162" s="845">
        <f>IF(AND(HasAssumableDebt2,Assumable2HasAmort,W160,W$5&gt;Assum2RemainTerm-AssumLoan2Term+Assume2IOPer),IF(Assum2PmtType=VariablePmt,PPMT(Assum2IntRate/12,W$5+AssumLoan2Term-Assum2RemainTerm-Assume2IOPer,Assum2AmortPer*12,Assum2OrigBal),-MIN(W160,PMT(Assum2IntRate/12,Assum2AmortPer*12,-Assum2OrigBal)+W155)),)</f>
        <v>0</v>
      </c>
      <c r="X162" s="845">
        <f>IF(AND(HasAssumableDebt2,Assumable2HasAmort,X160,X$5&gt;Assum2RemainTerm-AssumLoan2Term+Assume2IOPer),IF(Assum2PmtType=VariablePmt,PPMT(Assum2IntRate/12,X$5+AssumLoan2Term-Assum2RemainTerm-Assume2IOPer,Assum2AmortPer*12,Assum2OrigBal),-MIN(X160,PMT(Assum2IntRate/12,Assum2AmortPer*12,-Assum2OrigBal)+X155)),)</f>
        <v>0</v>
      </c>
      <c r="Y162" s="845">
        <f>IF(AND(HasAssumableDebt2,Assumable2HasAmort,Y160,Y$5&gt;Assum2RemainTerm-AssumLoan2Term+Assume2IOPer),IF(Assum2PmtType=VariablePmt,PPMT(Assum2IntRate/12,Y$5+AssumLoan2Term-Assum2RemainTerm-Assume2IOPer,Assum2AmortPer*12,Assum2OrigBal),-MIN(Y160,PMT(Assum2IntRate/12,Assum2AmortPer*12,-Assum2OrigBal)+Y155)),)</f>
        <v>0</v>
      </c>
      <c r="Z162" s="845">
        <f>IF(AND(HasAssumableDebt2,Assumable2HasAmort,Z160,Z$5&gt;Assum2RemainTerm-AssumLoan2Term+Assume2IOPer),IF(Assum2PmtType=VariablePmt,PPMT(Assum2IntRate/12,Z$5+AssumLoan2Term-Assum2RemainTerm-Assume2IOPer,Assum2AmortPer*12,Assum2OrigBal),-MIN(Z160,PMT(Assum2IntRate/12,Assum2AmortPer*12,-Assum2OrigBal)+Z155)),)</f>
        <v>0</v>
      </c>
      <c r="AA162" s="845">
        <f>IF(AND(HasAssumableDebt2,Assumable2HasAmort,AA160,AA$5&gt;Assum2RemainTerm-AssumLoan2Term+Assume2IOPer),IF(Assum2PmtType=VariablePmt,PPMT(Assum2IntRate/12,AA$5+AssumLoan2Term-Assum2RemainTerm-Assume2IOPer,Assum2AmortPer*12,Assum2OrigBal),-MIN(AA160,PMT(Assum2IntRate/12,Assum2AmortPer*12,-Assum2OrigBal)+AA155)),)</f>
        <v>0</v>
      </c>
      <c r="AB162" s="845">
        <f>IF(AND(HasAssumableDebt2,Assumable2HasAmort,AB160,AB$5&gt;Assum2RemainTerm-AssumLoan2Term+Assume2IOPer),IF(Assum2PmtType=VariablePmt,PPMT(Assum2IntRate/12,AB$5+AssumLoan2Term-Assum2RemainTerm-Assume2IOPer,Assum2AmortPer*12,Assum2OrigBal),-MIN(AB160,PMT(Assum2IntRate/12,Assum2AmortPer*12,-Assum2OrigBal)+AB155)),)</f>
        <v>0</v>
      </c>
      <c r="AC162" s="845">
        <f>IF(AND(HasAssumableDebt2,Assumable2HasAmort,AC160,AC$5&gt;Assum2RemainTerm-AssumLoan2Term+Assume2IOPer),IF(Assum2PmtType=VariablePmt,PPMT(Assum2IntRate/12,AC$5+AssumLoan2Term-Assum2RemainTerm-Assume2IOPer,Assum2AmortPer*12,Assum2OrigBal),-MIN(AC160,PMT(Assum2IntRate/12,Assum2AmortPer*12,-Assum2OrigBal)+AC155)),)</f>
        <v>0</v>
      </c>
      <c r="AD162" s="845">
        <f>IF(AND(HasAssumableDebt2,Assumable2HasAmort,AD160,AD$5&gt;Assum2RemainTerm-AssumLoan2Term+Assume2IOPer),IF(Assum2PmtType=VariablePmt,PPMT(Assum2IntRate/12,AD$5+AssumLoan2Term-Assum2RemainTerm-Assume2IOPer,Assum2AmortPer*12,Assum2OrigBal),-MIN(AD160,PMT(Assum2IntRate/12,Assum2AmortPer*12,-Assum2OrigBal)+AD155)),)</f>
        <v>0</v>
      </c>
      <c r="AE162" s="845">
        <f>IF(AND(HasAssumableDebt2,Assumable2HasAmort,AE160,AE$5&gt;Assum2RemainTerm-AssumLoan2Term+Assume2IOPer),IF(Assum2PmtType=VariablePmt,PPMT(Assum2IntRate/12,AE$5+AssumLoan2Term-Assum2RemainTerm-Assume2IOPer,Assum2AmortPer*12,Assum2OrigBal),-MIN(AE160,PMT(Assum2IntRate/12,Assum2AmortPer*12,-Assum2OrigBal)+AE155)),)</f>
        <v>0</v>
      </c>
      <c r="AF162" s="845">
        <f>IF(AND(HasAssumableDebt2,Assumable2HasAmort,AF160,AF$5&gt;Assum2RemainTerm-AssumLoan2Term+Assume2IOPer),IF(Assum2PmtType=VariablePmt,PPMT(Assum2IntRate/12,AF$5+AssumLoan2Term-Assum2RemainTerm-Assume2IOPer,Assum2AmortPer*12,Assum2OrigBal),-MIN(AF160,PMT(Assum2IntRate/12,Assum2AmortPer*12,-Assum2OrigBal)+AF155)),)</f>
        <v>0</v>
      </c>
      <c r="AG162" s="845">
        <f>IF(AND(HasAssumableDebt2,Assumable2HasAmort,AG160,AG$5&gt;Assum2RemainTerm-AssumLoan2Term+Assume2IOPer),IF(Assum2PmtType=VariablePmt,PPMT(Assum2IntRate/12,AG$5+AssumLoan2Term-Assum2RemainTerm-Assume2IOPer,Assum2AmortPer*12,Assum2OrigBal),-MIN(AG160,PMT(Assum2IntRate/12,Assum2AmortPer*12,-Assum2OrigBal)+AG155)),)</f>
        <v>0</v>
      </c>
      <c r="AH162" s="845">
        <f>IF(AND(HasAssumableDebt2,Assumable2HasAmort,AH160,AH$5&gt;Assum2RemainTerm-AssumLoan2Term+Assume2IOPer),IF(Assum2PmtType=VariablePmt,PPMT(Assum2IntRate/12,AH$5+AssumLoan2Term-Assum2RemainTerm-Assume2IOPer,Assum2AmortPer*12,Assum2OrigBal),-MIN(AH160,PMT(Assum2IntRate/12,Assum2AmortPer*12,-Assum2OrigBal)+AH155)),)</f>
        <v>0</v>
      </c>
      <c r="AI162" s="845">
        <f>IF(AND(HasAssumableDebt2,Assumable2HasAmort,AI160,AI$5&gt;Assum2RemainTerm-AssumLoan2Term+Assume2IOPer),IF(Assum2PmtType=VariablePmt,PPMT(Assum2IntRate/12,AI$5+AssumLoan2Term-Assum2RemainTerm-Assume2IOPer,Assum2AmortPer*12,Assum2OrigBal),-MIN(AI160,PMT(Assum2IntRate/12,Assum2AmortPer*12,-Assum2OrigBal)+AI155)),)</f>
        <v>0</v>
      </c>
      <c r="AJ162" s="845">
        <f>IF(AND(HasAssumableDebt2,Assumable2HasAmort,AJ160,AJ$5&gt;Assum2RemainTerm-AssumLoan2Term+Assume2IOPer),IF(Assum2PmtType=VariablePmt,PPMT(Assum2IntRate/12,AJ$5+AssumLoan2Term-Assum2RemainTerm-Assume2IOPer,Assum2AmortPer*12,Assum2OrigBal),-MIN(AJ160,PMT(Assum2IntRate/12,Assum2AmortPer*12,-Assum2OrigBal)+AJ155)),)</f>
        <v>0</v>
      </c>
      <c r="AK162" s="845">
        <f>IF(AND(HasAssumableDebt2,Assumable2HasAmort,AK160,AK$5&gt;Assum2RemainTerm-AssumLoan2Term+Assume2IOPer),IF(Assum2PmtType=VariablePmt,PPMT(Assum2IntRate/12,AK$5+AssumLoan2Term-Assum2RemainTerm-Assume2IOPer,Assum2AmortPer*12,Assum2OrigBal),-MIN(AK160,PMT(Assum2IntRate/12,Assum2AmortPer*12,-Assum2OrigBal)+AK155)),)</f>
        <v>0</v>
      </c>
      <c r="AL162" s="845">
        <f>IF(AND(HasAssumableDebt2,Assumable2HasAmort,AL160,AL$5&gt;Assum2RemainTerm-AssumLoan2Term+Assume2IOPer),IF(Assum2PmtType=VariablePmt,PPMT(Assum2IntRate/12,AL$5+AssumLoan2Term-Assum2RemainTerm-Assume2IOPer,Assum2AmortPer*12,Assum2OrigBal),-MIN(AL160,PMT(Assum2IntRate/12,Assum2AmortPer*12,-Assum2OrigBal)+AL155)),)</f>
        <v>0</v>
      </c>
      <c r="AM162" s="845">
        <f>IF(AND(HasAssumableDebt2,Assumable2HasAmort,AM160,AM$5&gt;Assum2RemainTerm-AssumLoan2Term+Assume2IOPer),IF(Assum2PmtType=VariablePmt,PPMT(Assum2IntRate/12,AM$5+AssumLoan2Term-Assum2RemainTerm-Assume2IOPer,Assum2AmortPer*12,Assum2OrigBal),-MIN(AM160,PMT(Assum2IntRate/12,Assum2AmortPer*12,-Assum2OrigBal)+AM155)),)</f>
        <v>0</v>
      </c>
      <c r="AN162" s="845">
        <f>IF(AND(HasAssumableDebt2,Assumable2HasAmort,AN160,AN$5&gt;Assum2RemainTerm-AssumLoan2Term+Assume2IOPer),IF(Assum2PmtType=VariablePmt,PPMT(Assum2IntRate/12,AN$5+AssumLoan2Term-Assum2RemainTerm-Assume2IOPer,Assum2AmortPer*12,Assum2OrigBal),-MIN(AN160,PMT(Assum2IntRate/12,Assum2AmortPer*12,-Assum2OrigBal)+AN155)),)</f>
        <v>0</v>
      </c>
      <c r="AO162" s="845">
        <f>IF(AND(HasAssumableDebt2,Assumable2HasAmort,AO160,AO$5&gt;Assum2RemainTerm-AssumLoan2Term+Assume2IOPer),IF(Assum2PmtType=VariablePmt,PPMT(Assum2IntRate/12,AO$5+AssumLoan2Term-Assum2RemainTerm-Assume2IOPer,Assum2AmortPer*12,Assum2OrigBal),-MIN(AO160,PMT(Assum2IntRate/12,Assum2AmortPer*12,-Assum2OrigBal)+AO155)),)</f>
        <v>0</v>
      </c>
      <c r="AP162" s="845">
        <f>IF(AND(HasAssumableDebt2,Assumable2HasAmort,AP160,AP$5&gt;Assum2RemainTerm-AssumLoan2Term+Assume2IOPer),IF(Assum2PmtType=VariablePmt,PPMT(Assum2IntRate/12,AP$5+AssumLoan2Term-Assum2RemainTerm-Assume2IOPer,Assum2AmortPer*12,Assum2OrigBal),-MIN(AP160,PMT(Assum2IntRate/12,Assum2AmortPer*12,-Assum2OrigBal)+AP155)),)</f>
        <v>0</v>
      </c>
      <c r="AQ162" s="845">
        <f>IF(AND(HasAssumableDebt2,Assumable2HasAmort,AQ160,AQ$5&gt;Assum2RemainTerm-AssumLoan2Term+Assume2IOPer),IF(Assum2PmtType=VariablePmt,PPMT(Assum2IntRate/12,AQ$5+AssumLoan2Term-Assum2RemainTerm-Assume2IOPer,Assum2AmortPer*12,Assum2OrigBal),-MIN(AQ160,PMT(Assum2IntRate/12,Assum2AmortPer*12,-Assum2OrigBal)+AQ155)),)</f>
        <v>0</v>
      </c>
      <c r="AR162" s="845">
        <f>IF(AND(HasAssumableDebt2,Assumable2HasAmort,AR160,AR$5&gt;Assum2RemainTerm-AssumLoan2Term+Assume2IOPer),IF(Assum2PmtType=VariablePmt,PPMT(Assum2IntRate/12,AR$5+AssumLoan2Term-Assum2RemainTerm-Assume2IOPer,Assum2AmortPer*12,Assum2OrigBal),-MIN(AR160,PMT(Assum2IntRate/12,Assum2AmortPer*12,-Assum2OrigBal)+AR155)),)</f>
        <v>0</v>
      </c>
      <c r="AS162" s="845">
        <f>IF(AND(HasAssumableDebt2,Assumable2HasAmort,AS160,AS$5&gt;Assum2RemainTerm-AssumLoan2Term+Assume2IOPer),IF(Assum2PmtType=VariablePmt,PPMT(Assum2IntRate/12,AS$5+AssumLoan2Term-Assum2RemainTerm-Assume2IOPer,Assum2AmortPer*12,Assum2OrigBal),-MIN(AS160,PMT(Assum2IntRate/12,Assum2AmortPer*12,-Assum2OrigBal)+AS155)),)</f>
        <v>0</v>
      </c>
      <c r="AT162" s="845">
        <f>IF(AND(HasAssumableDebt2,Assumable2HasAmort,AT160,AT$5&gt;Assum2RemainTerm-AssumLoan2Term+Assume2IOPer),IF(Assum2PmtType=VariablePmt,PPMT(Assum2IntRate/12,AT$5+AssumLoan2Term-Assum2RemainTerm-Assume2IOPer,Assum2AmortPer*12,Assum2OrigBal),-MIN(AT160,PMT(Assum2IntRate/12,Assum2AmortPer*12,-Assum2OrigBal)+AT155)),)</f>
        <v>0</v>
      </c>
      <c r="AU162" s="845">
        <f>IF(AND(HasAssumableDebt2,Assumable2HasAmort,AU160,AU$5&gt;Assum2RemainTerm-AssumLoan2Term+Assume2IOPer),IF(Assum2PmtType=VariablePmt,PPMT(Assum2IntRate/12,AU$5+AssumLoan2Term-Assum2RemainTerm-Assume2IOPer,Assum2AmortPer*12,Assum2OrigBal),-MIN(AU160,PMT(Assum2IntRate/12,Assum2AmortPer*12,-Assum2OrigBal)+AU155)),)</f>
        <v>0</v>
      </c>
      <c r="AV162" s="845">
        <f>IF(AND(HasAssumableDebt2,Assumable2HasAmort,AV160,AV$5&gt;Assum2RemainTerm-AssumLoan2Term+Assume2IOPer),IF(Assum2PmtType=VariablePmt,PPMT(Assum2IntRate/12,AV$5+AssumLoan2Term-Assum2RemainTerm-Assume2IOPer,Assum2AmortPer*12,Assum2OrigBal),-MIN(AV160,PMT(Assum2IntRate/12,Assum2AmortPer*12,-Assum2OrigBal)+AV155)),)</f>
        <v>0</v>
      </c>
      <c r="AW162" s="845">
        <f>IF(AND(HasAssumableDebt2,Assumable2HasAmort,AW160,AW$5&gt;Assum2RemainTerm-AssumLoan2Term+Assume2IOPer),IF(Assum2PmtType=VariablePmt,PPMT(Assum2IntRate/12,AW$5+AssumLoan2Term-Assum2RemainTerm-Assume2IOPer,Assum2AmortPer*12,Assum2OrigBal),-MIN(AW160,PMT(Assum2IntRate/12,Assum2AmortPer*12,-Assum2OrigBal)+AW155)),)</f>
        <v>0</v>
      </c>
      <c r="AX162" s="845">
        <f>IF(AND(HasAssumableDebt2,Assumable2HasAmort,AX160,AX$5&gt;Assum2RemainTerm-AssumLoan2Term+Assume2IOPer),IF(Assum2PmtType=VariablePmt,PPMT(Assum2IntRate/12,AX$5+AssumLoan2Term-Assum2RemainTerm-Assume2IOPer,Assum2AmortPer*12,Assum2OrigBal),-MIN(AX160,PMT(Assum2IntRate/12,Assum2AmortPer*12,-Assum2OrigBal)+AX155)),)</f>
        <v>0</v>
      </c>
      <c r="AY162" s="845">
        <f>IF(AND(HasAssumableDebt2,Assumable2HasAmort,AY160,AY$5&gt;Assum2RemainTerm-AssumLoan2Term+Assume2IOPer),IF(Assum2PmtType=VariablePmt,PPMT(Assum2IntRate/12,AY$5+AssumLoan2Term-Assum2RemainTerm-Assume2IOPer,Assum2AmortPer*12,Assum2OrigBal),-MIN(AY160,PMT(Assum2IntRate/12,Assum2AmortPer*12,-Assum2OrigBal)+AY155)),)</f>
        <v>0</v>
      </c>
      <c r="AZ162" s="845">
        <f>IF(AND(HasAssumableDebt2,Assumable2HasAmort,AZ160,AZ$5&gt;Assum2RemainTerm-AssumLoan2Term+Assume2IOPer),IF(Assum2PmtType=VariablePmt,PPMT(Assum2IntRate/12,AZ$5+AssumLoan2Term-Assum2RemainTerm-Assume2IOPer,Assum2AmortPer*12,Assum2OrigBal),-MIN(AZ160,PMT(Assum2IntRate/12,Assum2AmortPer*12,-Assum2OrigBal)+AZ155)),)</f>
        <v>0</v>
      </c>
      <c r="BA162" s="845">
        <f>IF(AND(HasAssumableDebt2,Assumable2HasAmort,BA160,BA$5&gt;Assum2RemainTerm-AssumLoan2Term+Assume2IOPer),IF(Assum2PmtType=VariablePmt,PPMT(Assum2IntRate/12,BA$5+AssumLoan2Term-Assum2RemainTerm-Assume2IOPer,Assum2AmortPer*12,Assum2OrigBal),-MIN(BA160,PMT(Assum2IntRate/12,Assum2AmortPer*12,-Assum2OrigBal)+BA155)),)</f>
        <v>0</v>
      </c>
      <c r="BB162" s="845">
        <f>IF(AND(HasAssumableDebt2,Assumable2HasAmort,BB160,BB$5&gt;Assum2RemainTerm-AssumLoan2Term+Assume2IOPer),IF(Assum2PmtType=VariablePmt,PPMT(Assum2IntRate/12,BB$5+AssumLoan2Term-Assum2RemainTerm-Assume2IOPer,Assum2AmortPer*12,Assum2OrigBal),-MIN(BB160,PMT(Assum2IntRate/12,Assum2AmortPer*12,-Assum2OrigBal)+BB155)),)</f>
        <v>0</v>
      </c>
      <c r="BC162" s="845">
        <f>IF(AND(HasAssumableDebt2,Assumable2HasAmort,BC160,BC$5&gt;Assum2RemainTerm-AssumLoan2Term+Assume2IOPer),IF(Assum2PmtType=VariablePmt,PPMT(Assum2IntRate/12,BC$5+AssumLoan2Term-Assum2RemainTerm-Assume2IOPer,Assum2AmortPer*12,Assum2OrigBal),-MIN(BC160,PMT(Assum2IntRate/12,Assum2AmortPer*12,-Assum2OrigBal)+BC155)),)</f>
        <v>0</v>
      </c>
      <c r="BD162" s="845">
        <f>IF(AND(HasAssumableDebt2,Assumable2HasAmort,BD160,BD$5&gt;Assum2RemainTerm-AssumLoan2Term+Assume2IOPer),IF(Assum2PmtType=VariablePmt,PPMT(Assum2IntRate/12,BD$5+AssumLoan2Term-Assum2RemainTerm-Assume2IOPer,Assum2AmortPer*12,Assum2OrigBal),-MIN(BD160,PMT(Assum2IntRate/12,Assum2AmortPer*12,-Assum2OrigBal)+BD155)),)</f>
        <v>0</v>
      </c>
      <c r="BE162" s="845">
        <f>IF(AND(HasAssumableDebt2,Assumable2HasAmort,BE160,BE$5&gt;Assum2RemainTerm-AssumLoan2Term+Assume2IOPer),IF(Assum2PmtType=VariablePmt,PPMT(Assum2IntRate/12,BE$5+AssumLoan2Term-Assum2RemainTerm-Assume2IOPer,Assum2AmortPer*12,Assum2OrigBal),-MIN(BE160,PMT(Assum2IntRate/12,Assum2AmortPer*12,-Assum2OrigBal)+BE155)),)</f>
        <v>0</v>
      </c>
      <c r="BF162" s="845">
        <f>IF(AND(HasAssumableDebt2,Assumable2HasAmort,BF160,BF$5&gt;Assum2RemainTerm-AssumLoan2Term+Assume2IOPer),IF(Assum2PmtType=VariablePmt,PPMT(Assum2IntRate/12,BF$5+AssumLoan2Term-Assum2RemainTerm-Assume2IOPer,Assum2AmortPer*12,Assum2OrigBal),-MIN(BF160,PMT(Assum2IntRate/12,Assum2AmortPer*12,-Assum2OrigBal)+BF155)),)</f>
        <v>0</v>
      </c>
      <c r="BG162" s="845">
        <f>IF(AND(HasAssumableDebt2,Assumable2HasAmort,BG160,BG$5&gt;Assum2RemainTerm-AssumLoan2Term+Assume2IOPer),IF(Assum2PmtType=VariablePmt,PPMT(Assum2IntRate/12,BG$5+AssumLoan2Term-Assum2RemainTerm-Assume2IOPer,Assum2AmortPer*12,Assum2OrigBal),-MIN(BG160,PMT(Assum2IntRate/12,Assum2AmortPer*12,-Assum2OrigBal)+BG155)),)</f>
        <v>0</v>
      </c>
      <c r="BH162" s="845">
        <f>IF(AND(HasAssumableDebt2,Assumable2HasAmort,BH160,BH$5&gt;Assum2RemainTerm-AssumLoan2Term+Assume2IOPer),IF(Assum2PmtType=VariablePmt,PPMT(Assum2IntRate/12,BH$5+AssumLoan2Term-Assum2RemainTerm-Assume2IOPer,Assum2AmortPer*12,Assum2OrigBal),-MIN(BH160,PMT(Assum2IntRate/12,Assum2AmortPer*12,-Assum2OrigBal)+BH155)),)</f>
        <v>0</v>
      </c>
      <c r="BI162" s="845">
        <f>IF(AND(HasAssumableDebt2,Assumable2HasAmort,BI160,BI$5&gt;Assum2RemainTerm-AssumLoan2Term+Assume2IOPer),IF(Assum2PmtType=VariablePmt,PPMT(Assum2IntRate/12,BI$5+AssumLoan2Term-Assum2RemainTerm-Assume2IOPer,Assum2AmortPer*12,Assum2OrigBal),-MIN(BI160,PMT(Assum2IntRate/12,Assum2AmortPer*12,-Assum2OrigBal)+BI155)),)</f>
        <v>0</v>
      </c>
      <c r="BJ162" s="845">
        <f>IF(AND(HasAssumableDebt2,Assumable2HasAmort,BJ160,BJ$5&gt;Assum2RemainTerm-AssumLoan2Term+Assume2IOPer),IF(Assum2PmtType=VariablePmt,PPMT(Assum2IntRate/12,BJ$5+AssumLoan2Term-Assum2RemainTerm-Assume2IOPer,Assum2AmortPer*12,Assum2OrigBal),-MIN(BJ160,PMT(Assum2IntRate/12,Assum2AmortPer*12,-Assum2OrigBal)+BJ155)),)</f>
        <v>0</v>
      </c>
      <c r="BK162" s="845">
        <f>IF(AND(HasAssumableDebt2,Assumable2HasAmort,BK160,BK$5&gt;Assum2RemainTerm-AssumLoan2Term+Assume2IOPer),IF(Assum2PmtType=VariablePmt,PPMT(Assum2IntRate/12,BK$5+AssumLoan2Term-Assum2RemainTerm-Assume2IOPer,Assum2AmortPer*12,Assum2OrigBal),-MIN(BK160,PMT(Assum2IntRate/12,Assum2AmortPer*12,-Assum2OrigBal)+BK155)),)</f>
        <v>0</v>
      </c>
      <c r="BL162" s="845">
        <f>IF(AND(HasAssumableDebt2,Assumable2HasAmort,BL160,BL$5&gt;Assum2RemainTerm-AssumLoan2Term+Assume2IOPer),IF(Assum2PmtType=VariablePmt,PPMT(Assum2IntRate/12,BL$5+AssumLoan2Term-Assum2RemainTerm-Assume2IOPer,Assum2AmortPer*12,Assum2OrigBal),-MIN(BL160,PMT(Assum2IntRate/12,Assum2AmortPer*12,-Assum2OrigBal)+BL155)),)</f>
        <v>0</v>
      </c>
      <c r="BM162" s="845">
        <f>IF(AND(HasAssumableDebt2,Assumable2HasAmort,BM160,BM$5&gt;Assum2RemainTerm-AssumLoan2Term+Assume2IOPer),IF(Assum2PmtType=VariablePmt,PPMT(Assum2IntRate/12,BM$5+AssumLoan2Term-Assum2RemainTerm-Assume2IOPer,Assum2AmortPer*12,Assum2OrigBal),-MIN(BM160,PMT(Assum2IntRate/12,Assum2AmortPer*12,-Assum2OrigBal)+BM155)),)</f>
        <v>0</v>
      </c>
      <c r="BN162" s="845">
        <f>IF(AND(HasAssumableDebt2,Assumable2HasAmort,BN160,BN$5&gt;Assum2RemainTerm-AssumLoan2Term+Assume2IOPer),IF(Assum2PmtType=VariablePmt,PPMT(Assum2IntRate/12,BN$5+AssumLoan2Term-Assum2RemainTerm-Assume2IOPer,Assum2AmortPer*12,Assum2OrigBal),-MIN(BN160,PMT(Assum2IntRate/12,Assum2AmortPer*12,-Assum2OrigBal)+BN155)),)</f>
        <v>0</v>
      </c>
      <c r="BO162" s="845">
        <f>IF(AND(HasAssumableDebt2,Assumable2HasAmort,BO160,BO$5&gt;Assum2RemainTerm-AssumLoan2Term+Assume2IOPer),IF(Assum2PmtType=VariablePmt,PPMT(Assum2IntRate/12,BO$5+AssumLoan2Term-Assum2RemainTerm-Assume2IOPer,Assum2AmortPer*12,Assum2OrigBal),-MIN(BO160,PMT(Assum2IntRate/12,Assum2AmortPer*12,-Assum2OrigBal)+BO155)),)</f>
        <v>0</v>
      </c>
      <c r="BP162" s="845">
        <f>IF(AND(HasAssumableDebt2,Assumable2HasAmort,BP160,BP$5&gt;Assum2RemainTerm-AssumLoan2Term+Assume2IOPer),IF(Assum2PmtType=VariablePmt,PPMT(Assum2IntRate/12,BP$5+AssumLoan2Term-Assum2RemainTerm-Assume2IOPer,Assum2AmortPer*12,Assum2OrigBal),-MIN(BP160,PMT(Assum2IntRate/12,Assum2AmortPer*12,-Assum2OrigBal)+BP155)),)</f>
        <v>0</v>
      </c>
      <c r="BQ162" s="845">
        <f>IF(AND(HasAssumableDebt2,Assumable2HasAmort,BQ160,BQ$5&gt;Assum2RemainTerm-AssumLoan2Term+Assume2IOPer),IF(Assum2PmtType=VariablePmt,PPMT(Assum2IntRate/12,BQ$5+AssumLoan2Term-Assum2RemainTerm-Assume2IOPer,Assum2AmortPer*12,Assum2OrigBal),-MIN(BQ160,PMT(Assum2IntRate/12,Assum2AmortPer*12,-Assum2OrigBal)+BQ155)),)</f>
        <v>0</v>
      </c>
      <c r="BR162" s="845">
        <f>IF(AND(HasAssumableDebt2,Assumable2HasAmort,BR160,BR$5&gt;Assum2RemainTerm-AssumLoan2Term+Assume2IOPer),IF(Assum2PmtType=VariablePmt,PPMT(Assum2IntRate/12,BR$5+AssumLoan2Term-Assum2RemainTerm-Assume2IOPer,Assum2AmortPer*12,Assum2OrigBal),-MIN(BR160,PMT(Assum2IntRate/12,Assum2AmortPer*12,-Assum2OrigBal)+BR155)),)</f>
        <v>0</v>
      </c>
      <c r="BS162" s="845">
        <f>IF(AND(HasAssumableDebt2,Assumable2HasAmort,BS160,BS$5&gt;Assum2RemainTerm-AssumLoan2Term+Assume2IOPer),IF(Assum2PmtType=VariablePmt,PPMT(Assum2IntRate/12,BS$5+AssumLoan2Term-Assum2RemainTerm-Assume2IOPer,Assum2AmortPer*12,Assum2OrigBal),-MIN(BS160,PMT(Assum2IntRate/12,Assum2AmortPer*12,-Assum2OrigBal)+BS155)),)</f>
        <v>0</v>
      </c>
      <c r="BT162" s="845">
        <f>IF(AND(HasAssumableDebt2,Assumable2HasAmort,BT160,BT$5&gt;Assum2RemainTerm-AssumLoan2Term+Assume2IOPer),IF(Assum2PmtType=VariablePmt,PPMT(Assum2IntRate/12,BT$5+AssumLoan2Term-Assum2RemainTerm-Assume2IOPer,Assum2AmortPer*12,Assum2OrigBal),-MIN(BT160,PMT(Assum2IntRate/12,Assum2AmortPer*12,-Assum2OrigBal)+BT155)),)</f>
        <v>0</v>
      </c>
      <c r="BU162" s="845">
        <f>IF(AND(HasAssumableDebt2,Assumable2HasAmort,BU160,BU$5&gt;Assum2RemainTerm-AssumLoan2Term+Assume2IOPer),IF(Assum2PmtType=VariablePmt,PPMT(Assum2IntRate/12,BU$5+AssumLoan2Term-Assum2RemainTerm-Assume2IOPer,Assum2AmortPer*12,Assum2OrigBal),-MIN(BU160,PMT(Assum2IntRate/12,Assum2AmortPer*12,-Assum2OrigBal)+BU155)),)</f>
        <v>0</v>
      </c>
      <c r="BV162" s="845">
        <f>IF(AND(HasAssumableDebt2,Assumable2HasAmort,BV160,BV$5&gt;Assum2RemainTerm-AssumLoan2Term+Assume2IOPer),IF(Assum2PmtType=VariablePmt,PPMT(Assum2IntRate/12,BV$5+AssumLoan2Term-Assum2RemainTerm-Assume2IOPer,Assum2AmortPer*12,Assum2OrigBal),-MIN(BV160,PMT(Assum2IntRate/12,Assum2AmortPer*12,-Assum2OrigBal)+BV155)),)</f>
        <v>0</v>
      </c>
      <c r="BW162" s="845">
        <f>IF(AND(HasAssumableDebt2,Assumable2HasAmort,BW160,BW$5&gt;Assum2RemainTerm-AssumLoan2Term+Assume2IOPer),IF(Assum2PmtType=VariablePmt,PPMT(Assum2IntRate/12,BW$5+AssumLoan2Term-Assum2RemainTerm-Assume2IOPer,Assum2AmortPer*12,Assum2OrigBal),-MIN(BW160,PMT(Assum2IntRate/12,Assum2AmortPer*12,-Assum2OrigBal)+BW155)),)</f>
        <v>0</v>
      </c>
      <c r="BX162" s="845">
        <f>IF(AND(HasAssumableDebt2,Assumable2HasAmort,BX160,BX$5&gt;Assum2RemainTerm-AssumLoan2Term+Assume2IOPer),IF(Assum2PmtType=VariablePmt,PPMT(Assum2IntRate/12,BX$5+AssumLoan2Term-Assum2RemainTerm-Assume2IOPer,Assum2AmortPer*12,Assum2OrigBal),-MIN(BX160,PMT(Assum2IntRate/12,Assum2AmortPer*12,-Assum2OrigBal)+BX155)),)</f>
        <v>0</v>
      </c>
      <c r="BY162" s="845">
        <f>IF(AND(HasAssumableDebt2,Assumable2HasAmort,BY160,BY$5&gt;Assum2RemainTerm-AssumLoan2Term+Assume2IOPer),IF(Assum2PmtType=VariablePmt,PPMT(Assum2IntRate/12,BY$5+AssumLoan2Term-Assum2RemainTerm-Assume2IOPer,Assum2AmortPer*12,Assum2OrigBal),-MIN(BY160,PMT(Assum2IntRate/12,Assum2AmortPer*12,-Assum2OrigBal)+BY155)),)</f>
        <v>0</v>
      </c>
      <c r="BZ162" s="845">
        <f>IF(AND(HasAssumableDebt2,Assumable2HasAmort,BZ160,BZ$5&gt;Assum2RemainTerm-AssumLoan2Term+Assume2IOPer),IF(Assum2PmtType=VariablePmt,PPMT(Assum2IntRate/12,BZ$5+AssumLoan2Term-Assum2RemainTerm-Assume2IOPer,Assum2AmortPer*12,Assum2OrigBal),-MIN(BZ160,PMT(Assum2IntRate/12,Assum2AmortPer*12,-Assum2OrigBal)+BZ155)),)</f>
        <v>0</v>
      </c>
      <c r="CA162" s="845">
        <f>IF(AND(HasAssumableDebt2,Assumable2HasAmort,CA160,CA$5&gt;Assum2RemainTerm-AssumLoan2Term+Assume2IOPer),IF(Assum2PmtType=VariablePmt,PPMT(Assum2IntRate/12,CA$5+AssumLoan2Term-Assum2RemainTerm-Assume2IOPer,Assum2AmortPer*12,Assum2OrigBal),-MIN(CA160,PMT(Assum2IntRate/12,Assum2AmortPer*12,-Assum2OrigBal)+CA155)),)</f>
        <v>0</v>
      </c>
      <c r="CB162" s="845">
        <f>IF(AND(HasAssumableDebt2,Assumable2HasAmort,CB160,CB$5&gt;Assum2RemainTerm-AssumLoan2Term+Assume2IOPer),IF(Assum2PmtType=VariablePmt,PPMT(Assum2IntRate/12,CB$5+AssumLoan2Term-Assum2RemainTerm-Assume2IOPer,Assum2AmortPer*12,Assum2OrigBal),-MIN(CB160,PMT(Assum2IntRate/12,Assum2AmortPer*12,-Assum2OrigBal)+CB155)),)</f>
        <v>0</v>
      </c>
      <c r="CC162" s="845">
        <f>IF(AND(HasAssumableDebt2,Assumable2HasAmort,CC160,CC$5&gt;Assum2RemainTerm-AssumLoan2Term+Assume2IOPer),IF(Assum2PmtType=VariablePmt,PPMT(Assum2IntRate/12,CC$5+AssumLoan2Term-Assum2RemainTerm-Assume2IOPer,Assum2AmortPer*12,Assum2OrigBal),-MIN(CC160,PMT(Assum2IntRate/12,Assum2AmortPer*12,-Assum2OrigBal)+CC155)),)</f>
        <v>0</v>
      </c>
      <c r="CD162" s="845">
        <f>IF(AND(HasAssumableDebt2,Assumable2HasAmort,CD160,CD$5&gt;Assum2RemainTerm-AssumLoan2Term+Assume2IOPer),IF(Assum2PmtType=VariablePmt,PPMT(Assum2IntRate/12,CD$5+AssumLoan2Term-Assum2RemainTerm-Assume2IOPer,Assum2AmortPer*12,Assum2OrigBal),-MIN(CD160,PMT(Assum2IntRate/12,Assum2AmortPer*12,-Assum2OrigBal)+CD155)),)</f>
        <v>0</v>
      </c>
      <c r="CE162" s="845">
        <f>IF(AND(HasAssumableDebt2,Assumable2HasAmort,CE160,CE$5&gt;Assum2RemainTerm-AssumLoan2Term+Assume2IOPer),IF(Assum2PmtType=VariablePmt,PPMT(Assum2IntRate/12,CE$5+AssumLoan2Term-Assum2RemainTerm-Assume2IOPer,Assum2AmortPer*12,Assum2OrigBal),-MIN(CE160,PMT(Assum2IntRate/12,Assum2AmortPer*12,-Assum2OrigBal)+CE155)),)</f>
        <v>0</v>
      </c>
      <c r="CF162" s="845">
        <f>IF(AND(HasAssumableDebt2,Assumable2HasAmort,CF160,CF$5&gt;Assum2RemainTerm-AssumLoan2Term+Assume2IOPer),IF(Assum2PmtType=VariablePmt,PPMT(Assum2IntRate/12,CF$5+AssumLoan2Term-Assum2RemainTerm-Assume2IOPer,Assum2AmortPer*12,Assum2OrigBal),-MIN(CF160,PMT(Assum2IntRate/12,Assum2AmortPer*12,-Assum2OrigBal)+CF155)),)</f>
        <v>0</v>
      </c>
      <c r="CG162" s="845">
        <f>IF(AND(HasAssumableDebt2,Assumable2HasAmort,CG160,CG$5&gt;Assum2RemainTerm-AssumLoan2Term+Assume2IOPer),IF(Assum2PmtType=VariablePmt,PPMT(Assum2IntRate/12,CG$5+AssumLoan2Term-Assum2RemainTerm-Assume2IOPer,Assum2AmortPer*12,Assum2OrigBal),-MIN(CG160,PMT(Assum2IntRate/12,Assum2AmortPer*12,-Assum2OrigBal)+CG155)),)</f>
        <v>0</v>
      </c>
      <c r="CH162" s="845">
        <f>IF(AND(HasAssumableDebt2,Assumable2HasAmort,CH160,CH$5&gt;Assum2RemainTerm-AssumLoan2Term+Assume2IOPer),IF(Assum2PmtType=VariablePmt,PPMT(Assum2IntRate/12,CH$5+AssumLoan2Term-Assum2RemainTerm-Assume2IOPer,Assum2AmortPer*12,Assum2OrigBal),-MIN(CH160,PMT(Assum2IntRate/12,Assum2AmortPer*12,-Assum2OrigBal)+CH155)),)</f>
        <v>0</v>
      </c>
      <c r="CI162" s="845">
        <f>IF(AND(HasAssumableDebt2,Assumable2HasAmort,CI160,CI$5&gt;Assum2RemainTerm-AssumLoan2Term+Assume2IOPer),IF(Assum2PmtType=VariablePmt,PPMT(Assum2IntRate/12,CI$5+AssumLoan2Term-Assum2RemainTerm-Assume2IOPer,Assum2AmortPer*12,Assum2OrigBal),-MIN(CI160,PMT(Assum2IntRate/12,Assum2AmortPer*12,-Assum2OrigBal)+CI155)),)</f>
        <v>0</v>
      </c>
      <c r="CJ162" s="845">
        <f>IF(AND(HasAssumableDebt2,Assumable2HasAmort,CJ160,CJ$5&gt;Assum2RemainTerm-AssumLoan2Term+Assume2IOPer),IF(Assum2PmtType=VariablePmt,PPMT(Assum2IntRate/12,CJ$5+AssumLoan2Term-Assum2RemainTerm-Assume2IOPer,Assum2AmortPer*12,Assum2OrigBal),-MIN(CJ160,PMT(Assum2IntRate/12,Assum2AmortPer*12,-Assum2OrigBal)+CJ155)),)</f>
        <v>0</v>
      </c>
      <c r="CK162" s="845">
        <f>IF(AND(HasAssumableDebt2,Assumable2HasAmort,CK160,CK$5&gt;Assum2RemainTerm-AssumLoan2Term+Assume2IOPer),IF(Assum2PmtType=VariablePmt,PPMT(Assum2IntRate/12,CK$5+AssumLoan2Term-Assum2RemainTerm-Assume2IOPer,Assum2AmortPer*12,Assum2OrigBal),-MIN(CK160,PMT(Assum2IntRate/12,Assum2AmortPer*12,-Assum2OrigBal)+CK155)),)</f>
        <v>0</v>
      </c>
      <c r="CL162" s="845">
        <f>IF(AND(HasAssumableDebt2,Assumable2HasAmort,CL160,CL$5&gt;Assum2RemainTerm-AssumLoan2Term+Assume2IOPer),IF(Assum2PmtType=VariablePmt,PPMT(Assum2IntRate/12,CL$5+AssumLoan2Term-Assum2RemainTerm-Assume2IOPer,Assum2AmortPer*12,Assum2OrigBal),-MIN(CL160,PMT(Assum2IntRate/12,Assum2AmortPer*12,-Assum2OrigBal)+CL155)),)</f>
        <v>0</v>
      </c>
      <c r="CM162" s="845">
        <f>IF(AND(HasAssumableDebt2,Assumable2HasAmort,CM160,CM$5&gt;Assum2RemainTerm-AssumLoan2Term+Assume2IOPer),IF(Assum2PmtType=VariablePmt,PPMT(Assum2IntRate/12,CM$5+AssumLoan2Term-Assum2RemainTerm-Assume2IOPer,Assum2AmortPer*12,Assum2OrigBal),-MIN(CM160,PMT(Assum2IntRate/12,Assum2AmortPer*12,-Assum2OrigBal)+CM155)),)</f>
        <v>0</v>
      </c>
      <c r="CN162" s="845">
        <f>IF(AND(HasAssumableDebt2,Assumable2HasAmort,CN160,CN$5&gt;Assum2RemainTerm-AssumLoan2Term+Assume2IOPer),IF(Assum2PmtType=VariablePmt,PPMT(Assum2IntRate/12,CN$5+AssumLoan2Term-Assum2RemainTerm-Assume2IOPer,Assum2AmortPer*12,Assum2OrigBal),-MIN(CN160,PMT(Assum2IntRate/12,Assum2AmortPer*12,-Assum2OrigBal)+CN155)),)</f>
        <v>0</v>
      </c>
      <c r="CO162" s="845">
        <f>IF(AND(HasAssumableDebt2,Assumable2HasAmort,CO160,CO$5&gt;Assum2RemainTerm-AssumLoan2Term+Assume2IOPer),IF(Assum2PmtType=VariablePmt,PPMT(Assum2IntRate/12,CO$5+AssumLoan2Term-Assum2RemainTerm-Assume2IOPer,Assum2AmortPer*12,Assum2OrigBal),-MIN(CO160,PMT(Assum2IntRate/12,Assum2AmortPer*12,-Assum2OrigBal)+CO155)),)</f>
        <v>0</v>
      </c>
      <c r="CP162" s="845">
        <f>IF(AND(HasAssumableDebt2,Assumable2HasAmort,CP160,CP$5&gt;Assum2RemainTerm-AssumLoan2Term+Assume2IOPer),IF(Assum2PmtType=VariablePmt,PPMT(Assum2IntRate/12,CP$5+AssumLoan2Term-Assum2RemainTerm-Assume2IOPer,Assum2AmortPer*12,Assum2OrigBal),-MIN(CP160,PMT(Assum2IntRate/12,Assum2AmortPer*12,-Assum2OrigBal)+CP155)),)</f>
        <v>0</v>
      </c>
      <c r="CQ162" s="845">
        <f>IF(AND(HasAssumableDebt2,Assumable2HasAmort,CQ160,CQ$5&gt;Assum2RemainTerm-AssumLoan2Term+Assume2IOPer),IF(Assum2PmtType=VariablePmt,PPMT(Assum2IntRate/12,CQ$5+AssumLoan2Term-Assum2RemainTerm-Assume2IOPer,Assum2AmortPer*12,Assum2OrigBal),-MIN(CQ160,PMT(Assum2IntRate/12,Assum2AmortPer*12,-Assum2OrigBal)+CQ155)),)</f>
        <v>0</v>
      </c>
      <c r="CR162" s="845">
        <f>IF(AND(HasAssumableDebt2,Assumable2HasAmort,CR160,CR$5&gt;Assum2RemainTerm-AssumLoan2Term+Assume2IOPer),IF(Assum2PmtType=VariablePmt,PPMT(Assum2IntRate/12,CR$5+AssumLoan2Term-Assum2RemainTerm-Assume2IOPer,Assum2AmortPer*12,Assum2OrigBal),-MIN(CR160,PMT(Assum2IntRate/12,Assum2AmortPer*12,-Assum2OrigBal)+CR155)),)</f>
        <v>0</v>
      </c>
      <c r="CS162" s="845">
        <f>IF(AND(HasAssumableDebt2,Assumable2HasAmort,CS160,CS$5&gt;Assum2RemainTerm-AssumLoan2Term+Assume2IOPer),IF(Assum2PmtType=VariablePmt,PPMT(Assum2IntRate/12,CS$5+AssumLoan2Term-Assum2RemainTerm-Assume2IOPer,Assum2AmortPer*12,Assum2OrigBal),-MIN(CS160,PMT(Assum2IntRate/12,Assum2AmortPer*12,-Assum2OrigBal)+CS155)),)</f>
        <v>0</v>
      </c>
      <c r="CT162" s="845">
        <f>IF(AND(HasAssumableDebt2,Assumable2HasAmort,CT160,CT$5&gt;Assum2RemainTerm-AssumLoan2Term+Assume2IOPer),IF(Assum2PmtType=VariablePmt,PPMT(Assum2IntRate/12,CT$5+AssumLoan2Term-Assum2RemainTerm-Assume2IOPer,Assum2AmortPer*12,Assum2OrigBal),-MIN(CT160,PMT(Assum2IntRate/12,Assum2AmortPer*12,-Assum2OrigBal)+CT155)),)</f>
        <v>0</v>
      </c>
      <c r="CU162" s="845">
        <f>IF(AND(HasAssumableDebt2,Assumable2HasAmort,CU160,CU$5&gt;Assum2RemainTerm-AssumLoan2Term+Assume2IOPer),IF(Assum2PmtType=VariablePmt,PPMT(Assum2IntRate/12,CU$5+AssumLoan2Term-Assum2RemainTerm-Assume2IOPer,Assum2AmortPer*12,Assum2OrigBal),-MIN(CU160,PMT(Assum2IntRate/12,Assum2AmortPer*12,-Assum2OrigBal)+CU155)),)</f>
        <v>0</v>
      </c>
      <c r="CV162" s="845">
        <f>IF(AND(HasAssumableDebt2,Assumable2HasAmort,CV160,CV$5&gt;Assum2RemainTerm-AssumLoan2Term+Assume2IOPer),IF(Assum2PmtType=VariablePmt,PPMT(Assum2IntRate/12,CV$5+AssumLoan2Term-Assum2RemainTerm-Assume2IOPer,Assum2AmortPer*12,Assum2OrigBal),-MIN(CV160,PMT(Assum2IntRate/12,Assum2AmortPer*12,-Assum2OrigBal)+CV155)),)</f>
        <v>0</v>
      </c>
      <c r="CW162" s="845">
        <f>IF(AND(HasAssumableDebt2,Assumable2HasAmort,CW160,CW$5&gt;Assum2RemainTerm-AssumLoan2Term+Assume2IOPer),IF(Assum2PmtType=VariablePmt,PPMT(Assum2IntRate/12,CW$5+AssumLoan2Term-Assum2RemainTerm-Assume2IOPer,Assum2AmortPer*12,Assum2OrigBal),-MIN(CW160,PMT(Assum2IntRate/12,Assum2AmortPer*12,-Assum2OrigBal)+CW155)),)</f>
        <v>0</v>
      </c>
      <c r="CX162" s="845">
        <f>IF(AND(HasAssumableDebt2,Assumable2HasAmort,CX160,CX$5&gt;Assum2RemainTerm-AssumLoan2Term+Assume2IOPer),IF(Assum2PmtType=VariablePmt,PPMT(Assum2IntRate/12,CX$5+AssumLoan2Term-Assum2RemainTerm-Assume2IOPer,Assum2AmortPer*12,Assum2OrigBal),-MIN(CX160,PMT(Assum2IntRate/12,Assum2AmortPer*12,-Assum2OrigBal)+CX155)),)</f>
        <v>0</v>
      </c>
      <c r="CY162" s="845">
        <f>IF(AND(HasAssumableDebt2,Assumable2HasAmort,CY160,CY$5&gt;Assum2RemainTerm-AssumLoan2Term+Assume2IOPer),IF(Assum2PmtType=VariablePmt,PPMT(Assum2IntRate/12,CY$5+AssumLoan2Term-Assum2RemainTerm-Assume2IOPer,Assum2AmortPer*12,Assum2OrigBal),-MIN(CY160,PMT(Assum2IntRate/12,Assum2AmortPer*12,-Assum2OrigBal)+CY155)),)</f>
        <v>0</v>
      </c>
      <c r="CZ162" s="845">
        <f>IF(AND(HasAssumableDebt2,Assumable2HasAmort,CZ160,CZ$5&gt;Assum2RemainTerm-AssumLoan2Term+Assume2IOPer),IF(Assum2PmtType=VariablePmt,PPMT(Assum2IntRate/12,CZ$5+AssumLoan2Term-Assum2RemainTerm-Assume2IOPer,Assum2AmortPer*12,Assum2OrigBal),-MIN(CZ160,PMT(Assum2IntRate/12,Assum2AmortPer*12,-Assum2OrigBal)+CZ155)),)</f>
        <v>0</v>
      </c>
      <c r="DA162" s="845">
        <f>IF(AND(HasAssumableDebt2,Assumable2HasAmort,DA160,DA$5&gt;Assum2RemainTerm-AssumLoan2Term+Assume2IOPer),IF(Assum2PmtType=VariablePmt,PPMT(Assum2IntRate/12,DA$5+AssumLoan2Term-Assum2RemainTerm-Assume2IOPer,Assum2AmortPer*12,Assum2OrigBal),-MIN(DA160,PMT(Assum2IntRate/12,Assum2AmortPer*12,-Assum2OrigBal)+DA155)),)</f>
        <v>0</v>
      </c>
      <c r="DB162" s="845">
        <f>IF(AND(HasAssumableDebt2,Assumable2HasAmort,DB160,DB$5&gt;Assum2RemainTerm-AssumLoan2Term+Assume2IOPer),IF(Assum2PmtType=VariablePmt,PPMT(Assum2IntRate/12,DB$5+AssumLoan2Term-Assum2RemainTerm-Assume2IOPer,Assum2AmortPer*12,Assum2OrigBal),-MIN(DB160,PMT(Assum2IntRate/12,Assum2AmortPer*12,-Assum2OrigBal)+DB155)),)</f>
        <v>0</v>
      </c>
      <c r="DC162" s="845">
        <f>IF(AND(HasAssumableDebt2,Assumable2HasAmort,DC160,DC$5&gt;Assum2RemainTerm-AssumLoan2Term+Assume2IOPer),IF(Assum2PmtType=VariablePmt,PPMT(Assum2IntRate/12,DC$5+AssumLoan2Term-Assum2RemainTerm-Assume2IOPer,Assum2AmortPer*12,Assum2OrigBal),-MIN(DC160,PMT(Assum2IntRate/12,Assum2AmortPer*12,-Assum2OrigBal)+DC155)),)</f>
        <v>0</v>
      </c>
      <c r="DD162" s="845">
        <f>IF(AND(HasAssumableDebt2,Assumable2HasAmort,DD160,DD$5&gt;Assum2RemainTerm-AssumLoan2Term+Assume2IOPer),IF(Assum2PmtType=VariablePmt,PPMT(Assum2IntRate/12,DD$5+AssumLoan2Term-Assum2RemainTerm-Assume2IOPer,Assum2AmortPer*12,Assum2OrigBal),-MIN(DD160,PMT(Assum2IntRate/12,Assum2AmortPer*12,-Assum2OrigBal)+DD155)),)</f>
        <v>0</v>
      </c>
      <c r="DE162" s="845">
        <f>IF(AND(HasAssumableDebt2,Assumable2HasAmort,DE160,DE$5&gt;Assum2RemainTerm-AssumLoan2Term+Assume2IOPer),IF(Assum2PmtType=VariablePmt,PPMT(Assum2IntRate/12,DE$5+AssumLoan2Term-Assum2RemainTerm-Assume2IOPer,Assum2AmortPer*12,Assum2OrigBal),-MIN(DE160,PMT(Assum2IntRate/12,Assum2AmortPer*12,-Assum2OrigBal)+DE155)),)</f>
        <v>0</v>
      </c>
      <c r="DF162" s="845">
        <f>IF(AND(HasAssumableDebt2,Assumable2HasAmort,DF160,DF$5&gt;Assum2RemainTerm-AssumLoan2Term+Assume2IOPer),IF(Assum2PmtType=VariablePmt,PPMT(Assum2IntRate/12,DF$5+AssumLoan2Term-Assum2RemainTerm-Assume2IOPer,Assum2AmortPer*12,Assum2OrigBal),-MIN(DF160,PMT(Assum2IntRate/12,Assum2AmortPer*12,-Assum2OrigBal)+DF155)),)</f>
        <v>0</v>
      </c>
      <c r="DG162" s="845">
        <f>IF(AND(HasAssumableDebt2,Assumable2HasAmort,DG160,DG$5&gt;Assum2RemainTerm-AssumLoan2Term+Assume2IOPer),IF(Assum2PmtType=VariablePmt,PPMT(Assum2IntRate/12,DG$5+AssumLoan2Term-Assum2RemainTerm-Assume2IOPer,Assum2AmortPer*12,Assum2OrigBal),-MIN(DG160,PMT(Assum2IntRate/12,Assum2AmortPer*12,-Assum2OrigBal)+DG155)),)</f>
        <v>0</v>
      </c>
      <c r="DH162" s="845">
        <f>IF(AND(HasAssumableDebt2,Assumable2HasAmort,DH160,DH$5&gt;Assum2RemainTerm-AssumLoan2Term+Assume2IOPer),IF(Assum2PmtType=VariablePmt,PPMT(Assum2IntRate/12,DH$5+AssumLoan2Term-Assum2RemainTerm-Assume2IOPer,Assum2AmortPer*12,Assum2OrigBal),-MIN(DH160,PMT(Assum2IntRate/12,Assum2AmortPer*12,-Assum2OrigBal)+DH155)),)</f>
        <v>0</v>
      </c>
      <c r="DI162" s="845">
        <f>IF(AND(HasAssumableDebt2,Assumable2HasAmort,DI160,DI$5&gt;Assum2RemainTerm-AssumLoan2Term+Assume2IOPer),IF(Assum2PmtType=VariablePmt,PPMT(Assum2IntRate/12,DI$5+AssumLoan2Term-Assum2RemainTerm-Assume2IOPer,Assum2AmortPer*12,Assum2OrigBal),-MIN(DI160,PMT(Assum2IntRate/12,Assum2AmortPer*12,-Assum2OrigBal)+DI155)),)</f>
        <v>0</v>
      </c>
      <c r="DJ162" s="845">
        <f>IF(AND(HasAssumableDebt2,Assumable2HasAmort,DJ160,DJ$5&gt;Assum2RemainTerm-AssumLoan2Term+Assume2IOPer),IF(Assum2PmtType=VariablePmt,PPMT(Assum2IntRate/12,DJ$5+AssumLoan2Term-Assum2RemainTerm-Assume2IOPer,Assum2AmortPer*12,Assum2OrigBal),-MIN(DJ160,PMT(Assum2IntRate/12,Assum2AmortPer*12,-Assum2OrigBal)+DJ155)),)</f>
        <v>0</v>
      </c>
      <c r="DK162" s="845">
        <f>IF(AND(HasAssumableDebt2,Assumable2HasAmort,DK160,DK$5&gt;Assum2RemainTerm-AssumLoan2Term+Assume2IOPer),IF(Assum2PmtType=VariablePmt,PPMT(Assum2IntRate/12,DK$5+AssumLoan2Term-Assum2RemainTerm-Assume2IOPer,Assum2AmortPer*12,Assum2OrigBal),-MIN(DK160,PMT(Assum2IntRate/12,Assum2AmortPer*12,-Assum2OrigBal)+DK155)),)</f>
        <v>0</v>
      </c>
      <c r="DL162" s="845">
        <f>IF(AND(HasAssumableDebt2,Assumable2HasAmort,DL160,DL$5&gt;Assum2RemainTerm-AssumLoan2Term+Assume2IOPer),IF(Assum2PmtType=VariablePmt,PPMT(Assum2IntRate/12,DL$5+AssumLoan2Term-Assum2RemainTerm-Assume2IOPer,Assum2AmortPer*12,Assum2OrigBal),-MIN(DL160,PMT(Assum2IntRate/12,Assum2AmortPer*12,-Assum2OrigBal)+DL155)),)</f>
        <v>0</v>
      </c>
      <c r="DM162" s="845">
        <f>IF(AND(HasAssumableDebt2,Assumable2HasAmort,DM160,DM$5&gt;Assum2RemainTerm-AssumLoan2Term+Assume2IOPer),IF(Assum2PmtType=VariablePmt,PPMT(Assum2IntRate/12,DM$5+AssumLoan2Term-Assum2RemainTerm-Assume2IOPer,Assum2AmortPer*12,Assum2OrigBal),-MIN(DM160,PMT(Assum2IntRate/12,Assum2AmortPer*12,-Assum2OrigBal)+DM155)),)</f>
        <v>0</v>
      </c>
      <c r="DN162" s="845">
        <f>IF(AND(HasAssumableDebt2,Assumable2HasAmort,DN160,DN$5&gt;Assum2RemainTerm-AssumLoan2Term+Assume2IOPer),IF(Assum2PmtType=VariablePmt,PPMT(Assum2IntRate/12,DN$5+AssumLoan2Term-Assum2RemainTerm-Assume2IOPer,Assum2AmortPer*12,Assum2OrigBal),-MIN(DN160,PMT(Assum2IntRate/12,Assum2AmortPer*12,-Assum2OrigBal)+DN155)),)</f>
        <v>0</v>
      </c>
      <c r="DO162" s="845">
        <f>IF(AND(HasAssumableDebt2,Assumable2HasAmort,DO160,DO$5&gt;Assum2RemainTerm-AssumLoan2Term+Assume2IOPer),IF(Assum2PmtType=VariablePmt,PPMT(Assum2IntRate/12,DO$5+AssumLoan2Term-Assum2RemainTerm-Assume2IOPer,Assum2AmortPer*12,Assum2OrigBal),-MIN(DO160,PMT(Assum2IntRate/12,Assum2AmortPer*12,-Assum2OrigBal)+DO155)),)</f>
        <v>0</v>
      </c>
      <c r="DP162" s="845">
        <f>IF(AND(HasAssumableDebt2,Assumable2HasAmort,DP160,DP$5&gt;Assum2RemainTerm-AssumLoan2Term+Assume2IOPer),IF(Assum2PmtType=VariablePmt,PPMT(Assum2IntRate/12,DP$5+AssumLoan2Term-Assum2RemainTerm-Assume2IOPer,Assum2AmortPer*12,Assum2OrigBal),-MIN(DP160,PMT(Assum2IntRate/12,Assum2AmortPer*12,-Assum2OrigBal)+DP155)),)</f>
        <v>0</v>
      </c>
      <c r="DQ162" s="845">
        <f>IF(AND(HasAssumableDebt2,Assumable2HasAmort,DQ160,DQ$5&gt;Assum2RemainTerm-AssumLoan2Term+Assume2IOPer),IF(Assum2PmtType=VariablePmt,PPMT(Assum2IntRate/12,DQ$5+AssumLoan2Term-Assum2RemainTerm-Assume2IOPer,Assum2AmortPer*12,Assum2OrigBal),-MIN(DQ160,PMT(Assum2IntRate/12,Assum2AmortPer*12,-Assum2OrigBal)+DQ155)),)</f>
        <v>0</v>
      </c>
      <c r="DR162" s="845">
        <f>IF(AND(HasAssumableDebt2,Assumable2HasAmort,DR160,DR$5&gt;Assum2RemainTerm-AssumLoan2Term+Assume2IOPer),IF(Assum2PmtType=VariablePmt,PPMT(Assum2IntRate/12,DR$5+AssumLoan2Term-Assum2RemainTerm-Assume2IOPer,Assum2AmortPer*12,Assum2OrigBal),-MIN(DR160,PMT(Assum2IntRate/12,Assum2AmortPer*12,-Assum2OrigBal)+DR155)),)</f>
        <v>0</v>
      </c>
      <c r="DS162" s="845">
        <f>IF(AND(HasAssumableDebt2,Assumable2HasAmort,DS160,DS$5&gt;Assum2RemainTerm-AssumLoan2Term+Assume2IOPer),IF(Assum2PmtType=VariablePmt,PPMT(Assum2IntRate/12,DS$5+AssumLoan2Term-Assum2RemainTerm-Assume2IOPer,Assum2AmortPer*12,Assum2OrigBal),-MIN(DS160,PMT(Assum2IntRate/12,Assum2AmortPer*12,-Assum2OrigBal)+DS155)),)</f>
        <v>0</v>
      </c>
      <c r="DT162" s="845">
        <f>IF(AND(HasAssumableDebt2,Assumable2HasAmort,DT160,DT$5&gt;Assum2RemainTerm-AssumLoan2Term+Assume2IOPer),IF(Assum2PmtType=VariablePmt,PPMT(Assum2IntRate/12,DT$5+AssumLoan2Term-Assum2RemainTerm-Assume2IOPer,Assum2AmortPer*12,Assum2OrigBal),-MIN(DT160,PMT(Assum2IntRate/12,Assum2AmortPer*12,-Assum2OrigBal)+DT155)),)</f>
        <v>0</v>
      </c>
      <c r="DU162" s="845">
        <f>IF(AND(HasAssumableDebt2,Assumable2HasAmort,DU160,DU$5&gt;Assum2RemainTerm-AssumLoan2Term+Assume2IOPer),IF(Assum2PmtType=VariablePmt,PPMT(Assum2IntRate/12,DU$5+AssumLoan2Term-Assum2RemainTerm-Assume2IOPer,Assum2AmortPer*12,Assum2OrigBal),-MIN(DU160,PMT(Assum2IntRate/12,Assum2AmortPer*12,-Assum2OrigBal)+DU155)),)</f>
        <v>0</v>
      </c>
      <c r="DV162" s="845">
        <f>IF(AND(HasAssumableDebt2,Assumable2HasAmort,DV160,DV$5&gt;Assum2RemainTerm-AssumLoan2Term+Assume2IOPer),IF(Assum2PmtType=VariablePmt,PPMT(Assum2IntRate/12,DV$5+AssumLoan2Term-Assum2RemainTerm-Assume2IOPer,Assum2AmortPer*12,Assum2OrigBal),-MIN(DV160,PMT(Assum2IntRate/12,Assum2AmortPer*12,-Assum2OrigBal)+DV155)),)</f>
        <v>0</v>
      </c>
      <c r="DW162" s="845">
        <f>IF(AND(HasAssumableDebt2,Assumable2HasAmort,DW160,DW$5&gt;Assum2RemainTerm-AssumLoan2Term+Assume2IOPer),IF(Assum2PmtType=VariablePmt,PPMT(Assum2IntRate/12,DW$5+AssumLoan2Term-Assum2RemainTerm-Assume2IOPer,Assum2AmortPer*12,Assum2OrigBal),-MIN(DW160,PMT(Assum2IntRate/12,Assum2AmortPer*12,-Assum2OrigBal)+DW155)),)</f>
        <v>0</v>
      </c>
      <c r="DX162" s="845">
        <f>IF(AND(HasAssumableDebt2,Assumable2HasAmort,DX160,DX$5&gt;Assum2RemainTerm-AssumLoan2Term+Assume2IOPer),IF(Assum2PmtType=VariablePmt,PPMT(Assum2IntRate/12,DX$5+AssumLoan2Term-Assum2RemainTerm-Assume2IOPer,Assum2AmortPer*12,Assum2OrigBal),-MIN(DX160,PMT(Assum2IntRate/12,Assum2AmortPer*12,-Assum2OrigBal)+DX155)),)</f>
        <v>0</v>
      </c>
      <c r="DY162" s="845">
        <f>IF(AND(HasAssumableDebt2,Assumable2HasAmort,DY160,DY$5&gt;Assum2RemainTerm-AssumLoan2Term+Assume2IOPer),IF(Assum2PmtType=VariablePmt,PPMT(Assum2IntRate/12,DY$5+AssumLoan2Term-Assum2RemainTerm-Assume2IOPer,Assum2AmortPer*12,Assum2OrigBal),-MIN(DY160,PMT(Assum2IntRate/12,Assum2AmortPer*12,-Assum2OrigBal)+DY155)),)</f>
        <v>0</v>
      </c>
      <c r="DZ162" s="845">
        <f>IF(AND(HasAssumableDebt2,Assumable2HasAmort,DZ160,DZ$5&gt;Assum2RemainTerm-AssumLoan2Term+Assume2IOPer),IF(Assum2PmtType=VariablePmt,PPMT(Assum2IntRate/12,DZ$5+AssumLoan2Term-Assum2RemainTerm-Assume2IOPer,Assum2AmortPer*12,Assum2OrigBal),-MIN(DZ160,PMT(Assum2IntRate/12,Assum2AmortPer*12,-Assum2OrigBal)+DZ155)),)</f>
        <v>0</v>
      </c>
      <c r="EA162" s="845">
        <f>IF(AND(HasAssumableDebt2,Assumable2HasAmort,EA160,EA$5&gt;Assum2RemainTerm-AssumLoan2Term+Assume2IOPer),IF(Assum2PmtType=VariablePmt,PPMT(Assum2IntRate/12,EA$5+AssumLoan2Term-Assum2RemainTerm-Assume2IOPer,Assum2AmortPer*12,Assum2OrigBal),-MIN(EA160,PMT(Assum2IntRate/12,Assum2AmortPer*12,-Assum2OrigBal)+EA155)),)</f>
        <v>0</v>
      </c>
      <c r="EB162" s="845">
        <f>IF(AND(HasAssumableDebt2,Assumable2HasAmort,EB160,EB$5&gt;Assum2RemainTerm-AssumLoan2Term+Assume2IOPer),IF(Assum2PmtType=VariablePmt,PPMT(Assum2IntRate/12,EB$5+AssumLoan2Term-Assum2RemainTerm-Assume2IOPer,Assum2AmortPer*12,Assum2OrigBal),-MIN(EB160,PMT(Assum2IntRate/12,Assum2AmortPer*12,-Assum2OrigBal)+EB155)),)</f>
        <v>0</v>
      </c>
      <c r="EC162" s="845">
        <f>IF(AND(HasAssumableDebt2,Assumable2HasAmort,EC160,EC$5&gt;Assum2RemainTerm-AssumLoan2Term+Assume2IOPer),IF(Assum2PmtType=VariablePmt,PPMT(Assum2IntRate/12,EC$5+AssumLoan2Term-Assum2RemainTerm-Assume2IOPer,Assum2AmortPer*12,Assum2OrigBal),-MIN(EC160,PMT(Assum2IntRate/12,Assum2AmortPer*12,-Assum2OrigBal)+EC155)),)</f>
        <v>0</v>
      </c>
      <c r="ED162" s="845">
        <f>IF(AND(HasAssumableDebt2,Assumable2HasAmort,ED160,ED$5&gt;Assum2RemainTerm-AssumLoan2Term+Assume2IOPer),IF(Assum2PmtType=VariablePmt,PPMT(Assum2IntRate/12,ED$5+AssumLoan2Term-Assum2RemainTerm-Assume2IOPer,Assum2AmortPer*12,Assum2OrigBal),-MIN(ED160,PMT(Assum2IntRate/12,Assum2AmortPer*12,-Assum2OrigBal)+ED155)),)</f>
        <v>0</v>
      </c>
      <c r="EE162" s="845">
        <f>IF(AND(HasAssumableDebt2,Assumable2HasAmort,EE160,EE$5&gt;Assum2RemainTerm-AssumLoan2Term+Assume2IOPer),IF(Assum2PmtType=VariablePmt,PPMT(Assum2IntRate/12,EE$5+AssumLoan2Term-Assum2RemainTerm-Assume2IOPer,Assum2AmortPer*12,Assum2OrigBal),-MIN(EE160,PMT(Assum2IntRate/12,Assum2AmortPer*12,-Assum2OrigBal)+EE155)),)</f>
        <v>0</v>
      </c>
      <c r="EF162" s="845">
        <f>IF(AND(HasAssumableDebt2,Assumable2HasAmort,EF160,EF$5&gt;Assum2RemainTerm-AssumLoan2Term+Assume2IOPer),IF(Assum2PmtType=VariablePmt,PPMT(Assum2IntRate/12,EF$5+AssumLoan2Term-Assum2RemainTerm-Assume2IOPer,Assum2AmortPer*12,Assum2OrigBal),-MIN(EF160,PMT(Assum2IntRate/12,Assum2AmortPer*12,-Assum2OrigBal)+EF155)),)</f>
        <v>0</v>
      </c>
      <c r="EG162" s="845">
        <f>IF(AND(HasAssumableDebt2,Assumable2HasAmort,EG160,EG$5&gt;Assum2RemainTerm-AssumLoan2Term+Assume2IOPer),IF(Assum2PmtType=VariablePmt,PPMT(Assum2IntRate/12,EG$5+AssumLoan2Term-Assum2RemainTerm-Assume2IOPer,Assum2AmortPer*12,Assum2OrigBal),-MIN(EG160,PMT(Assum2IntRate/12,Assum2AmortPer*12,-Assum2OrigBal)+EG155)),)</f>
        <v>0</v>
      </c>
      <c r="EH162" s="845">
        <f>IF(AND(HasAssumableDebt2,Assumable2HasAmort,EH160,EH$5&gt;Assum2RemainTerm-AssumLoan2Term+Assume2IOPer),IF(Assum2PmtType=VariablePmt,PPMT(Assum2IntRate/12,EH$5+AssumLoan2Term-Assum2RemainTerm-Assume2IOPer,Assum2AmortPer*12,Assum2OrigBal),-MIN(EH160,PMT(Assum2IntRate/12,Assum2AmortPer*12,-Assum2OrigBal)+EH155)),)</f>
        <v>0</v>
      </c>
      <c r="EI162" s="845">
        <f>IF(AND(HasAssumableDebt2,Assumable2HasAmort,EI160,EI$5&gt;Assum2RemainTerm-AssumLoan2Term+Assume2IOPer),IF(Assum2PmtType=VariablePmt,PPMT(Assum2IntRate/12,EI$5+AssumLoan2Term-Assum2RemainTerm-Assume2IOPer,Assum2AmortPer*12,Assum2OrigBal),-MIN(EI160,PMT(Assum2IntRate/12,Assum2AmortPer*12,-Assum2OrigBal)+EI155)),)</f>
        <v>0</v>
      </c>
    </row>
    <row r="163" spans="2:139" ht="12.75" customHeight="1">
      <c r="B163" s="41" t="s">
        <v>184</v>
      </c>
      <c r="C163" s="211"/>
      <c r="D163" s="203">
        <f>SUMIF($S$6:$EI$6,D$5,$S163:$EI163)</f>
        <v>0</v>
      </c>
      <c r="E163" s="203">
        <f t="shared" si="254"/>
        <v>0</v>
      </c>
      <c r="F163" s="203">
        <f t="shared" si="254"/>
        <v>0</v>
      </c>
      <c r="G163" s="203">
        <f t="shared" si="254"/>
        <v>0</v>
      </c>
      <c r="H163" s="203">
        <f t="shared" si="254"/>
        <v>0</v>
      </c>
      <c r="I163" s="203">
        <f t="shared" si="254"/>
        <v>0</v>
      </c>
      <c r="J163" s="203">
        <f t="shared" si="254"/>
        <v>0</v>
      </c>
      <c r="K163" s="203">
        <f t="shared" si="254"/>
        <v>0</v>
      </c>
      <c r="L163" s="203">
        <f t="shared" si="254"/>
        <v>0</v>
      </c>
      <c r="M163" s="203">
        <f t="shared" si="254"/>
        <v>0</v>
      </c>
      <c r="N163" s="203">
        <f t="shared" si="254"/>
        <v>0</v>
      </c>
      <c r="O163" s="853">
        <f>SUM(D163:N163)</f>
        <v>0</v>
      </c>
      <c r="P163" s="313"/>
      <c r="Q163" s="313"/>
      <c r="R163" s="313"/>
      <c r="S163" s="845">
        <f t="shared" ref="S163:AX163" si="255">-SUM(S160:S162)*AND(S$5=MIN(Assum2PydwnMnth,Assum2RemainTerm,MAX(YrOfExit,1)*12))</f>
        <v>0</v>
      </c>
      <c r="T163" s="845">
        <f t="shared" si="255"/>
        <v>0</v>
      </c>
      <c r="U163" s="845">
        <f t="shared" si="255"/>
        <v>0</v>
      </c>
      <c r="V163" s="845">
        <f t="shared" si="255"/>
        <v>0</v>
      </c>
      <c r="W163" s="845">
        <f t="shared" si="255"/>
        <v>0</v>
      </c>
      <c r="X163" s="845">
        <f t="shared" si="255"/>
        <v>0</v>
      </c>
      <c r="Y163" s="845">
        <f t="shared" si="255"/>
        <v>0</v>
      </c>
      <c r="Z163" s="845">
        <f t="shared" si="255"/>
        <v>0</v>
      </c>
      <c r="AA163" s="845">
        <f t="shared" si="255"/>
        <v>0</v>
      </c>
      <c r="AB163" s="845">
        <f t="shared" si="255"/>
        <v>0</v>
      </c>
      <c r="AC163" s="845">
        <f t="shared" si="255"/>
        <v>0</v>
      </c>
      <c r="AD163" s="845">
        <f t="shared" si="255"/>
        <v>0</v>
      </c>
      <c r="AE163" s="845">
        <f t="shared" si="255"/>
        <v>0</v>
      </c>
      <c r="AF163" s="845">
        <f t="shared" si="255"/>
        <v>0</v>
      </c>
      <c r="AG163" s="845">
        <f t="shared" si="255"/>
        <v>0</v>
      </c>
      <c r="AH163" s="845">
        <f t="shared" si="255"/>
        <v>0</v>
      </c>
      <c r="AI163" s="845">
        <f t="shared" si="255"/>
        <v>0</v>
      </c>
      <c r="AJ163" s="845">
        <f t="shared" si="255"/>
        <v>0</v>
      </c>
      <c r="AK163" s="845">
        <f t="shared" si="255"/>
        <v>0</v>
      </c>
      <c r="AL163" s="845">
        <f t="shared" si="255"/>
        <v>0</v>
      </c>
      <c r="AM163" s="845">
        <f t="shared" si="255"/>
        <v>0</v>
      </c>
      <c r="AN163" s="845">
        <f t="shared" si="255"/>
        <v>0</v>
      </c>
      <c r="AO163" s="845">
        <f t="shared" si="255"/>
        <v>0</v>
      </c>
      <c r="AP163" s="845">
        <f t="shared" si="255"/>
        <v>0</v>
      </c>
      <c r="AQ163" s="845">
        <f t="shared" si="255"/>
        <v>0</v>
      </c>
      <c r="AR163" s="845">
        <f t="shared" si="255"/>
        <v>0</v>
      </c>
      <c r="AS163" s="845">
        <f t="shared" si="255"/>
        <v>0</v>
      </c>
      <c r="AT163" s="845">
        <f t="shared" si="255"/>
        <v>0</v>
      </c>
      <c r="AU163" s="845">
        <f t="shared" si="255"/>
        <v>0</v>
      </c>
      <c r="AV163" s="845">
        <f t="shared" si="255"/>
        <v>0</v>
      </c>
      <c r="AW163" s="845">
        <f t="shared" si="255"/>
        <v>0</v>
      </c>
      <c r="AX163" s="845">
        <f t="shared" si="255"/>
        <v>0</v>
      </c>
      <c r="AY163" s="845">
        <f t="shared" ref="AY163:CD163" si="256">-SUM(AY160:AY162)*AND(AY$5=MIN(Assum2PydwnMnth,Assum2RemainTerm,MAX(YrOfExit,1)*12))</f>
        <v>0</v>
      </c>
      <c r="AZ163" s="845">
        <f t="shared" si="256"/>
        <v>0</v>
      </c>
      <c r="BA163" s="845">
        <f t="shared" si="256"/>
        <v>0</v>
      </c>
      <c r="BB163" s="845">
        <f t="shared" si="256"/>
        <v>0</v>
      </c>
      <c r="BC163" s="845">
        <f t="shared" si="256"/>
        <v>0</v>
      </c>
      <c r="BD163" s="845">
        <f t="shared" si="256"/>
        <v>0</v>
      </c>
      <c r="BE163" s="845">
        <f t="shared" si="256"/>
        <v>0</v>
      </c>
      <c r="BF163" s="845">
        <f t="shared" si="256"/>
        <v>0</v>
      </c>
      <c r="BG163" s="845">
        <f t="shared" si="256"/>
        <v>0</v>
      </c>
      <c r="BH163" s="845">
        <f t="shared" si="256"/>
        <v>0</v>
      </c>
      <c r="BI163" s="845">
        <f t="shared" si="256"/>
        <v>0</v>
      </c>
      <c r="BJ163" s="845">
        <f t="shared" si="256"/>
        <v>0</v>
      </c>
      <c r="BK163" s="845">
        <f t="shared" si="256"/>
        <v>0</v>
      </c>
      <c r="BL163" s="845">
        <f t="shared" si="256"/>
        <v>0</v>
      </c>
      <c r="BM163" s="845">
        <f t="shared" si="256"/>
        <v>0</v>
      </c>
      <c r="BN163" s="845">
        <f t="shared" si="256"/>
        <v>0</v>
      </c>
      <c r="BO163" s="845">
        <f t="shared" si="256"/>
        <v>0</v>
      </c>
      <c r="BP163" s="845">
        <f t="shared" si="256"/>
        <v>0</v>
      </c>
      <c r="BQ163" s="845">
        <f t="shared" si="256"/>
        <v>0</v>
      </c>
      <c r="BR163" s="845">
        <f t="shared" si="256"/>
        <v>0</v>
      </c>
      <c r="BS163" s="845">
        <f t="shared" si="256"/>
        <v>0</v>
      </c>
      <c r="BT163" s="845">
        <f t="shared" si="256"/>
        <v>0</v>
      </c>
      <c r="BU163" s="845">
        <f t="shared" si="256"/>
        <v>0</v>
      </c>
      <c r="BV163" s="845">
        <f t="shared" si="256"/>
        <v>0</v>
      </c>
      <c r="BW163" s="845">
        <f t="shared" si="256"/>
        <v>0</v>
      </c>
      <c r="BX163" s="845">
        <f t="shared" si="256"/>
        <v>0</v>
      </c>
      <c r="BY163" s="845">
        <f t="shared" si="256"/>
        <v>0</v>
      </c>
      <c r="BZ163" s="845">
        <f t="shared" si="256"/>
        <v>0</v>
      </c>
      <c r="CA163" s="845">
        <f t="shared" si="256"/>
        <v>0</v>
      </c>
      <c r="CB163" s="845">
        <f t="shared" si="256"/>
        <v>0</v>
      </c>
      <c r="CC163" s="845">
        <f t="shared" si="256"/>
        <v>0</v>
      </c>
      <c r="CD163" s="845">
        <f t="shared" si="256"/>
        <v>0</v>
      </c>
      <c r="CE163" s="845">
        <f t="shared" ref="CE163:DJ163" si="257">-SUM(CE160:CE162)*AND(CE$5=MIN(Assum2PydwnMnth,Assum2RemainTerm,MAX(YrOfExit,1)*12))</f>
        <v>0</v>
      </c>
      <c r="CF163" s="845">
        <f t="shared" si="257"/>
        <v>0</v>
      </c>
      <c r="CG163" s="845">
        <f t="shared" si="257"/>
        <v>0</v>
      </c>
      <c r="CH163" s="845">
        <f t="shared" si="257"/>
        <v>0</v>
      </c>
      <c r="CI163" s="845">
        <f t="shared" si="257"/>
        <v>0</v>
      </c>
      <c r="CJ163" s="845">
        <f t="shared" si="257"/>
        <v>0</v>
      </c>
      <c r="CK163" s="845">
        <f t="shared" si="257"/>
        <v>0</v>
      </c>
      <c r="CL163" s="845">
        <f t="shared" si="257"/>
        <v>0</v>
      </c>
      <c r="CM163" s="845">
        <f t="shared" si="257"/>
        <v>0</v>
      </c>
      <c r="CN163" s="845">
        <f t="shared" si="257"/>
        <v>0</v>
      </c>
      <c r="CO163" s="845">
        <f t="shared" si="257"/>
        <v>0</v>
      </c>
      <c r="CP163" s="845">
        <f t="shared" si="257"/>
        <v>0</v>
      </c>
      <c r="CQ163" s="845">
        <f t="shared" si="257"/>
        <v>0</v>
      </c>
      <c r="CR163" s="845">
        <f t="shared" si="257"/>
        <v>0</v>
      </c>
      <c r="CS163" s="845">
        <f t="shared" si="257"/>
        <v>0</v>
      </c>
      <c r="CT163" s="845">
        <f t="shared" si="257"/>
        <v>0</v>
      </c>
      <c r="CU163" s="845">
        <f t="shared" si="257"/>
        <v>0</v>
      </c>
      <c r="CV163" s="845">
        <f t="shared" si="257"/>
        <v>0</v>
      </c>
      <c r="CW163" s="845">
        <f t="shared" si="257"/>
        <v>0</v>
      </c>
      <c r="CX163" s="845">
        <f t="shared" si="257"/>
        <v>0</v>
      </c>
      <c r="CY163" s="845">
        <f t="shared" si="257"/>
        <v>0</v>
      </c>
      <c r="CZ163" s="845">
        <f t="shared" si="257"/>
        <v>0</v>
      </c>
      <c r="DA163" s="845">
        <f t="shared" si="257"/>
        <v>0</v>
      </c>
      <c r="DB163" s="845">
        <f t="shared" si="257"/>
        <v>0</v>
      </c>
      <c r="DC163" s="845">
        <f t="shared" si="257"/>
        <v>0</v>
      </c>
      <c r="DD163" s="845">
        <f t="shared" si="257"/>
        <v>0</v>
      </c>
      <c r="DE163" s="845">
        <f t="shared" si="257"/>
        <v>0</v>
      </c>
      <c r="DF163" s="845">
        <f t="shared" si="257"/>
        <v>0</v>
      </c>
      <c r="DG163" s="845">
        <f t="shared" si="257"/>
        <v>0</v>
      </c>
      <c r="DH163" s="845">
        <f t="shared" si="257"/>
        <v>0</v>
      </c>
      <c r="DI163" s="845">
        <f t="shared" si="257"/>
        <v>0</v>
      </c>
      <c r="DJ163" s="845">
        <f t="shared" si="257"/>
        <v>0</v>
      </c>
      <c r="DK163" s="845">
        <f t="shared" ref="DK163:EP163" si="258">-SUM(DK160:DK162)*AND(DK$5=MIN(Assum2PydwnMnth,Assum2RemainTerm,MAX(YrOfExit,1)*12))</f>
        <v>0</v>
      </c>
      <c r="DL163" s="845">
        <f t="shared" si="258"/>
        <v>0</v>
      </c>
      <c r="DM163" s="845">
        <f t="shared" si="258"/>
        <v>0</v>
      </c>
      <c r="DN163" s="845">
        <f t="shared" si="258"/>
        <v>0</v>
      </c>
      <c r="DO163" s="845">
        <f t="shared" si="258"/>
        <v>0</v>
      </c>
      <c r="DP163" s="845">
        <f t="shared" si="258"/>
        <v>0</v>
      </c>
      <c r="DQ163" s="845">
        <f t="shared" si="258"/>
        <v>0</v>
      </c>
      <c r="DR163" s="845">
        <f t="shared" si="258"/>
        <v>0</v>
      </c>
      <c r="DS163" s="845">
        <f t="shared" si="258"/>
        <v>0</v>
      </c>
      <c r="DT163" s="845">
        <f t="shared" si="258"/>
        <v>0</v>
      </c>
      <c r="DU163" s="845">
        <f t="shared" si="258"/>
        <v>0</v>
      </c>
      <c r="DV163" s="845">
        <f t="shared" si="258"/>
        <v>0</v>
      </c>
      <c r="DW163" s="845">
        <f t="shared" si="258"/>
        <v>0</v>
      </c>
      <c r="DX163" s="845">
        <f t="shared" si="258"/>
        <v>0</v>
      </c>
      <c r="DY163" s="845">
        <f t="shared" si="258"/>
        <v>0</v>
      </c>
      <c r="DZ163" s="845">
        <f t="shared" si="258"/>
        <v>0</v>
      </c>
      <c r="EA163" s="845">
        <f t="shared" si="258"/>
        <v>0</v>
      </c>
      <c r="EB163" s="845">
        <f t="shared" si="258"/>
        <v>0</v>
      </c>
      <c r="EC163" s="845">
        <f t="shared" si="258"/>
        <v>0</v>
      </c>
      <c r="ED163" s="845">
        <f t="shared" si="258"/>
        <v>0</v>
      </c>
      <c r="EE163" s="845">
        <f t="shared" si="258"/>
        <v>0</v>
      </c>
      <c r="EF163" s="845">
        <f t="shared" si="258"/>
        <v>0</v>
      </c>
      <c r="EG163" s="845">
        <f t="shared" si="258"/>
        <v>0</v>
      </c>
      <c r="EH163" s="845">
        <f t="shared" si="258"/>
        <v>0</v>
      </c>
      <c r="EI163" s="845">
        <f t="shared" si="258"/>
        <v>0</v>
      </c>
    </row>
    <row r="164" spans="2:139" ht="12.75" customHeight="1">
      <c r="B164" s="46" t="s">
        <v>595</v>
      </c>
      <c r="C164" s="209"/>
      <c r="D164" s="854">
        <f t="shared" ref="D164:O164" si="259">SUBTOTAL(9,D160:D163)*(SUM(D160:D163)&gt;1)</f>
        <v>0</v>
      </c>
      <c r="E164" s="854">
        <f t="shared" si="259"/>
        <v>0</v>
      </c>
      <c r="F164" s="854">
        <f t="shared" si="259"/>
        <v>0</v>
      </c>
      <c r="G164" s="854">
        <f t="shared" si="259"/>
        <v>0</v>
      </c>
      <c r="H164" s="854">
        <f t="shared" si="259"/>
        <v>0</v>
      </c>
      <c r="I164" s="854">
        <f t="shared" si="259"/>
        <v>0</v>
      </c>
      <c r="J164" s="854">
        <f t="shared" si="259"/>
        <v>0</v>
      </c>
      <c r="K164" s="854">
        <f t="shared" si="259"/>
        <v>0</v>
      </c>
      <c r="L164" s="854">
        <f t="shared" si="259"/>
        <v>0</v>
      </c>
      <c r="M164" s="854">
        <f t="shared" si="259"/>
        <v>0</v>
      </c>
      <c r="N164" s="854">
        <f t="shared" si="259"/>
        <v>0</v>
      </c>
      <c r="O164" s="855">
        <f t="shared" si="259"/>
        <v>0</v>
      </c>
      <c r="P164" s="313"/>
      <c r="Q164" s="313"/>
      <c r="R164" s="313"/>
      <c r="S164" s="856">
        <f t="shared" ref="S164:AX164" si="260">SUBTOTAL(9,S160:S163)*(SUM(S160:S163)&gt;1)</f>
        <v>0</v>
      </c>
      <c r="T164" s="856">
        <f t="shared" si="260"/>
        <v>0</v>
      </c>
      <c r="U164" s="856">
        <f t="shared" si="260"/>
        <v>0</v>
      </c>
      <c r="V164" s="856">
        <f t="shared" si="260"/>
        <v>0</v>
      </c>
      <c r="W164" s="856">
        <f t="shared" si="260"/>
        <v>0</v>
      </c>
      <c r="X164" s="856">
        <f t="shared" si="260"/>
        <v>0</v>
      </c>
      <c r="Y164" s="856">
        <f t="shared" si="260"/>
        <v>0</v>
      </c>
      <c r="Z164" s="856">
        <f t="shared" si="260"/>
        <v>0</v>
      </c>
      <c r="AA164" s="856">
        <f t="shared" si="260"/>
        <v>0</v>
      </c>
      <c r="AB164" s="856">
        <f t="shared" si="260"/>
        <v>0</v>
      </c>
      <c r="AC164" s="856">
        <f t="shared" si="260"/>
        <v>0</v>
      </c>
      <c r="AD164" s="856">
        <f t="shared" si="260"/>
        <v>0</v>
      </c>
      <c r="AE164" s="856">
        <f t="shared" si="260"/>
        <v>0</v>
      </c>
      <c r="AF164" s="856">
        <f t="shared" si="260"/>
        <v>0</v>
      </c>
      <c r="AG164" s="856">
        <f t="shared" si="260"/>
        <v>0</v>
      </c>
      <c r="AH164" s="856">
        <f t="shared" si="260"/>
        <v>0</v>
      </c>
      <c r="AI164" s="856">
        <f t="shared" si="260"/>
        <v>0</v>
      </c>
      <c r="AJ164" s="856">
        <f t="shared" si="260"/>
        <v>0</v>
      </c>
      <c r="AK164" s="856">
        <f t="shared" si="260"/>
        <v>0</v>
      </c>
      <c r="AL164" s="856">
        <f t="shared" si="260"/>
        <v>0</v>
      </c>
      <c r="AM164" s="856">
        <f t="shared" si="260"/>
        <v>0</v>
      </c>
      <c r="AN164" s="856">
        <f t="shared" si="260"/>
        <v>0</v>
      </c>
      <c r="AO164" s="856">
        <f t="shared" si="260"/>
        <v>0</v>
      </c>
      <c r="AP164" s="856">
        <f t="shared" si="260"/>
        <v>0</v>
      </c>
      <c r="AQ164" s="856">
        <f t="shared" si="260"/>
        <v>0</v>
      </c>
      <c r="AR164" s="856">
        <f t="shared" si="260"/>
        <v>0</v>
      </c>
      <c r="AS164" s="856">
        <f t="shared" si="260"/>
        <v>0</v>
      </c>
      <c r="AT164" s="856">
        <f t="shared" si="260"/>
        <v>0</v>
      </c>
      <c r="AU164" s="856">
        <f t="shared" si="260"/>
        <v>0</v>
      </c>
      <c r="AV164" s="856">
        <f t="shared" si="260"/>
        <v>0</v>
      </c>
      <c r="AW164" s="856">
        <f t="shared" si="260"/>
        <v>0</v>
      </c>
      <c r="AX164" s="856">
        <f t="shared" si="260"/>
        <v>0</v>
      </c>
      <c r="AY164" s="856">
        <f t="shared" ref="AY164:CD164" si="261">SUBTOTAL(9,AY160:AY163)*(SUM(AY160:AY163)&gt;1)</f>
        <v>0</v>
      </c>
      <c r="AZ164" s="856">
        <f t="shared" si="261"/>
        <v>0</v>
      </c>
      <c r="BA164" s="856">
        <f t="shared" si="261"/>
        <v>0</v>
      </c>
      <c r="BB164" s="856">
        <f t="shared" si="261"/>
        <v>0</v>
      </c>
      <c r="BC164" s="856">
        <f t="shared" si="261"/>
        <v>0</v>
      </c>
      <c r="BD164" s="856">
        <f t="shared" si="261"/>
        <v>0</v>
      </c>
      <c r="BE164" s="856">
        <f t="shared" si="261"/>
        <v>0</v>
      </c>
      <c r="BF164" s="856">
        <f t="shared" si="261"/>
        <v>0</v>
      </c>
      <c r="BG164" s="856">
        <f t="shared" si="261"/>
        <v>0</v>
      </c>
      <c r="BH164" s="856">
        <f t="shared" si="261"/>
        <v>0</v>
      </c>
      <c r="BI164" s="856">
        <f t="shared" si="261"/>
        <v>0</v>
      </c>
      <c r="BJ164" s="856">
        <f t="shared" si="261"/>
        <v>0</v>
      </c>
      <c r="BK164" s="856">
        <f t="shared" si="261"/>
        <v>0</v>
      </c>
      <c r="BL164" s="856">
        <f t="shared" si="261"/>
        <v>0</v>
      </c>
      <c r="BM164" s="856">
        <f t="shared" si="261"/>
        <v>0</v>
      </c>
      <c r="BN164" s="856">
        <f t="shared" si="261"/>
        <v>0</v>
      </c>
      <c r="BO164" s="856">
        <f t="shared" si="261"/>
        <v>0</v>
      </c>
      <c r="BP164" s="856">
        <f t="shared" si="261"/>
        <v>0</v>
      </c>
      <c r="BQ164" s="856">
        <f t="shared" si="261"/>
        <v>0</v>
      </c>
      <c r="BR164" s="856">
        <f t="shared" si="261"/>
        <v>0</v>
      </c>
      <c r="BS164" s="856">
        <f t="shared" si="261"/>
        <v>0</v>
      </c>
      <c r="BT164" s="856">
        <f t="shared" si="261"/>
        <v>0</v>
      </c>
      <c r="BU164" s="856">
        <f t="shared" si="261"/>
        <v>0</v>
      </c>
      <c r="BV164" s="856">
        <f t="shared" si="261"/>
        <v>0</v>
      </c>
      <c r="BW164" s="856">
        <f t="shared" si="261"/>
        <v>0</v>
      </c>
      <c r="BX164" s="856">
        <f t="shared" si="261"/>
        <v>0</v>
      </c>
      <c r="BY164" s="856">
        <f t="shared" si="261"/>
        <v>0</v>
      </c>
      <c r="BZ164" s="856">
        <f t="shared" si="261"/>
        <v>0</v>
      </c>
      <c r="CA164" s="856">
        <f t="shared" si="261"/>
        <v>0</v>
      </c>
      <c r="CB164" s="856">
        <f t="shared" si="261"/>
        <v>0</v>
      </c>
      <c r="CC164" s="856">
        <f t="shared" si="261"/>
        <v>0</v>
      </c>
      <c r="CD164" s="856">
        <f t="shared" si="261"/>
        <v>0</v>
      </c>
      <c r="CE164" s="856">
        <f t="shared" ref="CE164:DJ164" si="262">SUBTOTAL(9,CE160:CE163)*(SUM(CE160:CE163)&gt;1)</f>
        <v>0</v>
      </c>
      <c r="CF164" s="856">
        <f t="shared" si="262"/>
        <v>0</v>
      </c>
      <c r="CG164" s="856">
        <f t="shared" si="262"/>
        <v>0</v>
      </c>
      <c r="CH164" s="856">
        <f t="shared" si="262"/>
        <v>0</v>
      </c>
      <c r="CI164" s="856">
        <f t="shared" si="262"/>
        <v>0</v>
      </c>
      <c r="CJ164" s="856">
        <f t="shared" si="262"/>
        <v>0</v>
      </c>
      <c r="CK164" s="856">
        <f t="shared" si="262"/>
        <v>0</v>
      </c>
      <c r="CL164" s="856">
        <f t="shared" si="262"/>
        <v>0</v>
      </c>
      <c r="CM164" s="856">
        <f t="shared" si="262"/>
        <v>0</v>
      </c>
      <c r="CN164" s="856">
        <f t="shared" si="262"/>
        <v>0</v>
      </c>
      <c r="CO164" s="856">
        <f t="shared" si="262"/>
        <v>0</v>
      </c>
      <c r="CP164" s="856">
        <f t="shared" si="262"/>
        <v>0</v>
      </c>
      <c r="CQ164" s="856">
        <f t="shared" si="262"/>
        <v>0</v>
      </c>
      <c r="CR164" s="856">
        <f t="shared" si="262"/>
        <v>0</v>
      </c>
      <c r="CS164" s="856">
        <f t="shared" si="262"/>
        <v>0</v>
      </c>
      <c r="CT164" s="856">
        <f t="shared" si="262"/>
        <v>0</v>
      </c>
      <c r="CU164" s="856">
        <f t="shared" si="262"/>
        <v>0</v>
      </c>
      <c r="CV164" s="856">
        <f t="shared" si="262"/>
        <v>0</v>
      </c>
      <c r="CW164" s="856">
        <f t="shared" si="262"/>
        <v>0</v>
      </c>
      <c r="CX164" s="856">
        <f t="shared" si="262"/>
        <v>0</v>
      </c>
      <c r="CY164" s="856">
        <f t="shared" si="262"/>
        <v>0</v>
      </c>
      <c r="CZ164" s="856">
        <f t="shared" si="262"/>
        <v>0</v>
      </c>
      <c r="DA164" s="856">
        <f t="shared" si="262"/>
        <v>0</v>
      </c>
      <c r="DB164" s="856">
        <f t="shared" si="262"/>
        <v>0</v>
      </c>
      <c r="DC164" s="856">
        <f t="shared" si="262"/>
        <v>0</v>
      </c>
      <c r="DD164" s="856">
        <f t="shared" si="262"/>
        <v>0</v>
      </c>
      <c r="DE164" s="856">
        <f t="shared" si="262"/>
        <v>0</v>
      </c>
      <c r="DF164" s="856">
        <f t="shared" si="262"/>
        <v>0</v>
      </c>
      <c r="DG164" s="856">
        <f t="shared" si="262"/>
        <v>0</v>
      </c>
      <c r="DH164" s="856">
        <f t="shared" si="262"/>
        <v>0</v>
      </c>
      <c r="DI164" s="856">
        <f t="shared" si="262"/>
        <v>0</v>
      </c>
      <c r="DJ164" s="856">
        <f t="shared" si="262"/>
        <v>0</v>
      </c>
      <c r="DK164" s="856">
        <f t="shared" ref="DK164:EP164" si="263">SUBTOTAL(9,DK160:DK163)*(SUM(DK160:DK163)&gt;1)</f>
        <v>0</v>
      </c>
      <c r="DL164" s="856">
        <f t="shared" si="263"/>
        <v>0</v>
      </c>
      <c r="DM164" s="856">
        <f t="shared" si="263"/>
        <v>0</v>
      </c>
      <c r="DN164" s="856">
        <f t="shared" si="263"/>
        <v>0</v>
      </c>
      <c r="DO164" s="856">
        <f t="shared" si="263"/>
        <v>0</v>
      </c>
      <c r="DP164" s="856">
        <f t="shared" si="263"/>
        <v>0</v>
      </c>
      <c r="DQ164" s="856">
        <f t="shared" si="263"/>
        <v>0</v>
      </c>
      <c r="DR164" s="856">
        <f t="shared" si="263"/>
        <v>0</v>
      </c>
      <c r="DS164" s="856">
        <f t="shared" si="263"/>
        <v>0</v>
      </c>
      <c r="DT164" s="856">
        <f t="shared" si="263"/>
        <v>0</v>
      </c>
      <c r="DU164" s="856">
        <f t="shared" si="263"/>
        <v>0</v>
      </c>
      <c r="DV164" s="856">
        <f t="shared" si="263"/>
        <v>0</v>
      </c>
      <c r="DW164" s="856">
        <f t="shared" si="263"/>
        <v>0</v>
      </c>
      <c r="DX164" s="856">
        <f t="shared" si="263"/>
        <v>0</v>
      </c>
      <c r="DY164" s="856">
        <f t="shared" si="263"/>
        <v>0</v>
      </c>
      <c r="DZ164" s="856">
        <f t="shared" si="263"/>
        <v>0</v>
      </c>
      <c r="EA164" s="856">
        <f t="shared" si="263"/>
        <v>0</v>
      </c>
      <c r="EB164" s="856">
        <f t="shared" si="263"/>
        <v>0</v>
      </c>
      <c r="EC164" s="856">
        <f t="shared" si="263"/>
        <v>0</v>
      </c>
      <c r="ED164" s="856">
        <f t="shared" si="263"/>
        <v>0</v>
      </c>
      <c r="EE164" s="856">
        <f t="shared" si="263"/>
        <v>0</v>
      </c>
      <c r="EF164" s="856">
        <f t="shared" si="263"/>
        <v>0</v>
      </c>
      <c r="EG164" s="856">
        <f t="shared" si="263"/>
        <v>0</v>
      </c>
      <c r="EH164" s="856">
        <f t="shared" si="263"/>
        <v>0</v>
      </c>
      <c r="EI164" s="856">
        <f t="shared" si="263"/>
        <v>0</v>
      </c>
    </row>
    <row r="165" spans="2:139" ht="12.75" customHeight="1">
      <c r="B165" s="46"/>
      <c r="C165" s="209"/>
      <c r="D165" s="857"/>
      <c r="E165" s="857"/>
      <c r="F165" s="857"/>
      <c r="G165" s="857"/>
      <c r="H165" s="857"/>
      <c r="I165" s="857"/>
      <c r="J165" s="857"/>
      <c r="K165" s="857"/>
      <c r="L165" s="857"/>
      <c r="M165" s="857"/>
      <c r="N165" s="857"/>
      <c r="O165" s="858"/>
      <c r="P165" s="313"/>
      <c r="Q165" s="313"/>
      <c r="R165" s="313"/>
      <c r="S165" s="859"/>
      <c r="T165" s="859"/>
      <c r="U165" s="859"/>
      <c r="V165" s="859"/>
      <c r="W165" s="859"/>
      <c r="X165" s="859"/>
      <c r="Y165" s="859"/>
      <c r="Z165" s="859"/>
      <c r="AA165" s="859"/>
      <c r="AB165" s="859"/>
      <c r="AC165" s="859"/>
      <c r="AD165" s="859"/>
      <c r="AE165" s="859"/>
      <c r="AF165" s="859"/>
      <c r="AG165" s="859"/>
      <c r="AH165" s="859"/>
      <c r="AI165" s="859"/>
      <c r="AJ165" s="859"/>
      <c r="AK165" s="859"/>
      <c r="AL165" s="859"/>
      <c r="AM165" s="859"/>
      <c r="AN165" s="859"/>
      <c r="AO165" s="859"/>
      <c r="AP165" s="859"/>
      <c r="AQ165" s="859"/>
      <c r="AR165" s="859"/>
      <c r="AS165" s="859"/>
      <c r="AT165" s="859"/>
      <c r="AU165" s="859"/>
      <c r="AV165" s="859"/>
      <c r="AW165" s="859"/>
      <c r="AX165" s="859"/>
      <c r="AY165" s="859"/>
      <c r="AZ165" s="859"/>
      <c r="BA165" s="859"/>
      <c r="BB165" s="859"/>
      <c r="BC165" s="859"/>
      <c r="BD165" s="859"/>
      <c r="BE165" s="859"/>
      <c r="BF165" s="859"/>
      <c r="BG165" s="859"/>
      <c r="BH165" s="859"/>
      <c r="BI165" s="859"/>
      <c r="BJ165" s="859"/>
      <c r="BK165" s="859"/>
      <c r="BL165" s="859"/>
      <c r="BM165" s="859"/>
      <c r="BN165" s="859"/>
      <c r="BO165" s="859"/>
      <c r="BP165" s="859"/>
      <c r="BQ165" s="859"/>
      <c r="BR165" s="859"/>
      <c r="BS165" s="859"/>
      <c r="BT165" s="859"/>
      <c r="BU165" s="859"/>
      <c r="BV165" s="859"/>
      <c r="BW165" s="859"/>
      <c r="BX165" s="859"/>
      <c r="BY165" s="859"/>
      <c r="BZ165" s="859"/>
      <c r="CA165" s="859"/>
      <c r="CB165" s="859"/>
      <c r="CC165" s="859"/>
      <c r="CD165" s="859"/>
      <c r="CE165" s="859"/>
      <c r="CF165" s="859"/>
      <c r="CG165" s="859"/>
      <c r="CH165" s="859"/>
      <c r="CI165" s="859"/>
      <c r="CJ165" s="859"/>
      <c r="CK165" s="859"/>
      <c r="CL165" s="859"/>
      <c r="CM165" s="859"/>
      <c r="CN165" s="859"/>
      <c r="CO165" s="859"/>
      <c r="CP165" s="859"/>
      <c r="CQ165" s="859"/>
      <c r="CR165" s="859"/>
      <c r="CS165" s="859"/>
      <c r="CT165" s="859"/>
      <c r="CU165" s="859"/>
      <c r="CV165" s="859"/>
      <c r="CW165" s="859"/>
      <c r="CX165" s="859"/>
      <c r="CY165" s="859"/>
      <c r="CZ165" s="859"/>
      <c r="DA165" s="859"/>
      <c r="DB165" s="859"/>
      <c r="DC165" s="859"/>
      <c r="DD165" s="859"/>
      <c r="DE165" s="859"/>
      <c r="DF165" s="859"/>
      <c r="DG165" s="859"/>
      <c r="DH165" s="859"/>
      <c r="DI165" s="859"/>
      <c r="DJ165" s="859"/>
      <c r="DK165" s="859"/>
      <c r="DL165" s="859"/>
      <c r="DM165" s="859"/>
      <c r="DN165" s="859"/>
      <c r="DO165" s="859"/>
      <c r="DP165" s="859"/>
      <c r="DQ165" s="859"/>
      <c r="DR165" s="859"/>
      <c r="DS165" s="859"/>
      <c r="DT165" s="859"/>
      <c r="DU165" s="859"/>
      <c r="DV165" s="859"/>
      <c r="DW165" s="859"/>
      <c r="DX165" s="859"/>
      <c r="DY165" s="859"/>
      <c r="DZ165" s="859"/>
      <c r="EA165" s="859"/>
      <c r="EB165" s="859"/>
      <c r="EC165" s="859"/>
      <c r="ED165" s="859"/>
      <c r="EE165" s="859"/>
      <c r="EF165" s="859"/>
      <c r="EG165" s="859"/>
      <c r="EH165" s="859"/>
      <c r="EI165" s="859"/>
    </row>
    <row r="166" spans="2:139" ht="12.75" customHeight="1">
      <c r="B166" s="1045" t="s">
        <v>48</v>
      </c>
      <c r="C166" s="211"/>
      <c r="D166" s="203"/>
      <c r="E166" s="203"/>
      <c r="F166" s="203"/>
      <c r="G166" s="203"/>
      <c r="H166" s="203"/>
      <c r="I166" s="203"/>
      <c r="J166" s="203"/>
      <c r="K166" s="203"/>
      <c r="L166" s="203"/>
      <c r="M166" s="203"/>
      <c r="N166" s="203"/>
      <c r="O166" s="853"/>
      <c r="P166" s="313"/>
      <c r="Q166" s="313"/>
      <c r="R166" s="313"/>
      <c r="S166" s="845"/>
      <c r="T166" s="845"/>
      <c r="U166" s="845"/>
      <c r="V166" s="845"/>
      <c r="W166" s="845"/>
      <c r="X166" s="845"/>
      <c r="Y166" s="845"/>
      <c r="Z166" s="845"/>
      <c r="AA166" s="845"/>
      <c r="AB166" s="845"/>
      <c r="AC166" s="845"/>
      <c r="AD166" s="845"/>
      <c r="AE166" s="845"/>
      <c r="AF166" s="845"/>
      <c r="AG166" s="845"/>
      <c r="AH166" s="845"/>
      <c r="AI166" s="845"/>
      <c r="AJ166" s="845"/>
      <c r="AK166" s="845"/>
      <c r="AL166" s="845"/>
      <c r="AM166" s="845"/>
      <c r="AN166" s="845"/>
      <c r="AO166" s="845"/>
      <c r="AP166" s="845"/>
      <c r="AQ166" s="845"/>
      <c r="AR166" s="845"/>
      <c r="AS166" s="845"/>
      <c r="AT166" s="845"/>
      <c r="AU166" s="845"/>
      <c r="AV166" s="845"/>
      <c r="AW166" s="845"/>
      <c r="AX166" s="845"/>
      <c r="AY166" s="845"/>
      <c r="AZ166" s="845"/>
      <c r="BA166" s="845"/>
      <c r="BB166" s="845"/>
      <c r="BC166" s="845"/>
      <c r="BD166" s="845"/>
      <c r="BE166" s="845"/>
      <c r="BF166" s="845"/>
      <c r="BG166" s="845"/>
      <c r="BH166" s="845"/>
      <c r="BI166" s="845"/>
      <c r="BJ166" s="845"/>
      <c r="BK166" s="845"/>
      <c r="BL166" s="845"/>
      <c r="BM166" s="845"/>
      <c r="BN166" s="845"/>
      <c r="BO166" s="845"/>
      <c r="BP166" s="845"/>
      <c r="BQ166" s="845"/>
      <c r="BR166" s="845"/>
      <c r="BS166" s="845"/>
      <c r="BT166" s="845"/>
      <c r="BU166" s="845"/>
      <c r="BV166" s="845"/>
      <c r="BW166" s="845"/>
      <c r="BX166" s="845"/>
      <c r="BY166" s="845"/>
      <c r="BZ166" s="845"/>
      <c r="CA166" s="845"/>
      <c r="CB166" s="845"/>
      <c r="CC166" s="845"/>
      <c r="CD166" s="845"/>
      <c r="CE166" s="845"/>
      <c r="CF166" s="845"/>
      <c r="CG166" s="845"/>
      <c r="CH166" s="845"/>
      <c r="CI166" s="845"/>
      <c r="CJ166" s="845"/>
      <c r="CK166" s="845"/>
      <c r="CL166" s="845"/>
      <c r="CM166" s="845"/>
      <c r="CN166" s="845"/>
      <c r="CO166" s="845"/>
      <c r="CP166" s="845"/>
      <c r="CQ166" s="845"/>
      <c r="CR166" s="845"/>
      <c r="CS166" s="845"/>
      <c r="CT166" s="845"/>
      <c r="CU166" s="845"/>
      <c r="CV166" s="845"/>
      <c r="CW166" s="845"/>
      <c r="CX166" s="845"/>
      <c r="CY166" s="845"/>
      <c r="CZ166" s="845"/>
      <c r="DA166" s="845"/>
      <c r="DB166" s="845"/>
      <c r="DC166" s="845"/>
      <c r="DD166" s="845"/>
      <c r="DE166" s="845"/>
      <c r="DF166" s="845"/>
      <c r="DG166" s="845"/>
      <c r="DH166" s="845"/>
      <c r="DI166" s="845"/>
      <c r="DJ166" s="845"/>
      <c r="DK166" s="845"/>
      <c r="DL166" s="845"/>
      <c r="DM166" s="845"/>
      <c r="DN166" s="845"/>
      <c r="DO166" s="845"/>
      <c r="DP166" s="845"/>
      <c r="DQ166" s="845"/>
      <c r="DR166" s="845"/>
      <c r="DS166" s="845"/>
      <c r="DT166" s="845"/>
      <c r="DU166" s="845"/>
      <c r="DV166" s="845"/>
      <c r="DW166" s="845"/>
      <c r="DX166" s="845"/>
      <c r="DY166" s="845"/>
      <c r="DZ166" s="845"/>
      <c r="EA166" s="845"/>
      <c r="EB166" s="845"/>
      <c r="EC166" s="845"/>
      <c r="ED166" s="845"/>
      <c r="EE166" s="845"/>
      <c r="EF166" s="845"/>
      <c r="EG166" s="845"/>
      <c r="EH166" s="845"/>
      <c r="EI166" s="845"/>
    </row>
    <row r="167" spans="2:139" ht="12.75" customHeight="1">
      <c r="B167" s="41" t="str">
        <f>IF(AssumIntType=FixedInterest,B169,"Interest Rate before Floor/Cap")</f>
        <v>Assumable Loan Interest Rate</v>
      </c>
      <c r="C167" s="211"/>
      <c r="D167" s="203"/>
      <c r="E167" s="860">
        <f>IF(Assum2IntType=FixedInterest,Assum2IntRate,(SUMIF('Multiple Assumable Loans'!$I$17:$I$26,E$4,'Multiple Assumable Loans'!$L$17:$L$26)+Assum2IntSprd/10000))*AND(AssumLoan2Term&lt;&gt;"",E$4&gt;AnalysisStartDate,E$160+E161&gt;0)</f>
        <v>0</v>
      </c>
      <c r="F167" s="860">
        <f>IF(Assum2IntType=FixedInterest,Assum2IntRate,(SUMIF('Multiple Assumable Loans'!$I$17:$I$26,F$4,'Multiple Assumable Loans'!$L$17:$L$26)+Assum2IntSprd/10000))*AND(AssumLoan2Term&lt;&gt;"",F$4&gt;AnalysisStartDate,F$160+F161&gt;0)</f>
        <v>0</v>
      </c>
      <c r="G167" s="860">
        <f>IF(Assum2IntType=FixedInterest,Assum2IntRate,(SUMIF('Multiple Assumable Loans'!$I$17:$I$26,G$4,'Multiple Assumable Loans'!$L$17:$L$26)+Assum2IntSprd/10000))*AND(AssumLoan2Term&lt;&gt;"",G$4&gt;AnalysisStartDate,G$160+G161&gt;0)</f>
        <v>0</v>
      </c>
      <c r="H167" s="860">
        <f>IF(Assum2IntType=FixedInterest,Assum2IntRate,(SUMIF('Multiple Assumable Loans'!$I$17:$I$26,H$4,'Multiple Assumable Loans'!$L$17:$L$26)+Assum2IntSprd/10000))*AND(AssumLoan2Term&lt;&gt;"",H$4&gt;AnalysisStartDate,H$160+H161&gt;0)</f>
        <v>0</v>
      </c>
      <c r="I167" s="860">
        <f>IF(Assum2IntType=FixedInterest,Assum2IntRate,(SUMIF('Multiple Assumable Loans'!$I$17:$I$26,I$4,'Multiple Assumable Loans'!$L$17:$L$26)+Assum2IntSprd/10000))*AND(AssumLoan2Term&lt;&gt;"",I$4&gt;AnalysisStartDate,I$160+I161&gt;0)</f>
        <v>0</v>
      </c>
      <c r="J167" s="860">
        <f>IF(Assum2IntType=FixedInterest,Assum2IntRate,(SUMIF('Multiple Assumable Loans'!$I$17:$I$26,J$4,'Multiple Assumable Loans'!$L$17:$L$26)+Assum2IntSprd/10000))*AND(AssumLoan2Term&lt;&gt;"",J$4&gt;AnalysisStartDate,J$160+J161&gt;0)</f>
        <v>0</v>
      </c>
      <c r="K167" s="860">
        <f>IF(Assum2IntType=FixedInterest,Assum2IntRate,(SUMIF('Multiple Assumable Loans'!$I$17:$I$26,K$4,'Multiple Assumable Loans'!$L$17:$L$26)+Assum2IntSprd/10000))*AND(AssumLoan2Term&lt;&gt;"",K$4&gt;AnalysisStartDate,K$160+K161&gt;0)</f>
        <v>0</v>
      </c>
      <c r="L167" s="860">
        <f>IF(Assum2IntType=FixedInterest,Assum2IntRate,(SUMIF('Multiple Assumable Loans'!$I$17:$I$26,L$4,'Multiple Assumable Loans'!$L$17:$L$26)+Assum2IntSprd/10000))*AND(AssumLoan2Term&lt;&gt;"",L$4&gt;AnalysisStartDate,L$160+L161&gt;0)</f>
        <v>0</v>
      </c>
      <c r="M167" s="860">
        <f>IF(Assum2IntType=FixedInterest,Assum2IntRate,(SUMIF('Multiple Assumable Loans'!$I$17:$I$26,M$4,'Multiple Assumable Loans'!$L$17:$L$26)+Assum2IntSprd/10000))*AND(AssumLoan2Term&lt;&gt;"",M$4&gt;AnalysisStartDate,M$160+M161&gt;0)</f>
        <v>0</v>
      </c>
      <c r="N167" s="860">
        <f>IF(Assum2IntType=FixedInterest,Assum2IntRate,(SUMIF('Multiple Assumable Loans'!$I$17:$I$26,N$4,'Multiple Assumable Loans'!$L$17:$L$26)+Assum2IntSprd/10000))*AND(AssumLoan2Term&lt;&gt;"",N$4&gt;AnalysisStartDate,N$160+N161&gt;0)</f>
        <v>0</v>
      </c>
      <c r="O167" s="853"/>
      <c r="P167" s="313"/>
      <c r="Q167" s="313"/>
      <c r="R167" s="313"/>
      <c r="S167" s="845"/>
      <c r="T167" s="860">
        <f t="shared" ref="T167:AY167" si="264">SUMIF($D$5:$N$5,T$6,$D167:$N167)*(T160+T161&gt;0)</f>
        <v>0</v>
      </c>
      <c r="U167" s="860">
        <f t="shared" si="264"/>
        <v>0</v>
      </c>
      <c r="V167" s="860">
        <f t="shared" si="264"/>
        <v>0</v>
      </c>
      <c r="W167" s="860">
        <f t="shared" si="264"/>
        <v>0</v>
      </c>
      <c r="X167" s="860">
        <f t="shared" si="264"/>
        <v>0</v>
      </c>
      <c r="Y167" s="860">
        <f t="shared" si="264"/>
        <v>0</v>
      </c>
      <c r="Z167" s="860">
        <f t="shared" si="264"/>
        <v>0</v>
      </c>
      <c r="AA167" s="860">
        <f t="shared" si="264"/>
        <v>0</v>
      </c>
      <c r="AB167" s="860">
        <f t="shared" si="264"/>
        <v>0</v>
      </c>
      <c r="AC167" s="860">
        <f t="shared" si="264"/>
        <v>0</v>
      </c>
      <c r="AD167" s="860">
        <f t="shared" si="264"/>
        <v>0</v>
      </c>
      <c r="AE167" s="860">
        <f t="shared" si="264"/>
        <v>0</v>
      </c>
      <c r="AF167" s="860">
        <f t="shared" si="264"/>
        <v>0</v>
      </c>
      <c r="AG167" s="860">
        <f t="shared" si="264"/>
        <v>0</v>
      </c>
      <c r="AH167" s="860">
        <f t="shared" si="264"/>
        <v>0</v>
      </c>
      <c r="AI167" s="860">
        <f t="shared" si="264"/>
        <v>0</v>
      </c>
      <c r="AJ167" s="860">
        <f t="shared" si="264"/>
        <v>0</v>
      </c>
      <c r="AK167" s="860">
        <f t="shared" si="264"/>
        <v>0</v>
      </c>
      <c r="AL167" s="860">
        <f t="shared" si="264"/>
        <v>0</v>
      </c>
      <c r="AM167" s="860">
        <f t="shared" si="264"/>
        <v>0</v>
      </c>
      <c r="AN167" s="860">
        <f t="shared" si="264"/>
        <v>0</v>
      </c>
      <c r="AO167" s="860">
        <f t="shared" si="264"/>
        <v>0</v>
      </c>
      <c r="AP167" s="860">
        <f t="shared" si="264"/>
        <v>0</v>
      </c>
      <c r="AQ167" s="860">
        <f t="shared" si="264"/>
        <v>0</v>
      </c>
      <c r="AR167" s="860">
        <f t="shared" si="264"/>
        <v>0</v>
      </c>
      <c r="AS167" s="860">
        <f t="shared" si="264"/>
        <v>0</v>
      </c>
      <c r="AT167" s="860">
        <f t="shared" si="264"/>
        <v>0</v>
      </c>
      <c r="AU167" s="860">
        <f t="shared" si="264"/>
        <v>0</v>
      </c>
      <c r="AV167" s="860">
        <f t="shared" si="264"/>
        <v>0</v>
      </c>
      <c r="AW167" s="860">
        <f t="shared" si="264"/>
        <v>0</v>
      </c>
      <c r="AX167" s="860">
        <f t="shared" si="264"/>
        <v>0</v>
      </c>
      <c r="AY167" s="860">
        <f t="shared" si="264"/>
        <v>0</v>
      </c>
      <c r="AZ167" s="860">
        <f t="shared" ref="AZ167:CE167" si="265">SUMIF($D$5:$N$5,AZ$6,$D167:$N167)*(AZ160+AZ161&gt;0)</f>
        <v>0</v>
      </c>
      <c r="BA167" s="860">
        <f t="shared" si="265"/>
        <v>0</v>
      </c>
      <c r="BB167" s="860">
        <f t="shared" si="265"/>
        <v>0</v>
      </c>
      <c r="BC167" s="860">
        <f t="shared" si="265"/>
        <v>0</v>
      </c>
      <c r="BD167" s="860">
        <f t="shared" si="265"/>
        <v>0</v>
      </c>
      <c r="BE167" s="860">
        <f t="shared" si="265"/>
        <v>0</v>
      </c>
      <c r="BF167" s="860">
        <f t="shared" si="265"/>
        <v>0</v>
      </c>
      <c r="BG167" s="860">
        <f t="shared" si="265"/>
        <v>0</v>
      </c>
      <c r="BH167" s="860">
        <f t="shared" si="265"/>
        <v>0</v>
      </c>
      <c r="BI167" s="860">
        <f t="shared" si="265"/>
        <v>0</v>
      </c>
      <c r="BJ167" s="860">
        <f t="shared" si="265"/>
        <v>0</v>
      </c>
      <c r="BK167" s="860">
        <f t="shared" si="265"/>
        <v>0</v>
      </c>
      <c r="BL167" s="860">
        <f t="shared" si="265"/>
        <v>0</v>
      </c>
      <c r="BM167" s="860">
        <f t="shared" si="265"/>
        <v>0</v>
      </c>
      <c r="BN167" s="860">
        <f t="shared" si="265"/>
        <v>0</v>
      </c>
      <c r="BO167" s="860">
        <f t="shared" si="265"/>
        <v>0</v>
      </c>
      <c r="BP167" s="860">
        <f t="shared" si="265"/>
        <v>0</v>
      </c>
      <c r="BQ167" s="860">
        <f t="shared" si="265"/>
        <v>0</v>
      </c>
      <c r="BR167" s="860">
        <f t="shared" si="265"/>
        <v>0</v>
      </c>
      <c r="BS167" s="860">
        <f t="shared" si="265"/>
        <v>0</v>
      </c>
      <c r="BT167" s="860">
        <f t="shared" si="265"/>
        <v>0</v>
      </c>
      <c r="BU167" s="860">
        <f t="shared" si="265"/>
        <v>0</v>
      </c>
      <c r="BV167" s="860">
        <f t="shared" si="265"/>
        <v>0</v>
      </c>
      <c r="BW167" s="860">
        <f t="shared" si="265"/>
        <v>0</v>
      </c>
      <c r="BX167" s="860">
        <f t="shared" si="265"/>
        <v>0</v>
      </c>
      <c r="BY167" s="860">
        <f t="shared" si="265"/>
        <v>0</v>
      </c>
      <c r="BZ167" s="860">
        <f t="shared" si="265"/>
        <v>0</v>
      </c>
      <c r="CA167" s="860">
        <f t="shared" si="265"/>
        <v>0</v>
      </c>
      <c r="CB167" s="860">
        <f t="shared" si="265"/>
        <v>0</v>
      </c>
      <c r="CC167" s="860">
        <f t="shared" si="265"/>
        <v>0</v>
      </c>
      <c r="CD167" s="860">
        <f t="shared" si="265"/>
        <v>0</v>
      </c>
      <c r="CE167" s="860">
        <f t="shared" si="265"/>
        <v>0</v>
      </c>
      <c r="CF167" s="860">
        <f t="shared" ref="CF167:DK167" si="266">SUMIF($D$5:$N$5,CF$6,$D167:$N167)*(CF160+CF161&gt;0)</f>
        <v>0</v>
      </c>
      <c r="CG167" s="860">
        <f t="shared" si="266"/>
        <v>0</v>
      </c>
      <c r="CH167" s="860">
        <f t="shared" si="266"/>
        <v>0</v>
      </c>
      <c r="CI167" s="860">
        <f t="shared" si="266"/>
        <v>0</v>
      </c>
      <c r="CJ167" s="860">
        <f t="shared" si="266"/>
        <v>0</v>
      </c>
      <c r="CK167" s="860">
        <f t="shared" si="266"/>
        <v>0</v>
      </c>
      <c r="CL167" s="860">
        <f t="shared" si="266"/>
        <v>0</v>
      </c>
      <c r="CM167" s="860">
        <f t="shared" si="266"/>
        <v>0</v>
      </c>
      <c r="CN167" s="860">
        <f t="shared" si="266"/>
        <v>0</v>
      </c>
      <c r="CO167" s="860">
        <f t="shared" si="266"/>
        <v>0</v>
      </c>
      <c r="CP167" s="860">
        <f t="shared" si="266"/>
        <v>0</v>
      </c>
      <c r="CQ167" s="860">
        <f t="shared" si="266"/>
        <v>0</v>
      </c>
      <c r="CR167" s="860">
        <f t="shared" si="266"/>
        <v>0</v>
      </c>
      <c r="CS167" s="860">
        <f t="shared" si="266"/>
        <v>0</v>
      </c>
      <c r="CT167" s="860">
        <f t="shared" si="266"/>
        <v>0</v>
      </c>
      <c r="CU167" s="860">
        <f t="shared" si="266"/>
        <v>0</v>
      </c>
      <c r="CV167" s="860">
        <f t="shared" si="266"/>
        <v>0</v>
      </c>
      <c r="CW167" s="860">
        <f t="shared" si="266"/>
        <v>0</v>
      </c>
      <c r="CX167" s="860">
        <f t="shared" si="266"/>
        <v>0</v>
      </c>
      <c r="CY167" s="860">
        <f t="shared" si="266"/>
        <v>0</v>
      </c>
      <c r="CZ167" s="860">
        <f t="shared" si="266"/>
        <v>0</v>
      </c>
      <c r="DA167" s="860">
        <f t="shared" si="266"/>
        <v>0</v>
      </c>
      <c r="DB167" s="860">
        <f t="shared" si="266"/>
        <v>0</v>
      </c>
      <c r="DC167" s="860">
        <f t="shared" si="266"/>
        <v>0</v>
      </c>
      <c r="DD167" s="860">
        <f t="shared" si="266"/>
        <v>0</v>
      </c>
      <c r="DE167" s="860">
        <f t="shared" si="266"/>
        <v>0</v>
      </c>
      <c r="DF167" s="860">
        <f t="shared" si="266"/>
        <v>0</v>
      </c>
      <c r="DG167" s="860">
        <f t="shared" si="266"/>
        <v>0</v>
      </c>
      <c r="DH167" s="860">
        <f t="shared" si="266"/>
        <v>0</v>
      </c>
      <c r="DI167" s="860">
        <f t="shared" si="266"/>
        <v>0</v>
      </c>
      <c r="DJ167" s="860">
        <f t="shared" si="266"/>
        <v>0</v>
      </c>
      <c r="DK167" s="860">
        <f t="shared" si="266"/>
        <v>0</v>
      </c>
      <c r="DL167" s="860">
        <f t="shared" ref="DL167:EI167" si="267">SUMIF($D$5:$N$5,DL$6,$D167:$N167)*(DL160+DL161&gt;0)</f>
        <v>0</v>
      </c>
      <c r="DM167" s="860">
        <f t="shared" si="267"/>
        <v>0</v>
      </c>
      <c r="DN167" s="860">
        <f t="shared" si="267"/>
        <v>0</v>
      </c>
      <c r="DO167" s="860">
        <f t="shared" si="267"/>
        <v>0</v>
      </c>
      <c r="DP167" s="860">
        <f t="shared" si="267"/>
        <v>0</v>
      </c>
      <c r="DQ167" s="860">
        <f t="shared" si="267"/>
        <v>0</v>
      </c>
      <c r="DR167" s="860">
        <f t="shared" si="267"/>
        <v>0</v>
      </c>
      <c r="DS167" s="860">
        <f t="shared" si="267"/>
        <v>0</v>
      </c>
      <c r="DT167" s="860">
        <f t="shared" si="267"/>
        <v>0</v>
      </c>
      <c r="DU167" s="860">
        <f t="shared" si="267"/>
        <v>0</v>
      </c>
      <c r="DV167" s="860">
        <f t="shared" si="267"/>
        <v>0</v>
      </c>
      <c r="DW167" s="860">
        <f t="shared" si="267"/>
        <v>0</v>
      </c>
      <c r="DX167" s="860">
        <f t="shared" si="267"/>
        <v>0</v>
      </c>
      <c r="DY167" s="860">
        <f t="shared" si="267"/>
        <v>0</v>
      </c>
      <c r="DZ167" s="860">
        <f t="shared" si="267"/>
        <v>0</v>
      </c>
      <c r="EA167" s="860">
        <f t="shared" si="267"/>
        <v>0</v>
      </c>
      <c r="EB167" s="860">
        <f t="shared" si="267"/>
        <v>0</v>
      </c>
      <c r="EC167" s="860">
        <f t="shared" si="267"/>
        <v>0</v>
      </c>
      <c r="ED167" s="860">
        <f t="shared" si="267"/>
        <v>0</v>
      </c>
      <c r="EE167" s="860">
        <f t="shared" si="267"/>
        <v>0</v>
      </c>
      <c r="EF167" s="860">
        <f t="shared" si="267"/>
        <v>0</v>
      </c>
      <c r="EG167" s="860">
        <f t="shared" si="267"/>
        <v>0</v>
      </c>
      <c r="EH167" s="860">
        <f t="shared" si="267"/>
        <v>0</v>
      </c>
      <c r="EI167" s="860">
        <f t="shared" si="267"/>
        <v>0</v>
      </c>
    </row>
    <row r="168" spans="2:139" ht="12.75" hidden="1" customHeight="1">
      <c r="B168" s="861" t="s">
        <v>596</v>
      </c>
      <c r="C168" s="211"/>
      <c r="D168" s="203"/>
      <c r="E168" s="862">
        <f t="shared" ref="E168:N168" si="268">E169-E167</f>
        <v>0</v>
      </c>
      <c r="F168" s="862">
        <f t="shared" si="268"/>
        <v>0</v>
      </c>
      <c r="G168" s="862">
        <f t="shared" si="268"/>
        <v>0</v>
      </c>
      <c r="H168" s="862">
        <f t="shared" si="268"/>
        <v>0</v>
      </c>
      <c r="I168" s="862">
        <f t="shared" si="268"/>
        <v>0</v>
      </c>
      <c r="J168" s="862">
        <f t="shared" si="268"/>
        <v>0</v>
      </c>
      <c r="K168" s="862">
        <f t="shared" si="268"/>
        <v>0</v>
      </c>
      <c r="L168" s="862">
        <f t="shared" si="268"/>
        <v>0</v>
      </c>
      <c r="M168" s="862">
        <f t="shared" si="268"/>
        <v>0</v>
      </c>
      <c r="N168" s="862">
        <f t="shared" si="268"/>
        <v>0</v>
      </c>
      <c r="O168" s="853"/>
      <c r="P168" s="313"/>
      <c r="Q168" s="313"/>
      <c r="R168" s="313"/>
      <c r="S168" s="845"/>
      <c r="T168" s="860">
        <f t="shared" ref="T168:AY168" si="269">T169-T167</f>
        <v>0</v>
      </c>
      <c r="U168" s="860">
        <f t="shared" si="269"/>
        <v>0</v>
      </c>
      <c r="V168" s="860">
        <f t="shared" si="269"/>
        <v>0</v>
      </c>
      <c r="W168" s="860">
        <f t="shared" si="269"/>
        <v>0</v>
      </c>
      <c r="X168" s="860">
        <f t="shared" si="269"/>
        <v>0</v>
      </c>
      <c r="Y168" s="860">
        <f t="shared" si="269"/>
        <v>0</v>
      </c>
      <c r="Z168" s="860">
        <f t="shared" si="269"/>
        <v>0</v>
      </c>
      <c r="AA168" s="860">
        <f t="shared" si="269"/>
        <v>0</v>
      </c>
      <c r="AB168" s="860">
        <f t="shared" si="269"/>
        <v>0</v>
      </c>
      <c r="AC168" s="860">
        <f t="shared" si="269"/>
        <v>0</v>
      </c>
      <c r="AD168" s="860">
        <f t="shared" si="269"/>
        <v>0</v>
      </c>
      <c r="AE168" s="860">
        <f t="shared" si="269"/>
        <v>0</v>
      </c>
      <c r="AF168" s="860">
        <f t="shared" si="269"/>
        <v>0</v>
      </c>
      <c r="AG168" s="860">
        <f t="shared" si="269"/>
        <v>0</v>
      </c>
      <c r="AH168" s="860">
        <f t="shared" si="269"/>
        <v>0</v>
      </c>
      <c r="AI168" s="860">
        <f t="shared" si="269"/>
        <v>0</v>
      </c>
      <c r="AJ168" s="860">
        <f t="shared" si="269"/>
        <v>0</v>
      </c>
      <c r="AK168" s="860">
        <f t="shared" si="269"/>
        <v>0</v>
      </c>
      <c r="AL168" s="860">
        <f t="shared" si="269"/>
        <v>0</v>
      </c>
      <c r="AM168" s="860">
        <f t="shared" si="269"/>
        <v>0</v>
      </c>
      <c r="AN168" s="860">
        <f t="shared" si="269"/>
        <v>0</v>
      </c>
      <c r="AO168" s="860">
        <f t="shared" si="269"/>
        <v>0</v>
      </c>
      <c r="AP168" s="860">
        <f t="shared" si="269"/>
        <v>0</v>
      </c>
      <c r="AQ168" s="860">
        <f t="shared" si="269"/>
        <v>0</v>
      </c>
      <c r="AR168" s="860">
        <f t="shared" si="269"/>
        <v>0</v>
      </c>
      <c r="AS168" s="860">
        <f t="shared" si="269"/>
        <v>0</v>
      </c>
      <c r="AT168" s="860">
        <f t="shared" si="269"/>
        <v>0</v>
      </c>
      <c r="AU168" s="860">
        <f t="shared" si="269"/>
        <v>0</v>
      </c>
      <c r="AV168" s="860">
        <f t="shared" si="269"/>
        <v>0</v>
      </c>
      <c r="AW168" s="860">
        <f t="shared" si="269"/>
        <v>0</v>
      </c>
      <c r="AX168" s="860">
        <f t="shared" si="269"/>
        <v>0</v>
      </c>
      <c r="AY168" s="860">
        <f t="shared" si="269"/>
        <v>0</v>
      </c>
      <c r="AZ168" s="860">
        <f t="shared" ref="AZ168:CE168" si="270">AZ169-AZ167</f>
        <v>0</v>
      </c>
      <c r="BA168" s="860">
        <f t="shared" si="270"/>
        <v>0</v>
      </c>
      <c r="BB168" s="860">
        <f t="shared" si="270"/>
        <v>0</v>
      </c>
      <c r="BC168" s="860">
        <f t="shared" si="270"/>
        <v>0</v>
      </c>
      <c r="BD168" s="860">
        <f t="shared" si="270"/>
        <v>0</v>
      </c>
      <c r="BE168" s="860">
        <f t="shared" si="270"/>
        <v>0</v>
      </c>
      <c r="BF168" s="860">
        <f t="shared" si="270"/>
        <v>0</v>
      </c>
      <c r="BG168" s="860">
        <f t="shared" si="270"/>
        <v>0</v>
      </c>
      <c r="BH168" s="860">
        <f t="shared" si="270"/>
        <v>0</v>
      </c>
      <c r="BI168" s="860">
        <f t="shared" si="270"/>
        <v>0</v>
      </c>
      <c r="BJ168" s="860">
        <f t="shared" si="270"/>
        <v>0</v>
      </c>
      <c r="BK168" s="860">
        <f t="shared" si="270"/>
        <v>0</v>
      </c>
      <c r="BL168" s="860">
        <f t="shared" si="270"/>
        <v>0</v>
      </c>
      <c r="BM168" s="860">
        <f t="shared" si="270"/>
        <v>0</v>
      </c>
      <c r="BN168" s="860">
        <f t="shared" si="270"/>
        <v>0</v>
      </c>
      <c r="BO168" s="860">
        <f t="shared" si="270"/>
        <v>0</v>
      </c>
      <c r="BP168" s="860">
        <f t="shared" si="270"/>
        <v>0</v>
      </c>
      <c r="BQ168" s="860">
        <f t="shared" si="270"/>
        <v>0</v>
      </c>
      <c r="BR168" s="860">
        <f t="shared" si="270"/>
        <v>0</v>
      </c>
      <c r="BS168" s="860">
        <f t="shared" si="270"/>
        <v>0</v>
      </c>
      <c r="BT168" s="860">
        <f t="shared" si="270"/>
        <v>0</v>
      </c>
      <c r="BU168" s="860">
        <f t="shared" si="270"/>
        <v>0</v>
      </c>
      <c r="BV168" s="860">
        <f t="shared" si="270"/>
        <v>0</v>
      </c>
      <c r="BW168" s="860">
        <f t="shared" si="270"/>
        <v>0</v>
      </c>
      <c r="BX168" s="860">
        <f t="shared" si="270"/>
        <v>0</v>
      </c>
      <c r="BY168" s="860">
        <f t="shared" si="270"/>
        <v>0</v>
      </c>
      <c r="BZ168" s="860">
        <f t="shared" si="270"/>
        <v>0</v>
      </c>
      <c r="CA168" s="860">
        <f t="shared" si="270"/>
        <v>0</v>
      </c>
      <c r="CB168" s="860">
        <f t="shared" si="270"/>
        <v>0</v>
      </c>
      <c r="CC168" s="860">
        <f t="shared" si="270"/>
        <v>0</v>
      </c>
      <c r="CD168" s="860">
        <f t="shared" si="270"/>
        <v>0</v>
      </c>
      <c r="CE168" s="860">
        <f t="shared" si="270"/>
        <v>0</v>
      </c>
      <c r="CF168" s="860">
        <f t="shared" ref="CF168:DK168" si="271">CF169-CF167</f>
        <v>0</v>
      </c>
      <c r="CG168" s="860">
        <f t="shared" si="271"/>
        <v>0</v>
      </c>
      <c r="CH168" s="860">
        <f t="shared" si="271"/>
        <v>0</v>
      </c>
      <c r="CI168" s="860">
        <f t="shared" si="271"/>
        <v>0</v>
      </c>
      <c r="CJ168" s="860">
        <f t="shared" si="271"/>
        <v>0</v>
      </c>
      <c r="CK168" s="860">
        <f t="shared" si="271"/>
        <v>0</v>
      </c>
      <c r="CL168" s="860">
        <f t="shared" si="271"/>
        <v>0</v>
      </c>
      <c r="CM168" s="860">
        <f t="shared" si="271"/>
        <v>0</v>
      </c>
      <c r="CN168" s="860">
        <f t="shared" si="271"/>
        <v>0</v>
      </c>
      <c r="CO168" s="860">
        <f t="shared" si="271"/>
        <v>0</v>
      </c>
      <c r="CP168" s="860">
        <f t="shared" si="271"/>
        <v>0</v>
      </c>
      <c r="CQ168" s="860">
        <f t="shared" si="271"/>
        <v>0</v>
      </c>
      <c r="CR168" s="860">
        <f t="shared" si="271"/>
        <v>0</v>
      </c>
      <c r="CS168" s="860">
        <f t="shared" si="271"/>
        <v>0</v>
      </c>
      <c r="CT168" s="860">
        <f t="shared" si="271"/>
        <v>0</v>
      </c>
      <c r="CU168" s="860">
        <f t="shared" si="271"/>
        <v>0</v>
      </c>
      <c r="CV168" s="860">
        <f t="shared" si="271"/>
        <v>0</v>
      </c>
      <c r="CW168" s="860">
        <f t="shared" si="271"/>
        <v>0</v>
      </c>
      <c r="CX168" s="860">
        <f t="shared" si="271"/>
        <v>0</v>
      </c>
      <c r="CY168" s="860">
        <f t="shared" si="271"/>
        <v>0</v>
      </c>
      <c r="CZ168" s="860">
        <f t="shared" si="271"/>
        <v>0</v>
      </c>
      <c r="DA168" s="860">
        <f t="shared" si="271"/>
        <v>0</v>
      </c>
      <c r="DB168" s="860">
        <f t="shared" si="271"/>
        <v>0</v>
      </c>
      <c r="DC168" s="860">
        <f t="shared" si="271"/>
        <v>0</v>
      </c>
      <c r="DD168" s="860">
        <f t="shared" si="271"/>
        <v>0</v>
      </c>
      <c r="DE168" s="860">
        <f t="shared" si="271"/>
        <v>0</v>
      </c>
      <c r="DF168" s="860">
        <f t="shared" si="271"/>
        <v>0</v>
      </c>
      <c r="DG168" s="860">
        <f t="shared" si="271"/>
        <v>0</v>
      </c>
      <c r="DH168" s="860">
        <f t="shared" si="271"/>
        <v>0</v>
      </c>
      <c r="DI168" s="860">
        <f t="shared" si="271"/>
        <v>0</v>
      </c>
      <c r="DJ168" s="860">
        <f t="shared" si="271"/>
        <v>0</v>
      </c>
      <c r="DK168" s="860">
        <f t="shared" si="271"/>
        <v>0</v>
      </c>
      <c r="DL168" s="860">
        <f t="shared" ref="DL168:EQ168" si="272">DL169-DL167</f>
        <v>0</v>
      </c>
      <c r="DM168" s="860">
        <f t="shared" si="272"/>
        <v>0</v>
      </c>
      <c r="DN168" s="860">
        <f t="shared" si="272"/>
        <v>0</v>
      </c>
      <c r="DO168" s="860">
        <f t="shared" si="272"/>
        <v>0</v>
      </c>
      <c r="DP168" s="860">
        <f t="shared" si="272"/>
        <v>0</v>
      </c>
      <c r="DQ168" s="860">
        <f t="shared" si="272"/>
        <v>0</v>
      </c>
      <c r="DR168" s="860">
        <f t="shared" si="272"/>
        <v>0</v>
      </c>
      <c r="DS168" s="860">
        <f t="shared" si="272"/>
        <v>0</v>
      </c>
      <c r="DT168" s="860">
        <f t="shared" si="272"/>
        <v>0</v>
      </c>
      <c r="DU168" s="860">
        <f t="shared" si="272"/>
        <v>0</v>
      </c>
      <c r="DV168" s="860">
        <f t="shared" si="272"/>
        <v>0</v>
      </c>
      <c r="DW168" s="860">
        <f t="shared" si="272"/>
        <v>0</v>
      </c>
      <c r="DX168" s="860">
        <f t="shared" si="272"/>
        <v>0</v>
      </c>
      <c r="DY168" s="860">
        <f t="shared" si="272"/>
        <v>0</v>
      </c>
      <c r="DZ168" s="860">
        <f t="shared" si="272"/>
        <v>0</v>
      </c>
      <c r="EA168" s="860">
        <f t="shared" si="272"/>
        <v>0</v>
      </c>
      <c r="EB168" s="860">
        <f t="shared" si="272"/>
        <v>0</v>
      </c>
      <c r="EC168" s="860">
        <f t="shared" si="272"/>
        <v>0</v>
      </c>
      <c r="ED168" s="860">
        <f t="shared" si="272"/>
        <v>0</v>
      </c>
      <c r="EE168" s="860">
        <f t="shared" si="272"/>
        <v>0</v>
      </c>
      <c r="EF168" s="860">
        <f t="shared" si="272"/>
        <v>0</v>
      </c>
      <c r="EG168" s="860">
        <f t="shared" si="272"/>
        <v>0</v>
      </c>
      <c r="EH168" s="860">
        <f t="shared" si="272"/>
        <v>0</v>
      </c>
      <c r="EI168" s="860">
        <f t="shared" si="272"/>
        <v>0</v>
      </c>
    </row>
    <row r="169" spans="2:139" ht="12.75" hidden="1" customHeight="1" collapsed="1">
      <c r="B169" s="863" t="s">
        <v>597</v>
      </c>
      <c r="C169" s="209"/>
      <c r="D169" s="203"/>
      <c r="E169" s="864">
        <f>IF(Assum2IntType=FixedInterest,E167,MIN(MAX(E167,'Multiple Assumable Loans'!$L$28),'Multiple Assumable Loans'!$L$29))*AND(AssumLoan2Term&lt;&gt;"",E$4&gt;AnalysisStartDate,E$160+E161&gt;0)</f>
        <v>0</v>
      </c>
      <c r="F169" s="864">
        <f>IF(Assum2IntType=FixedInterest,F167,MIN(MAX(F167,'Multiple Assumable Loans'!$L$28),'Multiple Assumable Loans'!$L$29))*AND(AssumLoan2Term&lt;&gt;"",F$4&gt;AnalysisStartDate,F$160+F161&gt;0)</f>
        <v>0</v>
      </c>
      <c r="G169" s="864">
        <f>IF(Assum2IntType=FixedInterest,G167,MIN(MAX(G167,'Multiple Assumable Loans'!$L$28),'Multiple Assumable Loans'!$L$29))*AND(AssumLoan2Term&lt;&gt;"",G$4&gt;AnalysisStartDate,G$160+G161&gt;0)</f>
        <v>0</v>
      </c>
      <c r="H169" s="864">
        <f>IF(Assum2IntType=FixedInterest,H167,MIN(MAX(H167,'Multiple Assumable Loans'!$L$28),'Multiple Assumable Loans'!$L$29))*AND(AssumLoan2Term&lt;&gt;"",H$4&gt;AnalysisStartDate,H$160+H161&gt;0)</f>
        <v>0</v>
      </c>
      <c r="I169" s="864">
        <f>IF(Assum2IntType=FixedInterest,I167,MIN(MAX(I167,'Multiple Assumable Loans'!$L$28),'Multiple Assumable Loans'!$L$29))*AND(AssumLoan2Term&lt;&gt;"",I$4&gt;AnalysisStartDate,I$160+I161&gt;0)</f>
        <v>0</v>
      </c>
      <c r="J169" s="864">
        <f>IF(Assum2IntType=FixedInterest,J167,MIN(MAX(J167,'Multiple Assumable Loans'!$L$28),'Multiple Assumable Loans'!$L$29))*AND(AssumLoan2Term&lt;&gt;"",J$4&gt;AnalysisStartDate,J$160+J161&gt;0)</f>
        <v>0</v>
      </c>
      <c r="K169" s="864">
        <f>IF(Assum2IntType=FixedInterest,K167,MIN(MAX(K167,'Multiple Assumable Loans'!$L$28),'Multiple Assumable Loans'!$L$29))*AND(AssumLoan2Term&lt;&gt;"",K$4&gt;AnalysisStartDate,K$160+K161&gt;0)</f>
        <v>0</v>
      </c>
      <c r="L169" s="864">
        <f>IF(Assum2IntType=FixedInterest,L167,MIN(MAX(L167,'Multiple Assumable Loans'!$L$28),'Multiple Assumable Loans'!$L$29))*AND(AssumLoan2Term&lt;&gt;"",L$4&gt;AnalysisStartDate,L$160+L161&gt;0)</f>
        <v>0</v>
      </c>
      <c r="M169" s="864">
        <f>IF(Assum2IntType=FixedInterest,M167,MIN(MAX(M167,'Multiple Assumable Loans'!$L$28),'Multiple Assumable Loans'!$L$29))*AND(AssumLoan2Term&lt;&gt;"",M$4&gt;AnalysisStartDate,M$160+M161&gt;0)</f>
        <v>0</v>
      </c>
      <c r="N169" s="864">
        <f>IF(Assum2IntType=FixedInterest,N167,MIN(MAX(N167,'Multiple Assumable Loans'!$L$28),'Multiple Assumable Loans'!$L$29))*AND(AssumLoan2Term&lt;&gt;"",N$4&gt;AnalysisStartDate,N$160+N161&gt;0)</f>
        <v>0</v>
      </c>
      <c r="O169" s="865"/>
      <c r="P169" s="313"/>
      <c r="Q169" s="313"/>
      <c r="R169" s="313"/>
      <c r="S169" s="845"/>
      <c r="T169" s="866">
        <f t="shared" ref="T169:AY169" si="273">SUMIF($D$5:$N$5,T$6,$D169:$N169)*(T160+T161&gt;0)</f>
        <v>0</v>
      </c>
      <c r="U169" s="866">
        <f t="shared" si="273"/>
        <v>0</v>
      </c>
      <c r="V169" s="866">
        <f t="shared" si="273"/>
        <v>0</v>
      </c>
      <c r="W169" s="866">
        <f t="shared" si="273"/>
        <v>0</v>
      </c>
      <c r="X169" s="866">
        <f t="shared" si="273"/>
        <v>0</v>
      </c>
      <c r="Y169" s="866">
        <f t="shared" si="273"/>
        <v>0</v>
      </c>
      <c r="Z169" s="866">
        <f t="shared" si="273"/>
        <v>0</v>
      </c>
      <c r="AA169" s="866">
        <f t="shared" si="273"/>
        <v>0</v>
      </c>
      <c r="AB169" s="866">
        <f t="shared" si="273"/>
        <v>0</v>
      </c>
      <c r="AC169" s="866">
        <f t="shared" si="273"/>
        <v>0</v>
      </c>
      <c r="AD169" s="866">
        <f t="shared" si="273"/>
        <v>0</v>
      </c>
      <c r="AE169" s="866">
        <f t="shared" si="273"/>
        <v>0</v>
      </c>
      <c r="AF169" s="866">
        <f t="shared" si="273"/>
        <v>0</v>
      </c>
      <c r="AG169" s="866">
        <f t="shared" si="273"/>
        <v>0</v>
      </c>
      <c r="AH169" s="866">
        <f t="shared" si="273"/>
        <v>0</v>
      </c>
      <c r="AI169" s="866">
        <f t="shared" si="273"/>
        <v>0</v>
      </c>
      <c r="AJ169" s="866">
        <f t="shared" si="273"/>
        <v>0</v>
      </c>
      <c r="AK169" s="866">
        <f t="shared" si="273"/>
        <v>0</v>
      </c>
      <c r="AL169" s="866">
        <f t="shared" si="273"/>
        <v>0</v>
      </c>
      <c r="AM169" s="866">
        <f t="shared" si="273"/>
        <v>0</v>
      </c>
      <c r="AN169" s="866">
        <f t="shared" si="273"/>
        <v>0</v>
      </c>
      <c r="AO169" s="866">
        <f t="shared" si="273"/>
        <v>0</v>
      </c>
      <c r="AP169" s="866">
        <f t="shared" si="273"/>
        <v>0</v>
      </c>
      <c r="AQ169" s="866">
        <f t="shared" si="273"/>
        <v>0</v>
      </c>
      <c r="AR169" s="866">
        <f t="shared" si="273"/>
        <v>0</v>
      </c>
      <c r="AS169" s="866">
        <f t="shared" si="273"/>
        <v>0</v>
      </c>
      <c r="AT169" s="866">
        <f t="shared" si="273"/>
        <v>0</v>
      </c>
      <c r="AU169" s="866">
        <f t="shared" si="273"/>
        <v>0</v>
      </c>
      <c r="AV169" s="866">
        <f t="shared" si="273"/>
        <v>0</v>
      </c>
      <c r="AW169" s="866">
        <f t="shared" si="273"/>
        <v>0</v>
      </c>
      <c r="AX169" s="866">
        <f t="shared" si="273"/>
        <v>0</v>
      </c>
      <c r="AY169" s="866">
        <f t="shared" si="273"/>
        <v>0</v>
      </c>
      <c r="AZ169" s="866">
        <f t="shared" ref="AZ169:CE169" si="274">SUMIF($D$5:$N$5,AZ$6,$D169:$N169)*(AZ160+AZ161&gt;0)</f>
        <v>0</v>
      </c>
      <c r="BA169" s="866">
        <f t="shared" si="274"/>
        <v>0</v>
      </c>
      <c r="BB169" s="866">
        <f t="shared" si="274"/>
        <v>0</v>
      </c>
      <c r="BC169" s="866">
        <f t="shared" si="274"/>
        <v>0</v>
      </c>
      <c r="BD169" s="866">
        <f t="shared" si="274"/>
        <v>0</v>
      </c>
      <c r="BE169" s="866">
        <f t="shared" si="274"/>
        <v>0</v>
      </c>
      <c r="BF169" s="866">
        <f t="shared" si="274"/>
        <v>0</v>
      </c>
      <c r="BG169" s="866">
        <f t="shared" si="274"/>
        <v>0</v>
      </c>
      <c r="BH169" s="866">
        <f t="shared" si="274"/>
        <v>0</v>
      </c>
      <c r="BI169" s="866">
        <f t="shared" si="274"/>
        <v>0</v>
      </c>
      <c r="BJ169" s="866">
        <f t="shared" si="274"/>
        <v>0</v>
      </c>
      <c r="BK169" s="866">
        <f t="shared" si="274"/>
        <v>0</v>
      </c>
      <c r="BL169" s="866">
        <f t="shared" si="274"/>
        <v>0</v>
      </c>
      <c r="BM169" s="866">
        <f t="shared" si="274"/>
        <v>0</v>
      </c>
      <c r="BN169" s="866">
        <f t="shared" si="274"/>
        <v>0</v>
      </c>
      <c r="BO169" s="866">
        <f t="shared" si="274"/>
        <v>0</v>
      </c>
      <c r="BP169" s="866">
        <f t="shared" si="274"/>
        <v>0</v>
      </c>
      <c r="BQ169" s="866">
        <f t="shared" si="274"/>
        <v>0</v>
      </c>
      <c r="BR169" s="866">
        <f t="shared" si="274"/>
        <v>0</v>
      </c>
      <c r="BS169" s="866">
        <f t="shared" si="274"/>
        <v>0</v>
      </c>
      <c r="BT169" s="866">
        <f t="shared" si="274"/>
        <v>0</v>
      </c>
      <c r="BU169" s="866">
        <f t="shared" si="274"/>
        <v>0</v>
      </c>
      <c r="BV169" s="866">
        <f t="shared" si="274"/>
        <v>0</v>
      </c>
      <c r="BW169" s="866">
        <f t="shared" si="274"/>
        <v>0</v>
      </c>
      <c r="BX169" s="866">
        <f t="shared" si="274"/>
        <v>0</v>
      </c>
      <c r="BY169" s="866">
        <f t="shared" si="274"/>
        <v>0</v>
      </c>
      <c r="BZ169" s="866">
        <f t="shared" si="274"/>
        <v>0</v>
      </c>
      <c r="CA169" s="866">
        <f t="shared" si="274"/>
        <v>0</v>
      </c>
      <c r="CB169" s="866">
        <f t="shared" si="274"/>
        <v>0</v>
      </c>
      <c r="CC169" s="866">
        <f t="shared" si="274"/>
        <v>0</v>
      </c>
      <c r="CD169" s="866">
        <f t="shared" si="274"/>
        <v>0</v>
      </c>
      <c r="CE169" s="866">
        <f t="shared" si="274"/>
        <v>0</v>
      </c>
      <c r="CF169" s="866">
        <f t="shared" ref="CF169:DK169" si="275">SUMIF($D$5:$N$5,CF$6,$D169:$N169)*(CF160+CF161&gt;0)</f>
        <v>0</v>
      </c>
      <c r="CG169" s="866">
        <f t="shared" si="275"/>
        <v>0</v>
      </c>
      <c r="CH169" s="866">
        <f t="shared" si="275"/>
        <v>0</v>
      </c>
      <c r="CI169" s="866">
        <f t="shared" si="275"/>
        <v>0</v>
      </c>
      <c r="CJ169" s="866">
        <f t="shared" si="275"/>
        <v>0</v>
      </c>
      <c r="CK169" s="866">
        <f t="shared" si="275"/>
        <v>0</v>
      </c>
      <c r="CL169" s="866">
        <f t="shared" si="275"/>
        <v>0</v>
      </c>
      <c r="CM169" s="866">
        <f t="shared" si="275"/>
        <v>0</v>
      </c>
      <c r="CN169" s="866">
        <f t="shared" si="275"/>
        <v>0</v>
      </c>
      <c r="CO169" s="866">
        <f t="shared" si="275"/>
        <v>0</v>
      </c>
      <c r="CP169" s="866">
        <f t="shared" si="275"/>
        <v>0</v>
      </c>
      <c r="CQ169" s="866">
        <f t="shared" si="275"/>
        <v>0</v>
      </c>
      <c r="CR169" s="866">
        <f t="shared" si="275"/>
        <v>0</v>
      </c>
      <c r="CS169" s="866">
        <f t="shared" si="275"/>
        <v>0</v>
      </c>
      <c r="CT169" s="866">
        <f t="shared" si="275"/>
        <v>0</v>
      </c>
      <c r="CU169" s="866">
        <f t="shared" si="275"/>
        <v>0</v>
      </c>
      <c r="CV169" s="866">
        <f t="shared" si="275"/>
        <v>0</v>
      </c>
      <c r="CW169" s="866">
        <f t="shared" si="275"/>
        <v>0</v>
      </c>
      <c r="CX169" s="866">
        <f t="shared" si="275"/>
        <v>0</v>
      </c>
      <c r="CY169" s="866">
        <f t="shared" si="275"/>
        <v>0</v>
      </c>
      <c r="CZ169" s="866">
        <f t="shared" si="275"/>
        <v>0</v>
      </c>
      <c r="DA169" s="866">
        <f t="shared" si="275"/>
        <v>0</v>
      </c>
      <c r="DB169" s="866">
        <f t="shared" si="275"/>
        <v>0</v>
      </c>
      <c r="DC169" s="866">
        <f t="shared" si="275"/>
        <v>0</v>
      </c>
      <c r="DD169" s="866">
        <f t="shared" si="275"/>
        <v>0</v>
      </c>
      <c r="DE169" s="866">
        <f t="shared" si="275"/>
        <v>0</v>
      </c>
      <c r="DF169" s="866">
        <f t="shared" si="275"/>
        <v>0</v>
      </c>
      <c r="DG169" s="866">
        <f t="shared" si="275"/>
        <v>0</v>
      </c>
      <c r="DH169" s="866">
        <f t="shared" si="275"/>
        <v>0</v>
      </c>
      <c r="DI169" s="866">
        <f t="shared" si="275"/>
        <v>0</v>
      </c>
      <c r="DJ169" s="866">
        <f t="shared" si="275"/>
        <v>0</v>
      </c>
      <c r="DK169" s="866">
        <f t="shared" si="275"/>
        <v>0</v>
      </c>
      <c r="DL169" s="866">
        <f t="shared" ref="DL169:EI169" si="276">SUMIF($D$5:$N$5,DL$6,$D169:$N169)*(DL160+DL161&gt;0)</f>
        <v>0</v>
      </c>
      <c r="DM169" s="866">
        <f t="shared" si="276"/>
        <v>0</v>
      </c>
      <c r="DN169" s="866">
        <f t="shared" si="276"/>
        <v>0</v>
      </c>
      <c r="DO169" s="866">
        <f t="shared" si="276"/>
        <v>0</v>
      </c>
      <c r="DP169" s="866">
        <f t="shared" si="276"/>
        <v>0</v>
      </c>
      <c r="DQ169" s="866">
        <f t="shared" si="276"/>
        <v>0</v>
      </c>
      <c r="DR169" s="866">
        <f t="shared" si="276"/>
        <v>0</v>
      </c>
      <c r="DS169" s="866">
        <f t="shared" si="276"/>
        <v>0</v>
      </c>
      <c r="DT169" s="866">
        <f t="shared" si="276"/>
        <v>0</v>
      </c>
      <c r="DU169" s="866">
        <f t="shared" si="276"/>
        <v>0</v>
      </c>
      <c r="DV169" s="866">
        <f t="shared" si="276"/>
        <v>0</v>
      </c>
      <c r="DW169" s="866">
        <f t="shared" si="276"/>
        <v>0</v>
      </c>
      <c r="DX169" s="866">
        <f t="shared" si="276"/>
        <v>0</v>
      </c>
      <c r="DY169" s="866">
        <f t="shared" si="276"/>
        <v>0</v>
      </c>
      <c r="DZ169" s="866">
        <f t="shared" si="276"/>
        <v>0</v>
      </c>
      <c r="EA169" s="866">
        <f t="shared" si="276"/>
        <v>0</v>
      </c>
      <c r="EB169" s="866">
        <f t="shared" si="276"/>
        <v>0</v>
      </c>
      <c r="EC169" s="866">
        <f t="shared" si="276"/>
        <v>0</v>
      </c>
      <c r="ED169" s="866">
        <f t="shared" si="276"/>
        <v>0</v>
      </c>
      <c r="EE169" s="866">
        <f t="shared" si="276"/>
        <v>0</v>
      </c>
      <c r="EF169" s="866">
        <f t="shared" si="276"/>
        <v>0</v>
      </c>
      <c r="EG169" s="866">
        <f t="shared" si="276"/>
        <v>0</v>
      </c>
      <c r="EH169" s="866">
        <f t="shared" si="276"/>
        <v>0</v>
      </c>
      <c r="EI169" s="866">
        <f t="shared" si="276"/>
        <v>0</v>
      </c>
    </row>
    <row r="170" spans="2:139" ht="12.75" customHeight="1">
      <c r="B170" s="46"/>
      <c r="C170" s="209"/>
      <c r="D170" s="857"/>
      <c r="E170" s="857"/>
      <c r="F170" s="857"/>
      <c r="G170" s="857"/>
      <c r="H170" s="857"/>
      <c r="I170" s="857"/>
      <c r="J170" s="857"/>
      <c r="K170" s="857"/>
      <c r="L170" s="857"/>
      <c r="M170" s="857"/>
      <c r="N170" s="857"/>
      <c r="O170" s="858"/>
      <c r="P170" s="313"/>
      <c r="Q170" s="313"/>
      <c r="R170" s="313"/>
      <c r="S170" s="859"/>
      <c r="T170" s="859"/>
      <c r="U170" s="859"/>
      <c r="V170" s="859"/>
      <c r="W170" s="859"/>
      <c r="X170" s="859"/>
      <c r="Y170" s="859"/>
      <c r="Z170" s="859"/>
      <c r="AA170" s="859"/>
      <c r="AB170" s="859"/>
      <c r="AC170" s="859"/>
      <c r="AD170" s="859"/>
      <c r="AE170" s="859"/>
      <c r="AF170" s="859"/>
      <c r="AG170" s="859"/>
      <c r="AH170" s="859"/>
      <c r="AI170" s="859"/>
      <c r="AJ170" s="859"/>
      <c r="AK170" s="859"/>
      <c r="AL170" s="859"/>
      <c r="AM170" s="859"/>
      <c r="AN170" s="859"/>
      <c r="AO170" s="859"/>
      <c r="AP170" s="859"/>
      <c r="AQ170" s="859"/>
      <c r="AR170" s="859"/>
      <c r="AS170" s="859"/>
      <c r="AT170" s="859"/>
      <c r="AU170" s="859"/>
      <c r="AV170" s="859"/>
      <c r="AW170" s="859"/>
      <c r="AX170" s="859"/>
      <c r="AY170" s="859"/>
      <c r="AZ170" s="859"/>
      <c r="BA170" s="859"/>
      <c r="BB170" s="859"/>
      <c r="BC170" s="859"/>
      <c r="BD170" s="859"/>
      <c r="BE170" s="859"/>
      <c r="BF170" s="859"/>
      <c r="BG170" s="859"/>
      <c r="BH170" s="859"/>
      <c r="BI170" s="859"/>
      <c r="BJ170" s="859"/>
      <c r="BK170" s="859"/>
      <c r="BL170" s="859"/>
      <c r="BM170" s="859"/>
      <c r="BN170" s="859"/>
      <c r="BO170" s="859"/>
      <c r="BP170" s="859"/>
      <c r="BQ170" s="859"/>
      <c r="BR170" s="859"/>
      <c r="BS170" s="859"/>
      <c r="BT170" s="859"/>
      <c r="BU170" s="859"/>
      <c r="BV170" s="859"/>
      <c r="BW170" s="859"/>
      <c r="BX170" s="859"/>
      <c r="BY170" s="859"/>
      <c r="BZ170" s="859"/>
      <c r="CA170" s="859"/>
      <c r="CB170" s="859"/>
      <c r="CC170" s="859"/>
      <c r="CD170" s="859"/>
      <c r="CE170" s="859"/>
      <c r="CF170" s="859"/>
      <c r="CG170" s="859"/>
      <c r="CH170" s="859"/>
      <c r="CI170" s="859"/>
      <c r="CJ170" s="859"/>
      <c r="CK170" s="859"/>
      <c r="CL170" s="859"/>
      <c r="CM170" s="859"/>
      <c r="CN170" s="859"/>
      <c r="CO170" s="859"/>
      <c r="CP170" s="859"/>
      <c r="CQ170" s="859"/>
      <c r="CR170" s="859"/>
      <c r="CS170" s="859"/>
      <c r="CT170" s="859"/>
      <c r="CU170" s="859"/>
      <c r="CV170" s="859"/>
      <c r="CW170" s="859"/>
      <c r="CX170" s="859"/>
      <c r="CY170" s="859"/>
      <c r="CZ170" s="859"/>
      <c r="DA170" s="859"/>
      <c r="DB170" s="859"/>
      <c r="DC170" s="859"/>
      <c r="DD170" s="859"/>
      <c r="DE170" s="859"/>
      <c r="DF170" s="859"/>
      <c r="DG170" s="859"/>
      <c r="DH170" s="859"/>
      <c r="DI170" s="859"/>
      <c r="DJ170" s="859"/>
      <c r="DK170" s="859"/>
      <c r="DL170" s="859"/>
      <c r="DM170" s="859"/>
      <c r="DN170" s="859"/>
      <c r="DO170" s="859"/>
      <c r="DP170" s="859"/>
      <c r="DQ170" s="859"/>
      <c r="DR170" s="859"/>
      <c r="DS170" s="859"/>
      <c r="DT170" s="859"/>
      <c r="DU170" s="859"/>
      <c r="DV170" s="859"/>
      <c r="DW170" s="859"/>
      <c r="DX170" s="859"/>
      <c r="DY170" s="859"/>
      <c r="DZ170" s="859"/>
      <c r="EA170" s="859"/>
      <c r="EB170" s="859"/>
      <c r="EC170" s="859"/>
      <c r="ED170" s="859"/>
      <c r="EE170" s="859"/>
      <c r="EF170" s="859"/>
      <c r="EG170" s="859"/>
      <c r="EH170" s="859"/>
      <c r="EI170" s="859"/>
    </row>
    <row r="171" spans="2:139" ht="12.75" customHeight="1">
      <c r="B171" s="32" t="s">
        <v>598</v>
      </c>
      <c r="C171" s="209"/>
      <c r="D171" s="867">
        <f t="shared" ref="D171:N171" si="277">SUMPRODUCT($S$4:$EI$4*(D$5=$S$6:$EI$6)*($S171:$EI171=1))</f>
        <v>0</v>
      </c>
      <c r="E171" s="867">
        <f t="shared" si="277"/>
        <v>0</v>
      </c>
      <c r="F171" s="867">
        <f t="shared" si="277"/>
        <v>0</v>
      </c>
      <c r="G171" s="867">
        <f t="shared" si="277"/>
        <v>0</v>
      </c>
      <c r="H171" s="867">
        <f t="shared" si="277"/>
        <v>0</v>
      </c>
      <c r="I171" s="867">
        <f t="shared" si="277"/>
        <v>0</v>
      </c>
      <c r="J171" s="867">
        <f t="shared" si="277"/>
        <v>0</v>
      </c>
      <c r="K171" s="867">
        <f t="shared" si="277"/>
        <v>0</v>
      </c>
      <c r="L171" s="867">
        <f t="shared" si="277"/>
        <v>0</v>
      </c>
      <c r="M171" s="867">
        <f t="shared" si="277"/>
        <v>0</v>
      </c>
      <c r="N171" s="867">
        <f t="shared" si="277"/>
        <v>0</v>
      </c>
      <c r="O171" s="858"/>
      <c r="P171" s="313"/>
      <c r="Q171" s="313"/>
      <c r="R171" s="313"/>
      <c r="S171" s="868">
        <f t="shared" ref="S171:AX171" si="278">AND(S163*1,OR(S$206,S$270,S$292))*1</f>
        <v>0</v>
      </c>
      <c r="T171" s="868">
        <f t="shared" si="278"/>
        <v>0</v>
      </c>
      <c r="U171" s="868">
        <f t="shared" si="278"/>
        <v>0</v>
      </c>
      <c r="V171" s="868">
        <f t="shared" si="278"/>
        <v>0</v>
      </c>
      <c r="W171" s="868">
        <f t="shared" si="278"/>
        <v>0</v>
      </c>
      <c r="X171" s="868">
        <f t="shared" si="278"/>
        <v>0</v>
      </c>
      <c r="Y171" s="868">
        <f t="shared" si="278"/>
        <v>0</v>
      </c>
      <c r="Z171" s="868">
        <f t="shared" si="278"/>
        <v>0</v>
      </c>
      <c r="AA171" s="868">
        <f t="shared" si="278"/>
        <v>0</v>
      </c>
      <c r="AB171" s="868">
        <f t="shared" si="278"/>
        <v>0</v>
      </c>
      <c r="AC171" s="868">
        <f t="shared" si="278"/>
        <v>0</v>
      </c>
      <c r="AD171" s="868">
        <f t="shared" si="278"/>
        <v>0</v>
      </c>
      <c r="AE171" s="868">
        <f t="shared" si="278"/>
        <v>0</v>
      </c>
      <c r="AF171" s="868">
        <f t="shared" si="278"/>
        <v>0</v>
      </c>
      <c r="AG171" s="868">
        <f t="shared" si="278"/>
        <v>0</v>
      </c>
      <c r="AH171" s="868">
        <f t="shared" si="278"/>
        <v>0</v>
      </c>
      <c r="AI171" s="868">
        <f t="shared" si="278"/>
        <v>0</v>
      </c>
      <c r="AJ171" s="868">
        <f t="shared" si="278"/>
        <v>0</v>
      </c>
      <c r="AK171" s="868">
        <f t="shared" si="278"/>
        <v>0</v>
      </c>
      <c r="AL171" s="868">
        <f t="shared" si="278"/>
        <v>0</v>
      </c>
      <c r="AM171" s="868">
        <f t="shared" si="278"/>
        <v>0</v>
      </c>
      <c r="AN171" s="868">
        <f t="shared" si="278"/>
        <v>0</v>
      </c>
      <c r="AO171" s="868">
        <f t="shared" si="278"/>
        <v>0</v>
      </c>
      <c r="AP171" s="868">
        <f t="shared" si="278"/>
        <v>0</v>
      </c>
      <c r="AQ171" s="868">
        <f t="shared" si="278"/>
        <v>0</v>
      </c>
      <c r="AR171" s="868">
        <f t="shared" si="278"/>
        <v>0</v>
      </c>
      <c r="AS171" s="868">
        <f t="shared" si="278"/>
        <v>0</v>
      </c>
      <c r="AT171" s="868">
        <f t="shared" si="278"/>
        <v>0</v>
      </c>
      <c r="AU171" s="868">
        <f t="shared" si="278"/>
        <v>0</v>
      </c>
      <c r="AV171" s="868">
        <f t="shared" si="278"/>
        <v>0</v>
      </c>
      <c r="AW171" s="868">
        <f t="shared" si="278"/>
        <v>0</v>
      </c>
      <c r="AX171" s="868">
        <f t="shared" si="278"/>
        <v>0</v>
      </c>
      <c r="AY171" s="868">
        <f t="shared" ref="AY171:CD171" si="279">AND(AY163*1,OR(AY$206,AY$270,AY$292))*1</f>
        <v>0</v>
      </c>
      <c r="AZ171" s="868">
        <f t="shared" si="279"/>
        <v>0</v>
      </c>
      <c r="BA171" s="868">
        <f t="shared" si="279"/>
        <v>0</v>
      </c>
      <c r="BB171" s="868">
        <f t="shared" si="279"/>
        <v>0</v>
      </c>
      <c r="BC171" s="868">
        <f t="shared" si="279"/>
        <v>0</v>
      </c>
      <c r="BD171" s="868">
        <f t="shared" si="279"/>
        <v>0</v>
      </c>
      <c r="BE171" s="868">
        <f t="shared" si="279"/>
        <v>0</v>
      </c>
      <c r="BF171" s="868">
        <f t="shared" si="279"/>
        <v>0</v>
      </c>
      <c r="BG171" s="868">
        <f t="shared" si="279"/>
        <v>0</v>
      </c>
      <c r="BH171" s="868">
        <f t="shared" si="279"/>
        <v>0</v>
      </c>
      <c r="BI171" s="868">
        <f t="shared" si="279"/>
        <v>0</v>
      </c>
      <c r="BJ171" s="868">
        <f t="shared" si="279"/>
        <v>0</v>
      </c>
      <c r="BK171" s="868">
        <f t="shared" si="279"/>
        <v>0</v>
      </c>
      <c r="BL171" s="868">
        <f t="shared" si="279"/>
        <v>0</v>
      </c>
      <c r="BM171" s="868">
        <f t="shared" si="279"/>
        <v>0</v>
      </c>
      <c r="BN171" s="868">
        <f t="shared" si="279"/>
        <v>0</v>
      </c>
      <c r="BO171" s="868">
        <f t="shared" si="279"/>
        <v>0</v>
      </c>
      <c r="BP171" s="868">
        <f t="shared" si="279"/>
        <v>0</v>
      </c>
      <c r="BQ171" s="868">
        <f t="shared" si="279"/>
        <v>0</v>
      </c>
      <c r="BR171" s="868">
        <f t="shared" si="279"/>
        <v>0</v>
      </c>
      <c r="BS171" s="868">
        <f t="shared" si="279"/>
        <v>0</v>
      </c>
      <c r="BT171" s="868">
        <f t="shared" si="279"/>
        <v>0</v>
      </c>
      <c r="BU171" s="868">
        <f t="shared" si="279"/>
        <v>0</v>
      </c>
      <c r="BV171" s="868">
        <f t="shared" si="279"/>
        <v>0</v>
      </c>
      <c r="BW171" s="868">
        <f t="shared" si="279"/>
        <v>0</v>
      </c>
      <c r="BX171" s="868">
        <f t="shared" si="279"/>
        <v>0</v>
      </c>
      <c r="BY171" s="868">
        <f t="shared" si="279"/>
        <v>0</v>
      </c>
      <c r="BZ171" s="868">
        <f t="shared" si="279"/>
        <v>0</v>
      </c>
      <c r="CA171" s="868">
        <f t="shared" si="279"/>
        <v>0</v>
      </c>
      <c r="CB171" s="868">
        <f t="shared" si="279"/>
        <v>0</v>
      </c>
      <c r="CC171" s="868">
        <f t="shared" si="279"/>
        <v>0</v>
      </c>
      <c r="CD171" s="868">
        <f t="shared" si="279"/>
        <v>0</v>
      </c>
      <c r="CE171" s="868">
        <f t="shared" ref="CE171:DJ171" si="280">AND(CE163*1,OR(CE$206,CE$270,CE$292))*1</f>
        <v>0</v>
      </c>
      <c r="CF171" s="868">
        <f t="shared" si="280"/>
        <v>0</v>
      </c>
      <c r="CG171" s="868">
        <f t="shared" si="280"/>
        <v>0</v>
      </c>
      <c r="CH171" s="868">
        <f t="shared" si="280"/>
        <v>0</v>
      </c>
      <c r="CI171" s="868">
        <f t="shared" si="280"/>
        <v>0</v>
      </c>
      <c r="CJ171" s="868">
        <f t="shared" si="280"/>
        <v>0</v>
      </c>
      <c r="CK171" s="868">
        <f t="shared" si="280"/>
        <v>0</v>
      </c>
      <c r="CL171" s="868">
        <f t="shared" si="280"/>
        <v>0</v>
      </c>
      <c r="CM171" s="868">
        <f t="shared" si="280"/>
        <v>0</v>
      </c>
      <c r="CN171" s="868">
        <f t="shared" si="280"/>
        <v>0</v>
      </c>
      <c r="CO171" s="868">
        <f t="shared" si="280"/>
        <v>0</v>
      </c>
      <c r="CP171" s="868">
        <f t="shared" si="280"/>
        <v>0</v>
      </c>
      <c r="CQ171" s="868">
        <f t="shared" si="280"/>
        <v>0</v>
      </c>
      <c r="CR171" s="868">
        <f t="shared" si="280"/>
        <v>0</v>
      </c>
      <c r="CS171" s="868">
        <f t="shared" si="280"/>
        <v>0</v>
      </c>
      <c r="CT171" s="868">
        <f t="shared" si="280"/>
        <v>0</v>
      </c>
      <c r="CU171" s="868">
        <f t="shared" si="280"/>
        <v>0</v>
      </c>
      <c r="CV171" s="868">
        <f t="shared" si="280"/>
        <v>0</v>
      </c>
      <c r="CW171" s="868">
        <f t="shared" si="280"/>
        <v>0</v>
      </c>
      <c r="CX171" s="868">
        <f t="shared" si="280"/>
        <v>0</v>
      </c>
      <c r="CY171" s="868">
        <f t="shared" si="280"/>
        <v>0</v>
      </c>
      <c r="CZ171" s="868">
        <f t="shared" si="280"/>
        <v>0</v>
      </c>
      <c r="DA171" s="868">
        <f t="shared" si="280"/>
        <v>0</v>
      </c>
      <c r="DB171" s="868">
        <f t="shared" si="280"/>
        <v>0</v>
      </c>
      <c r="DC171" s="868">
        <f t="shared" si="280"/>
        <v>0</v>
      </c>
      <c r="DD171" s="868">
        <f t="shared" si="280"/>
        <v>0</v>
      </c>
      <c r="DE171" s="868">
        <f t="shared" si="280"/>
        <v>0</v>
      </c>
      <c r="DF171" s="868">
        <f t="shared" si="280"/>
        <v>0</v>
      </c>
      <c r="DG171" s="868">
        <f t="shared" si="280"/>
        <v>0</v>
      </c>
      <c r="DH171" s="868">
        <f t="shared" si="280"/>
        <v>0</v>
      </c>
      <c r="DI171" s="868">
        <f t="shared" si="280"/>
        <v>0</v>
      </c>
      <c r="DJ171" s="868">
        <f t="shared" si="280"/>
        <v>0</v>
      </c>
      <c r="DK171" s="868">
        <f t="shared" ref="DK171:EI171" si="281">AND(DK163*1,OR(DK$206,DK$270,DK$292))*1</f>
        <v>0</v>
      </c>
      <c r="DL171" s="868">
        <f t="shared" si="281"/>
        <v>0</v>
      </c>
      <c r="DM171" s="868">
        <f t="shared" si="281"/>
        <v>0</v>
      </c>
      <c r="DN171" s="868">
        <f t="shared" si="281"/>
        <v>0</v>
      </c>
      <c r="DO171" s="868">
        <f t="shared" si="281"/>
        <v>0</v>
      </c>
      <c r="DP171" s="868">
        <f t="shared" si="281"/>
        <v>0</v>
      </c>
      <c r="DQ171" s="868">
        <f t="shared" si="281"/>
        <v>0</v>
      </c>
      <c r="DR171" s="868">
        <f t="shared" si="281"/>
        <v>0</v>
      </c>
      <c r="DS171" s="868">
        <f t="shared" si="281"/>
        <v>0</v>
      </c>
      <c r="DT171" s="868">
        <f t="shared" si="281"/>
        <v>0</v>
      </c>
      <c r="DU171" s="868">
        <f t="shared" si="281"/>
        <v>0</v>
      </c>
      <c r="DV171" s="868">
        <f t="shared" si="281"/>
        <v>0</v>
      </c>
      <c r="DW171" s="868">
        <f t="shared" si="281"/>
        <v>0</v>
      </c>
      <c r="DX171" s="868">
        <f t="shared" si="281"/>
        <v>0</v>
      </c>
      <c r="DY171" s="868">
        <f t="shared" si="281"/>
        <v>0</v>
      </c>
      <c r="DZ171" s="868">
        <f t="shared" si="281"/>
        <v>0</v>
      </c>
      <c r="EA171" s="868">
        <f t="shared" si="281"/>
        <v>0</v>
      </c>
      <c r="EB171" s="868">
        <f t="shared" si="281"/>
        <v>0</v>
      </c>
      <c r="EC171" s="868">
        <f t="shared" si="281"/>
        <v>0</v>
      </c>
      <c r="ED171" s="868">
        <f t="shared" si="281"/>
        <v>0</v>
      </c>
      <c r="EE171" s="868">
        <f t="shared" si="281"/>
        <v>0</v>
      </c>
      <c r="EF171" s="868">
        <f t="shared" si="281"/>
        <v>0</v>
      </c>
      <c r="EG171" s="868">
        <f t="shared" si="281"/>
        <v>0</v>
      </c>
      <c r="EH171" s="868">
        <f t="shared" si="281"/>
        <v>0</v>
      </c>
      <c r="EI171" s="868">
        <f t="shared" si="281"/>
        <v>0</v>
      </c>
    </row>
    <row r="172" spans="2:139" ht="12.75" customHeight="1">
      <c r="B172" s="46"/>
      <c r="C172" s="209"/>
      <c r="D172" s="857"/>
      <c r="E172" s="857"/>
      <c r="F172" s="857"/>
      <c r="G172" s="857"/>
      <c r="H172" s="857"/>
      <c r="I172" s="857"/>
      <c r="J172" s="857"/>
      <c r="K172" s="857"/>
      <c r="L172" s="857"/>
      <c r="M172" s="857"/>
      <c r="N172" s="857"/>
      <c r="O172" s="858"/>
      <c r="P172" s="313"/>
      <c r="Q172" s="313"/>
      <c r="R172" s="313"/>
      <c r="S172" s="859"/>
      <c r="T172" s="859"/>
      <c r="U172" s="859"/>
      <c r="V172" s="859"/>
      <c r="W172" s="859"/>
      <c r="X172" s="859"/>
      <c r="Y172" s="859"/>
      <c r="Z172" s="859"/>
      <c r="AA172" s="859"/>
      <c r="AB172" s="859"/>
      <c r="AC172" s="859"/>
      <c r="AD172" s="859"/>
      <c r="AE172" s="859"/>
      <c r="AF172" s="859"/>
      <c r="AG172" s="859"/>
      <c r="AH172" s="859"/>
      <c r="AI172" s="859"/>
      <c r="AJ172" s="859"/>
      <c r="AK172" s="859"/>
      <c r="AL172" s="859"/>
      <c r="AM172" s="859"/>
      <c r="AN172" s="859"/>
      <c r="AO172" s="859"/>
      <c r="AP172" s="859"/>
      <c r="AQ172" s="859"/>
      <c r="AR172" s="859"/>
      <c r="AS172" s="859"/>
      <c r="AT172" s="859"/>
      <c r="AU172" s="859"/>
      <c r="AV172" s="859"/>
      <c r="AW172" s="859"/>
      <c r="AX172" s="859"/>
      <c r="AY172" s="859"/>
      <c r="AZ172" s="859"/>
      <c r="BA172" s="859"/>
      <c r="BB172" s="859"/>
      <c r="BC172" s="859"/>
      <c r="BD172" s="859"/>
      <c r="BE172" s="859"/>
      <c r="BF172" s="859"/>
      <c r="BG172" s="859"/>
      <c r="BH172" s="859"/>
      <c r="BI172" s="859"/>
      <c r="BJ172" s="859"/>
      <c r="BK172" s="859"/>
      <c r="BL172" s="859"/>
      <c r="BM172" s="859"/>
      <c r="BN172" s="859"/>
      <c r="BO172" s="859"/>
      <c r="BP172" s="859"/>
      <c r="BQ172" s="859"/>
      <c r="BR172" s="859"/>
      <c r="BS172" s="859"/>
      <c r="BT172" s="859"/>
      <c r="BU172" s="859"/>
      <c r="BV172" s="859"/>
      <c r="BW172" s="859"/>
      <c r="BX172" s="859"/>
      <c r="BY172" s="859"/>
      <c r="BZ172" s="859"/>
      <c r="CA172" s="859"/>
      <c r="CB172" s="859"/>
      <c r="CC172" s="859"/>
      <c r="CD172" s="859"/>
      <c r="CE172" s="859"/>
      <c r="CF172" s="859"/>
      <c r="CG172" s="859"/>
      <c r="CH172" s="859"/>
      <c r="CI172" s="859"/>
      <c r="CJ172" s="859"/>
      <c r="CK172" s="859"/>
      <c r="CL172" s="859"/>
      <c r="CM172" s="859"/>
      <c r="CN172" s="859"/>
      <c r="CO172" s="859"/>
      <c r="CP172" s="859"/>
      <c r="CQ172" s="859"/>
      <c r="CR172" s="859"/>
      <c r="CS172" s="859"/>
      <c r="CT172" s="859"/>
      <c r="CU172" s="859"/>
      <c r="CV172" s="859"/>
      <c r="CW172" s="859"/>
      <c r="CX172" s="859"/>
      <c r="CY172" s="859"/>
      <c r="CZ172" s="859"/>
      <c r="DA172" s="859"/>
      <c r="DB172" s="859"/>
      <c r="DC172" s="859"/>
      <c r="DD172" s="859"/>
      <c r="DE172" s="859"/>
      <c r="DF172" s="859"/>
      <c r="DG172" s="859"/>
      <c r="DH172" s="859"/>
      <c r="DI172" s="859"/>
      <c r="DJ172" s="859"/>
      <c r="DK172" s="859"/>
      <c r="DL172" s="859"/>
      <c r="DM172" s="859"/>
      <c r="DN172" s="859"/>
      <c r="DO172" s="859"/>
      <c r="DP172" s="859"/>
      <c r="DQ172" s="859"/>
      <c r="DR172" s="859"/>
      <c r="DS172" s="859"/>
      <c r="DT172" s="859"/>
      <c r="DU172" s="859"/>
      <c r="DV172" s="859"/>
      <c r="DW172" s="859"/>
      <c r="DX172" s="859"/>
      <c r="DY172" s="859"/>
      <c r="DZ172" s="859"/>
      <c r="EA172" s="859"/>
      <c r="EB172" s="859"/>
      <c r="EC172" s="859"/>
      <c r="ED172" s="859"/>
      <c r="EE172" s="859"/>
      <c r="EF172" s="859"/>
      <c r="EG172" s="859"/>
      <c r="EH172" s="859"/>
      <c r="EI172" s="859"/>
    </row>
    <row r="173" spans="2:139">
      <c r="D173" s="313"/>
      <c r="E173" s="313"/>
      <c r="F173" s="313"/>
      <c r="G173" s="313"/>
      <c r="H173" s="313"/>
      <c r="I173" s="313"/>
      <c r="J173" s="313"/>
      <c r="K173" s="313"/>
      <c r="L173" s="313"/>
      <c r="M173" s="313"/>
      <c r="N173" s="313"/>
      <c r="O173" s="313"/>
      <c r="P173" s="313"/>
      <c r="Q173" s="313"/>
      <c r="R173" s="313"/>
      <c r="S173" s="313"/>
      <c r="T173" s="313"/>
      <c r="U173" s="313"/>
      <c r="V173" s="313"/>
      <c r="W173" s="313"/>
      <c r="X173" s="313"/>
      <c r="Y173" s="313"/>
      <c r="Z173" s="313"/>
      <c r="AA173" s="313"/>
      <c r="AB173" s="313"/>
      <c r="AC173" s="313"/>
      <c r="AD173" s="313"/>
      <c r="AE173" s="313"/>
      <c r="AF173" s="313"/>
      <c r="AG173" s="313"/>
      <c r="AH173" s="313"/>
      <c r="AI173" s="313"/>
      <c r="AJ173" s="313"/>
      <c r="AK173" s="313"/>
      <c r="AL173" s="313"/>
      <c r="AM173" s="313"/>
      <c r="AN173" s="313"/>
      <c r="AO173" s="313"/>
      <c r="AP173" s="313"/>
      <c r="AQ173" s="313"/>
      <c r="AR173" s="313"/>
      <c r="AS173" s="313"/>
      <c r="AT173" s="313"/>
      <c r="AU173" s="313"/>
      <c r="AV173" s="313"/>
      <c r="AW173" s="313"/>
      <c r="AX173" s="313"/>
      <c r="AY173" s="313"/>
      <c r="AZ173" s="313"/>
      <c r="BA173" s="313"/>
      <c r="BB173" s="313"/>
      <c r="BC173" s="313"/>
      <c r="BD173" s="313"/>
      <c r="BE173" s="313"/>
      <c r="BF173" s="313"/>
      <c r="BG173" s="313"/>
      <c r="BH173" s="313"/>
      <c r="BI173" s="313"/>
      <c r="BJ173" s="313"/>
      <c r="BK173" s="313"/>
      <c r="BL173" s="313"/>
      <c r="BM173" s="313"/>
      <c r="BN173" s="313"/>
      <c r="BO173" s="313"/>
      <c r="BP173" s="313"/>
      <c r="BQ173" s="313"/>
      <c r="BR173" s="313"/>
      <c r="BS173" s="313"/>
      <c r="BT173" s="313"/>
      <c r="BU173" s="313"/>
      <c r="BV173" s="313"/>
      <c r="BW173" s="313"/>
      <c r="BX173" s="313"/>
      <c r="BY173" s="313"/>
      <c r="BZ173" s="313"/>
      <c r="CA173" s="313"/>
      <c r="CB173" s="313"/>
      <c r="CC173" s="313"/>
      <c r="CD173" s="313"/>
      <c r="CE173" s="313"/>
      <c r="CF173" s="313"/>
      <c r="CG173" s="313"/>
      <c r="CH173" s="313"/>
      <c r="CI173" s="313"/>
      <c r="CJ173" s="313"/>
      <c r="CK173" s="313"/>
      <c r="CL173" s="313"/>
      <c r="CM173" s="313"/>
      <c r="CN173" s="313"/>
      <c r="CO173" s="313"/>
      <c r="CP173" s="313"/>
      <c r="CQ173" s="313"/>
      <c r="CR173" s="313"/>
      <c r="CS173" s="313"/>
      <c r="CT173" s="313"/>
      <c r="CU173" s="313"/>
      <c r="CV173" s="313"/>
      <c r="CW173" s="313"/>
      <c r="CX173" s="313"/>
      <c r="CY173" s="313"/>
      <c r="CZ173" s="313"/>
      <c r="DA173" s="313"/>
      <c r="DB173" s="313"/>
      <c r="DC173" s="313"/>
      <c r="DD173" s="313"/>
      <c r="DE173" s="313"/>
      <c r="DF173" s="313"/>
      <c r="DG173" s="313"/>
      <c r="DH173" s="313"/>
      <c r="DI173" s="313"/>
      <c r="DJ173" s="313"/>
      <c r="DK173" s="313"/>
      <c r="DL173" s="313"/>
      <c r="DM173" s="313"/>
      <c r="DN173" s="313"/>
      <c r="DO173" s="313"/>
      <c r="DP173" s="313"/>
      <c r="DQ173" s="313"/>
      <c r="DR173" s="313"/>
      <c r="DS173" s="313"/>
      <c r="DT173" s="313"/>
      <c r="DU173" s="313"/>
      <c r="DV173" s="313"/>
      <c r="DW173" s="313"/>
      <c r="DX173" s="313"/>
      <c r="DY173" s="313"/>
      <c r="DZ173" s="313"/>
      <c r="EA173" s="313"/>
      <c r="EB173" s="313"/>
      <c r="EC173" s="313"/>
      <c r="ED173" s="313"/>
      <c r="EE173" s="313"/>
      <c r="EF173" s="313"/>
      <c r="EG173" s="313"/>
      <c r="EH173" s="313"/>
      <c r="EI173" s="313"/>
    </row>
    <row r="174" spans="2:139">
      <c r="D174" s="313"/>
      <c r="E174" s="313"/>
      <c r="F174" s="313"/>
      <c r="G174" s="313"/>
      <c r="H174" s="313"/>
      <c r="I174" s="313"/>
      <c r="J174" s="313"/>
      <c r="K174" s="313"/>
      <c r="L174" s="313"/>
      <c r="M174" s="313"/>
      <c r="N174" s="313"/>
      <c r="O174" s="313"/>
      <c r="P174" s="313"/>
      <c r="Q174" s="313"/>
      <c r="R174" s="313"/>
      <c r="S174" s="313"/>
      <c r="T174" s="313"/>
      <c r="U174" s="313"/>
      <c r="V174" s="313"/>
      <c r="W174" s="313"/>
      <c r="X174" s="313"/>
      <c r="Y174" s="313"/>
      <c r="Z174" s="313"/>
      <c r="AA174" s="313"/>
      <c r="AB174" s="313"/>
      <c r="AC174" s="313"/>
      <c r="AD174" s="313"/>
      <c r="AE174" s="313"/>
      <c r="AF174" s="313"/>
      <c r="AG174" s="313"/>
      <c r="AH174" s="313"/>
      <c r="AI174" s="313"/>
      <c r="AJ174" s="313"/>
      <c r="AK174" s="313"/>
      <c r="AL174" s="313"/>
      <c r="AM174" s="313"/>
      <c r="AN174" s="313"/>
      <c r="AO174" s="313"/>
      <c r="AP174" s="313"/>
      <c r="AQ174" s="313"/>
      <c r="AR174" s="313"/>
      <c r="AS174" s="313"/>
      <c r="AT174" s="313"/>
      <c r="AU174" s="313"/>
      <c r="AV174" s="313"/>
      <c r="AW174" s="313"/>
      <c r="AX174" s="313"/>
      <c r="AY174" s="313"/>
      <c r="AZ174" s="313"/>
      <c r="BA174" s="313"/>
      <c r="BB174" s="313"/>
      <c r="BC174" s="313"/>
      <c r="BD174" s="313"/>
      <c r="BE174" s="313"/>
      <c r="BF174" s="313"/>
      <c r="BG174" s="313"/>
      <c r="BH174" s="313"/>
      <c r="BI174" s="313"/>
      <c r="BJ174" s="313"/>
      <c r="BK174" s="313"/>
      <c r="BL174" s="313"/>
      <c r="BM174" s="313"/>
      <c r="BN174" s="313"/>
      <c r="BO174" s="313"/>
      <c r="BP174" s="313"/>
      <c r="BQ174" s="313"/>
      <c r="BR174" s="313"/>
      <c r="BS174" s="313"/>
      <c r="BT174" s="313"/>
      <c r="BU174" s="313"/>
      <c r="BV174" s="313"/>
      <c r="BW174" s="313"/>
      <c r="BX174" s="313"/>
      <c r="BY174" s="313"/>
      <c r="BZ174" s="313"/>
      <c r="CA174" s="313"/>
      <c r="CB174" s="313"/>
      <c r="CC174" s="313"/>
      <c r="CD174" s="313"/>
      <c r="CE174" s="313"/>
      <c r="CF174" s="313"/>
      <c r="CG174" s="313"/>
      <c r="CH174" s="313"/>
      <c r="CI174" s="313"/>
      <c r="CJ174" s="313"/>
      <c r="CK174" s="313"/>
      <c r="CL174" s="313"/>
      <c r="CM174" s="313"/>
      <c r="CN174" s="313"/>
      <c r="CO174" s="313"/>
      <c r="CP174" s="313"/>
      <c r="CQ174" s="313"/>
      <c r="CR174" s="313"/>
      <c r="CS174" s="313"/>
      <c r="CT174" s="313"/>
      <c r="CU174" s="313"/>
      <c r="CV174" s="313"/>
      <c r="CW174" s="313"/>
      <c r="CX174" s="313"/>
      <c r="CY174" s="313"/>
      <c r="CZ174" s="313"/>
      <c r="DA174" s="313"/>
      <c r="DB174" s="313"/>
      <c r="DC174" s="313"/>
      <c r="DD174" s="313"/>
      <c r="DE174" s="313"/>
      <c r="DF174" s="313"/>
      <c r="DG174" s="313"/>
      <c r="DH174" s="313"/>
      <c r="DI174" s="313"/>
      <c r="DJ174" s="313"/>
      <c r="DK174" s="313"/>
      <c r="DL174" s="313"/>
      <c r="DM174" s="313"/>
      <c r="DN174" s="313"/>
      <c r="DO174" s="313"/>
      <c r="DP174" s="313"/>
      <c r="DQ174" s="313"/>
      <c r="DR174" s="313"/>
      <c r="DS174" s="313"/>
      <c r="DT174" s="313"/>
      <c r="DU174" s="313"/>
      <c r="DV174" s="313"/>
      <c r="DW174" s="313"/>
      <c r="DX174" s="313"/>
      <c r="DY174" s="313"/>
      <c r="DZ174" s="313"/>
      <c r="EA174" s="313"/>
      <c r="EB174" s="313"/>
      <c r="EC174" s="313"/>
      <c r="ED174" s="313"/>
      <c r="EE174" s="313"/>
      <c r="EF174" s="313"/>
      <c r="EG174" s="313"/>
      <c r="EH174" s="313"/>
      <c r="EI174" s="313"/>
    </row>
    <row r="175" spans="2:139" s="192" customFormat="1" ht="14.25" customHeight="1">
      <c r="B175" s="1043" t="s">
        <v>600</v>
      </c>
      <c r="C175" s="196"/>
      <c r="D175" s="869"/>
      <c r="E175" s="869"/>
      <c r="F175" s="870"/>
      <c r="G175" s="870"/>
      <c r="H175" s="870"/>
      <c r="I175" s="870"/>
      <c r="J175" s="870"/>
      <c r="K175" s="870"/>
      <c r="L175" s="870"/>
      <c r="M175" s="870"/>
      <c r="N175" s="870"/>
      <c r="O175" s="870"/>
      <c r="P175" s="313"/>
      <c r="Q175" s="313"/>
      <c r="R175" s="313"/>
      <c r="S175" s="870"/>
      <c r="T175" s="870"/>
      <c r="U175" s="870"/>
      <c r="V175" s="870"/>
      <c r="W175" s="870"/>
      <c r="X175" s="870"/>
      <c r="Y175" s="870"/>
      <c r="Z175" s="870"/>
      <c r="AA175" s="870"/>
      <c r="AB175" s="870"/>
      <c r="AC175" s="870"/>
      <c r="AD175" s="870"/>
      <c r="AE175" s="870"/>
      <c r="AF175" s="870"/>
      <c r="AG175" s="870"/>
      <c r="AH175" s="870"/>
      <c r="AI175" s="870"/>
      <c r="AJ175" s="870"/>
      <c r="AK175" s="870"/>
      <c r="AL175" s="870"/>
      <c r="AM175" s="870"/>
      <c r="AN175" s="870"/>
      <c r="AO175" s="870"/>
      <c r="AP175" s="870"/>
      <c r="AQ175" s="870"/>
      <c r="AR175" s="870"/>
      <c r="AS175" s="870"/>
      <c r="AT175" s="870"/>
      <c r="AU175" s="870"/>
      <c r="AV175" s="870"/>
      <c r="AW175" s="870"/>
      <c r="AX175" s="870"/>
      <c r="AY175" s="870"/>
      <c r="AZ175" s="870"/>
      <c r="BA175" s="870"/>
      <c r="BB175" s="870"/>
      <c r="BC175" s="870"/>
      <c r="BD175" s="870"/>
      <c r="BE175" s="870"/>
      <c r="BF175" s="870"/>
      <c r="BG175" s="870"/>
      <c r="BH175" s="870"/>
      <c r="BI175" s="870"/>
      <c r="BJ175" s="870"/>
      <c r="BK175" s="870"/>
      <c r="BL175" s="870"/>
      <c r="BM175" s="870"/>
      <c r="BN175" s="870"/>
      <c r="BO175" s="870"/>
      <c r="BP175" s="870"/>
      <c r="BQ175" s="870"/>
      <c r="BR175" s="870"/>
      <c r="BS175" s="870"/>
      <c r="BT175" s="870"/>
      <c r="BU175" s="870"/>
      <c r="BV175" s="870"/>
      <c r="BW175" s="870"/>
      <c r="BX175" s="870"/>
      <c r="BY175" s="870"/>
      <c r="BZ175" s="870"/>
      <c r="CA175" s="870"/>
      <c r="CB175" s="870"/>
      <c r="CC175" s="870"/>
      <c r="CD175" s="870"/>
      <c r="CE175" s="870"/>
      <c r="CF175" s="870"/>
      <c r="CG175" s="870"/>
      <c r="CH175" s="870"/>
      <c r="CI175" s="870"/>
      <c r="CJ175" s="870"/>
      <c r="CK175" s="870"/>
      <c r="CL175" s="870"/>
      <c r="CM175" s="870"/>
      <c r="CN175" s="870"/>
      <c r="CO175" s="870"/>
      <c r="CP175" s="870"/>
      <c r="CQ175" s="870"/>
      <c r="CR175" s="870"/>
      <c r="CS175" s="870"/>
      <c r="CT175" s="870"/>
      <c r="CU175" s="870"/>
      <c r="CV175" s="870"/>
      <c r="CW175" s="870"/>
      <c r="CX175" s="870"/>
      <c r="CY175" s="870"/>
      <c r="CZ175" s="870"/>
      <c r="DA175" s="870"/>
      <c r="DB175" s="870"/>
      <c r="DC175" s="870"/>
      <c r="DD175" s="870"/>
      <c r="DE175" s="870"/>
      <c r="DF175" s="870"/>
      <c r="DG175" s="870"/>
      <c r="DH175" s="870"/>
      <c r="DI175" s="870"/>
      <c r="DJ175" s="870"/>
      <c r="DK175" s="870"/>
      <c r="DL175" s="870"/>
      <c r="DM175" s="870"/>
      <c r="DN175" s="870"/>
      <c r="DO175" s="870"/>
      <c r="DP175" s="870"/>
      <c r="DQ175" s="870"/>
      <c r="DR175" s="870"/>
      <c r="DS175" s="870"/>
      <c r="DT175" s="870"/>
      <c r="DU175" s="870"/>
      <c r="DV175" s="870"/>
      <c r="DW175" s="870"/>
      <c r="DX175" s="870"/>
      <c r="DY175" s="870"/>
      <c r="DZ175" s="870"/>
      <c r="EA175" s="870"/>
      <c r="EB175" s="870"/>
      <c r="EC175" s="870"/>
      <c r="ED175" s="870"/>
      <c r="EE175" s="870"/>
      <c r="EF175" s="870"/>
      <c r="EG175" s="870"/>
      <c r="EH175" s="870"/>
      <c r="EI175" s="870"/>
    </row>
    <row r="176" spans="2:139" ht="12.75" customHeight="1">
      <c r="B176" s="1045" t="s">
        <v>227</v>
      </c>
      <c r="C176" s="211"/>
      <c r="D176" s="203"/>
      <c r="E176" s="203"/>
      <c r="F176" s="203"/>
      <c r="G176" s="203"/>
      <c r="H176" s="203"/>
      <c r="I176" s="203"/>
      <c r="J176" s="203"/>
      <c r="K176" s="203"/>
      <c r="L176" s="203"/>
      <c r="M176" s="203"/>
      <c r="N176" s="203"/>
      <c r="O176" s="853"/>
      <c r="P176" s="313"/>
      <c r="Q176" s="313"/>
      <c r="R176" s="313"/>
      <c r="S176" s="203"/>
      <c r="T176" s="203"/>
      <c r="U176" s="203"/>
      <c r="V176" s="203"/>
      <c r="W176" s="203"/>
      <c r="X176" s="203"/>
      <c r="Y176" s="203"/>
      <c r="Z176" s="203"/>
      <c r="AA176" s="203"/>
      <c r="AB176" s="203"/>
      <c r="AC176" s="203"/>
      <c r="AD176" s="203"/>
      <c r="AE176" s="203"/>
      <c r="AF176" s="203"/>
      <c r="AG176" s="203"/>
      <c r="AH176" s="203"/>
      <c r="AI176" s="203"/>
      <c r="AJ176" s="203"/>
      <c r="AK176" s="203"/>
      <c r="AL176" s="203"/>
      <c r="AM176" s="203"/>
      <c r="AN176" s="203"/>
      <c r="AO176" s="203"/>
      <c r="AP176" s="203"/>
      <c r="AQ176" s="203"/>
      <c r="AR176" s="203"/>
      <c r="AS176" s="203"/>
      <c r="AT176" s="203"/>
      <c r="AU176" s="203"/>
      <c r="AV176" s="203"/>
      <c r="AW176" s="872"/>
      <c r="AX176" s="203"/>
      <c r="AY176" s="203"/>
      <c r="AZ176" s="203"/>
      <c r="BA176" s="203"/>
      <c r="BB176" s="203"/>
      <c r="BC176" s="203"/>
      <c r="BD176" s="203"/>
      <c r="BE176" s="203"/>
      <c r="BF176" s="203"/>
      <c r="BG176" s="203"/>
      <c r="BH176" s="203"/>
      <c r="BI176" s="203"/>
      <c r="BJ176" s="203"/>
      <c r="BK176" s="203"/>
      <c r="BL176" s="203"/>
      <c r="BM176" s="203"/>
      <c r="BN176" s="203"/>
      <c r="BO176" s="203"/>
      <c r="BP176" s="203"/>
      <c r="BQ176" s="203"/>
      <c r="BR176" s="203"/>
      <c r="BS176" s="203"/>
      <c r="BT176" s="203"/>
      <c r="BU176" s="203"/>
      <c r="BV176" s="203"/>
      <c r="BW176" s="203"/>
      <c r="BX176" s="203"/>
      <c r="BY176" s="203"/>
      <c r="BZ176" s="203"/>
      <c r="CA176" s="203"/>
      <c r="CB176" s="203"/>
      <c r="CC176" s="203"/>
      <c r="CD176" s="203"/>
      <c r="CE176" s="203"/>
      <c r="CF176" s="203"/>
      <c r="CG176" s="203"/>
      <c r="CH176" s="203"/>
      <c r="CI176" s="203"/>
      <c r="CJ176" s="203"/>
      <c r="CK176" s="203"/>
      <c r="CL176" s="203"/>
      <c r="CM176" s="203"/>
      <c r="CN176" s="203"/>
      <c r="CO176" s="203"/>
      <c r="CP176" s="203"/>
      <c r="CQ176" s="203"/>
      <c r="CR176" s="203"/>
      <c r="CS176" s="203"/>
      <c r="CT176" s="203"/>
      <c r="CU176" s="203"/>
      <c r="CV176" s="203"/>
      <c r="CW176" s="203"/>
      <c r="CX176" s="203"/>
      <c r="CY176" s="203"/>
      <c r="CZ176" s="203"/>
      <c r="DA176" s="203"/>
      <c r="DB176" s="203"/>
      <c r="DC176" s="203"/>
      <c r="DD176" s="203"/>
      <c r="DE176" s="203"/>
      <c r="DF176" s="203"/>
      <c r="DG176" s="203"/>
      <c r="DH176" s="203"/>
      <c r="DI176" s="203"/>
      <c r="DJ176" s="203"/>
      <c r="DK176" s="203"/>
      <c r="DL176" s="203"/>
      <c r="DM176" s="203"/>
      <c r="DN176" s="203"/>
      <c r="DO176" s="203"/>
      <c r="DP176" s="203"/>
      <c r="DQ176" s="203"/>
      <c r="DR176" s="203"/>
      <c r="DS176" s="203"/>
      <c r="DT176" s="203"/>
      <c r="DU176" s="203"/>
      <c r="DV176" s="203"/>
      <c r="DW176" s="203"/>
      <c r="DX176" s="203"/>
      <c r="DY176" s="203"/>
      <c r="DZ176" s="203"/>
      <c r="EA176" s="203"/>
      <c r="EB176" s="203"/>
      <c r="EC176" s="203"/>
      <c r="ED176" s="203"/>
      <c r="EE176" s="203"/>
      <c r="EF176" s="203"/>
      <c r="EG176" s="203"/>
      <c r="EH176" s="203"/>
      <c r="EI176" s="203"/>
    </row>
    <row r="177" spans="2:139" ht="12.75" customHeight="1">
      <c r="B177" s="41" t="s">
        <v>589</v>
      </c>
      <c r="C177" s="211"/>
      <c r="D177" s="203">
        <f>SUMIF($S$6:$EI$6,D$5,$S177:$EI177)</f>
        <v>0</v>
      </c>
      <c r="E177" s="203"/>
      <c r="F177" s="203"/>
      <c r="G177" s="203"/>
      <c r="H177" s="203"/>
      <c r="I177" s="203"/>
      <c r="J177" s="203"/>
      <c r="K177" s="203"/>
      <c r="L177" s="203"/>
      <c r="M177" s="203"/>
      <c r="N177" s="203"/>
      <c r="O177" s="853">
        <f>SUM(D177:N177)</f>
        <v>0</v>
      </c>
      <c r="P177" s="313"/>
      <c r="Q177" s="313"/>
      <c r="R177" s="313"/>
      <c r="S177" s="203">
        <f>-Assum3Fee*S184</f>
        <v>0</v>
      </c>
      <c r="T177" s="203"/>
      <c r="U177" s="203"/>
      <c r="V177" s="203"/>
      <c r="W177" s="203"/>
      <c r="X177" s="203"/>
      <c r="Y177" s="203"/>
      <c r="Z177" s="203"/>
      <c r="AA177" s="203"/>
      <c r="AB177" s="203"/>
      <c r="AC177" s="203"/>
      <c r="AD177" s="203"/>
      <c r="AE177" s="203"/>
      <c r="AF177" s="203"/>
      <c r="AG177" s="203"/>
      <c r="AH177" s="203"/>
      <c r="AI177" s="203"/>
      <c r="AJ177" s="203"/>
      <c r="AK177" s="203"/>
      <c r="AL177" s="203"/>
      <c r="AM177" s="203"/>
      <c r="AN177" s="203"/>
      <c r="AO177" s="203"/>
      <c r="AP177" s="203"/>
      <c r="AQ177" s="203"/>
      <c r="AR177" s="203"/>
      <c r="AS177" s="203"/>
      <c r="AT177" s="203"/>
      <c r="AU177" s="203"/>
      <c r="AV177" s="203"/>
      <c r="AW177" s="203"/>
      <c r="AX177" s="203"/>
      <c r="AY177" s="203"/>
      <c r="AZ177" s="203"/>
      <c r="BA177" s="203"/>
      <c r="BB177" s="203"/>
      <c r="BC177" s="203"/>
      <c r="BD177" s="203"/>
      <c r="BE177" s="203"/>
      <c r="BF177" s="203"/>
      <c r="BG177" s="203"/>
      <c r="BH177" s="203"/>
      <c r="BI177" s="203"/>
      <c r="BJ177" s="203"/>
      <c r="BK177" s="203"/>
      <c r="BL177" s="203"/>
      <c r="BM177" s="203"/>
      <c r="BN177" s="203"/>
      <c r="BO177" s="203"/>
      <c r="BP177" s="203"/>
      <c r="BQ177" s="203"/>
      <c r="BR177" s="203"/>
      <c r="BS177" s="203"/>
      <c r="BT177" s="203"/>
      <c r="BU177" s="203"/>
      <c r="BV177" s="203"/>
      <c r="BW177" s="203"/>
      <c r="BX177" s="203"/>
      <c r="BY177" s="203"/>
      <c r="BZ177" s="203"/>
      <c r="CA177" s="203"/>
      <c r="CB177" s="203"/>
      <c r="CC177" s="203"/>
      <c r="CD177" s="203"/>
      <c r="CE177" s="203"/>
      <c r="CF177" s="203"/>
      <c r="CG177" s="203"/>
      <c r="CH177" s="203"/>
      <c r="CI177" s="203"/>
      <c r="CJ177" s="203"/>
      <c r="CK177" s="203"/>
      <c r="CL177" s="203"/>
      <c r="CM177" s="203"/>
      <c r="CN177" s="203"/>
      <c r="CO177" s="203"/>
      <c r="CP177" s="203"/>
      <c r="CQ177" s="203"/>
      <c r="CR177" s="203"/>
      <c r="CS177" s="203"/>
      <c r="CT177" s="203"/>
      <c r="CU177" s="203"/>
      <c r="CV177" s="203"/>
      <c r="CW177" s="203"/>
      <c r="CX177" s="203"/>
      <c r="CY177" s="203"/>
      <c r="CZ177" s="203"/>
      <c r="DA177" s="203"/>
      <c r="DB177" s="203"/>
      <c r="DC177" s="203"/>
      <c r="DD177" s="203"/>
      <c r="DE177" s="203"/>
      <c r="DF177" s="203"/>
      <c r="DG177" s="203"/>
      <c r="DH177" s="203"/>
      <c r="DI177" s="203"/>
      <c r="DJ177" s="203"/>
      <c r="DK177" s="203"/>
      <c r="DL177" s="203"/>
      <c r="DM177" s="203"/>
      <c r="DN177" s="203"/>
      <c r="DO177" s="203"/>
      <c r="DP177" s="203"/>
      <c r="DQ177" s="203"/>
      <c r="DR177" s="203"/>
      <c r="DS177" s="203"/>
      <c r="DT177" s="203"/>
      <c r="DU177" s="203"/>
      <c r="DV177" s="203"/>
      <c r="DW177" s="203"/>
      <c r="DX177" s="203"/>
      <c r="DY177" s="203"/>
      <c r="DZ177" s="203"/>
      <c r="EA177" s="203"/>
      <c r="EB177" s="203"/>
      <c r="EC177" s="203"/>
      <c r="ED177" s="203"/>
      <c r="EE177" s="203"/>
      <c r="EF177" s="203"/>
      <c r="EG177" s="203"/>
      <c r="EH177" s="203"/>
      <c r="EI177" s="203"/>
    </row>
    <row r="178" spans="2:139" ht="12.75" customHeight="1">
      <c r="B178" s="41" t="s">
        <v>590</v>
      </c>
      <c r="C178" s="211"/>
      <c r="D178" s="203"/>
      <c r="E178" s="203">
        <f t="shared" ref="E178:N179" si="282">SUMIF($S$6:$EI$6,E$5,$S178:$EI178)</f>
        <v>0</v>
      </c>
      <c r="F178" s="203">
        <f t="shared" si="282"/>
        <v>0</v>
      </c>
      <c r="G178" s="203">
        <f t="shared" si="282"/>
        <v>0</v>
      </c>
      <c r="H178" s="203">
        <f t="shared" si="282"/>
        <v>0</v>
      </c>
      <c r="I178" s="203">
        <f t="shared" si="282"/>
        <v>0</v>
      </c>
      <c r="J178" s="203">
        <f t="shared" si="282"/>
        <v>0</v>
      </c>
      <c r="K178" s="203">
        <f t="shared" si="282"/>
        <v>0</v>
      </c>
      <c r="L178" s="203">
        <f t="shared" si="282"/>
        <v>0</v>
      </c>
      <c r="M178" s="203">
        <f t="shared" si="282"/>
        <v>0</v>
      </c>
      <c r="N178" s="203">
        <f t="shared" si="282"/>
        <v>0</v>
      </c>
      <c r="O178" s="853">
        <f>SUM(D178:N178)</f>
        <v>0</v>
      </c>
      <c r="P178" s="313"/>
      <c r="Q178" s="313"/>
      <c r="R178" s="313"/>
      <c r="S178" s="203"/>
      <c r="T178" s="203">
        <f t="shared" ref="T178:AY178" si="283">-T192*T183/12</f>
        <v>0</v>
      </c>
      <c r="U178" s="203">
        <f t="shared" si="283"/>
        <v>0</v>
      </c>
      <c r="V178" s="203">
        <f t="shared" si="283"/>
        <v>0</v>
      </c>
      <c r="W178" s="203">
        <f t="shared" si="283"/>
        <v>0</v>
      </c>
      <c r="X178" s="203">
        <f t="shared" si="283"/>
        <v>0</v>
      </c>
      <c r="Y178" s="203">
        <f t="shared" si="283"/>
        <v>0</v>
      </c>
      <c r="Z178" s="203">
        <f t="shared" si="283"/>
        <v>0</v>
      </c>
      <c r="AA178" s="203">
        <f t="shared" si="283"/>
        <v>0</v>
      </c>
      <c r="AB178" s="203">
        <f t="shared" si="283"/>
        <v>0</v>
      </c>
      <c r="AC178" s="203">
        <f t="shared" si="283"/>
        <v>0</v>
      </c>
      <c r="AD178" s="203">
        <f t="shared" si="283"/>
        <v>0</v>
      </c>
      <c r="AE178" s="203">
        <f t="shared" si="283"/>
        <v>0</v>
      </c>
      <c r="AF178" s="203">
        <f t="shared" si="283"/>
        <v>0</v>
      </c>
      <c r="AG178" s="203">
        <f t="shared" si="283"/>
        <v>0</v>
      </c>
      <c r="AH178" s="203">
        <f t="shared" si="283"/>
        <v>0</v>
      </c>
      <c r="AI178" s="203">
        <f t="shared" si="283"/>
        <v>0</v>
      </c>
      <c r="AJ178" s="203">
        <f t="shared" si="283"/>
        <v>0</v>
      </c>
      <c r="AK178" s="203">
        <f t="shared" si="283"/>
        <v>0</v>
      </c>
      <c r="AL178" s="203">
        <f t="shared" si="283"/>
        <v>0</v>
      </c>
      <c r="AM178" s="203">
        <f t="shared" si="283"/>
        <v>0</v>
      </c>
      <c r="AN178" s="203">
        <f t="shared" si="283"/>
        <v>0</v>
      </c>
      <c r="AO178" s="203">
        <f t="shared" si="283"/>
        <v>0</v>
      </c>
      <c r="AP178" s="203">
        <f t="shared" si="283"/>
        <v>0</v>
      </c>
      <c r="AQ178" s="203">
        <f t="shared" si="283"/>
        <v>0</v>
      </c>
      <c r="AR178" s="203">
        <f t="shared" si="283"/>
        <v>0</v>
      </c>
      <c r="AS178" s="203">
        <f t="shared" si="283"/>
        <v>0</v>
      </c>
      <c r="AT178" s="203">
        <f t="shared" si="283"/>
        <v>0</v>
      </c>
      <c r="AU178" s="203">
        <f t="shared" si="283"/>
        <v>0</v>
      </c>
      <c r="AV178" s="203">
        <f t="shared" si="283"/>
        <v>0</v>
      </c>
      <c r="AW178" s="203">
        <f t="shared" si="283"/>
        <v>0</v>
      </c>
      <c r="AX178" s="203">
        <f t="shared" si="283"/>
        <v>0</v>
      </c>
      <c r="AY178" s="203">
        <f t="shared" si="283"/>
        <v>0</v>
      </c>
      <c r="AZ178" s="203">
        <f t="shared" ref="AZ178:CE178" si="284">-AZ192*AZ183/12</f>
        <v>0</v>
      </c>
      <c r="BA178" s="203">
        <f t="shared" si="284"/>
        <v>0</v>
      </c>
      <c r="BB178" s="203">
        <f t="shared" si="284"/>
        <v>0</v>
      </c>
      <c r="BC178" s="203">
        <f t="shared" si="284"/>
        <v>0</v>
      </c>
      <c r="BD178" s="203">
        <f t="shared" si="284"/>
        <v>0</v>
      </c>
      <c r="BE178" s="203">
        <f t="shared" si="284"/>
        <v>0</v>
      </c>
      <c r="BF178" s="203">
        <f t="shared" si="284"/>
        <v>0</v>
      </c>
      <c r="BG178" s="203">
        <f t="shared" si="284"/>
        <v>0</v>
      </c>
      <c r="BH178" s="203">
        <f t="shared" si="284"/>
        <v>0</v>
      </c>
      <c r="BI178" s="203">
        <f t="shared" si="284"/>
        <v>0</v>
      </c>
      <c r="BJ178" s="203">
        <f t="shared" si="284"/>
        <v>0</v>
      </c>
      <c r="BK178" s="203">
        <f t="shared" si="284"/>
        <v>0</v>
      </c>
      <c r="BL178" s="203">
        <f t="shared" si="284"/>
        <v>0</v>
      </c>
      <c r="BM178" s="203">
        <f t="shared" si="284"/>
        <v>0</v>
      </c>
      <c r="BN178" s="203">
        <f t="shared" si="284"/>
        <v>0</v>
      </c>
      <c r="BO178" s="203">
        <f t="shared" si="284"/>
        <v>0</v>
      </c>
      <c r="BP178" s="203">
        <f t="shared" si="284"/>
        <v>0</v>
      </c>
      <c r="BQ178" s="203">
        <f t="shared" si="284"/>
        <v>0</v>
      </c>
      <c r="BR178" s="203">
        <f t="shared" si="284"/>
        <v>0</v>
      </c>
      <c r="BS178" s="203">
        <f t="shared" si="284"/>
        <v>0</v>
      </c>
      <c r="BT178" s="203">
        <f t="shared" si="284"/>
        <v>0</v>
      </c>
      <c r="BU178" s="203">
        <f t="shared" si="284"/>
        <v>0</v>
      </c>
      <c r="BV178" s="203">
        <f t="shared" si="284"/>
        <v>0</v>
      </c>
      <c r="BW178" s="203">
        <f t="shared" si="284"/>
        <v>0</v>
      </c>
      <c r="BX178" s="203">
        <f t="shared" si="284"/>
        <v>0</v>
      </c>
      <c r="BY178" s="203">
        <f t="shared" si="284"/>
        <v>0</v>
      </c>
      <c r="BZ178" s="203">
        <f t="shared" si="284"/>
        <v>0</v>
      </c>
      <c r="CA178" s="203">
        <f t="shared" si="284"/>
        <v>0</v>
      </c>
      <c r="CB178" s="203">
        <f t="shared" si="284"/>
        <v>0</v>
      </c>
      <c r="CC178" s="203">
        <f t="shared" si="284"/>
        <v>0</v>
      </c>
      <c r="CD178" s="203">
        <f t="shared" si="284"/>
        <v>0</v>
      </c>
      <c r="CE178" s="203">
        <f t="shared" si="284"/>
        <v>0</v>
      </c>
      <c r="CF178" s="203">
        <f t="shared" ref="CF178:DK178" si="285">-CF192*CF183/12</f>
        <v>0</v>
      </c>
      <c r="CG178" s="203">
        <f t="shared" si="285"/>
        <v>0</v>
      </c>
      <c r="CH178" s="203">
        <f t="shared" si="285"/>
        <v>0</v>
      </c>
      <c r="CI178" s="203">
        <f t="shared" si="285"/>
        <v>0</v>
      </c>
      <c r="CJ178" s="203">
        <f t="shared" si="285"/>
        <v>0</v>
      </c>
      <c r="CK178" s="203">
        <f t="shared" si="285"/>
        <v>0</v>
      </c>
      <c r="CL178" s="203">
        <f t="shared" si="285"/>
        <v>0</v>
      </c>
      <c r="CM178" s="203">
        <f t="shared" si="285"/>
        <v>0</v>
      </c>
      <c r="CN178" s="203">
        <f t="shared" si="285"/>
        <v>0</v>
      </c>
      <c r="CO178" s="203">
        <f t="shared" si="285"/>
        <v>0</v>
      </c>
      <c r="CP178" s="203">
        <f t="shared" si="285"/>
        <v>0</v>
      </c>
      <c r="CQ178" s="203">
        <f t="shared" si="285"/>
        <v>0</v>
      </c>
      <c r="CR178" s="203">
        <f t="shared" si="285"/>
        <v>0</v>
      </c>
      <c r="CS178" s="203">
        <f t="shared" si="285"/>
        <v>0</v>
      </c>
      <c r="CT178" s="203">
        <f t="shared" si="285"/>
        <v>0</v>
      </c>
      <c r="CU178" s="203">
        <f t="shared" si="285"/>
        <v>0</v>
      </c>
      <c r="CV178" s="203">
        <f t="shared" si="285"/>
        <v>0</v>
      </c>
      <c r="CW178" s="203">
        <f t="shared" si="285"/>
        <v>0</v>
      </c>
      <c r="CX178" s="203">
        <f t="shared" si="285"/>
        <v>0</v>
      </c>
      <c r="CY178" s="203">
        <f t="shared" si="285"/>
        <v>0</v>
      </c>
      <c r="CZ178" s="203">
        <f t="shared" si="285"/>
        <v>0</v>
      </c>
      <c r="DA178" s="203">
        <f t="shared" si="285"/>
        <v>0</v>
      </c>
      <c r="DB178" s="203">
        <f t="shared" si="285"/>
        <v>0</v>
      </c>
      <c r="DC178" s="203">
        <f t="shared" si="285"/>
        <v>0</v>
      </c>
      <c r="DD178" s="203">
        <f t="shared" si="285"/>
        <v>0</v>
      </c>
      <c r="DE178" s="203">
        <f t="shared" si="285"/>
        <v>0</v>
      </c>
      <c r="DF178" s="203">
        <f t="shared" si="285"/>
        <v>0</v>
      </c>
      <c r="DG178" s="203">
        <f t="shared" si="285"/>
        <v>0</v>
      </c>
      <c r="DH178" s="203">
        <f t="shared" si="285"/>
        <v>0</v>
      </c>
      <c r="DI178" s="203">
        <f t="shared" si="285"/>
        <v>0</v>
      </c>
      <c r="DJ178" s="203">
        <f t="shared" si="285"/>
        <v>0</v>
      </c>
      <c r="DK178" s="203">
        <f t="shared" si="285"/>
        <v>0</v>
      </c>
      <c r="DL178" s="203">
        <f t="shared" ref="DL178:EI178" si="286">-DL192*DL183/12</f>
        <v>0</v>
      </c>
      <c r="DM178" s="203">
        <f t="shared" si="286"/>
        <v>0</v>
      </c>
      <c r="DN178" s="203">
        <f t="shared" si="286"/>
        <v>0</v>
      </c>
      <c r="DO178" s="203">
        <f t="shared" si="286"/>
        <v>0</v>
      </c>
      <c r="DP178" s="203">
        <f t="shared" si="286"/>
        <v>0</v>
      </c>
      <c r="DQ178" s="203">
        <f t="shared" si="286"/>
        <v>0</v>
      </c>
      <c r="DR178" s="203">
        <f t="shared" si="286"/>
        <v>0</v>
      </c>
      <c r="DS178" s="203">
        <f t="shared" si="286"/>
        <v>0</v>
      </c>
      <c r="DT178" s="203">
        <f t="shared" si="286"/>
        <v>0</v>
      </c>
      <c r="DU178" s="203">
        <f t="shared" si="286"/>
        <v>0</v>
      </c>
      <c r="DV178" s="203">
        <f t="shared" si="286"/>
        <v>0</v>
      </c>
      <c r="DW178" s="203">
        <f t="shared" si="286"/>
        <v>0</v>
      </c>
      <c r="DX178" s="203">
        <f t="shared" si="286"/>
        <v>0</v>
      </c>
      <c r="DY178" s="203">
        <f t="shared" si="286"/>
        <v>0</v>
      </c>
      <c r="DZ178" s="203">
        <f t="shared" si="286"/>
        <v>0</v>
      </c>
      <c r="EA178" s="203">
        <f t="shared" si="286"/>
        <v>0</v>
      </c>
      <c r="EB178" s="203">
        <f t="shared" si="286"/>
        <v>0</v>
      </c>
      <c r="EC178" s="203">
        <f t="shared" si="286"/>
        <v>0</v>
      </c>
      <c r="ED178" s="203">
        <f t="shared" si="286"/>
        <v>0</v>
      </c>
      <c r="EE178" s="203">
        <f t="shared" si="286"/>
        <v>0</v>
      </c>
      <c r="EF178" s="203">
        <f t="shared" si="286"/>
        <v>0</v>
      </c>
      <c r="EG178" s="203">
        <f t="shared" si="286"/>
        <v>0</v>
      </c>
      <c r="EH178" s="203">
        <f t="shared" si="286"/>
        <v>0</v>
      </c>
      <c r="EI178" s="203">
        <f t="shared" si="286"/>
        <v>0</v>
      </c>
    </row>
    <row r="179" spans="2:139" ht="12.75" customHeight="1">
      <c r="B179" s="41" t="s">
        <v>591</v>
      </c>
      <c r="C179" s="211"/>
      <c r="D179" s="203">
        <f>SUMIF($S$6:$EI$6,D$5,$S179:$EI179)</f>
        <v>0</v>
      </c>
      <c r="E179" s="203">
        <f t="shared" si="282"/>
        <v>0</v>
      </c>
      <c r="F179" s="203">
        <f t="shared" si="282"/>
        <v>0</v>
      </c>
      <c r="G179" s="203">
        <f t="shared" si="282"/>
        <v>0</v>
      </c>
      <c r="H179" s="203">
        <f t="shared" si="282"/>
        <v>0</v>
      </c>
      <c r="I179" s="203">
        <f t="shared" si="282"/>
        <v>0</v>
      </c>
      <c r="J179" s="203">
        <f t="shared" si="282"/>
        <v>0</v>
      </c>
      <c r="K179" s="203">
        <f t="shared" si="282"/>
        <v>0</v>
      </c>
      <c r="L179" s="203">
        <f t="shared" si="282"/>
        <v>0</v>
      </c>
      <c r="M179" s="203">
        <f t="shared" si="282"/>
        <v>0</v>
      </c>
      <c r="N179" s="203">
        <f t="shared" si="282"/>
        <v>0</v>
      </c>
      <c r="O179" s="853">
        <f>SUM(D179:N179)</f>
        <v>0</v>
      </c>
      <c r="P179" s="313"/>
      <c r="Q179" s="313"/>
      <c r="R179" s="313"/>
      <c r="S179" s="203"/>
      <c r="T179" s="203">
        <f t="shared" ref="T179:AY179" si="287">-Assum3PrpyFee*(T186&lt;&gt;0)</f>
        <v>0</v>
      </c>
      <c r="U179" s="203">
        <f t="shared" si="287"/>
        <v>0</v>
      </c>
      <c r="V179" s="203">
        <f t="shared" si="287"/>
        <v>0</v>
      </c>
      <c r="W179" s="203">
        <f t="shared" si="287"/>
        <v>0</v>
      </c>
      <c r="X179" s="203">
        <f t="shared" si="287"/>
        <v>0</v>
      </c>
      <c r="Y179" s="203">
        <f t="shared" si="287"/>
        <v>0</v>
      </c>
      <c r="Z179" s="203">
        <f t="shared" si="287"/>
        <v>0</v>
      </c>
      <c r="AA179" s="203">
        <f t="shared" si="287"/>
        <v>0</v>
      </c>
      <c r="AB179" s="203">
        <f t="shared" si="287"/>
        <v>0</v>
      </c>
      <c r="AC179" s="203">
        <f t="shared" si="287"/>
        <v>0</v>
      </c>
      <c r="AD179" s="203">
        <f t="shared" si="287"/>
        <v>0</v>
      </c>
      <c r="AE179" s="203">
        <f t="shared" si="287"/>
        <v>0</v>
      </c>
      <c r="AF179" s="203">
        <f t="shared" si="287"/>
        <v>0</v>
      </c>
      <c r="AG179" s="203">
        <f t="shared" si="287"/>
        <v>0</v>
      </c>
      <c r="AH179" s="203">
        <f t="shared" si="287"/>
        <v>0</v>
      </c>
      <c r="AI179" s="203">
        <f t="shared" si="287"/>
        <v>0</v>
      </c>
      <c r="AJ179" s="203">
        <f t="shared" si="287"/>
        <v>0</v>
      </c>
      <c r="AK179" s="203">
        <f t="shared" si="287"/>
        <v>0</v>
      </c>
      <c r="AL179" s="203">
        <f t="shared" si="287"/>
        <v>0</v>
      </c>
      <c r="AM179" s="203">
        <f t="shared" si="287"/>
        <v>0</v>
      </c>
      <c r="AN179" s="203">
        <f t="shared" si="287"/>
        <v>0</v>
      </c>
      <c r="AO179" s="203">
        <f t="shared" si="287"/>
        <v>0</v>
      </c>
      <c r="AP179" s="203">
        <f t="shared" si="287"/>
        <v>0</v>
      </c>
      <c r="AQ179" s="203">
        <f t="shared" si="287"/>
        <v>0</v>
      </c>
      <c r="AR179" s="203">
        <f t="shared" si="287"/>
        <v>0</v>
      </c>
      <c r="AS179" s="203">
        <f t="shared" si="287"/>
        <v>0</v>
      </c>
      <c r="AT179" s="203">
        <f t="shared" si="287"/>
        <v>0</v>
      </c>
      <c r="AU179" s="203">
        <f t="shared" si="287"/>
        <v>0</v>
      </c>
      <c r="AV179" s="203">
        <f t="shared" si="287"/>
        <v>0</v>
      </c>
      <c r="AW179" s="203">
        <f t="shared" si="287"/>
        <v>0</v>
      </c>
      <c r="AX179" s="203">
        <f t="shared" si="287"/>
        <v>0</v>
      </c>
      <c r="AY179" s="203">
        <f t="shared" si="287"/>
        <v>0</v>
      </c>
      <c r="AZ179" s="203">
        <f t="shared" ref="AZ179:CE179" si="288">-Assum3PrpyFee*(AZ186&lt;&gt;0)</f>
        <v>0</v>
      </c>
      <c r="BA179" s="203">
        <f t="shared" si="288"/>
        <v>0</v>
      </c>
      <c r="BB179" s="203">
        <f t="shared" si="288"/>
        <v>0</v>
      </c>
      <c r="BC179" s="203">
        <f t="shared" si="288"/>
        <v>0</v>
      </c>
      <c r="BD179" s="203">
        <f t="shared" si="288"/>
        <v>0</v>
      </c>
      <c r="BE179" s="203">
        <f t="shared" si="288"/>
        <v>0</v>
      </c>
      <c r="BF179" s="203">
        <f t="shared" si="288"/>
        <v>0</v>
      </c>
      <c r="BG179" s="203">
        <f t="shared" si="288"/>
        <v>0</v>
      </c>
      <c r="BH179" s="203">
        <f t="shared" si="288"/>
        <v>0</v>
      </c>
      <c r="BI179" s="203">
        <f t="shared" si="288"/>
        <v>0</v>
      </c>
      <c r="BJ179" s="203">
        <f t="shared" si="288"/>
        <v>0</v>
      </c>
      <c r="BK179" s="203">
        <f t="shared" si="288"/>
        <v>0</v>
      </c>
      <c r="BL179" s="203">
        <f t="shared" si="288"/>
        <v>0</v>
      </c>
      <c r="BM179" s="203">
        <f t="shared" si="288"/>
        <v>0</v>
      </c>
      <c r="BN179" s="203">
        <f t="shared" si="288"/>
        <v>0</v>
      </c>
      <c r="BO179" s="203">
        <f t="shared" si="288"/>
        <v>0</v>
      </c>
      <c r="BP179" s="203">
        <f t="shared" si="288"/>
        <v>0</v>
      </c>
      <c r="BQ179" s="203">
        <f t="shared" si="288"/>
        <v>0</v>
      </c>
      <c r="BR179" s="203">
        <f t="shared" si="288"/>
        <v>0</v>
      </c>
      <c r="BS179" s="203">
        <f t="shared" si="288"/>
        <v>0</v>
      </c>
      <c r="BT179" s="203">
        <f t="shared" si="288"/>
        <v>0</v>
      </c>
      <c r="BU179" s="203">
        <f t="shared" si="288"/>
        <v>0</v>
      </c>
      <c r="BV179" s="203">
        <f t="shared" si="288"/>
        <v>0</v>
      </c>
      <c r="BW179" s="203">
        <f t="shared" si="288"/>
        <v>0</v>
      </c>
      <c r="BX179" s="203">
        <f t="shared" si="288"/>
        <v>0</v>
      </c>
      <c r="BY179" s="203">
        <f t="shared" si="288"/>
        <v>0</v>
      </c>
      <c r="BZ179" s="203">
        <f t="shared" si="288"/>
        <v>0</v>
      </c>
      <c r="CA179" s="203">
        <f t="shared" si="288"/>
        <v>0</v>
      </c>
      <c r="CB179" s="203">
        <f t="shared" si="288"/>
        <v>0</v>
      </c>
      <c r="CC179" s="203">
        <f t="shared" si="288"/>
        <v>0</v>
      </c>
      <c r="CD179" s="203">
        <f t="shared" si="288"/>
        <v>0</v>
      </c>
      <c r="CE179" s="203">
        <f t="shared" si="288"/>
        <v>0</v>
      </c>
      <c r="CF179" s="203">
        <f t="shared" ref="CF179:DK179" si="289">-Assum3PrpyFee*(CF186&lt;&gt;0)</f>
        <v>0</v>
      </c>
      <c r="CG179" s="203">
        <f t="shared" si="289"/>
        <v>0</v>
      </c>
      <c r="CH179" s="203">
        <f t="shared" si="289"/>
        <v>0</v>
      </c>
      <c r="CI179" s="203">
        <f t="shared" si="289"/>
        <v>0</v>
      </c>
      <c r="CJ179" s="203">
        <f t="shared" si="289"/>
        <v>0</v>
      </c>
      <c r="CK179" s="203">
        <f t="shared" si="289"/>
        <v>0</v>
      </c>
      <c r="CL179" s="203">
        <f t="shared" si="289"/>
        <v>0</v>
      </c>
      <c r="CM179" s="203">
        <f t="shared" si="289"/>
        <v>0</v>
      </c>
      <c r="CN179" s="203">
        <f t="shared" si="289"/>
        <v>0</v>
      </c>
      <c r="CO179" s="203">
        <f t="shared" si="289"/>
        <v>0</v>
      </c>
      <c r="CP179" s="203">
        <f t="shared" si="289"/>
        <v>0</v>
      </c>
      <c r="CQ179" s="203">
        <f t="shared" si="289"/>
        <v>0</v>
      </c>
      <c r="CR179" s="203">
        <f t="shared" si="289"/>
        <v>0</v>
      </c>
      <c r="CS179" s="203">
        <f t="shared" si="289"/>
        <v>0</v>
      </c>
      <c r="CT179" s="203">
        <f t="shared" si="289"/>
        <v>0</v>
      </c>
      <c r="CU179" s="203">
        <f t="shared" si="289"/>
        <v>0</v>
      </c>
      <c r="CV179" s="203">
        <f t="shared" si="289"/>
        <v>0</v>
      </c>
      <c r="CW179" s="203">
        <f t="shared" si="289"/>
        <v>0</v>
      </c>
      <c r="CX179" s="203">
        <f t="shared" si="289"/>
        <v>0</v>
      </c>
      <c r="CY179" s="203">
        <f t="shared" si="289"/>
        <v>0</v>
      </c>
      <c r="CZ179" s="203">
        <f t="shared" si="289"/>
        <v>0</v>
      </c>
      <c r="DA179" s="203">
        <f t="shared" si="289"/>
        <v>0</v>
      </c>
      <c r="DB179" s="203">
        <f t="shared" si="289"/>
        <v>0</v>
      </c>
      <c r="DC179" s="203">
        <f t="shared" si="289"/>
        <v>0</v>
      </c>
      <c r="DD179" s="203">
        <f t="shared" si="289"/>
        <v>0</v>
      </c>
      <c r="DE179" s="203">
        <f t="shared" si="289"/>
        <v>0</v>
      </c>
      <c r="DF179" s="203">
        <f t="shared" si="289"/>
        <v>0</v>
      </c>
      <c r="DG179" s="203">
        <f t="shared" si="289"/>
        <v>0</v>
      </c>
      <c r="DH179" s="203">
        <f t="shared" si="289"/>
        <v>0</v>
      </c>
      <c r="DI179" s="203">
        <f t="shared" si="289"/>
        <v>0</v>
      </c>
      <c r="DJ179" s="203">
        <f t="shared" si="289"/>
        <v>0</v>
      </c>
      <c r="DK179" s="203">
        <f t="shared" si="289"/>
        <v>0</v>
      </c>
      <c r="DL179" s="203">
        <f t="shared" ref="DL179:EI179" si="290">-Assum3PrpyFee*(DL186&lt;&gt;0)</f>
        <v>0</v>
      </c>
      <c r="DM179" s="203">
        <f t="shared" si="290"/>
        <v>0</v>
      </c>
      <c r="DN179" s="203">
        <f t="shared" si="290"/>
        <v>0</v>
      </c>
      <c r="DO179" s="203">
        <f t="shared" si="290"/>
        <v>0</v>
      </c>
      <c r="DP179" s="203">
        <f t="shared" si="290"/>
        <v>0</v>
      </c>
      <c r="DQ179" s="203">
        <f t="shared" si="290"/>
        <v>0</v>
      </c>
      <c r="DR179" s="203">
        <f t="shared" si="290"/>
        <v>0</v>
      </c>
      <c r="DS179" s="203">
        <f t="shared" si="290"/>
        <v>0</v>
      </c>
      <c r="DT179" s="203">
        <f t="shared" si="290"/>
        <v>0</v>
      </c>
      <c r="DU179" s="203">
        <f t="shared" si="290"/>
        <v>0</v>
      </c>
      <c r="DV179" s="203">
        <f t="shared" si="290"/>
        <v>0</v>
      </c>
      <c r="DW179" s="203">
        <f t="shared" si="290"/>
        <v>0</v>
      </c>
      <c r="DX179" s="203">
        <f t="shared" si="290"/>
        <v>0</v>
      </c>
      <c r="DY179" s="203">
        <f t="shared" si="290"/>
        <v>0</v>
      </c>
      <c r="DZ179" s="203">
        <f t="shared" si="290"/>
        <v>0</v>
      </c>
      <c r="EA179" s="203">
        <f t="shared" si="290"/>
        <v>0</v>
      </c>
      <c r="EB179" s="203">
        <f t="shared" si="290"/>
        <v>0</v>
      </c>
      <c r="EC179" s="203">
        <f t="shared" si="290"/>
        <v>0</v>
      </c>
      <c r="ED179" s="203">
        <f t="shared" si="290"/>
        <v>0</v>
      </c>
      <c r="EE179" s="203">
        <f t="shared" si="290"/>
        <v>0</v>
      </c>
      <c r="EF179" s="203">
        <f t="shared" si="290"/>
        <v>0</v>
      </c>
      <c r="EG179" s="203">
        <f t="shared" si="290"/>
        <v>0</v>
      </c>
      <c r="EH179" s="203">
        <f t="shared" si="290"/>
        <v>0</v>
      </c>
      <c r="EI179" s="203">
        <f t="shared" si="290"/>
        <v>0</v>
      </c>
    </row>
    <row r="180" spans="2:139" ht="12.75" customHeight="1">
      <c r="B180" s="46" t="s">
        <v>231</v>
      </c>
      <c r="C180" s="209"/>
      <c r="D180" s="854">
        <f t="shared" ref="D180:O180" si="291">SUBTOTAL(9,D177:D179)</f>
        <v>0</v>
      </c>
      <c r="E180" s="854">
        <f t="shared" si="291"/>
        <v>0</v>
      </c>
      <c r="F180" s="854">
        <f t="shared" si="291"/>
        <v>0</v>
      </c>
      <c r="G180" s="854">
        <f t="shared" si="291"/>
        <v>0</v>
      </c>
      <c r="H180" s="854">
        <f t="shared" si="291"/>
        <v>0</v>
      </c>
      <c r="I180" s="854">
        <f t="shared" si="291"/>
        <v>0</v>
      </c>
      <c r="J180" s="854">
        <f t="shared" si="291"/>
        <v>0</v>
      </c>
      <c r="K180" s="854">
        <f t="shared" si="291"/>
        <v>0</v>
      </c>
      <c r="L180" s="854">
        <f t="shared" si="291"/>
        <v>0</v>
      </c>
      <c r="M180" s="854">
        <f t="shared" si="291"/>
        <v>0</v>
      </c>
      <c r="N180" s="854">
        <f t="shared" si="291"/>
        <v>0</v>
      </c>
      <c r="O180" s="855">
        <f t="shared" si="291"/>
        <v>0</v>
      </c>
      <c r="P180" s="313"/>
      <c r="Q180" s="313"/>
      <c r="R180" s="313"/>
      <c r="S180" s="854">
        <f t="shared" ref="S180:AX180" si="292">SUBTOTAL(9,S177:S179)</f>
        <v>0</v>
      </c>
      <c r="T180" s="854">
        <f t="shared" si="292"/>
        <v>0</v>
      </c>
      <c r="U180" s="854">
        <f t="shared" si="292"/>
        <v>0</v>
      </c>
      <c r="V180" s="854">
        <f t="shared" si="292"/>
        <v>0</v>
      </c>
      <c r="W180" s="854">
        <f t="shared" si="292"/>
        <v>0</v>
      </c>
      <c r="X180" s="854">
        <f t="shared" si="292"/>
        <v>0</v>
      </c>
      <c r="Y180" s="854">
        <f t="shared" si="292"/>
        <v>0</v>
      </c>
      <c r="Z180" s="854">
        <f t="shared" si="292"/>
        <v>0</v>
      </c>
      <c r="AA180" s="854">
        <f t="shared" si="292"/>
        <v>0</v>
      </c>
      <c r="AB180" s="854">
        <f t="shared" si="292"/>
        <v>0</v>
      </c>
      <c r="AC180" s="854">
        <f t="shared" si="292"/>
        <v>0</v>
      </c>
      <c r="AD180" s="854">
        <f t="shared" si="292"/>
        <v>0</v>
      </c>
      <c r="AE180" s="854">
        <f t="shared" si="292"/>
        <v>0</v>
      </c>
      <c r="AF180" s="854">
        <f t="shared" si="292"/>
        <v>0</v>
      </c>
      <c r="AG180" s="854">
        <f t="shared" si="292"/>
        <v>0</v>
      </c>
      <c r="AH180" s="854">
        <f t="shared" si="292"/>
        <v>0</v>
      </c>
      <c r="AI180" s="854">
        <f t="shared" si="292"/>
        <v>0</v>
      </c>
      <c r="AJ180" s="854">
        <f t="shared" si="292"/>
        <v>0</v>
      </c>
      <c r="AK180" s="854">
        <f t="shared" si="292"/>
        <v>0</v>
      </c>
      <c r="AL180" s="854">
        <f t="shared" si="292"/>
        <v>0</v>
      </c>
      <c r="AM180" s="854">
        <f t="shared" si="292"/>
        <v>0</v>
      </c>
      <c r="AN180" s="854">
        <f t="shared" si="292"/>
        <v>0</v>
      </c>
      <c r="AO180" s="854">
        <f t="shared" si="292"/>
        <v>0</v>
      </c>
      <c r="AP180" s="854">
        <f t="shared" si="292"/>
        <v>0</v>
      </c>
      <c r="AQ180" s="854">
        <f t="shared" si="292"/>
        <v>0</v>
      </c>
      <c r="AR180" s="854">
        <f t="shared" si="292"/>
        <v>0</v>
      </c>
      <c r="AS180" s="854">
        <f t="shared" si="292"/>
        <v>0</v>
      </c>
      <c r="AT180" s="854">
        <f t="shared" si="292"/>
        <v>0</v>
      </c>
      <c r="AU180" s="854">
        <f t="shared" si="292"/>
        <v>0</v>
      </c>
      <c r="AV180" s="854">
        <f t="shared" si="292"/>
        <v>0</v>
      </c>
      <c r="AW180" s="854">
        <f t="shared" si="292"/>
        <v>0</v>
      </c>
      <c r="AX180" s="854">
        <f t="shared" si="292"/>
        <v>0</v>
      </c>
      <c r="AY180" s="854">
        <f t="shared" ref="AY180:CD180" si="293">SUBTOTAL(9,AY177:AY179)</f>
        <v>0</v>
      </c>
      <c r="AZ180" s="854">
        <f t="shared" si="293"/>
        <v>0</v>
      </c>
      <c r="BA180" s="854">
        <f t="shared" si="293"/>
        <v>0</v>
      </c>
      <c r="BB180" s="854">
        <f t="shared" si="293"/>
        <v>0</v>
      </c>
      <c r="BC180" s="854">
        <f t="shared" si="293"/>
        <v>0</v>
      </c>
      <c r="BD180" s="854">
        <f t="shared" si="293"/>
        <v>0</v>
      </c>
      <c r="BE180" s="854">
        <f t="shared" si="293"/>
        <v>0</v>
      </c>
      <c r="BF180" s="854">
        <f t="shared" si="293"/>
        <v>0</v>
      </c>
      <c r="BG180" s="854">
        <f t="shared" si="293"/>
        <v>0</v>
      </c>
      <c r="BH180" s="854">
        <f t="shared" si="293"/>
        <v>0</v>
      </c>
      <c r="BI180" s="854">
        <f t="shared" si="293"/>
        <v>0</v>
      </c>
      <c r="BJ180" s="854">
        <f t="shared" si="293"/>
        <v>0</v>
      </c>
      <c r="BK180" s="854">
        <f t="shared" si="293"/>
        <v>0</v>
      </c>
      <c r="BL180" s="854">
        <f t="shared" si="293"/>
        <v>0</v>
      </c>
      <c r="BM180" s="854">
        <f t="shared" si="293"/>
        <v>0</v>
      </c>
      <c r="BN180" s="854">
        <f t="shared" si="293"/>
        <v>0</v>
      </c>
      <c r="BO180" s="854">
        <f t="shared" si="293"/>
        <v>0</v>
      </c>
      <c r="BP180" s="854">
        <f t="shared" si="293"/>
        <v>0</v>
      </c>
      <c r="BQ180" s="854">
        <f t="shared" si="293"/>
        <v>0</v>
      </c>
      <c r="BR180" s="854">
        <f t="shared" si="293"/>
        <v>0</v>
      </c>
      <c r="BS180" s="854">
        <f t="shared" si="293"/>
        <v>0</v>
      </c>
      <c r="BT180" s="854">
        <f t="shared" si="293"/>
        <v>0</v>
      </c>
      <c r="BU180" s="854">
        <f t="shared" si="293"/>
        <v>0</v>
      </c>
      <c r="BV180" s="854">
        <f t="shared" si="293"/>
        <v>0</v>
      </c>
      <c r="BW180" s="854">
        <f t="shared" si="293"/>
        <v>0</v>
      </c>
      <c r="BX180" s="854">
        <f t="shared" si="293"/>
        <v>0</v>
      </c>
      <c r="BY180" s="854">
        <f t="shared" si="293"/>
        <v>0</v>
      </c>
      <c r="BZ180" s="854">
        <f t="shared" si="293"/>
        <v>0</v>
      </c>
      <c r="CA180" s="854">
        <f t="shared" si="293"/>
        <v>0</v>
      </c>
      <c r="CB180" s="854">
        <f t="shared" si="293"/>
        <v>0</v>
      </c>
      <c r="CC180" s="854">
        <f t="shared" si="293"/>
        <v>0</v>
      </c>
      <c r="CD180" s="854">
        <f t="shared" si="293"/>
        <v>0</v>
      </c>
      <c r="CE180" s="854">
        <f t="shared" ref="CE180:DJ180" si="294">SUBTOTAL(9,CE177:CE179)</f>
        <v>0</v>
      </c>
      <c r="CF180" s="854">
        <f t="shared" si="294"/>
        <v>0</v>
      </c>
      <c r="CG180" s="854">
        <f t="shared" si="294"/>
        <v>0</v>
      </c>
      <c r="CH180" s="854">
        <f t="shared" si="294"/>
        <v>0</v>
      </c>
      <c r="CI180" s="854">
        <f t="shared" si="294"/>
        <v>0</v>
      </c>
      <c r="CJ180" s="854">
        <f t="shared" si="294"/>
        <v>0</v>
      </c>
      <c r="CK180" s="854">
        <f t="shared" si="294"/>
        <v>0</v>
      </c>
      <c r="CL180" s="854">
        <f t="shared" si="294"/>
        <v>0</v>
      </c>
      <c r="CM180" s="854">
        <f t="shared" si="294"/>
        <v>0</v>
      </c>
      <c r="CN180" s="854">
        <f t="shared" si="294"/>
        <v>0</v>
      </c>
      <c r="CO180" s="854">
        <f t="shared" si="294"/>
        <v>0</v>
      </c>
      <c r="CP180" s="854">
        <f t="shared" si="294"/>
        <v>0</v>
      </c>
      <c r="CQ180" s="854">
        <f t="shared" si="294"/>
        <v>0</v>
      </c>
      <c r="CR180" s="854">
        <f t="shared" si="294"/>
        <v>0</v>
      </c>
      <c r="CS180" s="854">
        <f t="shared" si="294"/>
        <v>0</v>
      </c>
      <c r="CT180" s="854">
        <f t="shared" si="294"/>
        <v>0</v>
      </c>
      <c r="CU180" s="854">
        <f t="shared" si="294"/>
        <v>0</v>
      </c>
      <c r="CV180" s="854">
        <f t="shared" si="294"/>
        <v>0</v>
      </c>
      <c r="CW180" s="854">
        <f t="shared" si="294"/>
        <v>0</v>
      </c>
      <c r="CX180" s="854">
        <f t="shared" si="294"/>
        <v>0</v>
      </c>
      <c r="CY180" s="854">
        <f t="shared" si="294"/>
        <v>0</v>
      </c>
      <c r="CZ180" s="854">
        <f t="shared" si="294"/>
        <v>0</v>
      </c>
      <c r="DA180" s="854">
        <f t="shared" si="294"/>
        <v>0</v>
      </c>
      <c r="DB180" s="854">
        <f t="shared" si="294"/>
        <v>0</v>
      </c>
      <c r="DC180" s="854">
        <f t="shared" si="294"/>
        <v>0</v>
      </c>
      <c r="DD180" s="854">
        <f t="shared" si="294"/>
        <v>0</v>
      </c>
      <c r="DE180" s="854">
        <f t="shared" si="294"/>
        <v>0</v>
      </c>
      <c r="DF180" s="854">
        <f t="shared" si="294"/>
        <v>0</v>
      </c>
      <c r="DG180" s="854">
        <f t="shared" si="294"/>
        <v>0</v>
      </c>
      <c r="DH180" s="854">
        <f t="shared" si="294"/>
        <v>0</v>
      </c>
      <c r="DI180" s="854">
        <f t="shared" si="294"/>
        <v>0</v>
      </c>
      <c r="DJ180" s="854">
        <f t="shared" si="294"/>
        <v>0</v>
      </c>
      <c r="DK180" s="854">
        <f t="shared" ref="DK180:EP180" si="295">SUBTOTAL(9,DK177:DK179)</f>
        <v>0</v>
      </c>
      <c r="DL180" s="854">
        <f t="shared" si="295"/>
        <v>0</v>
      </c>
      <c r="DM180" s="854">
        <f t="shared" si="295"/>
        <v>0</v>
      </c>
      <c r="DN180" s="854">
        <f t="shared" si="295"/>
        <v>0</v>
      </c>
      <c r="DO180" s="854">
        <f t="shared" si="295"/>
        <v>0</v>
      </c>
      <c r="DP180" s="854">
        <f t="shared" si="295"/>
        <v>0</v>
      </c>
      <c r="DQ180" s="854">
        <f t="shared" si="295"/>
        <v>0</v>
      </c>
      <c r="DR180" s="854">
        <f t="shared" si="295"/>
        <v>0</v>
      </c>
      <c r="DS180" s="854">
        <f t="shared" si="295"/>
        <v>0</v>
      </c>
      <c r="DT180" s="854">
        <f t="shared" si="295"/>
        <v>0</v>
      </c>
      <c r="DU180" s="854">
        <f t="shared" si="295"/>
        <v>0</v>
      </c>
      <c r="DV180" s="854">
        <f t="shared" si="295"/>
        <v>0</v>
      </c>
      <c r="DW180" s="854">
        <f t="shared" si="295"/>
        <v>0</v>
      </c>
      <c r="DX180" s="854">
        <f t="shared" si="295"/>
        <v>0</v>
      </c>
      <c r="DY180" s="854">
        <f t="shared" si="295"/>
        <v>0</v>
      </c>
      <c r="DZ180" s="854">
        <f t="shared" si="295"/>
        <v>0</v>
      </c>
      <c r="EA180" s="854">
        <f t="shared" si="295"/>
        <v>0</v>
      </c>
      <c r="EB180" s="854">
        <f t="shared" si="295"/>
        <v>0</v>
      </c>
      <c r="EC180" s="854">
        <f t="shared" si="295"/>
        <v>0</v>
      </c>
      <c r="ED180" s="854">
        <f t="shared" si="295"/>
        <v>0</v>
      </c>
      <c r="EE180" s="854">
        <f t="shared" si="295"/>
        <v>0</v>
      </c>
      <c r="EF180" s="854">
        <f t="shared" si="295"/>
        <v>0</v>
      </c>
      <c r="EG180" s="854">
        <f t="shared" si="295"/>
        <v>0</v>
      </c>
      <c r="EH180" s="854">
        <f t="shared" si="295"/>
        <v>0</v>
      </c>
      <c r="EI180" s="854">
        <f t="shared" si="295"/>
        <v>0</v>
      </c>
    </row>
    <row r="181" spans="2:139" ht="12.75" customHeight="1">
      <c r="B181" s="46"/>
      <c r="C181" s="209"/>
      <c r="D181" s="857"/>
      <c r="E181" s="857"/>
      <c r="F181" s="857"/>
      <c r="G181" s="857"/>
      <c r="H181" s="857"/>
      <c r="I181" s="857"/>
      <c r="J181" s="857"/>
      <c r="K181" s="857"/>
      <c r="L181" s="857"/>
      <c r="M181" s="857"/>
      <c r="N181" s="857"/>
      <c r="O181" s="858"/>
      <c r="P181" s="313"/>
      <c r="Q181" s="313"/>
      <c r="R181" s="313"/>
      <c r="S181" s="857"/>
      <c r="T181" s="857"/>
      <c r="U181" s="857"/>
      <c r="V181" s="857"/>
      <c r="W181" s="857"/>
      <c r="X181" s="857"/>
      <c r="Y181" s="857"/>
      <c r="Z181" s="857"/>
      <c r="AA181" s="857"/>
      <c r="AB181" s="857"/>
      <c r="AC181" s="857"/>
      <c r="AD181" s="857"/>
      <c r="AE181" s="857"/>
      <c r="AF181" s="857"/>
      <c r="AG181" s="857"/>
      <c r="AH181" s="857"/>
      <c r="AI181" s="857"/>
      <c r="AJ181" s="857"/>
      <c r="AK181" s="857"/>
      <c r="AL181" s="857"/>
      <c r="AM181" s="857"/>
      <c r="AN181" s="857"/>
      <c r="AO181" s="857"/>
      <c r="AP181" s="857"/>
      <c r="AQ181" s="857"/>
      <c r="AR181" s="857"/>
      <c r="AS181" s="857"/>
      <c r="AT181" s="857"/>
      <c r="AU181" s="857"/>
      <c r="AV181" s="857"/>
      <c r="AW181" s="857"/>
      <c r="AX181" s="857"/>
      <c r="AY181" s="857"/>
      <c r="AZ181" s="857"/>
      <c r="BA181" s="857"/>
      <c r="BB181" s="857"/>
      <c r="BC181" s="857"/>
      <c r="BD181" s="857"/>
      <c r="BE181" s="857"/>
      <c r="BF181" s="857"/>
      <c r="BG181" s="857"/>
      <c r="BH181" s="857"/>
      <c r="BI181" s="857"/>
      <c r="BJ181" s="857"/>
      <c r="BK181" s="857"/>
      <c r="BL181" s="857"/>
      <c r="BM181" s="857"/>
      <c r="BN181" s="857"/>
      <c r="BO181" s="857"/>
      <c r="BP181" s="857"/>
      <c r="BQ181" s="857"/>
      <c r="BR181" s="857"/>
      <c r="BS181" s="857"/>
      <c r="BT181" s="857"/>
      <c r="BU181" s="857"/>
      <c r="BV181" s="857"/>
      <c r="BW181" s="857"/>
      <c r="BX181" s="857"/>
      <c r="BY181" s="857"/>
      <c r="BZ181" s="857"/>
      <c r="CA181" s="857"/>
      <c r="CB181" s="857"/>
      <c r="CC181" s="857"/>
      <c r="CD181" s="857"/>
      <c r="CE181" s="857"/>
      <c r="CF181" s="857"/>
      <c r="CG181" s="857"/>
      <c r="CH181" s="857"/>
      <c r="CI181" s="857"/>
      <c r="CJ181" s="857"/>
      <c r="CK181" s="857"/>
      <c r="CL181" s="857"/>
      <c r="CM181" s="857"/>
      <c r="CN181" s="857"/>
      <c r="CO181" s="857"/>
      <c r="CP181" s="857"/>
      <c r="CQ181" s="857"/>
      <c r="CR181" s="857"/>
      <c r="CS181" s="857"/>
      <c r="CT181" s="857"/>
      <c r="CU181" s="857"/>
      <c r="CV181" s="857"/>
      <c r="CW181" s="857"/>
      <c r="CX181" s="857"/>
      <c r="CY181" s="857"/>
      <c r="CZ181" s="857"/>
      <c r="DA181" s="857"/>
      <c r="DB181" s="857"/>
      <c r="DC181" s="857"/>
      <c r="DD181" s="857"/>
      <c r="DE181" s="857"/>
      <c r="DF181" s="857"/>
      <c r="DG181" s="857"/>
      <c r="DH181" s="857"/>
      <c r="DI181" s="857"/>
      <c r="DJ181" s="857"/>
      <c r="DK181" s="857"/>
      <c r="DL181" s="857"/>
      <c r="DM181" s="857"/>
      <c r="DN181" s="857"/>
      <c r="DO181" s="857"/>
      <c r="DP181" s="857"/>
      <c r="DQ181" s="857"/>
      <c r="DR181" s="857"/>
      <c r="DS181" s="857"/>
      <c r="DT181" s="857"/>
      <c r="DU181" s="857"/>
      <c r="DV181" s="857"/>
      <c r="DW181" s="857"/>
      <c r="DX181" s="857"/>
      <c r="DY181" s="857"/>
      <c r="DZ181" s="857"/>
      <c r="EA181" s="857"/>
      <c r="EB181" s="857"/>
      <c r="EC181" s="857"/>
      <c r="ED181" s="857"/>
      <c r="EE181" s="857"/>
      <c r="EF181" s="857"/>
      <c r="EG181" s="857"/>
      <c r="EH181" s="857"/>
      <c r="EI181" s="857"/>
    </row>
    <row r="182" spans="2:139" ht="12.75" customHeight="1">
      <c r="B182" s="1045" t="s">
        <v>592</v>
      </c>
      <c r="C182" s="211"/>
      <c r="D182" s="203"/>
      <c r="E182" s="203"/>
      <c r="F182" s="203"/>
      <c r="G182" s="203"/>
      <c r="H182" s="203"/>
      <c r="I182" s="203"/>
      <c r="J182" s="203"/>
      <c r="K182" s="203"/>
      <c r="L182" s="203"/>
      <c r="M182" s="203"/>
      <c r="N182" s="203"/>
      <c r="O182" s="853"/>
      <c r="P182" s="313"/>
      <c r="Q182" s="313"/>
      <c r="R182" s="313"/>
      <c r="S182" s="203"/>
      <c r="T182" s="203"/>
      <c r="U182" s="203"/>
      <c r="V182" s="203"/>
      <c r="W182" s="203"/>
      <c r="X182" s="203"/>
      <c r="Y182" s="203"/>
      <c r="Z182" s="203"/>
      <c r="AA182" s="203"/>
      <c r="AB182" s="203"/>
      <c r="AC182" s="203"/>
      <c r="AD182" s="203"/>
      <c r="AE182" s="203"/>
      <c r="AF182" s="203"/>
      <c r="AG182" s="203"/>
      <c r="AH182" s="203"/>
      <c r="AI182" s="203"/>
      <c r="AJ182" s="203"/>
      <c r="AK182" s="203"/>
      <c r="AL182" s="203"/>
      <c r="AM182" s="203"/>
      <c r="AN182" s="203"/>
      <c r="AO182" s="203"/>
      <c r="AP182" s="203"/>
      <c r="AQ182" s="203"/>
      <c r="AR182" s="203"/>
      <c r="AS182" s="203"/>
      <c r="AT182" s="203"/>
      <c r="AU182" s="203"/>
      <c r="AV182" s="203"/>
      <c r="AW182" s="203"/>
      <c r="AX182" s="203"/>
      <c r="AY182" s="203"/>
      <c r="AZ182" s="203"/>
      <c r="BA182" s="203"/>
      <c r="BB182" s="203"/>
      <c r="BC182" s="203"/>
      <c r="BD182" s="203"/>
      <c r="BE182" s="203"/>
      <c r="BF182" s="203"/>
      <c r="BG182" s="203"/>
      <c r="BH182" s="203"/>
      <c r="BI182" s="203"/>
      <c r="BJ182" s="203"/>
      <c r="BK182" s="203"/>
      <c r="BL182" s="203"/>
      <c r="BM182" s="203"/>
      <c r="BN182" s="203"/>
      <c r="BO182" s="203"/>
      <c r="BP182" s="203"/>
      <c r="BQ182" s="203"/>
      <c r="BR182" s="203"/>
      <c r="BS182" s="203"/>
      <c r="BT182" s="203"/>
      <c r="BU182" s="203"/>
      <c r="BV182" s="203"/>
      <c r="BW182" s="203"/>
      <c r="BX182" s="203"/>
      <c r="BY182" s="203"/>
      <c r="BZ182" s="203"/>
      <c r="CA182" s="203"/>
      <c r="CB182" s="203"/>
      <c r="CC182" s="203"/>
      <c r="CD182" s="203"/>
      <c r="CE182" s="203"/>
      <c r="CF182" s="203"/>
      <c r="CG182" s="203"/>
      <c r="CH182" s="203"/>
      <c r="CI182" s="203"/>
      <c r="CJ182" s="203"/>
      <c r="CK182" s="203"/>
      <c r="CL182" s="203"/>
      <c r="CM182" s="203"/>
      <c r="CN182" s="203"/>
      <c r="CO182" s="203"/>
      <c r="CP182" s="203"/>
      <c r="CQ182" s="203"/>
      <c r="CR182" s="203"/>
      <c r="CS182" s="203"/>
      <c r="CT182" s="203"/>
      <c r="CU182" s="203"/>
      <c r="CV182" s="203"/>
      <c r="CW182" s="203"/>
      <c r="CX182" s="203"/>
      <c r="CY182" s="203"/>
      <c r="CZ182" s="203"/>
      <c r="DA182" s="203"/>
      <c r="DB182" s="203"/>
      <c r="DC182" s="203"/>
      <c r="DD182" s="203"/>
      <c r="DE182" s="203"/>
      <c r="DF182" s="203"/>
      <c r="DG182" s="203"/>
      <c r="DH182" s="203"/>
      <c r="DI182" s="203"/>
      <c r="DJ182" s="203"/>
      <c r="DK182" s="203"/>
      <c r="DL182" s="203"/>
      <c r="DM182" s="203"/>
      <c r="DN182" s="203"/>
      <c r="DO182" s="203"/>
      <c r="DP182" s="203"/>
      <c r="DQ182" s="203"/>
      <c r="DR182" s="203"/>
      <c r="DS182" s="203"/>
      <c r="DT182" s="203"/>
      <c r="DU182" s="203"/>
      <c r="DV182" s="203"/>
      <c r="DW182" s="203"/>
      <c r="DX182" s="203"/>
      <c r="DY182" s="203"/>
      <c r="DZ182" s="203"/>
      <c r="EA182" s="203"/>
      <c r="EB182" s="203"/>
      <c r="EC182" s="203"/>
      <c r="ED182" s="203"/>
      <c r="EE182" s="203"/>
      <c r="EF182" s="203"/>
      <c r="EG182" s="203"/>
      <c r="EH182" s="203"/>
      <c r="EI182" s="203"/>
    </row>
    <row r="183" spans="2:139" ht="12.75" customHeight="1">
      <c r="B183" s="41" t="s">
        <v>593</v>
      </c>
      <c r="C183" s="211"/>
      <c r="D183" s="203"/>
      <c r="E183" s="203">
        <f t="shared" ref="E183:N183" si="296">D187</f>
        <v>0</v>
      </c>
      <c r="F183" s="203">
        <f t="shared" si="296"/>
        <v>0</v>
      </c>
      <c r="G183" s="203">
        <f t="shared" si="296"/>
        <v>0</v>
      </c>
      <c r="H183" s="203">
        <f t="shared" si="296"/>
        <v>0</v>
      </c>
      <c r="I183" s="203">
        <f t="shared" si="296"/>
        <v>0</v>
      </c>
      <c r="J183" s="203">
        <f t="shared" si="296"/>
        <v>0</v>
      </c>
      <c r="K183" s="203">
        <f t="shared" si="296"/>
        <v>0</v>
      </c>
      <c r="L183" s="203">
        <f t="shared" si="296"/>
        <v>0</v>
      </c>
      <c r="M183" s="203">
        <f t="shared" si="296"/>
        <v>0</v>
      </c>
      <c r="N183" s="203">
        <f t="shared" si="296"/>
        <v>0</v>
      </c>
      <c r="O183" s="853"/>
      <c r="P183" s="313"/>
      <c r="Q183" s="313"/>
      <c r="R183" s="313"/>
      <c r="S183" s="203"/>
      <c r="T183" s="203">
        <f t="shared" ref="T183:AY183" si="297">S187</f>
        <v>0</v>
      </c>
      <c r="U183" s="203">
        <f t="shared" si="297"/>
        <v>0</v>
      </c>
      <c r="V183" s="203">
        <f t="shared" si="297"/>
        <v>0</v>
      </c>
      <c r="W183" s="203">
        <f t="shared" si="297"/>
        <v>0</v>
      </c>
      <c r="X183" s="203">
        <f t="shared" si="297"/>
        <v>0</v>
      </c>
      <c r="Y183" s="203">
        <f t="shared" si="297"/>
        <v>0</v>
      </c>
      <c r="Z183" s="203">
        <f t="shared" si="297"/>
        <v>0</v>
      </c>
      <c r="AA183" s="203">
        <f t="shared" si="297"/>
        <v>0</v>
      </c>
      <c r="AB183" s="203">
        <f t="shared" si="297"/>
        <v>0</v>
      </c>
      <c r="AC183" s="203">
        <f t="shared" si="297"/>
        <v>0</v>
      </c>
      <c r="AD183" s="203">
        <f t="shared" si="297"/>
        <v>0</v>
      </c>
      <c r="AE183" s="203">
        <f t="shared" si="297"/>
        <v>0</v>
      </c>
      <c r="AF183" s="203">
        <f t="shared" si="297"/>
        <v>0</v>
      </c>
      <c r="AG183" s="203">
        <f t="shared" si="297"/>
        <v>0</v>
      </c>
      <c r="AH183" s="203">
        <f t="shared" si="297"/>
        <v>0</v>
      </c>
      <c r="AI183" s="203">
        <f t="shared" si="297"/>
        <v>0</v>
      </c>
      <c r="AJ183" s="203">
        <f t="shared" si="297"/>
        <v>0</v>
      </c>
      <c r="AK183" s="203">
        <f t="shared" si="297"/>
        <v>0</v>
      </c>
      <c r="AL183" s="203">
        <f t="shared" si="297"/>
        <v>0</v>
      </c>
      <c r="AM183" s="203">
        <f t="shared" si="297"/>
        <v>0</v>
      </c>
      <c r="AN183" s="203">
        <f t="shared" si="297"/>
        <v>0</v>
      </c>
      <c r="AO183" s="203">
        <f t="shared" si="297"/>
        <v>0</v>
      </c>
      <c r="AP183" s="203">
        <f t="shared" si="297"/>
        <v>0</v>
      </c>
      <c r="AQ183" s="203">
        <f t="shared" si="297"/>
        <v>0</v>
      </c>
      <c r="AR183" s="203">
        <f t="shared" si="297"/>
        <v>0</v>
      </c>
      <c r="AS183" s="203">
        <f t="shared" si="297"/>
        <v>0</v>
      </c>
      <c r="AT183" s="203">
        <f t="shared" si="297"/>
        <v>0</v>
      </c>
      <c r="AU183" s="203">
        <f t="shared" si="297"/>
        <v>0</v>
      </c>
      <c r="AV183" s="203">
        <f t="shared" si="297"/>
        <v>0</v>
      </c>
      <c r="AW183" s="203">
        <f t="shared" si="297"/>
        <v>0</v>
      </c>
      <c r="AX183" s="203">
        <f t="shared" si="297"/>
        <v>0</v>
      </c>
      <c r="AY183" s="203">
        <f t="shared" si="297"/>
        <v>0</v>
      </c>
      <c r="AZ183" s="203">
        <f t="shared" ref="AZ183:CE183" si="298">AY187</f>
        <v>0</v>
      </c>
      <c r="BA183" s="203">
        <f t="shared" si="298"/>
        <v>0</v>
      </c>
      <c r="BB183" s="203">
        <f t="shared" si="298"/>
        <v>0</v>
      </c>
      <c r="BC183" s="203">
        <f t="shared" si="298"/>
        <v>0</v>
      </c>
      <c r="BD183" s="203">
        <f t="shared" si="298"/>
        <v>0</v>
      </c>
      <c r="BE183" s="203">
        <f t="shared" si="298"/>
        <v>0</v>
      </c>
      <c r="BF183" s="203">
        <f t="shared" si="298"/>
        <v>0</v>
      </c>
      <c r="BG183" s="203">
        <f t="shared" si="298"/>
        <v>0</v>
      </c>
      <c r="BH183" s="203">
        <f t="shared" si="298"/>
        <v>0</v>
      </c>
      <c r="BI183" s="203">
        <f t="shared" si="298"/>
        <v>0</v>
      </c>
      <c r="BJ183" s="203">
        <f t="shared" si="298"/>
        <v>0</v>
      </c>
      <c r="BK183" s="203">
        <f t="shared" si="298"/>
        <v>0</v>
      </c>
      <c r="BL183" s="203">
        <f t="shared" si="298"/>
        <v>0</v>
      </c>
      <c r="BM183" s="203">
        <f t="shared" si="298"/>
        <v>0</v>
      </c>
      <c r="BN183" s="203">
        <f t="shared" si="298"/>
        <v>0</v>
      </c>
      <c r="BO183" s="203">
        <f t="shared" si="298"/>
        <v>0</v>
      </c>
      <c r="BP183" s="203">
        <f t="shared" si="298"/>
        <v>0</v>
      </c>
      <c r="BQ183" s="203">
        <f t="shared" si="298"/>
        <v>0</v>
      </c>
      <c r="BR183" s="203">
        <f t="shared" si="298"/>
        <v>0</v>
      </c>
      <c r="BS183" s="203">
        <f t="shared" si="298"/>
        <v>0</v>
      </c>
      <c r="BT183" s="203">
        <f t="shared" si="298"/>
        <v>0</v>
      </c>
      <c r="BU183" s="203">
        <f t="shared" si="298"/>
        <v>0</v>
      </c>
      <c r="BV183" s="203">
        <f t="shared" si="298"/>
        <v>0</v>
      </c>
      <c r="BW183" s="203">
        <f t="shared" si="298"/>
        <v>0</v>
      </c>
      <c r="BX183" s="203">
        <f t="shared" si="298"/>
        <v>0</v>
      </c>
      <c r="BY183" s="203">
        <f t="shared" si="298"/>
        <v>0</v>
      </c>
      <c r="BZ183" s="203">
        <f t="shared" si="298"/>
        <v>0</v>
      </c>
      <c r="CA183" s="203">
        <f t="shared" si="298"/>
        <v>0</v>
      </c>
      <c r="CB183" s="203">
        <f t="shared" si="298"/>
        <v>0</v>
      </c>
      <c r="CC183" s="203">
        <f t="shared" si="298"/>
        <v>0</v>
      </c>
      <c r="CD183" s="203">
        <f t="shared" si="298"/>
        <v>0</v>
      </c>
      <c r="CE183" s="203">
        <f t="shared" si="298"/>
        <v>0</v>
      </c>
      <c r="CF183" s="203">
        <f t="shared" ref="CF183:DK183" si="299">CE187</f>
        <v>0</v>
      </c>
      <c r="CG183" s="203">
        <f t="shared" si="299"/>
        <v>0</v>
      </c>
      <c r="CH183" s="203">
        <f t="shared" si="299"/>
        <v>0</v>
      </c>
      <c r="CI183" s="203">
        <f t="shared" si="299"/>
        <v>0</v>
      </c>
      <c r="CJ183" s="203">
        <f t="shared" si="299"/>
        <v>0</v>
      </c>
      <c r="CK183" s="203">
        <f t="shared" si="299"/>
        <v>0</v>
      </c>
      <c r="CL183" s="203">
        <f t="shared" si="299"/>
        <v>0</v>
      </c>
      <c r="CM183" s="203">
        <f t="shared" si="299"/>
        <v>0</v>
      </c>
      <c r="CN183" s="203">
        <f t="shared" si="299"/>
        <v>0</v>
      </c>
      <c r="CO183" s="203">
        <f t="shared" si="299"/>
        <v>0</v>
      </c>
      <c r="CP183" s="203">
        <f t="shared" si="299"/>
        <v>0</v>
      </c>
      <c r="CQ183" s="203">
        <f t="shared" si="299"/>
        <v>0</v>
      </c>
      <c r="CR183" s="203">
        <f t="shared" si="299"/>
        <v>0</v>
      </c>
      <c r="CS183" s="203">
        <f t="shared" si="299"/>
        <v>0</v>
      </c>
      <c r="CT183" s="203">
        <f t="shared" si="299"/>
        <v>0</v>
      </c>
      <c r="CU183" s="203">
        <f t="shared" si="299"/>
        <v>0</v>
      </c>
      <c r="CV183" s="203">
        <f t="shared" si="299"/>
        <v>0</v>
      </c>
      <c r="CW183" s="203">
        <f t="shared" si="299"/>
        <v>0</v>
      </c>
      <c r="CX183" s="203">
        <f t="shared" si="299"/>
        <v>0</v>
      </c>
      <c r="CY183" s="203">
        <f t="shared" si="299"/>
        <v>0</v>
      </c>
      <c r="CZ183" s="203">
        <f t="shared" si="299"/>
        <v>0</v>
      </c>
      <c r="DA183" s="203">
        <f t="shared" si="299"/>
        <v>0</v>
      </c>
      <c r="DB183" s="203">
        <f t="shared" si="299"/>
        <v>0</v>
      </c>
      <c r="DC183" s="203">
        <f t="shared" si="299"/>
        <v>0</v>
      </c>
      <c r="DD183" s="203">
        <f t="shared" si="299"/>
        <v>0</v>
      </c>
      <c r="DE183" s="203">
        <f t="shared" si="299"/>
        <v>0</v>
      </c>
      <c r="DF183" s="203">
        <f t="shared" si="299"/>
        <v>0</v>
      </c>
      <c r="DG183" s="203">
        <f t="shared" si="299"/>
        <v>0</v>
      </c>
      <c r="DH183" s="203">
        <f t="shared" si="299"/>
        <v>0</v>
      </c>
      <c r="DI183" s="203">
        <f t="shared" si="299"/>
        <v>0</v>
      </c>
      <c r="DJ183" s="203">
        <f t="shared" si="299"/>
        <v>0</v>
      </c>
      <c r="DK183" s="203">
        <f t="shared" si="299"/>
        <v>0</v>
      </c>
      <c r="DL183" s="203">
        <f t="shared" ref="DL183:EI183" si="300">DK187</f>
        <v>0</v>
      </c>
      <c r="DM183" s="203">
        <f t="shared" si="300"/>
        <v>0</v>
      </c>
      <c r="DN183" s="203">
        <f t="shared" si="300"/>
        <v>0</v>
      </c>
      <c r="DO183" s="203">
        <f t="shared" si="300"/>
        <v>0</v>
      </c>
      <c r="DP183" s="203">
        <f t="shared" si="300"/>
        <v>0</v>
      </c>
      <c r="DQ183" s="203">
        <f t="shared" si="300"/>
        <v>0</v>
      </c>
      <c r="DR183" s="203">
        <f t="shared" si="300"/>
        <v>0</v>
      </c>
      <c r="DS183" s="203">
        <f t="shared" si="300"/>
        <v>0</v>
      </c>
      <c r="DT183" s="203">
        <f t="shared" si="300"/>
        <v>0</v>
      </c>
      <c r="DU183" s="203">
        <f t="shared" si="300"/>
        <v>0</v>
      </c>
      <c r="DV183" s="203">
        <f t="shared" si="300"/>
        <v>0</v>
      </c>
      <c r="DW183" s="203">
        <f t="shared" si="300"/>
        <v>0</v>
      </c>
      <c r="DX183" s="203">
        <f t="shared" si="300"/>
        <v>0</v>
      </c>
      <c r="DY183" s="203">
        <f t="shared" si="300"/>
        <v>0</v>
      </c>
      <c r="DZ183" s="203">
        <f t="shared" si="300"/>
        <v>0</v>
      </c>
      <c r="EA183" s="203">
        <f t="shared" si="300"/>
        <v>0</v>
      </c>
      <c r="EB183" s="203">
        <f t="shared" si="300"/>
        <v>0</v>
      </c>
      <c r="EC183" s="203">
        <f t="shared" si="300"/>
        <v>0</v>
      </c>
      <c r="ED183" s="203">
        <f t="shared" si="300"/>
        <v>0</v>
      </c>
      <c r="EE183" s="203">
        <f t="shared" si="300"/>
        <v>0</v>
      </c>
      <c r="EF183" s="203">
        <f t="shared" si="300"/>
        <v>0</v>
      </c>
      <c r="EG183" s="203">
        <f t="shared" si="300"/>
        <v>0</v>
      </c>
      <c r="EH183" s="203">
        <f t="shared" si="300"/>
        <v>0</v>
      </c>
      <c r="EI183" s="203">
        <f t="shared" si="300"/>
        <v>0</v>
      </c>
    </row>
    <row r="184" spans="2:139" ht="12.75" customHeight="1">
      <c r="B184" s="41" t="s">
        <v>180</v>
      </c>
      <c r="C184" s="211"/>
      <c r="D184" s="203">
        <f>SUMIF($S$6:$EI$6,D$5,$S184:$EI184)</f>
        <v>0</v>
      </c>
      <c r="E184" s="203"/>
      <c r="F184" s="203"/>
      <c r="G184" s="203"/>
      <c r="H184" s="203"/>
      <c r="I184" s="203"/>
      <c r="J184" s="203"/>
      <c r="K184" s="203"/>
      <c r="L184" s="203"/>
      <c r="M184" s="203"/>
      <c r="N184" s="203"/>
      <c r="O184" s="853">
        <f>SUM(D184:N184)</f>
        <v>0</v>
      </c>
      <c r="P184" s="313"/>
      <c r="Q184" s="313"/>
      <c r="R184" s="313"/>
      <c r="S184" s="203">
        <f>Assum3CurrBal*HasAssumableDebt3</f>
        <v>0</v>
      </c>
      <c r="T184" s="203"/>
      <c r="U184" s="203"/>
      <c r="V184" s="203"/>
      <c r="W184" s="203"/>
      <c r="X184" s="203"/>
      <c r="Y184" s="203"/>
      <c r="Z184" s="203"/>
      <c r="AA184" s="203"/>
      <c r="AB184" s="203"/>
      <c r="AC184" s="203"/>
      <c r="AD184" s="203"/>
      <c r="AE184" s="203"/>
      <c r="AF184" s="203"/>
      <c r="AG184" s="203"/>
      <c r="AH184" s="203"/>
      <c r="AI184" s="203"/>
      <c r="AJ184" s="203"/>
      <c r="AK184" s="203"/>
      <c r="AL184" s="203"/>
      <c r="AM184" s="203"/>
      <c r="AN184" s="203"/>
      <c r="AO184" s="203"/>
      <c r="AP184" s="203"/>
      <c r="AQ184" s="203"/>
      <c r="AR184" s="203"/>
      <c r="AS184" s="203"/>
      <c r="AT184" s="203"/>
      <c r="AU184" s="203"/>
      <c r="AV184" s="203"/>
      <c r="AW184" s="203"/>
      <c r="AX184" s="203"/>
      <c r="AY184" s="203"/>
      <c r="AZ184" s="203"/>
      <c r="BA184" s="203"/>
      <c r="BB184" s="203"/>
      <c r="BC184" s="203"/>
      <c r="BD184" s="203"/>
      <c r="BE184" s="203"/>
      <c r="BF184" s="203"/>
      <c r="BG184" s="203"/>
      <c r="BH184" s="203"/>
      <c r="BI184" s="203"/>
      <c r="BJ184" s="203"/>
      <c r="BK184" s="203"/>
      <c r="BL184" s="203"/>
      <c r="BM184" s="203"/>
      <c r="BN184" s="203"/>
      <c r="BO184" s="203"/>
      <c r="BP184" s="203"/>
      <c r="BQ184" s="203"/>
      <c r="BR184" s="203"/>
      <c r="BS184" s="203"/>
      <c r="BT184" s="203"/>
      <c r="BU184" s="203"/>
      <c r="BV184" s="203"/>
      <c r="BW184" s="203"/>
      <c r="BX184" s="203"/>
      <c r="BY184" s="203"/>
      <c r="BZ184" s="203"/>
      <c r="CA184" s="203"/>
      <c r="CB184" s="203"/>
      <c r="CC184" s="203"/>
      <c r="CD184" s="203"/>
      <c r="CE184" s="203"/>
      <c r="CF184" s="203"/>
      <c r="CG184" s="203"/>
      <c r="CH184" s="203"/>
      <c r="CI184" s="203"/>
      <c r="CJ184" s="203"/>
      <c r="CK184" s="203"/>
      <c r="CL184" s="203"/>
      <c r="CM184" s="203"/>
      <c r="CN184" s="203"/>
      <c r="CO184" s="203"/>
      <c r="CP184" s="203"/>
      <c r="CQ184" s="203"/>
      <c r="CR184" s="203"/>
      <c r="CS184" s="203"/>
      <c r="CT184" s="203"/>
      <c r="CU184" s="203"/>
      <c r="CV184" s="203"/>
      <c r="CW184" s="203"/>
      <c r="CX184" s="203"/>
      <c r="CY184" s="203"/>
      <c r="CZ184" s="203"/>
      <c r="DA184" s="203"/>
      <c r="DB184" s="203"/>
      <c r="DC184" s="203"/>
      <c r="DD184" s="203"/>
      <c r="DE184" s="203"/>
      <c r="DF184" s="203"/>
      <c r="DG184" s="203"/>
      <c r="DH184" s="203"/>
      <c r="DI184" s="203"/>
      <c r="DJ184" s="203"/>
      <c r="DK184" s="203"/>
      <c r="DL184" s="203"/>
      <c r="DM184" s="203"/>
      <c r="DN184" s="203"/>
      <c r="DO184" s="203"/>
      <c r="DP184" s="203"/>
      <c r="DQ184" s="203"/>
      <c r="DR184" s="203"/>
      <c r="DS184" s="203"/>
      <c r="DT184" s="203"/>
      <c r="DU184" s="203"/>
      <c r="DV184" s="203"/>
      <c r="DW184" s="203"/>
      <c r="DX184" s="203"/>
      <c r="DY184" s="203"/>
      <c r="DZ184" s="203"/>
      <c r="EA184" s="203"/>
      <c r="EB184" s="203"/>
      <c r="EC184" s="203"/>
      <c r="ED184" s="203"/>
      <c r="EE184" s="203"/>
      <c r="EF184" s="203"/>
      <c r="EG184" s="203"/>
      <c r="EH184" s="203"/>
      <c r="EI184" s="203"/>
    </row>
    <row r="185" spans="2:139" ht="12.75" customHeight="1">
      <c r="B185" s="41" t="s">
        <v>594</v>
      </c>
      <c r="C185" s="211"/>
      <c r="D185" s="203"/>
      <c r="E185" s="203">
        <f t="shared" ref="E185:N186" si="301">SUMIF($S$6:$EI$6,E$5,$S185:$EI185)</f>
        <v>0</v>
      </c>
      <c r="F185" s="203">
        <f t="shared" si="301"/>
        <v>0</v>
      </c>
      <c r="G185" s="203">
        <f t="shared" si="301"/>
        <v>0</v>
      </c>
      <c r="H185" s="203">
        <f t="shared" si="301"/>
        <v>0</v>
      </c>
      <c r="I185" s="203">
        <f t="shared" si="301"/>
        <v>0</v>
      </c>
      <c r="J185" s="203">
        <f t="shared" si="301"/>
        <v>0</v>
      </c>
      <c r="K185" s="203">
        <f t="shared" si="301"/>
        <v>0</v>
      </c>
      <c r="L185" s="203">
        <f t="shared" si="301"/>
        <v>0</v>
      </c>
      <c r="M185" s="203">
        <f t="shared" si="301"/>
        <v>0</v>
      </c>
      <c r="N185" s="203">
        <f t="shared" si="301"/>
        <v>0</v>
      </c>
      <c r="O185" s="853">
        <f>SUM(D185:N185)</f>
        <v>0</v>
      </c>
      <c r="P185" s="313"/>
      <c r="Q185" s="313"/>
      <c r="R185" s="313"/>
      <c r="S185" s="203"/>
      <c r="T185" s="203">
        <f>IF(AND(HasAssumableDebt3,Assumable3HasAmort,T183,T$5&gt;Assum3RemainTerm-AssumLoan3Term+Assume3IOPer),IF(Assum3PmtType=VariablePmt,PPMT(Assum3IntRate/12,T$5+AssumLoan3Term-Assum3RemainTerm-Assume3IOPer,Assum3AmortPer*12,Assum3OrigBal),-MIN(T183,PMT(Assum3IntRate/12,Assum3AmortPer*12,-Assum3OrigBal)+T178)),)</f>
        <v>0</v>
      </c>
      <c r="U185" s="203">
        <f>IF(AND(HasAssumableDebt3,Assumable3HasAmort,U183,U$5&gt;Assum3RemainTerm-AssumLoan3Term+Assume3IOPer),IF(Assum3PmtType=VariablePmt,PPMT(Assum3IntRate/12,U$5+AssumLoan3Term-Assum3RemainTerm-Assume3IOPer,Assum3AmortPer*12,Assum3OrigBal),-MIN(U183,PMT(Assum3IntRate/12,Assum3AmortPer*12,-Assum3OrigBal)+U178)),)</f>
        <v>0</v>
      </c>
      <c r="V185" s="203">
        <f>IF(AND(HasAssumableDebt3,Assumable3HasAmort,V183,V$5&gt;Assum3RemainTerm-AssumLoan3Term+Assume3IOPer),IF(Assum3PmtType=VariablePmt,PPMT(Assum3IntRate/12,V$5+AssumLoan3Term-Assum3RemainTerm-Assume3IOPer,Assum3AmortPer*12,Assum3OrigBal),-MIN(V183,PMT(Assum3IntRate/12,Assum3AmortPer*12,-Assum3OrigBal)+V178)),)</f>
        <v>0</v>
      </c>
      <c r="W185" s="203">
        <f>IF(AND(HasAssumableDebt3,Assumable3HasAmort,W183,W$5&gt;Assum3RemainTerm-AssumLoan3Term+Assume3IOPer),IF(Assum3PmtType=VariablePmt,PPMT(Assum3IntRate/12,W$5+AssumLoan3Term-Assum3RemainTerm-Assume3IOPer,Assum3AmortPer*12,Assum3OrigBal),-MIN(W183,PMT(Assum3IntRate/12,Assum3AmortPer*12,-Assum3OrigBal)+W178)),)</f>
        <v>0</v>
      </c>
      <c r="X185" s="203">
        <f>IF(AND(HasAssumableDebt3,Assumable3HasAmort,X183,X$5&gt;Assum3RemainTerm-AssumLoan3Term+Assume3IOPer),IF(Assum3PmtType=VariablePmt,PPMT(Assum3IntRate/12,X$5+AssumLoan3Term-Assum3RemainTerm-Assume3IOPer,Assum3AmortPer*12,Assum3OrigBal),-MIN(X183,PMT(Assum3IntRate/12,Assum3AmortPer*12,-Assum3OrigBal)+X178)),)</f>
        <v>0</v>
      </c>
      <c r="Y185" s="203">
        <f>IF(AND(HasAssumableDebt3,Assumable3HasAmort,Y183,Y$5&gt;Assum3RemainTerm-AssumLoan3Term+Assume3IOPer),IF(Assum3PmtType=VariablePmt,PPMT(Assum3IntRate/12,Y$5+AssumLoan3Term-Assum3RemainTerm-Assume3IOPer,Assum3AmortPer*12,Assum3OrigBal),-MIN(Y183,PMT(Assum3IntRate/12,Assum3AmortPer*12,-Assum3OrigBal)+Y178)),)</f>
        <v>0</v>
      </c>
      <c r="Z185" s="203">
        <f>IF(AND(HasAssumableDebt3,Assumable3HasAmort,Z183,Z$5&gt;Assum3RemainTerm-AssumLoan3Term+Assume3IOPer),IF(Assum3PmtType=VariablePmt,PPMT(Assum3IntRate/12,Z$5+AssumLoan3Term-Assum3RemainTerm-Assume3IOPer,Assum3AmortPer*12,Assum3OrigBal),-MIN(Z183,PMT(Assum3IntRate/12,Assum3AmortPer*12,-Assum3OrigBal)+Z178)),)</f>
        <v>0</v>
      </c>
      <c r="AA185" s="203">
        <f>IF(AND(HasAssumableDebt3,Assumable3HasAmort,AA183,AA$5&gt;Assum3RemainTerm-AssumLoan3Term+Assume3IOPer),IF(Assum3PmtType=VariablePmt,PPMT(Assum3IntRate/12,AA$5+AssumLoan3Term-Assum3RemainTerm-Assume3IOPer,Assum3AmortPer*12,Assum3OrigBal),-MIN(AA183,PMT(Assum3IntRate/12,Assum3AmortPer*12,-Assum3OrigBal)+AA178)),)</f>
        <v>0</v>
      </c>
      <c r="AB185" s="203">
        <f>IF(AND(HasAssumableDebt3,Assumable3HasAmort,AB183,AB$5&gt;Assum3RemainTerm-AssumLoan3Term+Assume3IOPer),IF(Assum3PmtType=VariablePmt,PPMT(Assum3IntRate/12,AB$5+AssumLoan3Term-Assum3RemainTerm-Assume3IOPer,Assum3AmortPer*12,Assum3OrigBal),-MIN(AB183,PMT(Assum3IntRate/12,Assum3AmortPer*12,-Assum3OrigBal)+AB178)),)</f>
        <v>0</v>
      </c>
      <c r="AC185" s="203">
        <f>IF(AND(HasAssumableDebt3,Assumable3HasAmort,AC183,AC$5&gt;Assum3RemainTerm-AssumLoan3Term+Assume3IOPer),IF(Assum3PmtType=VariablePmt,PPMT(Assum3IntRate/12,AC$5+AssumLoan3Term-Assum3RemainTerm-Assume3IOPer,Assum3AmortPer*12,Assum3OrigBal),-MIN(AC183,PMT(Assum3IntRate/12,Assum3AmortPer*12,-Assum3OrigBal)+AC178)),)</f>
        <v>0</v>
      </c>
      <c r="AD185" s="203">
        <f>IF(AND(HasAssumableDebt3,Assumable3HasAmort,AD183,AD$5&gt;Assum3RemainTerm-AssumLoan3Term+Assume3IOPer),IF(Assum3PmtType=VariablePmt,PPMT(Assum3IntRate/12,AD$5+AssumLoan3Term-Assum3RemainTerm-Assume3IOPer,Assum3AmortPer*12,Assum3OrigBal),-MIN(AD183,PMT(Assum3IntRate/12,Assum3AmortPer*12,-Assum3OrigBal)+AD178)),)</f>
        <v>0</v>
      </c>
      <c r="AE185" s="203">
        <f>IF(AND(HasAssumableDebt3,Assumable3HasAmort,AE183,AE$5&gt;Assum3RemainTerm-AssumLoan3Term+Assume3IOPer),IF(Assum3PmtType=VariablePmt,PPMT(Assum3IntRate/12,AE$5+AssumLoan3Term-Assum3RemainTerm-Assume3IOPer,Assum3AmortPer*12,Assum3OrigBal),-MIN(AE183,PMT(Assum3IntRate/12,Assum3AmortPer*12,-Assum3OrigBal)+AE178)),)</f>
        <v>0</v>
      </c>
      <c r="AF185" s="203">
        <f>IF(AND(HasAssumableDebt3,Assumable3HasAmort,AF183,AF$5&gt;Assum3RemainTerm-AssumLoan3Term+Assume3IOPer),IF(Assum3PmtType=VariablePmt,PPMT(Assum3IntRate/12,AF$5+AssumLoan3Term-Assum3RemainTerm-Assume3IOPer,Assum3AmortPer*12,Assum3OrigBal),-MIN(AF183,PMT(Assum3IntRate/12,Assum3AmortPer*12,-Assum3OrigBal)+AF178)),)</f>
        <v>0</v>
      </c>
      <c r="AG185" s="203">
        <f>IF(AND(HasAssumableDebt3,Assumable3HasAmort,AG183,AG$5&gt;Assum3RemainTerm-AssumLoan3Term+Assume3IOPer),IF(Assum3PmtType=VariablePmt,PPMT(Assum3IntRate/12,AG$5+AssumLoan3Term-Assum3RemainTerm-Assume3IOPer,Assum3AmortPer*12,Assum3OrigBal),-MIN(AG183,PMT(Assum3IntRate/12,Assum3AmortPer*12,-Assum3OrigBal)+AG178)),)</f>
        <v>0</v>
      </c>
      <c r="AH185" s="203">
        <f>IF(AND(HasAssumableDebt3,Assumable3HasAmort,AH183,AH$5&gt;Assum3RemainTerm-AssumLoan3Term+Assume3IOPer),IF(Assum3PmtType=VariablePmt,PPMT(Assum3IntRate/12,AH$5+AssumLoan3Term-Assum3RemainTerm-Assume3IOPer,Assum3AmortPer*12,Assum3OrigBal),-MIN(AH183,PMT(Assum3IntRate/12,Assum3AmortPer*12,-Assum3OrigBal)+AH178)),)</f>
        <v>0</v>
      </c>
      <c r="AI185" s="203">
        <f>IF(AND(HasAssumableDebt3,Assumable3HasAmort,AI183,AI$5&gt;Assum3RemainTerm-AssumLoan3Term+Assume3IOPer),IF(Assum3PmtType=VariablePmt,PPMT(Assum3IntRate/12,AI$5+AssumLoan3Term-Assum3RemainTerm-Assume3IOPer,Assum3AmortPer*12,Assum3OrigBal),-MIN(AI183,PMT(Assum3IntRate/12,Assum3AmortPer*12,-Assum3OrigBal)+AI178)),)</f>
        <v>0</v>
      </c>
      <c r="AJ185" s="203">
        <f>IF(AND(HasAssumableDebt3,Assumable3HasAmort,AJ183,AJ$5&gt;Assum3RemainTerm-AssumLoan3Term+Assume3IOPer),IF(Assum3PmtType=VariablePmt,PPMT(Assum3IntRate/12,AJ$5+AssumLoan3Term-Assum3RemainTerm-Assume3IOPer,Assum3AmortPer*12,Assum3OrigBal),-MIN(AJ183,PMT(Assum3IntRate/12,Assum3AmortPer*12,-Assum3OrigBal)+AJ178)),)</f>
        <v>0</v>
      </c>
      <c r="AK185" s="203">
        <f>IF(AND(HasAssumableDebt3,Assumable3HasAmort,AK183,AK$5&gt;Assum3RemainTerm-AssumLoan3Term+Assume3IOPer),IF(Assum3PmtType=VariablePmt,PPMT(Assum3IntRate/12,AK$5+AssumLoan3Term-Assum3RemainTerm-Assume3IOPer,Assum3AmortPer*12,Assum3OrigBal),-MIN(AK183,PMT(Assum3IntRate/12,Assum3AmortPer*12,-Assum3OrigBal)+AK178)),)</f>
        <v>0</v>
      </c>
      <c r="AL185" s="203">
        <f>IF(AND(HasAssumableDebt3,Assumable3HasAmort,AL183,AL$5&gt;Assum3RemainTerm-AssumLoan3Term+Assume3IOPer),IF(Assum3PmtType=VariablePmt,PPMT(Assum3IntRate/12,AL$5+AssumLoan3Term-Assum3RemainTerm-Assume3IOPer,Assum3AmortPer*12,Assum3OrigBal),-MIN(AL183,PMT(Assum3IntRate/12,Assum3AmortPer*12,-Assum3OrigBal)+AL178)),)</f>
        <v>0</v>
      </c>
      <c r="AM185" s="203">
        <f>IF(AND(HasAssumableDebt3,Assumable3HasAmort,AM183,AM$5&gt;Assum3RemainTerm-AssumLoan3Term+Assume3IOPer),IF(Assum3PmtType=VariablePmt,PPMT(Assum3IntRate/12,AM$5+AssumLoan3Term-Assum3RemainTerm-Assume3IOPer,Assum3AmortPer*12,Assum3OrigBal),-MIN(AM183,PMT(Assum3IntRate/12,Assum3AmortPer*12,-Assum3OrigBal)+AM178)),)</f>
        <v>0</v>
      </c>
      <c r="AN185" s="203">
        <f>IF(AND(HasAssumableDebt3,Assumable3HasAmort,AN183,AN$5&gt;Assum3RemainTerm-AssumLoan3Term+Assume3IOPer),IF(Assum3PmtType=VariablePmt,PPMT(Assum3IntRate/12,AN$5+AssumLoan3Term-Assum3RemainTerm-Assume3IOPer,Assum3AmortPer*12,Assum3OrigBal),-MIN(AN183,PMT(Assum3IntRate/12,Assum3AmortPer*12,-Assum3OrigBal)+AN178)),)</f>
        <v>0</v>
      </c>
      <c r="AO185" s="203">
        <f>IF(AND(HasAssumableDebt3,Assumable3HasAmort,AO183,AO$5&gt;Assum3RemainTerm-AssumLoan3Term+Assume3IOPer),IF(Assum3PmtType=VariablePmt,PPMT(Assum3IntRate/12,AO$5+AssumLoan3Term-Assum3RemainTerm-Assume3IOPer,Assum3AmortPer*12,Assum3OrigBal),-MIN(AO183,PMT(Assum3IntRate/12,Assum3AmortPer*12,-Assum3OrigBal)+AO178)),)</f>
        <v>0</v>
      </c>
      <c r="AP185" s="203">
        <f>IF(AND(HasAssumableDebt3,Assumable3HasAmort,AP183,AP$5&gt;Assum3RemainTerm-AssumLoan3Term+Assume3IOPer),IF(Assum3PmtType=VariablePmt,PPMT(Assum3IntRate/12,AP$5+AssumLoan3Term-Assum3RemainTerm-Assume3IOPer,Assum3AmortPer*12,Assum3OrigBal),-MIN(AP183,PMT(Assum3IntRate/12,Assum3AmortPer*12,-Assum3OrigBal)+AP178)),)</f>
        <v>0</v>
      </c>
      <c r="AQ185" s="203">
        <f>IF(AND(HasAssumableDebt3,Assumable3HasAmort,AQ183,AQ$5&gt;Assum3RemainTerm-AssumLoan3Term+Assume3IOPer),IF(Assum3PmtType=VariablePmt,PPMT(Assum3IntRate/12,AQ$5+AssumLoan3Term-Assum3RemainTerm-Assume3IOPer,Assum3AmortPer*12,Assum3OrigBal),-MIN(AQ183,PMT(Assum3IntRate/12,Assum3AmortPer*12,-Assum3OrigBal)+AQ178)),)</f>
        <v>0</v>
      </c>
      <c r="AR185" s="203">
        <f>IF(AND(HasAssumableDebt3,Assumable3HasAmort,AR183,AR$5&gt;Assum3RemainTerm-AssumLoan3Term+Assume3IOPer),IF(Assum3PmtType=VariablePmt,PPMT(Assum3IntRate/12,AR$5+AssumLoan3Term-Assum3RemainTerm-Assume3IOPer,Assum3AmortPer*12,Assum3OrigBal),-MIN(AR183,PMT(Assum3IntRate/12,Assum3AmortPer*12,-Assum3OrigBal)+AR178)),)</f>
        <v>0</v>
      </c>
      <c r="AS185" s="203">
        <f>IF(AND(HasAssumableDebt3,Assumable3HasAmort,AS183,AS$5&gt;Assum3RemainTerm-AssumLoan3Term+Assume3IOPer),IF(Assum3PmtType=VariablePmt,PPMT(Assum3IntRate/12,AS$5+AssumLoan3Term-Assum3RemainTerm-Assume3IOPer,Assum3AmortPer*12,Assum3OrigBal),-MIN(AS183,PMT(Assum3IntRate/12,Assum3AmortPer*12,-Assum3OrigBal)+AS178)),)</f>
        <v>0</v>
      </c>
      <c r="AT185" s="203">
        <f>IF(AND(HasAssumableDebt3,Assumable3HasAmort,AT183,AT$5&gt;Assum3RemainTerm-AssumLoan3Term+Assume3IOPer),IF(Assum3PmtType=VariablePmt,PPMT(Assum3IntRate/12,AT$5+AssumLoan3Term-Assum3RemainTerm-Assume3IOPer,Assum3AmortPer*12,Assum3OrigBal),-MIN(AT183,PMT(Assum3IntRate/12,Assum3AmortPer*12,-Assum3OrigBal)+AT178)),)</f>
        <v>0</v>
      </c>
      <c r="AU185" s="203">
        <f>IF(AND(HasAssumableDebt3,Assumable3HasAmort,AU183,AU$5&gt;Assum3RemainTerm-AssumLoan3Term+Assume3IOPer),IF(Assum3PmtType=VariablePmt,PPMT(Assum3IntRate/12,AU$5+AssumLoan3Term-Assum3RemainTerm-Assume3IOPer,Assum3AmortPer*12,Assum3OrigBal),-MIN(AU183,PMT(Assum3IntRate/12,Assum3AmortPer*12,-Assum3OrigBal)+AU178)),)</f>
        <v>0</v>
      </c>
      <c r="AV185" s="203">
        <f>IF(AND(HasAssumableDebt3,Assumable3HasAmort,AV183,AV$5&gt;Assum3RemainTerm-AssumLoan3Term+Assume3IOPer),IF(Assum3PmtType=VariablePmt,PPMT(Assum3IntRate/12,AV$5+AssumLoan3Term-Assum3RemainTerm-Assume3IOPer,Assum3AmortPer*12,Assum3OrigBal),-MIN(AV183,PMT(Assum3IntRate/12,Assum3AmortPer*12,-Assum3OrigBal)+AV178)),)</f>
        <v>0</v>
      </c>
      <c r="AW185" s="203">
        <f>IF(AND(HasAssumableDebt3,Assumable3HasAmort,AW183,AW$5&gt;Assum3RemainTerm-AssumLoan3Term+Assume3IOPer),IF(Assum3PmtType=VariablePmt,PPMT(Assum3IntRate/12,AW$5+AssumLoan3Term-Assum3RemainTerm-Assume3IOPer,Assum3AmortPer*12,Assum3OrigBal),-MIN(AW183,PMT(Assum3IntRate/12,Assum3AmortPer*12,-Assum3OrigBal)+AW178)),)</f>
        <v>0</v>
      </c>
      <c r="AX185" s="203">
        <f>IF(AND(HasAssumableDebt3,Assumable3HasAmort,AX183,AX$5&gt;Assum3RemainTerm-AssumLoan3Term+Assume3IOPer),IF(Assum3PmtType=VariablePmt,PPMT(Assum3IntRate/12,AX$5+AssumLoan3Term-Assum3RemainTerm-Assume3IOPer,Assum3AmortPer*12,Assum3OrigBal),-MIN(AX183,PMT(Assum3IntRate/12,Assum3AmortPer*12,-Assum3OrigBal)+AX178)),)</f>
        <v>0</v>
      </c>
      <c r="AY185" s="203">
        <f>IF(AND(HasAssumableDebt3,Assumable3HasAmort,AY183,AY$5&gt;Assum3RemainTerm-AssumLoan3Term+Assume3IOPer),IF(Assum3PmtType=VariablePmt,PPMT(Assum3IntRate/12,AY$5+AssumLoan3Term-Assum3RemainTerm-Assume3IOPer,Assum3AmortPer*12,Assum3OrigBal),-MIN(AY183,PMT(Assum3IntRate/12,Assum3AmortPer*12,-Assum3OrigBal)+AY178)),)</f>
        <v>0</v>
      </c>
      <c r="AZ185" s="203">
        <f>IF(AND(HasAssumableDebt3,Assumable3HasAmort,AZ183,AZ$5&gt;Assum3RemainTerm-AssumLoan3Term+Assume3IOPer),IF(Assum3PmtType=VariablePmt,PPMT(Assum3IntRate/12,AZ$5+AssumLoan3Term-Assum3RemainTerm-Assume3IOPer,Assum3AmortPer*12,Assum3OrigBal),-MIN(AZ183,PMT(Assum3IntRate/12,Assum3AmortPer*12,-Assum3OrigBal)+AZ178)),)</f>
        <v>0</v>
      </c>
      <c r="BA185" s="203">
        <f>IF(AND(HasAssumableDebt3,Assumable3HasAmort,BA183,BA$5&gt;Assum3RemainTerm-AssumLoan3Term+Assume3IOPer),IF(Assum3PmtType=VariablePmt,PPMT(Assum3IntRate/12,BA$5+AssumLoan3Term-Assum3RemainTerm-Assume3IOPer,Assum3AmortPer*12,Assum3OrigBal),-MIN(BA183,PMT(Assum3IntRate/12,Assum3AmortPer*12,-Assum3OrigBal)+BA178)),)</f>
        <v>0</v>
      </c>
      <c r="BB185" s="203">
        <f>IF(AND(HasAssumableDebt3,Assumable3HasAmort,BB183,BB$5&gt;Assum3RemainTerm-AssumLoan3Term+Assume3IOPer),IF(Assum3PmtType=VariablePmt,PPMT(Assum3IntRate/12,BB$5+AssumLoan3Term-Assum3RemainTerm-Assume3IOPer,Assum3AmortPer*12,Assum3OrigBal),-MIN(BB183,PMT(Assum3IntRate/12,Assum3AmortPer*12,-Assum3OrigBal)+BB178)),)</f>
        <v>0</v>
      </c>
      <c r="BC185" s="203">
        <f>IF(AND(HasAssumableDebt3,Assumable3HasAmort,BC183,BC$5&gt;Assum3RemainTerm-AssumLoan3Term+Assume3IOPer),IF(Assum3PmtType=VariablePmt,PPMT(Assum3IntRate/12,BC$5+AssumLoan3Term-Assum3RemainTerm-Assume3IOPer,Assum3AmortPer*12,Assum3OrigBal),-MIN(BC183,PMT(Assum3IntRate/12,Assum3AmortPer*12,-Assum3OrigBal)+BC178)),)</f>
        <v>0</v>
      </c>
      <c r="BD185" s="203">
        <f>IF(AND(HasAssumableDebt3,Assumable3HasAmort,BD183,BD$5&gt;Assum3RemainTerm-AssumLoan3Term+Assume3IOPer),IF(Assum3PmtType=VariablePmt,PPMT(Assum3IntRate/12,BD$5+AssumLoan3Term-Assum3RemainTerm-Assume3IOPer,Assum3AmortPer*12,Assum3OrigBal),-MIN(BD183,PMT(Assum3IntRate/12,Assum3AmortPer*12,-Assum3OrigBal)+BD178)),)</f>
        <v>0</v>
      </c>
      <c r="BE185" s="203">
        <f>IF(AND(HasAssumableDebt3,Assumable3HasAmort,BE183,BE$5&gt;Assum3RemainTerm-AssumLoan3Term+Assume3IOPer),IF(Assum3PmtType=VariablePmt,PPMT(Assum3IntRate/12,BE$5+AssumLoan3Term-Assum3RemainTerm-Assume3IOPer,Assum3AmortPer*12,Assum3OrigBal),-MIN(BE183,PMT(Assum3IntRate/12,Assum3AmortPer*12,-Assum3OrigBal)+BE178)),)</f>
        <v>0</v>
      </c>
      <c r="BF185" s="203">
        <f>IF(AND(HasAssumableDebt3,Assumable3HasAmort,BF183,BF$5&gt;Assum3RemainTerm-AssumLoan3Term+Assume3IOPer),IF(Assum3PmtType=VariablePmt,PPMT(Assum3IntRate/12,BF$5+AssumLoan3Term-Assum3RemainTerm-Assume3IOPer,Assum3AmortPer*12,Assum3OrigBal),-MIN(BF183,PMT(Assum3IntRate/12,Assum3AmortPer*12,-Assum3OrigBal)+BF178)),)</f>
        <v>0</v>
      </c>
      <c r="BG185" s="203">
        <f>IF(AND(HasAssumableDebt3,Assumable3HasAmort,BG183,BG$5&gt;Assum3RemainTerm-AssumLoan3Term+Assume3IOPer),IF(Assum3PmtType=VariablePmt,PPMT(Assum3IntRate/12,BG$5+AssumLoan3Term-Assum3RemainTerm-Assume3IOPer,Assum3AmortPer*12,Assum3OrigBal),-MIN(BG183,PMT(Assum3IntRate/12,Assum3AmortPer*12,-Assum3OrigBal)+BG178)),)</f>
        <v>0</v>
      </c>
      <c r="BH185" s="203">
        <f>IF(AND(HasAssumableDebt3,Assumable3HasAmort,BH183,BH$5&gt;Assum3RemainTerm-AssumLoan3Term+Assume3IOPer),IF(Assum3PmtType=VariablePmt,PPMT(Assum3IntRate/12,BH$5+AssumLoan3Term-Assum3RemainTerm-Assume3IOPer,Assum3AmortPer*12,Assum3OrigBal),-MIN(BH183,PMT(Assum3IntRate/12,Assum3AmortPer*12,-Assum3OrigBal)+BH178)),)</f>
        <v>0</v>
      </c>
      <c r="BI185" s="203">
        <f>IF(AND(HasAssumableDebt3,Assumable3HasAmort,BI183,BI$5&gt;Assum3RemainTerm-AssumLoan3Term+Assume3IOPer),IF(Assum3PmtType=VariablePmt,PPMT(Assum3IntRate/12,BI$5+AssumLoan3Term-Assum3RemainTerm-Assume3IOPer,Assum3AmortPer*12,Assum3OrigBal),-MIN(BI183,PMT(Assum3IntRate/12,Assum3AmortPer*12,-Assum3OrigBal)+BI178)),)</f>
        <v>0</v>
      </c>
      <c r="BJ185" s="203">
        <f>IF(AND(HasAssumableDebt3,Assumable3HasAmort,BJ183,BJ$5&gt;Assum3RemainTerm-AssumLoan3Term+Assume3IOPer),IF(Assum3PmtType=VariablePmt,PPMT(Assum3IntRate/12,BJ$5+AssumLoan3Term-Assum3RemainTerm-Assume3IOPer,Assum3AmortPer*12,Assum3OrigBal),-MIN(BJ183,PMT(Assum3IntRate/12,Assum3AmortPer*12,-Assum3OrigBal)+BJ178)),)</f>
        <v>0</v>
      </c>
      <c r="BK185" s="203">
        <f>IF(AND(HasAssumableDebt3,Assumable3HasAmort,BK183,BK$5&gt;Assum3RemainTerm-AssumLoan3Term+Assume3IOPer),IF(Assum3PmtType=VariablePmt,PPMT(Assum3IntRate/12,BK$5+AssumLoan3Term-Assum3RemainTerm-Assume3IOPer,Assum3AmortPer*12,Assum3OrigBal),-MIN(BK183,PMT(Assum3IntRate/12,Assum3AmortPer*12,-Assum3OrigBal)+BK178)),)</f>
        <v>0</v>
      </c>
      <c r="BL185" s="203">
        <f>IF(AND(HasAssumableDebt3,Assumable3HasAmort,BL183,BL$5&gt;Assum3RemainTerm-AssumLoan3Term+Assume3IOPer),IF(Assum3PmtType=VariablePmt,PPMT(Assum3IntRate/12,BL$5+AssumLoan3Term-Assum3RemainTerm-Assume3IOPer,Assum3AmortPer*12,Assum3OrigBal),-MIN(BL183,PMT(Assum3IntRate/12,Assum3AmortPer*12,-Assum3OrigBal)+BL178)),)</f>
        <v>0</v>
      </c>
      <c r="BM185" s="203">
        <f>IF(AND(HasAssumableDebt3,Assumable3HasAmort,BM183,BM$5&gt;Assum3RemainTerm-AssumLoan3Term+Assume3IOPer),IF(Assum3PmtType=VariablePmt,PPMT(Assum3IntRate/12,BM$5+AssumLoan3Term-Assum3RemainTerm-Assume3IOPer,Assum3AmortPer*12,Assum3OrigBal),-MIN(BM183,PMT(Assum3IntRate/12,Assum3AmortPer*12,-Assum3OrigBal)+BM178)),)</f>
        <v>0</v>
      </c>
      <c r="BN185" s="203">
        <f>IF(AND(HasAssumableDebt3,Assumable3HasAmort,BN183,BN$5&gt;Assum3RemainTerm-AssumLoan3Term+Assume3IOPer),IF(Assum3PmtType=VariablePmt,PPMT(Assum3IntRate/12,BN$5+AssumLoan3Term-Assum3RemainTerm-Assume3IOPer,Assum3AmortPer*12,Assum3OrigBal),-MIN(BN183,PMT(Assum3IntRate/12,Assum3AmortPer*12,-Assum3OrigBal)+BN178)),)</f>
        <v>0</v>
      </c>
      <c r="BO185" s="203">
        <f>IF(AND(HasAssumableDebt3,Assumable3HasAmort,BO183,BO$5&gt;Assum3RemainTerm-AssumLoan3Term+Assume3IOPer),IF(Assum3PmtType=VariablePmt,PPMT(Assum3IntRate/12,BO$5+AssumLoan3Term-Assum3RemainTerm-Assume3IOPer,Assum3AmortPer*12,Assum3OrigBal),-MIN(BO183,PMT(Assum3IntRate/12,Assum3AmortPer*12,-Assum3OrigBal)+BO178)),)</f>
        <v>0</v>
      </c>
      <c r="BP185" s="203">
        <f>IF(AND(HasAssumableDebt3,Assumable3HasAmort,BP183,BP$5&gt;Assum3RemainTerm-AssumLoan3Term+Assume3IOPer),IF(Assum3PmtType=VariablePmt,PPMT(Assum3IntRate/12,BP$5+AssumLoan3Term-Assum3RemainTerm-Assume3IOPer,Assum3AmortPer*12,Assum3OrigBal),-MIN(BP183,PMT(Assum3IntRate/12,Assum3AmortPer*12,-Assum3OrigBal)+BP178)),)</f>
        <v>0</v>
      </c>
      <c r="BQ185" s="203">
        <f>IF(AND(HasAssumableDebt3,Assumable3HasAmort,BQ183,BQ$5&gt;Assum3RemainTerm-AssumLoan3Term+Assume3IOPer),IF(Assum3PmtType=VariablePmt,PPMT(Assum3IntRate/12,BQ$5+AssumLoan3Term-Assum3RemainTerm-Assume3IOPer,Assum3AmortPer*12,Assum3OrigBal),-MIN(BQ183,PMT(Assum3IntRate/12,Assum3AmortPer*12,-Assum3OrigBal)+BQ178)),)</f>
        <v>0</v>
      </c>
      <c r="BR185" s="203">
        <f>IF(AND(HasAssumableDebt3,Assumable3HasAmort,BR183,BR$5&gt;Assum3RemainTerm-AssumLoan3Term+Assume3IOPer),IF(Assum3PmtType=VariablePmt,PPMT(Assum3IntRate/12,BR$5+AssumLoan3Term-Assum3RemainTerm-Assume3IOPer,Assum3AmortPer*12,Assum3OrigBal),-MIN(BR183,PMT(Assum3IntRate/12,Assum3AmortPer*12,-Assum3OrigBal)+BR178)),)</f>
        <v>0</v>
      </c>
      <c r="BS185" s="203">
        <f>IF(AND(HasAssumableDebt3,Assumable3HasAmort,BS183,BS$5&gt;Assum3RemainTerm-AssumLoan3Term+Assume3IOPer),IF(Assum3PmtType=VariablePmt,PPMT(Assum3IntRate/12,BS$5+AssumLoan3Term-Assum3RemainTerm-Assume3IOPer,Assum3AmortPer*12,Assum3OrigBal),-MIN(BS183,PMT(Assum3IntRate/12,Assum3AmortPer*12,-Assum3OrigBal)+BS178)),)</f>
        <v>0</v>
      </c>
      <c r="BT185" s="203">
        <f>IF(AND(HasAssumableDebt3,Assumable3HasAmort,BT183,BT$5&gt;Assum3RemainTerm-AssumLoan3Term+Assume3IOPer),IF(Assum3PmtType=VariablePmt,PPMT(Assum3IntRate/12,BT$5+AssumLoan3Term-Assum3RemainTerm-Assume3IOPer,Assum3AmortPer*12,Assum3OrigBal),-MIN(BT183,PMT(Assum3IntRate/12,Assum3AmortPer*12,-Assum3OrigBal)+BT178)),)</f>
        <v>0</v>
      </c>
      <c r="BU185" s="203">
        <f>IF(AND(HasAssumableDebt3,Assumable3HasAmort,BU183,BU$5&gt;Assum3RemainTerm-AssumLoan3Term+Assume3IOPer),IF(Assum3PmtType=VariablePmt,PPMT(Assum3IntRate/12,BU$5+AssumLoan3Term-Assum3RemainTerm-Assume3IOPer,Assum3AmortPer*12,Assum3OrigBal),-MIN(BU183,PMT(Assum3IntRate/12,Assum3AmortPer*12,-Assum3OrigBal)+BU178)),)</f>
        <v>0</v>
      </c>
      <c r="BV185" s="203">
        <f>IF(AND(HasAssumableDebt3,Assumable3HasAmort,BV183,BV$5&gt;Assum3RemainTerm-AssumLoan3Term+Assume3IOPer),IF(Assum3PmtType=VariablePmt,PPMT(Assum3IntRate/12,BV$5+AssumLoan3Term-Assum3RemainTerm-Assume3IOPer,Assum3AmortPer*12,Assum3OrigBal),-MIN(BV183,PMT(Assum3IntRate/12,Assum3AmortPer*12,-Assum3OrigBal)+BV178)),)</f>
        <v>0</v>
      </c>
      <c r="BW185" s="203">
        <f>IF(AND(HasAssumableDebt3,Assumable3HasAmort,BW183,BW$5&gt;Assum3RemainTerm-AssumLoan3Term+Assume3IOPer),IF(Assum3PmtType=VariablePmt,PPMT(Assum3IntRate/12,BW$5+AssumLoan3Term-Assum3RemainTerm-Assume3IOPer,Assum3AmortPer*12,Assum3OrigBal),-MIN(BW183,PMT(Assum3IntRate/12,Assum3AmortPer*12,-Assum3OrigBal)+BW178)),)</f>
        <v>0</v>
      </c>
      <c r="BX185" s="203">
        <f>IF(AND(HasAssumableDebt3,Assumable3HasAmort,BX183,BX$5&gt;Assum3RemainTerm-AssumLoan3Term+Assume3IOPer),IF(Assum3PmtType=VariablePmt,PPMT(Assum3IntRate/12,BX$5+AssumLoan3Term-Assum3RemainTerm-Assume3IOPer,Assum3AmortPer*12,Assum3OrigBal),-MIN(BX183,PMT(Assum3IntRate/12,Assum3AmortPer*12,-Assum3OrigBal)+BX178)),)</f>
        <v>0</v>
      </c>
      <c r="BY185" s="203">
        <f>IF(AND(HasAssumableDebt3,Assumable3HasAmort,BY183,BY$5&gt;Assum3RemainTerm-AssumLoan3Term+Assume3IOPer),IF(Assum3PmtType=VariablePmt,PPMT(Assum3IntRate/12,BY$5+AssumLoan3Term-Assum3RemainTerm-Assume3IOPer,Assum3AmortPer*12,Assum3OrigBal),-MIN(BY183,PMT(Assum3IntRate/12,Assum3AmortPer*12,-Assum3OrigBal)+BY178)),)</f>
        <v>0</v>
      </c>
      <c r="BZ185" s="203">
        <f>IF(AND(HasAssumableDebt3,Assumable3HasAmort,BZ183,BZ$5&gt;Assum3RemainTerm-AssumLoan3Term+Assume3IOPer),IF(Assum3PmtType=VariablePmt,PPMT(Assum3IntRate/12,BZ$5+AssumLoan3Term-Assum3RemainTerm-Assume3IOPer,Assum3AmortPer*12,Assum3OrigBal),-MIN(BZ183,PMT(Assum3IntRate/12,Assum3AmortPer*12,-Assum3OrigBal)+BZ178)),)</f>
        <v>0</v>
      </c>
      <c r="CA185" s="203">
        <f>IF(AND(HasAssumableDebt3,Assumable3HasAmort,CA183,CA$5&gt;Assum3RemainTerm-AssumLoan3Term+Assume3IOPer),IF(Assum3PmtType=VariablePmt,PPMT(Assum3IntRate/12,CA$5+AssumLoan3Term-Assum3RemainTerm-Assume3IOPer,Assum3AmortPer*12,Assum3OrigBal),-MIN(CA183,PMT(Assum3IntRate/12,Assum3AmortPer*12,-Assum3OrigBal)+CA178)),)</f>
        <v>0</v>
      </c>
      <c r="CB185" s="203">
        <f>IF(AND(HasAssumableDebt3,Assumable3HasAmort,CB183,CB$5&gt;Assum3RemainTerm-AssumLoan3Term+Assume3IOPer),IF(Assum3PmtType=VariablePmt,PPMT(Assum3IntRate/12,CB$5+AssumLoan3Term-Assum3RemainTerm-Assume3IOPer,Assum3AmortPer*12,Assum3OrigBal),-MIN(CB183,PMT(Assum3IntRate/12,Assum3AmortPer*12,-Assum3OrigBal)+CB178)),)</f>
        <v>0</v>
      </c>
      <c r="CC185" s="203">
        <f>IF(AND(HasAssumableDebt3,Assumable3HasAmort,CC183,CC$5&gt;Assum3RemainTerm-AssumLoan3Term+Assume3IOPer),IF(Assum3PmtType=VariablePmt,PPMT(Assum3IntRate/12,CC$5+AssumLoan3Term-Assum3RemainTerm-Assume3IOPer,Assum3AmortPer*12,Assum3OrigBal),-MIN(CC183,PMT(Assum3IntRate/12,Assum3AmortPer*12,-Assum3OrigBal)+CC178)),)</f>
        <v>0</v>
      </c>
      <c r="CD185" s="203">
        <f>IF(AND(HasAssumableDebt3,Assumable3HasAmort,CD183,CD$5&gt;Assum3RemainTerm-AssumLoan3Term+Assume3IOPer),IF(Assum3PmtType=VariablePmt,PPMT(Assum3IntRate/12,CD$5+AssumLoan3Term-Assum3RemainTerm-Assume3IOPer,Assum3AmortPer*12,Assum3OrigBal),-MIN(CD183,PMT(Assum3IntRate/12,Assum3AmortPer*12,-Assum3OrigBal)+CD178)),)</f>
        <v>0</v>
      </c>
      <c r="CE185" s="203">
        <f>IF(AND(HasAssumableDebt3,Assumable3HasAmort,CE183,CE$5&gt;Assum3RemainTerm-AssumLoan3Term+Assume3IOPer),IF(Assum3PmtType=VariablePmt,PPMT(Assum3IntRate/12,CE$5+AssumLoan3Term-Assum3RemainTerm-Assume3IOPer,Assum3AmortPer*12,Assum3OrigBal),-MIN(CE183,PMT(Assum3IntRate/12,Assum3AmortPer*12,-Assum3OrigBal)+CE178)),)</f>
        <v>0</v>
      </c>
      <c r="CF185" s="203">
        <f>IF(AND(HasAssumableDebt3,Assumable3HasAmort,CF183,CF$5&gt;Assum3RemainTerm-AssumLoan3Term+Assume3IOPer),IF(Assum3PmtType=VariablePmt,PPMT(Assum3IntRate/12,CF$5+AssumLoan3Term-Assum3RemainTerm-Assume3IOPer,Assum3AmortPer*12,Assum3OrigBal),-MIN(CF183,PMT(Assum3IntRate/12,Assum3AmortPer*12,-Assum3OrigBal)+CF178)),)</f>
        <v>0</v>
      </c>
      <c r="CG185" s="203">
        <f>IF(AND(HasAssumableDebt3,Assumable3HasAmort,CG183,CG$5&gt;Assum3RemainTerm-AssumLoan3Term+Assume3IOPer),IF(Assum3PmtType=VariablePmt,PPMT(Assum3IntRate/12,CG$5+AssumLoan3Term-Assum3RemainTerm-Assume3IOPer,Assum3AmortPer*12,Assum3OrigBal),-MIN(CG183,PMT(Assum3IntRate/12,Assum3AmortPer*12,-Assum3OrigBal)+CG178)),)</f>
        <v>0</v>
      </c>
      <c r="CH185" s="203">
        <f>IF(AND(HasAssumableDebt3,Assumable3HasAmort,CH183,CH$5&gt;Assum3RemainTerm-AssumLoan3Term+Assume3IOPer),IF(Assum3PmtType=VariablePmt,PPMT(Assum3IntRate/12,CH$5+AssumLoan3Term-Assum3RemainTerm-Assume3IOPer,Assum3AmortPer*12,Assum3OrigBal),-MIN(CH183,PMT(Assum3IntRate/12,Assum3AmortPer*12,-Assum3OrigBal)+CH178)),)</f>
        <v>0</v>
      </c>
      <c r="CI185" s="203">
        <f>IF(AND(HasAssumableDebt3,Assumable3HasAmort,CI183,CI$5&gt;Assum3RemainTerm-AssumLoan3Term+Assume3IOPer),IF(Assum3PmtType=VariablePmt,PPMT(Assum3IntRate/12,CI$5+AssumLoan3Term-Assum3RemainTerm-Assume3IOPer,Assum3AmortPer*12,Assum3OrigBal),-MIN(CI183,PMT(Assum3IntRate/12,Assum3AmortPer*12,-Assum3OrigBal)+CI178)),)</f>
        <v>0</v>
      </c>
      <c r="CJ185" s="203">
        <f>IF(AND(HasAssumableDebt3,Assumable3HasAmort,CJ183,CJ$5&gt;Assum3RemainTerm-AssumLoan3Term+Assume3IOPer),IF(Assum3PmtType=VariablePmt,PPMT(Assum3IntRate/12,CJ$5+AssumLoan3Term-Assum3RemainTerm-Assume3IOPer,Assum3AmortPer*12,Assum3OrigBal),-MIN(CJ183,PMT(Assum3IntRate/12,Assum3AmortPer*12,-Assum3OrigBal)+CJ178)),)</f>
        <v>0</v>
      </c>
      <c r="CK185" s="203">
        <f>IF(AND(HasAssumableDebt3,Assumable3HasAmort,CK183,CK$5&gt;Assum3RemainTerm-AssumLoan3Term+Assume3IOPer),IF(Assum3PmtType=VariablePmt,PPMT(Assum3IntRate/12,CK$5+AssumLoan3Term-Assum3RemainTerm-Assume3IOPer,Assum3AmortPer*12,Assum3OrigBal),-MIN(CK183,PMT(Assum3IntRate/12,Assum3AmortPer*12,-Assum3OrigBal)+CK178)),)</f>
        <v>0</v>
      </c>
      <c r="CL185" s="203">
        <f>IF(AND(HasAssumableDebt3,Assumable3HasAmort,CL183,CL$5&gt;Assum3RemainTerm-AssumLoan3Term+Assume3IOPer),IF(Assum3PmtType=VariablePmt,PPMT(Assum3IntRate/12,CL$5+AssumLoan3Term-Assum3RemainTerm-Assume3IOPer,Assum3AmortPer*12,Assum3OrigBal),-MIN(CL183,PMT(Assum3IntRate/12,Assum3AmortPer*12,-Assum3OrigBal)+CL178)),)</f>
        <v>0</v>
      </c>
      <c r="CM185" s="203">
        <f>IF(AND(HasAssumableDebt3,Assumable3HasAmort,CM183,CM$5&gt;Assum3RemainTerm-AssumLoan3Term+Assume3IOPer),IF(Assum3PmtType=VariablePmt,PPMT(Assum3IntRate/12,CM$5+AssumLoan3Term-Assum3RemainTerm-Assume3IOPer,Assum3AmortPer*12,Assum3OrigBal),-MIN(CM183,PMT(Assum3IntRate/12,Assum3AmortPer*12,-Assum3OrigBal)+CM178)),)</f>
        <v>0</v>
      </c>
      <c r="CN185" s="203">
        <f>IF(AND(HasAssumableDebt3,Assumable3HasAmort,CN183,CN$5&gt;Assum3RemainTerm-AssumLoan3Term+Assume3IOPer),IF(Assum3PmtType=VariablePmt,PPMT(Assum3IntRate/12,CN$5+AssumLoan3Term-Assum3RemainTerm-Assume3IOPer,Assum3AmortPer*12,Assum3OrigBal),-MIN(CN183,PMT(Assum3IntRate/12,Assum3AmortPer*12,-Assum3OrigBal)+CN178)),)</f>
        <v>0</v>
      </c>
      <c r="CO185" s="203">
        <f>IF(AND(HasAssumableDebt3,Assumable3HasAmort,CO183,CO$5&gt;Assum3RemainTerm-AssumLoan3Term+Assume3IOPer),IF(Assum3PmtType=VariablePmt,PPMT(Assum3IntRate/12,CO$5+AssumLoan3Term-Assum3RemainTerm-Assume3IOPer,Assum3AmortPer*12,Assum3OrigBal),-MIN(CO183,PMT(Assum3IntRate/12,Assum3AmortPer*12,-Assum3OrigBal)+CO178)),)</f>
        <v>0</v>
      </c>
      <c r="CP185" s="203">
        <f>IF(AND(HasAssumableDebt3,Assumable3HasAmort,CP183,CP$5&gt;Assum3RemainTerm-AssumLoan3Term+Assume3IOPer),IF(Assum3PmtType=VariablePmt,PPMT(Assum3IntRate/12,CP$5+AssumLoan3Term-Assum3RemainTerm-Assume3IOPer,Assum3AmortPer*12,Assum3OrigBal),-MIN(CP183,PMT(Assum3IntRate/12,Assum3AmortPer*12,-Assum3OrigBal)+CP178)),)</f>
        <v>0</v>
      </c>
      <c r="CQ185" s="203">
        <f>IF(AND(HasAssumableDebt3,Assumable3HasAmort,CQ183,CQ$5&gt;Assum3RemainTerm-AssumLoan3Term+Assume3IOPer),IF(Assum3PmtType=VariablePmt,PPMT(Assum3IntRate/12,CQ$5+AssumLoan3Term-Assum3RemainTerm-Assume3IOPer,Assum3AmortPer*12,Assum3OrigBal),-MIN(CQ183,PMT(Assum3IntRate/12,Assum3AmortPer*12,-Assum3OrigBal)+CQ178)),)</f>
        <v>0</v>
      </c>
      <c r="CR185" s="203">
        <f>IF(AND(HasAssumableDebt3,Assumable3HasAmort,CR183,CR$5&gt;Assum3RemainTerm-AssumLoan3Term+Assume3IOPer),IF(Assum3PmtType=VariablePmt,PPMT(Assum3IntRate/12,CR$5+AssumLoan3Term-Assum3RemainTerm-Assume3IOPer,Assum3AmortPer*12,Assum3OrigBal),-MIN(CR183,PMT(Assum3IntRate/12,Assum3AmortPer*12,-Assum3OrigBal)+CR178)),)</f>
        <v>0</v>
      </c>
      <c r="CS185" s="203">
        <f>IF(AND(HasAssumableDebt3,Assumable3HasAmort,CS183,CS$5&gt;Assum3RemainTerm-AssumLoan3Term+Assume3IOPer),IF(Assum3PmtType=VariablePmt,PPMT(Assum3IntRate/12,CS$5+AssumLoan3Term-Assum3RemainTerm-Assume3IOPer,Assum3AmortPer*12,Assum3OrigBal),-MIN(CS183,PMT(Assum3IntRate/12,Assum3AmortPer*12,-Assum3OrigBal)+CS178)),)</f>
        <v>0</v>
      </c>
      <c r="CT185" s="203">
        <f>IF(AND(HasAssumableDebt3,Assumable3HasAmort,CT183,CT$5&gt;Assum3RemainTerm-AssumLoan3Term+Assume3IOPer),IF(Assum3PmtType=VariablePmt,PPMT(Assum3IntRate/12,CT$5+AssumLoan3Term-Assum3RemainTerm-Assume3IOPer,Assum3AmortPer*12,Assum3OrigBal),-MIN(CT183,PMT(Assum3IntRate/12,Assum3AmortPer*12,-Assum3OrigBal)+CT178)),)</f>
        <v>0</v>
      </c>
      <c r="CU185" s="203">
        <f>IF(AND(HasAssumableDebt3,Assumable3HasAmort,CU183,CU$5&gt;Assum3RemainTerm-AssumLoan3Term+Assume3IOPer),IF(Assum3PmtType=VariablePmt,PPMT(Assum3IntRate/12,CU$5+AssumLoan3Term-Assum3RemainTerm-Assume3IOPer,Assum3AmortPer*12,Assum3OrigBal),-MIN(CU183,PMT(Assum3IntRate/12,Assum3AmortPer*12,-Assum3OrigBal)+CU178)),)</f>
        <v>0</v>
      </c>
      <c r="CV185" s="203">
        <f>IF(AND(HasAssumableDebt3,Assumable3HasAmort,CV183,CV$5&gt;Assum3RemainTerm-AssumLoan3Term+Assume3IOPer),IF(Assum3PmtType=VariablePmt,PPMT(Assum3IntRate/12,CV$5+AssumLoan3Term-Assum3RemainTerm-Assume3IOPer,Assum3AmortPer*12,Assum3OrigBal),-MIN(CV183,PMT(Assum3IntRate/12,Assum3AmortPer*12,-Assum3OrigBal)+CV178)),)</f>
        <v>0</v>
      </c>
      <c r="CW185" s="203">
        <f>IF(AND(HasAssumableDebt3,Assumable3HasAmort,CW183,CW$5&gt;Assum3RemainTerm-AssumLoan3Term+Assume3IOPer),IF(Assum3PmtType=VariablePmt,PPMT(Assum3IntRate/12,CW$5+AssumLoan3Term-Assum3RemainTerm-Assume3IOPer,Assum3AmortPer*12,Assum3OrigBal),-MIN(CW183,PMT(Assum3IntRate/12,Assum3AmortPer*12,-Assum3OrigBal)+CW178)),)</f>
        <v>0</v>
      </c>
      <c r="CX185" s="203">
        <f>IF(AND(HasAssumableDebt3,Assumable3HasAmort,CX183,CX$5&gt;Assum3RemainTerm-AssumLoan3Term+Assume3IOPer),IF(Assum3PmtType=VariablePmt,PPMT(Assum3IntRate/12,CX$5+AssumLoan3Term-Assum3RemainTerm-Assume3IOPer,Assum3AmortPer*12,Assum3OrigBal),-MIN(CX183,PMT(Assum3IntRate/12,Assum3AmortPer*12,-Assum3OrigBal)+CX178)),)</f>
        <v>0</v>
      </c>
      <c r="CY185" s="203">
        <f>IF(AND(HasAssumableDebt3,Assumable3HasAmort,CY183,CY$5&gt;Assum3RemainTerm-AssumLoan3Term+Assume3IOPer),IF(Assum3PmtType=VariablePmt,PPMT(Assum3IntRate/12,CY$5+AssumLoan3Term-Assum3RemainTerm-Assume3IOPer,Assum3AmortPer*12,Assum3OrigBal),-MIN(CY183,PMT(Assum3IntRate/12,Assum3AmortPer*12,-Assum3OrigBal)+CY178)),)</f>
        <v>0</v>
      </c>
      <c r="CZ185" s="203">
        <f>IF(AND(HasAssumableDebt3,Assumable3HasAmort,CZ183,CZ$5&gt;Assum3RemainTerm-AssumLoan3Term+Assume3IOPer),IF(Assum3PmtType=VariablePmt,PPMT(Assum3IntRate/12,CZ$5+AssumLoan3Term-Assum3RemainTerm-Assume3IOPer,Assum3AmortPer*12,Assum3OrigBal),-MIN(CZ183,PMT(Assum3IntRate/12,Assum3AmortPer*12,-Assum3OrigBal)+CZ178)),)</f>
        <v>0</v>
      </c>
      <c r="DA185" s="203">
        <f>IF(AND(HasAssumableDebt3,Assumable3HasAmort,DA183,DA$5&gt;Assum3RemainTerm-AssumLoan3Term+Assume3IOPer),IF(Assum3PmtType=VariablePmt,PPMT(Assum3IntRate/12,DA$5+AssumLoan3Term-Assum3RemainTerm-Assume3IOPer,Assum3AmortPer*12,Assum3OrigBal),-MIN(DA183,PMT(Assum3IntRate/12,Assum3AmortPer*12,-Assum3OrigBal)+DA178)),)</f>
        <v>0</v>
      </c>
      <c r="DB185" s="203">
        <f>IF(AND(HasAssumableDebt3,Assumable3HasAmort,DB183,DB$5&gt;Assum3RemainTerm-AssumLoan3Term+Assume3IOPer),IF(Assum3PmtType=VariablePmt,PPMT(Assum3IntRate/12,DB$5+AssumLoan3Term-Assum3RemainTerm-Assume3IOPer,Assum3AmortPer*12,Assum3OrigBal),-MIN(DB183,PMT(Assum3IntRate/12,Assum3AmortPer*12,-Assum3OrigBal)+DB178)),)</f>
        <v>0</v>
      </c>
      <c r="DC185" s="203">
        <f>IF(AND(HasAssumableDebt3,Assumable3HasAmort,DC183,DC$5&gt;Assum3RemainTerm-AssumLoan3Term+Assume3IOPer),IF(Assum3PmtType=VariablePmt,PPMT(Assum3IntRate/12,DC$5+AssumLoan3Term-Assum3RemainTerm-Assume3IOPer,Assum3AmortPer*12,Assum3OrigBal),-MIN(DC183,PMT(Assum3IntRate/12,Assum3AmortPer*12,-Assum3OrigBal)+DC178)),)</f>
        <v>0</v>
      </c>
      <c r="DD185" s="203">
        <f>IF(AND(HasAssumableDebt3,Assumable3HasAmort,DD183,DD$5&gt;Assum3RemainTerm-AssumLoan3Term+Assume3IOPer),IF(Assum3PmtType=VariablePmt,PPMT(Assum3IntRate/12,DD$5+AssumLoan3Term-Assum3RemainTerm-Assume3IOPer,Assum3AmortPer*12,Assum3OrigBal),-MIN(DD183,PMT(Assum3IntRate/12,Assum3AmortPer*12,-Assum3OrigBal)+DD178)),)</f>
        <v>0</v>
      </c>
      <c r="DE185" s="203">
        <f>IF(AND(HasAssumableDebt3,Assumable3HasAmort,DE183,DE$5&gt;Assum3RemainTerm-AssumLoan3Term+Assume3IOPer),IF(Assum3PmtType=VariablePmt,PPMT(Assum3IntRate/12,DE$5+AssumLoan3Term-Assum3RemainTerm-Assume3IOPer,Assum3AmortPer*12,Assum3OrigBal),-MIN(DE183,PMT(Assum3IntRate/12,Assum3AmortPer*12,-Assum3OrigBal)+DE178)),)</f>
        <v>0</v>
      </c>
      <c r="DF185" s="203">
        <f>IF(AND(HasAssumableDebt3,Assumable3HasAmort,DF183,DF$5&gt;Assum3RemainTerm-AssumLoan3Term+Assume3IOPer),IF(Assum3PmtType=VariablePmt,PPMT(Assum3IntRate/12,DF$5+AssumLoan3Term-Assum3RemainTerm-Assume3IOPer,Assum3AmortPer*12,Assum3OrigBal),-MIN(DF183,PMT(Assum3IntRate/12,Assum3AmortPer*12,-Assum3OrigBal)+DF178)),)</f>
        <v>0</v>
      </c>
      <c r="DG185" s="203">
        <f>IF(AND(HasAssumableDebt3,Assumable3HasAmort,DG183,DG$5&gt;Assum3RemainTerm-AssumLoan3Term+Assume3IOPer),IF(Assum3PmtType=VariablePmt,PPMT(Assum3IntRate/12,DG$5+AssumLoan3Term-Assum3RemainTerm-Assume3IOPer,Assum3AmortPer*12,Assum3OrigBal),-MIN(DG183,PMT(Assum3IntRate/12,Assum3AmortPer*12,-Assum3OrigBal)+DG178)),)</f>
        <v>0</v>
      </c>
      <c r="DH185" s="203">
        <f>IF(AND(HasAssumableDebt3,Assumable3HasAmort,DH183,DH$5&gt;Assum3RemainTerm-AssumLoan3Term+Assume3IOPer),IF(Assum3PmtType=VariablePmt,PPMT(Assum3IntRate/12,DH$5+AssumLoan3Term-Assum3RemainTerm-Assume3IOPer,Assum3AmortPer*12,Assum3OrigBal),-MIN(DH183,PMT(Assum3IntRate/12,Assum3AmortPer*12,-Assum3OrigBal)+DH178)),)</f>
        <v>0</v>
      </c>
      <c r="DI185" s="203">
        <f>IF(AND(HasAssumableDebt3,Assumable3HasAmort,DI183,DI$5&gt;Assum3RemainTerm-AssumLoan3Term+Assume3IOPer),IF(Assum3PmtType=VariablePmt,PPMT(Assum3IntRate/12,DI$5+AssumLoan3Term-Assum3RemainTerm-Assume3IOPer,Assum3AmortPer*12,Assum3OrigBal),-MIN(DI183,PMT(Assum3IntRate/12,Assum3AmortPer*12,-Assum3OrigBal)+DI178)),)</f>
        <v>0</v>
      </c>
      <c r="DJ185" s="203">
        <f>IF(AND(HasAssumableDebt3,Assumable3HasAmort,DJ183,DJ$5&gt;Assum3RemainTerm-AssumLoan3Term+Assume3IOPer),IF(Assum3PmtType=VariablePmt,PPMT(Assum3IntRate/12,DJ$5+AssumLoan3Term-Assum3RemainTerm-Assume3IOPer,Assum3AmortPer*12,Assum3OrigBal),-MIN(DJ183,PMT(Assum3IntRate/12,Assum3AmortPer*12,-Assum3OrigBal)+DJ178)),)</f>
        <v>0</v>
      </c>
      <c r="DK185" s="203">
        <f>IF(AND(HasAssumableDebt3,Assumable3HasAmort,DK183,DK$5&gt;Assum3RemainTerm-AssumLoan3Term+Assume3IOPer),IF(Assum3PmtType=VariablePmt,PPMT(Assum3IntRate/12,DK$5+AssumLoan3Term-Assum3RemainTerm-Assume3IOPer,Assum3AmortPer*12,Assum3OrigBal),-MIN(DK183,PMT(Assum3IntRate/12,Assum3AmortPer*12,-Assum3OrigBal)+DK178)),)</f>
        <v>0</v>
      </c>
      <c r="DL185" s="203">
        <f>IF(AND(HasAssumableDebt3,Assumable3HasAmort,DL183,DL$5&gt;Assum3RemainTerm-AssumLoan3Term+Assume3IOPer),IF(Assum3PmtType=VariablePmt,PPMT(Assum3IntRate/12,DL$5+AssumLoan3Term-Assum3RemainTerm-Assume3IOPer,Assum3AmortPer*12,Assum3OrigBal),-MIN(DL183,PMT(Assum3IntRate/12,Assum3AmortPer*12,-Assum3OrigBal)+DL178)),)</f>
        <v>0</v>
      </c>
      <c r="DM185" s="203">
        <f>IF(AND(HasAssumableDebt3,Assumable3HasAmort,DM183,DM$5&gt;Assum3RemainTerm-AssumLoan3Term+Assume3IOPer),IF(Assum3PmtType=VariablePmt,PPMT(Assum3IntRate/12,DM$5+AssumLoan3Term-Assum3RemainTerm-Assume3IOPer,Assum3AmortPer*12,Assum3OrigBal),-MIN(DM183,PMT(Assum3IntRate/12,Assum3AmortPer*12,-Assum3OrigBal)+DM178)),)</f>
        <v>0</v>
      </c>
      <c r="DN185" s="203">
        <f>IF(AND(HasAssumableDebt3,Assumable3HasAmort,DN183,DN$5&gt;Assum3RemainTerm-AssumLoan3Term+Assume3IOPer),IF(Assum3PmtType=VariablePmt,PPMT(Assum3IntRate/12,DN$5+AssumLoan3Term-Assum3RemainTerm-Assume3IOPer,Assum3AmortPer*12,Assum3OrigBal),-MIN(DN183,PMT(Assum3IntRate/12,Assum3AmortPer*12,-Assum3OrigBal)+DN178)),)</f>
        <v>0</v>
      </c>
      <c r="DO185" s="203">
        <f>IF(AND(HasAssumableDebt3,Assumable3HasAmort,DO183,DO$5&gt;Assum3RemainTerm-AssumLoan3Term+Assume3IOPer),IF(Assum3PmtType=VariablePmt,PPMT(Assum3IntRate/12,DO$5+AssumLoan3Term-Assum3RemainTerm-Assume3IOPer,Assum3AmortPer*12,Assum3OrigBal),-MIN(DO183,PMT(Assum3IntRate/12,Assum3AmortPer*12,-Assum3OrigBal)+DO178)),)</f>
        <v>0</v>
      </c>
      <c r="DP185" s="203">
        <f>IF(AND(HasAssumableDebt3,Assumable3HasAmort,DP183,DP$5&gt;Assum3RemainTerm-AssumLoan3Term+Assume3IOPer),IF(Assum3PmtType=VariablePmt,PPMT(Assum3IntRate/12,DP$5+AssumLoan3Term-Assum3RemainTerm-Assume3IOPer,Assum3AmortPer*12,Assum3OrigBal),-MIN(DP183,PMT(Assum3IntRate/12,Assum3AmortPer*12,-Assum3OrigBal)+DP178)),)</f>
        <v>0</v>
      </c>
      <c r="DQ185" s="203">
        <f>IF(AND(HasAssumableDebt3,Assumable3HasAmort,DQ183,DQ$5&gt;Assum3RemainTerm-AssumLoan3Term+Assume3IOPer),IF(Assum3PmtType=VariablePmt,PPMT(Assum3IntRate/12,DQ$5+AssumLoan3Term-Assum3RemainTerm-Assume3IOPer,Assum3AmortPer*12,Assum3OrigBal),-MIN(DQ183,PMT(Assum3IntRate/12,Assum3AmortPer*12,-Assum3OrigBal)+DQ178)),)</f>
        <v>0</v>
      </c>
      <c r="DR185" s="203">
        <f>IF(AND(HasAssumableDebt3,Assumable3HasAmort,DR183,DR$5&gt;Assum3RemainTerm-AssumLoan3Term+Assume3IOPer),IF(Assum3PmtType=VariablePmt,PPMT(Assum3IntRate/12,DR$5+AssumLoan3Term-Assum3RemainTerm-Assume3IOPer,Assum3AmortPer*12,Assum3OrigBal),-MIN(DR183,PMT(Assum3IntRate/12,Assum3AmortPer*12,-Assum3OrigBal)+DR178)),)</f>
        <v>0</v>
      </c>
      <c r="DS185" s="203">
        <f>IF(AND(HasAssumableDebt3,Assumable3HasAmort,DS183,DS$5&gt;Assum3RemainTerm-AssumLoan3Term+Assume3IOPer),IF(Assum3PmtType=VariablePmt,PPMT(Assum3IntRate/12,DS$5+AssumLoan3Term-Assum3RemainTerm-Assume3IOPer,Assum3AmortPer*12,Assum3OrigBal),-MIN(DS183,PMT(Assum3IntRate/12,Assum3AmortPer*12,-Assum3OrigBal)+DS178)),)</f>
        <v>0</v>
      </c>
      <c r="DT185" s="203">
        <f>IF(AND(HasAssumableDebt3,Assumable3HasAmort,DT183,DT$5&gt;Assum3RemainTerm-AssumLoan3Term+Assume3IOPer),IF(Assum3PmtType=VariablePmt,PPMT(Assum3IntRate/12,DT$5+AssumLoan3Term-Assum3RemainTerm-Assume3IOPer,Assum3AmortPer*12,Assum3OrigBal),-MIN(DT183,PMT(Assum3IntRate/12,Assum3AmortPer*12,-Assum3OrigBal)+DT178)),)</f>
        <v>0</v>
      </c>
      <c r="DU185" s="203">
        <f>IF(AND(HasAssumableDebt3,Assumable3HasAmort,DU183,DU$5&gt;Assum3RemainTerm-AssumLoan3Term+Assume3IOPer),IF(Assum3PmtType=VariablePmt,PPMT(Assum3IntRate/12,DU$5+AssumLoan3Term-Assum3RemainTerm-Assume3IOPer,Assum3AmortPer*12,Assum3OrigBal),-MIN(DU183,PMT(Assum3IntRate/12,Assum3AmortPer*12,-Assum3OrigBal)+DU178)),)</f>
        <v>0</v>
      </c>
      <c r="DV185" s="203">
        <f>IF(AND(HasAssumableDebt3,Assumable3HasAmort,DV183,DV$5&gt;Assum3RemainTerm-AssumLoan3Term+Assume3IOPer),IF(Assum3PmtType=VariablePmt,PPMT(Assum3IntRate/12,DV$5+AssumLoan3Term-Assum3RemainTerm-Assume3IOPer,Assum3AmortPer*12,Assum3OrigBal),-MIN(DV183,PMT(Assum3IntRate/12,Assum3AmortPer*12,-Assum3OrigBal)+DV178)),)</f>
        <v>0</v>
      </c>
      <c r="DW185" s="203">
        <f>IF(AND(HasAssumableDebt3,Assumable3HasAmort,DW183,DW$5&gt;Assum3RemainTerm-AssumLoan3Term+Assume3IOPer),IF(Assum3PmtType=VariablePmt,PPMT(Assum3IntRate/12,DW$5+AssumLoan3Term-Assum3RemainTerm-Assume3IOPer,Assum3AmortPer*12,Assum3OrigBal),-MIN(DW183,PMT(Assum3IntRate/12,Assum3AmortPer*12,-Assum3OrigBal)+DW178)),)</f>
        <v>0</v>
      </c>
      <c r="DX185" s="203">
        <f>IF(AND(HasAssumableDebt3,Assumable3HasAmort,DX183,DX$5&gt;Assum3RemainTerm-AssumLoan3Term+Assume3IOPer),IF(Assum3PmtType=VariablePmt,PPMT(Assum3IntRate/12,DX$5+AssumLoan3Term-Assum3RemainTerm-Assume3IOPer,Assum3AmortPer*12,Assum3OrigBal),-MIN(DX183,PMT(Assum3IntRate/12,Assum3AmortPer*12,-Assum3OrigBal)+DX178)),)</f>
        <v>0</v>
      </c>
      <c r="DY185" s="203">
        <f>IF(AND(HasAssumableDebt3,Assumable3HasAmort,DY183,DY$5&gt;Assum3RemainTerm-AssumLoan3Term+Assume3IOPer),IF(Assum3PmtType=VariablePmt,PPMT(Assum3IntRate/12,DY$5+AssumLoan3Term-Assum3RemainTerm-Assume3IOPer,Assum3AmortPer*12,Assum3OrigBal),-MIN(DY183,PMT(Assum3IntRate/12,Assum3AmortPer*12,-Assum3OrigBal)+DY178)),)</f>
        <v>0</v>
      </c>
      <c r="DZ185" s="203">
        <f>IF(AND(HasAssumableDebt3,Assumable3HasAmort,DZ183,DZ$5&gt;Assum3RemainTerm-AssumLoan3Term+Assume3IOPer),IF(Assum3PmtType=VariablePmt,PPMT(Assum3IntRate/12,DZ$5+AssumLoan3Term-Assum3RemainTerm-Assume3IOPer,Assum3AmortPer*12,Assum3OrigBal),-MIN(DZ183,PMT(Assum3IntRate/12,Assum3AmortPer*12,-Assum3OrigBal)+DZ178)),)</f>
        <v>0</v>
      </c>
      <c r="EA185" s="203">
        <f>IF(AND(HasAssumableDebt3,Assumable3HasAmort,EA183,EA$5&gt;Assum3RemainTerm-AssumLoan3Term+Assume3IOPer),IF(Assum3PmtType=VariablePmt,PPMT(Assum3IntRate/12,EA$5+AssumLoan3Term-Assum3RemainTerm-Assume3IOPer,Assum3AmortPer*12,Assum3OrigBal),-MIN(EA183,PMT(Assum3IntRate/12,Assum3AmortPer*12,-Assum3OrigBal)+EA178)),)</f>
        <v>0</v>
      </c>
      <c r="EB185" s="203">
        <f>IF(AND(HasAssumableDebt3,Assumable3HasAmort,EB183,EB$5&gt;Assum3RemainTerm-AssumLoan3Term+Assume3IOPer),IF(Assum3PmtType=VariablePmt,PPMT(Assum3IntRate/12,EB$5+AssumLoan3Term-Assum3RemainTerm-Assume3IOPer,Assum3AmortPer*12,Assum3OrigBal),-MIN(EB183,PMT(Assum3IntRate/12,Assum3AmortPer*12,-Assum3OrigBal)+EB178)),)</f>
        <v>0</v>
      </c>
      <c r="EC185" s="203">
        <f>IF(AND(HasAssumableDebt3,Assumable3HasAmort,EC183,EC$5&gt;Assum3RemainTerm-AssumLoan3Term+Assume3IOPer),IF(Assum3PmtType=VariablePmt,PPMT(Assum3IntRate/12,EC$5+AssumLoan3Term-Assum3RemainTerm-Assume3IOPer,Assum3AmortPer*12,Assum3OrigBal),-MIN(EC183,PMT(Assum3IntRate/12,Assum3AmortPer*12,-Assum3OrigBal)+EC178)),)</f>
        <v>0</v>
      </c>
      <c r="ED185" s="203">
        <f>IF(AND(HasAssumableDebt3,Assumable3HasAmort,ED183,ED$5&gt;Assum3RemainTerm-AssumLoan3Term+Assume3IOPer),IF(Assum3PmtType=VariablePmt,PPMT(Assum3IntRate/12,ED$5+AssumLoan3Term-Assum3RemainTerm-Assume3IOPer,Assum3AmortPer*12,Assum3OrigBal),-MIN(ED183,PMT(Assum3IntRate/12,Assum3AmortPer*12,-Assum3OrigBal)+ED178)),)</f>
        <v>0</v>
      </c>
      <c r="EE185" s="203">
        <f>IF(AND(HasAssumableDebt3,Assumable3HasAmort,EE183,EE$5&gt;Assum3RemainTerm-AssumLoan3Term+Assume3IOPer),IF(Assum3PmtType=VariablePmt,PPMT(Assum3IntRate/12,EE$5+AssumLoan3Term-Assum3RemainTerm-Assume3IOPer,Assum3AmortPer*12,Assum3OrigBal),-MIN(EE183,PMT(Assum3IntRate/12,Assum3AmortPer*12,-Assum3OrigBal)+EE178)),)</f>
        <v>0</v>
      </c>
      <c r="EF185" s="203">
        <f>IF(AND(HasAssumableDebt3,Assumable3HasAmort,EF183,EF$5&gt;Assum3RemainTerm-AssumLoan3Term+Assume3IOPer),IF(Assum3PmtType=VariablePmt,PPMT(Assum3IntRate/12,EF$5+AssumLoan3Term-Assum3RemainTerm-Assume3IOPer,Assum3AmortPer*12,Assum3OrigBal),-MIN(EF183,PMT(Assum3IntRate/12,Assum3AmortPer*12,-Assum3OrigBal)+EF178)),)</f>
        <v>0</v>
      </c>
      <c r="EG185" s="203">
        <f>IF(AND(HasAssumableDebt3,Assumable3HasAmort,EG183,EG$5&gt;Assum3RemainTerm-AssumLoan3Term+Assume3IOPer),IF(Assum3PmtType=VariablePmt,PPMT(Assum3IntRate/12,EG$5+AssumLoan3Term-Assum3RemainTerm-Assume3IOPer,Assum3AmortPer*12,Assum3OrigBal),-MIN(EG183,PMT(Assum3IntRate/12,Assum3AmortPer*12,-Assum3OrigBal)+EG178)),)</f>
        <v>0</v>
      </c>
      <c r="EH185" s="203">
        <f>IF(AND(HasAssumableDebt3,Assumable3HasAmort,EH183,EH$5&gt;Assum3RemainTerm-AssumLoan3Term+Assume3IOPer),IF(Assum3PmtType=VariablePmt,PPMT(Assum3IntRate/12,EH$5+AssumLoan3Term-Assum3RemainTerm-Assume3IOPer,Assum3AmortPer*12,Assum3OrigBal),-MIN(EH183,PMT(Assum3IntRate/12,Assum3AmortPer*12,-Assum3OrigBal)+EH178)),)</f>
        <v>0</v>
      </c>
      <c r="EI185" s="203">
        <f>IF(AND(HasAssumableDebt3,Assumable3HasAmort,EI183,EI$5&gt;Assum3RemainTerm-AssumLoan3Term+Assume3IOPer),IF(Assum3PmtType=VariablePmt,PPMT(Assum3IntRate/12,EI$5+AssumLoan3Term-Assum3RemainTerm-Assume3IOPer,Assum3AmortPer*12,Assum3OrigBal),-MIN(EI183,PMT(Assum3IntRate/12,Assum3AmortPer*12,-Assum3OrigBal)+EI178)),)</f>
        <v>0</v>
      </c>
    </row>
    <row r="186" spans="2:139" ht="12.75" customHeight="1">
      <c r="B186" s="41" t="s">
        <v>184</v>
      </c>
      <c r="C186" s="211"/>
      <c r="D186" s="203">
        <f>SUMIF($S$6:$EI$6,D$5,$S186:$EI186)</f>
        <v>0</v>
      </c>
      <c r="E186" s="203">
        <f t="shared" si="301"/>
        <v>0</v>
      </c>
      <c r="F186" s="203">
        <f t="shared" si="301"/>
        <v>0</v>
      </c>
      <c r="G186" s="203">
        <f t="shared" si="301"/>
        <v>0</v>
      </c>
      <c r="H186" s="203">
        <f t="shared" si="301"/>
        <v>0</v>
      </c>
      <c r="I186" s="203">
        <f t="shared" si="301"/>
        <v>0</v>
      </c>
      <c r="J186" s="203">
        <f t="shared" si="301"/>
        <v>0</v>
      </c>
      <c r="K186" s="203">
        <f t="shared" si="301"/>
        <v>0</v>
      </c>
      <c r="L186" s="203">
        <f t="shared" si="301"/>
        <v>0</v>
      </c>
      <c r="M186" s="203">
        <f t="shared" si="301"/>
        <v>0</v>
      </c>
      <c r="N186" s="203">
        <f t="shared" si="301"/>
        <v>0</v>
      </c>
      <c r="O186" s="853">
        <f>SUM(D186:N186)</f>
        <v>0</v>
      </c>
      <c r="P186" s="313"/>
      <c r="Q186" s="313"/>
      <c r="R186" s="313"/>
      <c r="S186" s="203">
        <f t="shared" ref="S186:AX186" si="302">-SUM(S183:S185)*AND(S$5=MIN(Assum3PydwnMnth,Assum3RemainTerm,MAX(YrOfExit,1)*12))</f>
        <v>0</v>
      </c>
      <c r="T186" s="203">
        <f t="shared" si="302"/>
        <v>0</v>
      </c>
      <c r="U186" s="203">
        <f t="shared" si="302"/>
        <v>0</v>
      </c>
      <c r="V186" s="203">
        <f t="shared" si="302"/>
        <v>0</v>
      </c>
      <c r="W186" s="203">
        <f t="shared" si="302"/>
        <v>0</v>
      </c>
      <c r="X186" s="203">
        <f t="shared" si="302"/>
        <v>0</v>
      </c>
      <c r="Y186" s="203">
        <f t="shared" si="302"/>
        <v>0</v>
      </c>
      <c r="Z186" s="203">
        <f t="shared" si="302"/>
        <v>0</v>
      </c>
      <c r="AA186" s="203">
        <f t="shared" si="302"/>
        <v>0</v>
      </c>
      <c r="AB186" s="203">
        <f t="shared" si="302"/>
        <v>0</v>
      </c>
      <c r="AC186" s="203">
        <f t="shared" si="302"/>
        <v>0</v>
      </c>
      <c r="AD186" s="203">
        <f t="shared" si="302"/>
        <v>0</v>
      </c>
      <c r="AE186" s="203">
        <f t="shared" si="302"/>
        <v>0</v>
      </c>
      <c r="AF186" s="203">
        <f t="shared" si="302"/>
        <v>0</v>
      </c>
      <c r="AG186" s="203">
        <f t="shared" si="302"/>
        <v>0</v>
      </c>
      <c r="AH186" s="203">
        <f t="shared" si="302"/>
        <v>0</v>
      </c>
      <c r="AI186" s="203">
        <f t="shared" si="302"/>
        <v>0</v>
      </c>
      <c r="AJ186" s="203">
        <f t="shared" si="302"/>
        <v>0</v>
      </c>
      <c r="AK186" s="203">
        <f t="shared" si="302"/>
        <v>0</v>
      </c>
      <c r="AL186" s="203">
        <f t="shared" si="302"/>
        <v>0</v>
      </c>
      <c r="AM186" s="203">
        <f t="shared" si="302"/>
        <v>0</v>
      </c>
      <c r="AN186" s="203">
        <f t="shared" si="302"/>
        <v>0</v>
      </c>
      <c r="AO186" s="203">
        <f t="shared" si="302"/>
        <v>0</v>
      </c>
      <c r="AP186" s="203">
        <f t="shared" si="302"/>
        <v>0</v>
      </c>
      <c r="AQ186" s="203">
        <f t="shared" si="302"/>
        <v>0</v>
      </c>
      <c r="AR186" s="203">
        <f t="shared" si="302"/>
        <v>0</v>
      </c>
      <c r="AS186" s="203">
        <f t="shared" si="302"/>
        <v>0</v>
      </c>
      <c r="AT186" s="203">
        <f t="shared" si="302"/>
        <v>0</v>
      </c>
      <c r="AU186" s="203">
        <f t="shared" si="302"/>
        <v>0</v>
      </c>
      <c r="AV186" s="203">
        <f t="shared" si="302"/>
        <v>0</v>
      </c>
      <c r="AW186" s="203">
        <f t="shared" si="302"/>
        <v>0</v>
      </c>
      <c r="AX186" s="203">
        <f t="shared" si="302"/>
        <v>0</v>
      </c>
      <c r="AY186" s="203">
        <f t="shared" ref="AY186:CD186" si="303">-SUM(AY183:AY185)*AND(AY$5=MIN(Assum3PydwnMnth,Assum3RemainTerm,MAX(YrOfExit,1)*12))</f>
        <v>0</v>
      </c>
      <c r="AZ186" s="203">
        <f t="shared" si="303"/>
        <v>0</v>
      </c>
      <c r="BA186" s="203">
        <f t="shared" si="303"/>
        <v>0</v>
      </c>
      <c r="BB186" s="203">
        <f t="shared" si="303"/>
        <v>0</v>
      </c>
      <c r="BC186" s="203">
        <f t="shared" si="303"/>
        <v>0</v>
      </c>
      <c r="BD186" s="203">
        <f t="shared" si="303"/>
        <v>0</v>
      </c>
      <c r="BE186" s="203">
        <f t="shared" si="303"/>
        <v>0</v>
      </c>
      <c r="BF186" s="203">
        <f t="shared" si="303"/>
        <v>0</v>
      </c>
      <c r="BG186" s="203">
        <f t="shared" si="303"/>
        <v>0</v>
      </c>
      <c r="BH186" s="203">
        <f t="shared" si="303"/>
        <v>0</v>
      </c>
      <c r="BI186" s="203">
        <f t="shared" si="303"/>
        <v>0</v>
      </c>
      <c r="BJ186" s="203">
        <f t="shared" si="303"/>
        <v>0</v>
      </c>
      <c r="BK186" s="203">
        <f t="shared" si="303"/>
        <v>0</v>
      </c>
      <c r="BL186" s="203">
        <f t="shared" si="303"/>
        <v>0</v>
      </c>
      <c r="BM186" s="203">
        <f t="shared" si="303"/>
        <v>0</v>
      </c>
      <c r="BN186" s="203">
        <f t="shared" si="303"/>
        <v>0</v>
      </c>
      <c r="BO186" s="203">
        <f t="shared" si="303"/>
        <v>0</v>
      </c>
      <c r="BP186" s="203">
        <f t="shared" si="303"/>
        <v>0</v>
      </c>
      <c r="BQ186" s="203">
        <f t="shared" si="303"/>
        <v>0</v>
      </c>
      <c r="BR186" s="203">
        <f t="shared" si="303"/>
        <v>0</v>
      </c>
      <c r="BS186" s="203">
        <f t="shared" si="303"/>
        <v>0</v>
      </c>
      <c r="BT186" s="203">
        <f t="shared" si="303"/>
        <v>0</v>
      </c>
      <c r="BU186" s="203">
        <f t="shared" si="303"/>
        <v>0</v>
      </c>
      <c r="BV186" s="203">
        <f t="shared" si="303"/>
        <v>0</v>
      </c>
      <c r="BW186" s="203">
        <f t="shared" si="303"/>
        <v>0</v>
      </c>
      <c r="BX186" s="203">
        <f t="shared" si="303"/>
        <v>0</v>
      </c>
      <c r="BY186" s="203">
        <f t="shared" si="303"/>
        <v>0</v>
      </c>
      <c r="BZ186" s="203">
        <f t="shared" si="303"/>
        <v>0</v>
      </c>
      <c r="CA186" s="203">
        <f t="shared" si="303"/>
        <v>0</v>
      </c>
      <c r="CB186" s="203">
        <f t="shared" si="303"/>
        <v>0</v>
      </c>
      <c r="CC186" s="203">
        <f t="shared" si="303"/>
        <v>0</v>
      </c>
      <c r="CD186" s="203">
        <f t="shared" si="303"/>
        <v>0</v>
      </c>
      <c r="CE186" s="203">
        <f t="shared" ref="CE186:DJ186" si="304">-SUM(CE183:CE185)*AND(CE$5=MIN(Assum3PydwnMnth,Assum3RemainTerm,MAX(YrOfExit,1)*12))</f>
        <v>0</v>
      </c>
      <c r="CF186" s="203">
        <f t="shared" si="304"/>
        <v>0</v>
      </c>
      <c r="CG186" s="203">
        <f t="shared" si="304"/>
        <v>0</v>
      </c>
      <c r="CH186" s="203">
        <f t="shared" si="304"/>
        <v>0</v>
      </c>
      <c r="CI186" s="203">
        <f t="shared" si="304"/>
        <v>0</v>
      </c>
      <c r="CJ186" s="203">
        <f t="shared" si="304"/>
        <v>0</v>
      </c>
      <c r="CK186" s="203">
        <f t="shared" si="304"/>
        <v>0</v>
      </c>
      <c r="CL186" s="203">
        <f t="shared" si="304"/>
        <v>0</v>
      </c>
      <c r="CM186" s="203">
        <f t="shared" si="304"/>
        <v>0</v>
      </c>
      <c r="CN186" s="203">
        <f t="shared" si="304"/>
        <v>0</v>
      </c>
      <c r="CO186" s="203">
        <f t="shared" si="304"/>
        <v>0</v>
      </c>
      <c r="CP186" s="203">
        <f t="shared" si="304"/>
        <v>0</v>
      </c>
      <c r="CQ186" s="203">
        <f t="shared" si="304"/>
        <v>0</v>
      </c>
      <c r="CR186" s="203">
        <f t="shared" si="304"/>
        <v>0</v>
      </c>
      <c r="CS186" s="203">
        <f t="shared" si="304"/>
        <v>0</v>
      </c>
      <c r="CT186" s="203">
        <f t="shared" si="304"/>
        <v>0</v>
      </c>
      <c r="CU186" s="203">
        <f t="shared" si="304"/>
        <v>0</v>
      </c>
      <c r="CV186" s="203">
        <f t="shared" si="304"/>
        <v>0</v>
      </c>
      <c r="CW186" s="203">
        <f t="shared" si="304"/>
        <v>0</v>
      </c>
      <c r="CX186" s="203">
        <f t="shared" si="304"/>
        <v>0</v>
      </c>
      <c r="CY186" s="203">
        <f t="shared" si="304"/>
        <v>0</v>
      </c>
      <c r="CZ186" s="203">
        <f t="shared" si="304"/>
        <v>0</v>
      </c>
      <c r="DA186" s="203">
        <f t="shared" si="304"/>
        <v>0</v>
      </c>
      <c r="DB186" s="203">
        <f t="shared" si="304"/>
        <v>0</v>
      </c>
      <c r="DC186" s="203">
        <f t="shared" si="304"/>
        <v>0</v>
      </c>
      <c r="DD186" s="203">
        <f t="shared" si="304"/>
        <v>0</v>
      </c>
      <c r="DE186" s="203">
        <f t="shared" si="304"/>
        <v>0</v>
      </c>
      <c r="DF186" s="203">
        <f t="shared" si="304"/>
        <v>0</v>
      </c>
      <c r="DG186" s="203">
        <f t="shared" si="304"/>
        <v>0</v>
      </c>
      <c r="DH186" s="203">
        <f t="shared" si="304"/>
        <v>0</v>
      </c>
      <c r="DI186" s="203">
        <f t="shared" si="304"/>
        <v>0</v>
      </c>
      <c r="DJ186" s="203">
        <f t="shared" si="304"/>
        <v>0</v>
      </c>
      <c r="DK186" s="203">
        <f t="shared" ref="DK186:EP186" si="305">-SUM(DK183:DK185)*AND(DK$5=MIN(Assum3PydwnMnth,Assum3RemainTerm,MAX(YrOfExit,1)*12))</f>
        <v>0</v>
      </c>
      <c r="DL186" s="203">
        <f t="shared" si="305"/>
        <v>0</v>
      </c>
      <c r="DM186" s="203">
        <f t="shared" si="305"/>
        <v>0</v>
      </c>
      <c r="DN186" s="203">
        <f t="shared" si="305"/>
        <v>0</v>
      </c>
      <c r="DO186" s="203">
        <f t="shared" si="305"/>
        <v>0</v>
      </c>
      <c r="DP186" s="203">
        <f t="shared" si="305"/>
        <v>0</v>
      </c>
      <c r="DQ186" s="203">
        <f t="shared" si="305"/>
        <v>0</v>
      </c>
      <c r="DR186" s="203">
        <f t="shared" si="305"/>
        <v>0</v>
      </c>
      <c r="DS186" s="203">
        <f t="shared" si="305"/>
        <v>0</v>
      </c>
      <c r="DT186" s="203">
        <f t="shared" si="305"/>
        <v>0</v>
      </c>
      <c r="DU186" s="203">
        <f t="shared" si="305"/>
        <v>0</v>
      </c>
      <c r="DV186" s="203">
        <f t="shared" si="305"/>
        <v>0</v>
      </c>
      <c r="DW186" s="203">
        <f t="shared" si="305"/>
        <v>0</v>
      </c>
      <c r="DX186" s="203">
        <f t="shared" si="305"/>
        <v>0</v>
      </c>
      <c r="DY186" s="203">
        <f t="shared" si="305"/>
        <v>0</v>
      </c>
      <c r="DZ186" s="203">
        <f t="shared" si="305"/>
        <v>0</v>
      </c>
      <c r="EA186" s="203">
        <f t="shared" si="305"/>
        <v>0</v>
      </c>
      <c r="EB186" s="203">
        <f t="shared" si="305"/>
        <v>0</v>
      </c>
      <c r="EC186" s="203">
        <f t="shared" si="305"/>
        <v>0</v>
      </c>
      <c r="ED186" s="203">
        <f t="shared" si="305"/>
        <v>0</v>
      </c>
      <c r="EE186" s="203">
        <f t="shared" si="305"/>
        <v>0</v>
      </c>
      <c r="EF186" s="203">
        <f t="shared" si="305"/>
        <v>0</v>
      </c>
      <c r="EG186" s="203">
        <f t="shared" si="305"/>
        <v>0</v>
      </c>
      <c r="EH186" s="203">
        <f t="shared" si="305"/>
        <v>0</v>
      </c>
      <c r="EI186" s="203">
        <f t="shared" si="305"/>
        <v>0</v>
      </c>
    </row>
    <row r="187" spans="2:139" ht="12.75" customHeight="1">
      <c r="B187" s="46" t="s">
        <v>595</v>
      </c>
      <c r="C187" s="209"/>
      <c r="D187" s="854">
        <f t="shared" ref="D187:O187" si="306">SUBTOTAL(9,D183:D186)*(SUM(D183:D186)&gt;1)</f>
        <v>0</v>
      </c>
      <c r="E187" s="854">
        <f t="shared" si="306"/>
        <v>0</v>
      </c>
      <c r="F187" s="854">
        <f t="shared" si="306"/>
        <v>0</v>
      </c>
      <c r="G187" s="854">
        <f t="shared" si="306"/>
        <v>0</v>
      </c>
      <c r="H187" s="854">
        <f t="shared" si="306"/>
        <v>0</v>
      </c>
      <c r="I187" s="854">
        <f t="shared" si="306"/>
        <v>0</v>
      </c>
      <c r="J187" s="854">
        <f t="shared" si="306"/>
        <v>0</v>
      </c>
      <c r="K187" s="854">
        <f t="shared" si="306"/>
        <v>0</v>
      </c>
      <c r="L187" s="854">
        <f t="shared" si="306"/>
        <v>0</v>
      </c>
      <c r="M187" s="854">
        <f t="shared" si="306"/>
        <v>0</v>
      </c>
      <c r="N187" s="854">
        <f t="shared" si="306"/>
        <v>0</v>
      </c>
      <c r="O187" s="855">
        <f t="shared" si="306"/>
        <v>0</v>
      </c>
      <c r="P187" s="313"/>
      <c r="Q187" s="313"/>
      <c r="R187" s="313"/>
      <c r="S187" s="854">
        <f t="shared" ref="S187:AX187" si="307">SUBTOTAL(9,S183:S186)*(SUM(S183:S186)&gt;1)</f>
        <v>0</v>
      </c>
      <c r="T187" s="854">
        <f t="shared" si="307"/>
        <v>0</v>
      </c>
      <c r="U187" s="854">
        <f t="shared" si="307"/>
        <v>0</v>
      </c>
      <c r="V187" s="854">
        <f t="shared" si="307"/>
        <v>0</v>
      </c>
      <c r="W187" s="854">
        <f t="shared" si="307"/>
        <v>0</v>
      </c>
      <c r="X187" s="854">
        <f t="shared" si="307"/>
        <v>0</v>
      </c>
      <c r="Y187" s="854">
        <f t="shared" si="307"/>
        <v>0</v>
      </c>
      <c r="Z187" s="854">
        <f t="shared" si="307"/>
        <v>0</v>
      </c>
      <c r="AA187" s="854">
        <f t="shared" si="307"/>
        <v>0</v>
      </c>
      <c r="AB187" s="854">
        <f t="shared" si="307"/>
        <v>0</v>
      </c>
      <c r="AC187" s="854">
        <f t="shared" si="307"/>
        <v>0</v>
      </c>
      <c r="AD187" s="854">
        <f t="shared" si="307"/>
        <v>0</v>
      </c>
      <c r="AE187" s="854">
        <f t="shared" si="307"/>
        <v>0</v>
      </c>
      <c r="AF187" s="854">
        <f t="shared" si="307"/>
        <v>0</v>
      </c>
      <c r="AG187" s="854">
        <f t="shared" si="307"/>
        <v>0</v>
      </c>
      <c r="AH187" s="854">
        <f t="shared" si="307"/>
        <v>0</v>
      </c>
      <c r="AI187" s="854">
        <f t="shared" si="307"/>
        <v>0</v>
      </c>
      <c r="AJ187" s="854">
        <f t="shared" si="307"/>
        <v>0</v>
      </c>
      <c r="AK187" s="854">
        <f t="shared" si="307"/>
        <v>0</v>
      </c>
      <c r="AL187" s="854">
        <f t="shared" si="307"/>
        <v>0</v>
      </c>
      <c r="AM187" s="854">
        <f t="shared" si="307"/>
        <v>0</v>
      </c>
      <c r="AN187" s="854">
        <f t="shared" si="307"/>
        <v>0</v>
      </c>
      <c r="AO187" s="854">
        <f t="shared" si="307"/>
        <v>0</v>
      </c>
      <c r="AP187" s="854">
        <f t="shared" si="307"/>
        <v>0</v>
      </c>
      <c r="AQ187" s="854">
        <f t="shared" si="307"/>
        <v>0</v>
      </c>
      <c r="AR187" s="854">
        <f t="shared" si="307"/>
        <v>0</v>
      </c>
      <c r="AS187" s="854">
        <f t="shared" si="307"/>
        <v>0</v>
      </c>
      <c r="AT187" s="854">
        <f t="shared" si="307"/>
        <v>0</v>
      </c>
      <c r="AU187" s="854">
        <f t="shared" si="307"/>
        <v>0</v>
      </c>
      <c r="AV187" s="854">
        <f t="shared" si="307"/>
        <v>0</v>
      </c>
      <c r="AW187" s="854">
        <f t="shared" si="307"/>
        <v>0</v>
      </c>
      <c r="AX187" s="854">
        <f t="shared" si="307"/>
        <v>0</v>
      </c>
      <c r="AY187" s="854">
        <f t="shared" ref="AY187:CD187" si="308">SUBTOTAL(9,AY183:AY186)*(SUM(AY183:AY186)&gt;1)</f>
        <v>0</v>
      </c>
      <c r="AZ187" s="854">
        <f t="shared" si="308"/>
        <v>0</v>
      </c>
      <c r="BA187" s="854">
        <f t="shared" si="308"/>
        <v>0</v>
      </c>
      <c r="BB187" s="854">
        <f t="shared" si="308"/>
        <v>0</v>
      </c>
      <c r="BC187" s="854">
        <f t="shared" si="308"/>
        <v>0</v>
      </c>
      <c r="BD187" s="854">
        <f t="shared" si="308"/>
        <v>0</v>
      </c>
      <c r="BE187" s="854">
        <f t="shared" si="308"/>
        <v>0</v>
      </c>
      <c r="BF187" s="854">
        <f t="shared" si="308"/>
        <v>0</v>
      </c>
      <c r="BG187" s="854">
        <f t="shared" si="308"/>
        <v>0</v>
      </c>
      <c r="BH187" s="854">
        <f t="shared" si="308"/>
        <v>0</v>
      </c>
      <c r="BI187" s="854">
        <f t="shared" si="308"/>
        <v>0</v>
      </c>
      <c r="BJ187" s="854">
        <f t="shared" si="308"/>
        <v>0</v>
      </c>
      <c r="BK187" s="854">
        <f t="shared" si="308"/>
        <v>0</v>
      </c>
      <c r="BL187" s="854">
        <f t="shared" si="308"/>
        <v>0</v>
      </c>
      <c r="BM187" s="854">
        <f t="shared" si="308"/>
        <v>0</v>
      </c>
      <c r="BN187" s="854">
        <f t="shared" si="308"/>
        <v>0</v>
      </c>
      <c r="BO187" s="854">
        <f t="shared" si="308"/>
        <v>0</v>
      </c>
      <c r="BP187" s="854">
        <f t="shared" si="308"/>
        <v>0</v>
      </c>
      <c r="BQ187" s="854">
        <f t="shared" si="308"/>
        <v>0</v>
      </c>
      <c r="BR187" s="854">
        <f t="shared" si="308"/>
        <v>0</v>
      </c>
      <c r="BS187" s="854">
        <f t="shared" si="308"/>
        <v>0</v>
      </c>
      <c r="BT187" s="854">
        <f t="shared" si="308"/>
        <v>0</v>
      </c>
      <c r="BU187" s="854">
        <f t="shared" si="308"/>
        <v>0</v>
      </c>
      <c r="BV187" s="854">
        <f t="shared" si="308"/>
        <v>0</v>
      </c>
      <c r="BW187" s="854">
        <f t="shared" si="308"/>
        <v>0</v>
      </c>
      <c r="BX187" s="854">
        <f t="shared" si="308"/>
        <v>0</v>
      </c>
      <c r="BY187" s="854">
        <f t="shared" si="308"/>
        <v>0</v>
      </c>
      <c r="BZ187" s="854">
        <f t="shared" si="308"/>
        <v>0</v>
      </c>
      <c r="CA187" s="854">
        <f t="shared" si="308"/>
        <v>0</v>
      </c>
      <c r="CB187" s="854">
        <f t="shared" si="308"/>
        <v>0</v>
      </c>
      <c r="CC187" s="854">
        <f t="shared" si="308"/>
        <v>0</v>
      </c>
      <c r="CD187" s="854">
        <f t="shared" si="308"/>
        <v>0</v>
      </c>
      <c r="CE187" s="854">
        <f t="shared" ref="CE187:DJ187" si="309">SUBTOTAL(9,CE183:CE186)*(SUM(CE183:CE186)&gt;1)</f>
        <v>0</v>
      </c>
      <c r="CF187" s="854">
        <f t="shared" si="309"/>
        <v>0</v>
      </c>
      <c r="CG187" s="854">
        <f t="shared" si="309"/>
        <v>0</v>
      </c>
      <c r="CH187" s="854">
        <f t="shared" si="309"/>
        <v>0</v>
      </c>
      <c r="CI187" s="854">
        <f t="shared" si="309"/>
        <v>0</v>
      </c>
      <c r="CJ187" s="854">
        <f t="shared" si="309"/>
        <v>0</v>
      </c>
      <c r="CK187" s="854">
        <f t="shared" si="309"/>
        <v>0</v>
      </c>
      <c r="CL187" s="854">
        <f t="shared" si="309"/>
        <v>0</v>
      </c>
      <c r="CM187" s="854">
        <f t="shared" si="309"/>
        <v>0</v>
      </c>
      <c r="CN187" s="854">
        <f t="shared" si="309"/>
        <v>0</v>
      </c>
      <c r="CO187" s="854">
        <f t="shared" si="309"/>
        <v>0</v>
      </c>
      <c r="CP187" s="854">
        <f t="shared" si="309"/>
        <v>0</v>
      </c>
      <c r="CQ187" s="854">
        <f t="shared" si="309"/>
        <v>0</v>
      </c>
      <c r="CR187" s="854">
        <f t="shared" si="309"/>
        <v>0</v>
      </c>
      <c r="CS187" s="854">
        <f t="shared" si="309"/>
        <v>0</v>
      </c>
      <c r="CT187" s="854">
        <f t="shared" si="309"/>
        <v>0</v>
      </c>
      <c r="CU187" s="854">
        <f t="shared" si="309"/>
        <v>0</v>
      </c>
      <c r="CV187" s="854">
        <f t="shared" si="309"/>
        <v>0</v>
      </c>
      <c r="CW187" s="854">
        <f t="shared" si="309"/>
        <v>0</v>
      </c>
      <c r="CX187" s="854">
        <f t="shared" si="309"/>
        <v>0</v>
      </c>
      <c r="CY187" s="854">
        <f t="shared" si="309"/>
        <v>0</v>
      </c>
      <c r="CZ187" s="854">
        <f t="shared" si="309"/>
        <v>0</v>
      </c>
      <c r="DA187" s="854">
        <f t="shared" si="309"/>
        <v>0</v>
      </c>
      <c r="DB187" s="854">
        <f t="shared" si="309"/>
        <v>0</v>
      </c>
      <c r="DC187" s="854">
        <f t="shared" si="309"/>
        <v>0</v>
      </c>
      <c r="DD187" s="854">
        <f t="shared" si="309"/>
        <v>0</v>
      </c>
      <c r="DE187" s="854">
        <f t="shared" si="309"/>
        <v>0</v>
      </c>
      <c r="DF187" s="854">
        <f t="shared" si="309"/>
        <v>0</v>
      </c>
      <c r="DG187" s="854">
        <f t="shared" si="309"/>
        <v>0</v>
      </c>
      <c r="DH187" s="854">
        <f t="shared" si="309"/>
        <v>0</v>
      </c>
      <c r="DI187" s="854">
        <f t="shared" si="309"/>
        <v>0</v>
      </c>
      <c r="DJ187" s="854">
        <f t="shared" si="309"/>
        <v>0</v>
      </c>
      <c r="DK187" s="854">
        <f t="shared" ref="DK187:EP187" si="310">SUBTOTAL(9,DK183:DK186)*(SUM(DK183:DK186)&gt;1)</f>
        <v>0</v>
      </c>
      <c r="DL187" s="854">
        <f t="shared" si="310"/>
        <v>0</v>
      </c>
      <c r="DM187" s="854">
        <f t="shared" si="310"/>
        <v>0</v>
      </c>
      <c r="DN187" s="854">
        <f t="shared" si="310"/>
        <v>0</v>
      </c>
      <c r="DO187" s="854">
        <f t="shared" si="310"/>
        <v>0</v>
      </c>
      <c r="DP187" s="854">
        <f t="shared" si="310"/>
        <v>0</v>
      </c>
      <c r="DQ187" s="854">
        <f t="shared" si="310"/>
        <v>0</v>
      </c>
      <c r="DR187" s="854">
        <f t="shared" si="310"/>
        <v>0</v>
      </c>
      <c r="DS187" s="854">
        <f t="shared" si="310"/>
        <v>0</v>
      </c>
      <c r="DT187" s="854">
        <f t="shared" si="310"/>
        <v>0</v>
      </c>
      <c r="DU187" s="854">
        <f t="shared" si="310"/>
        <v>0</v>
      </c>
      <c r="DV187" s="854">
        <f t="shared" si="310"/>
        <v>0</v>
      </c>
      <c r="DW187" s="854">
        <f t="shared" si="310"/>
        <v>0</v>
      </c>
      <c r="DX187" s="854">
        <f t="shared" si="310"/>
        <v>0</v>
      </c>
      <c r="DY187" s="854">
        <f t="shared" si="310"/>
        <v>0</v>
      </c>
      <c r="DZ187" s="854">
        <f t="shared" si="310"/>
        <v>0</v>
      </c>
      <c r="EA187" s="854">
        <f t="shared" si="310"/>
        <v>0</v>
      </c>
      <c r="EB187" s="854">
        <f t="shared" si="310"/>
        <v>0</v>
      </c>
      <c r="EC187" s="854">
        <f t="shared" si="310"/>
        <v>0</v>
      </c>
      <c r="ED187" s="854">
        <f t="shared" si="310"/>
        <v>0</v>
      </c>
      <c r="EE187" s="854">
        <f t="shared" si="310"/>
        <v>0</v>
      </c>
      <c r="EF187" s="854">
        <f t="shared" si="310"/>
        <v>0</v>
      </c>
      <c r="EG187" s="854">
        <f t="shared" si="310"/>
        <v>0</v>
      </c>
      <c r="EH187" s="854">
        <f t="shared" si="310"/>
        <v>0</v>
      </c>
      <c r="EI187" s="854">
        <f t="shared" si="310"/>
        <v>0</v>
      </c>
    </row>
    <row r="188" spans="2:139" ht="12.75" customHeight="1">
      <c r="B188" s="46"/>
      <c r="C188" s="209"/>
      <c r="D188" s="857"/>
      <c r="E188" s="857"/>
      <c r="F188" s="857"/>
      <c r="G188" s="857"/>
      <c r="H188" s="857"/>
      <c r="I188" s="857"/>
      <c r="J188" s="857"/>
      <c r="K188" s="857"/>
      <c r="L188" s="857"/>
      <c r="M188" s="857"/>
      <c r="N188" s="857"/>
      <c r="O188" s="858"/>
      <c r="P188" s="313"/>
      <c r="Q188" s="313"/>
      <c r="R188" s="313"/>
      <c r="S188" s="857"/>
      <c r="T188" s="857"/>
      <c r="U188" s="857"/>
      <c r="V188" s="857"/>
      <c r="W188" s="857"/>
      <c r="X188" s="857"/>
      <c r="Y188" s="857"/>
      <c r="Z188" s="857"/>
      <c r="AA188" s="857"/>
      <c r="AB188" s="857"/>
      <c r="AC188" s="857"/>
      <c r="AD188" s="857"/>
      <c r="AE188" s="857"/>
      <c r="AF188" s="857"/>
      <c r="AG188" s="857"/>
      <c r="AH188" s="857"/>
      <c r="AI188" s="857"/>
      <c r="AJ188" s="857"/>
      <c r="AK188" s="857"/>
      <c r="AL188" s="857"/>
      <c r="AM188" s="857"/>
      <c r="AN188" s="857"/>
      <c r="AO188" s="857"/>
      <c r="AP188" s="857"/>
      <c r="AQ188" s="857"/>
      <c r="AR188" s="857"/>
      <c r="AS188" s="857"/>
      <c r="AT188" s="857"/>
      <c r="AU188" s="857"/>
      <c r="AV188" s="857"/>
      <c r="AW188" s="857"/>
      <c r="AX188" s="857"/>
      <c r="AY188" s="857"/>
      <c r="AZ188" s="857"/>
      <c r="BA188" s="857"/>
      <c r="BB188" s="857"/>
      <c r="BC188" s="857"/>
      <c r="BD188" s="857"/>
      <c r="BE188" s="857"/>
      <c r="BF188" s="857"/>
      <c r="BG188" s="857"/>
      <c r="BH188" s="857"/>
      <c r="BI188" s="857"/>
      <c r="BJ188" s="857"/>
      <c r="BK188" s="857"/>
      <c r="BL188" s="857"/>
      <c r="BM188" s="857"/>
      <c r="BN188" s="857"/>
      <c r="BO188" s="857"/>
      <c r="BP188" s="857"/>
      <c r="BQ188" s="857"/>
      <c r="BR188" s="857"/>
      <c r="BS188" s="857"/>
      <c r="BT188" s="857"/>
      <c r="BU188" s="857"/>
      <c r="BV188" s="857"/>
      <c r="BW188" s="857"/>
      <c r="BX188" s="857"/>
      <c r="BY188" s="857"/>
      <c r="BZ188" s="857"/>
      <c r="CA188" s="857"/>
      <c r="CB188" s="857"/>
      <c r="CC188" s="857"/>
      <c r="CD188" s="857"/>
      <c r="CE188" s="857"/>
      <c r="CF188" s="857"/>
      <c r="CG188" s="857"/>
      <c r="CH188" s="857"/>
      <c r="CI188" s="857"/>
      <c r="CJ188" s="857"/>
      <c r="CK188" s="857"/>
      <c r="CL188" s="857"/>
      <c r="CM188" s="857"/>
      <c r="CN188" s="857"/>
      <c r="CO188" s="857"/>
      <c r="CP188" s="857"/>
      <c r="CQ188" s="857"/>
      <c r="CR188" s="857"/>
      <c r="CS188" s="857"/>
      <c r="CT188" s="857"/>
      <c r="CU188" s="857"/>
      <c r="CV188" s="857"/>
      <c r="CW188" s="857"/>
      <c r="CX188" s="857"/>
      <c r="CY188" s="857"/>
      <c r="CZ188" s="857"/>
      <c r="DA188" s="857"/>
      <c r="DB188" s="857"/>
      <c r="DC188" s="857"/>
      <c r="DD188" s="857"/>
      <c r="DE188" s="857"/>
      <c r="DF188" s="857"/>
      <c r="DG188" s="857"/>
      <c r="DH188" s="857"/>
      <c r="DI188" s="857"/>
      <c r="DJ188" s="857"/>
      <c r="DK188" s="857"/>
      <c r="DL188" s="857"/>
      <c r="DM188" s="857"/>
      <c r="DN188" s="857"/>
      <c r="DO188" s="857"/>
      <c r="DP188" s="857"/>
      <c r="DQ188" s="857"/>
      <c r="DR188" s="857"/>
      <c r="DS188" s="857"/>
      <c r="DT188" s="857"/>
      <c r="DU188" s="857"/>
      <c r="DV188" s="857"/>
      <c r="DW188" s="857"/>
      <c r="DX188" s="857"/>
      <c r="DY188" s="857"/>
      <c r="DZ188" s="857"/>
      <c r="EA188" s="857"/>
      <c r="EB188" s="857"/>
      <c r="EC188" s="857"/>
      <c r="ED188" s="857"/>
      <c r="EE188" s="857"/>
      <c r="EF188" s="857"/>
      <c r="EG188" s="857"/>
      <c r="EH188" s="857"/>
      <c r="EI188" s="857"/>
    </row>
    <row r="189" spans="2:139" ht="12.75" customHeight="1">
      <c r="B189" s="1045" t="s">
        <v>48</v>
      </c>
      <c r="C189" s="211"/>
      <c r="D189" s="203"/>
      <c r="E189" s="203"/>
      <c r="F189" s="203"/>
      <c r="G189" s="203"/>
      <c r="H189" s="203"/>
      <c r="I189" s="203"/>
      <c r="J189" s="203"/>
      <c r="K189" s="203"/>
      <c r="L189" s="203"/>
      <c r="M189" s="203"/>
      <c r="N189" s="203"/>
      <c r="O189" s="853"/>
      <c r="P189" s="313"/>
      <c r="Q189" s="313"/>
      <c r="R189" s="313"/>
      <c r="S189" s="203"/>
      <c r="T189" s="203"/>
      <c r="U189" s="203"/>
      <c r="V189" s="203"/>
      <c r="W189" s="203"/>
      <c r="X189" s="203"/>
      <c r="Y189" s="203"/>
      <c r="Z189" s="203"/>
      <c r="AA189" s="203"/>
      <c r="AB189" s="203"/>
      <c r="AC189" s="203"/>
      <c r="AD189" s="203"/>
      <c r="AE189" s="203"/>
      <c r="AF189" s="203"/>
      <c r="AG189" s="203"/>
      <c r="AH189" s="203"/>
      <c r="AI189" s="203"/>
      <c r="AJ189" s="203"/>
      <c r="AK189" s="203"/>
      <c r="AL189" s="203"/>
      <c r="AM189" s="203"/>
      <c r="AN189" s="203"/>
      <c r="AO189" s="203"/>
      <c r="AP189" s="203"/>
      <c r="AQ189" s="203"/>
      <c r="AR189" s="203"/>
      <c r="AS189" s="203"/>
      <c r="AT189" s="203"/>
      <c r="AU189" s="203"/>
      <c r="AV189" s="203"/>
      <c r="AW189" s="203"/>
      <c r="AX189" s="203"/>
      <c r="AY189" s="203"/>
      <c r="AZ189" s="203"/>
      <c r="BA189" s="203"/>
      <c r="BB189" s="203"/>
      <c r="BC189" s="203"/>
      <c r="BD189" s="203"/>
      <c r="BE189" s="203"/>
      <c r="BF189" s="203"/>
      <c r="BG189" s="203"/>
      <c r="BH189" s="203"/>
      <c r="BI189" s="203"/>
      <c r="BJ189" s="203"/>
      <c r="BK189" s="203"/>
      <c r="BL189" s="203"/>
      <c r="BM189" s="203"/>
      <c r="BN189" s="203"/>
      <c r="BO189" s="203"/>
      <c r="BP189" s="203"/>
      <c r="BQ189" s="203"/>
      <c r="BR189" s="203"/>
      <c r="BS189" s="203"/>
      <c r="BT189" s="203"/>
      <c r="BU189" s="203"/>
      <c r="BV189" s="203"/>
      <c r="BW189" s="203"/>
      <c r="BX189" s="203"/>
      <c r="BY189" s="203"/>
      <c r="BZ189" s="203"/>
      <c r="CA189" s="203"/>
      <c r="CB189" s="203"/>
      <c r="CC189" s="203"/>
      <c r="CD189" s="203"/>
      <c r="CE189" s="203"/>
      <c r="CF189" s="203"/>
      <c r="CG189" s="203"/>
      <c r="CH189" s="203"/>
      <c r="CI189" s="203"/>
      <c r="CJ189" s="203"/>
      <c r="CK189" s="203"/>
      <c r="CL189" s="203"/>
      <c r="CM189" s="203"/>
      <c r="CN189" s="203"/>
      <c r="CO189" s="203"/>
      <c r="CP189" s="203"/>
      <c r="CQ189" s="203"/>
      <c r="CR189" s="203"/>
      <c r="CS189" s="203"/>
      <c r="CT189" s="203"/>
      <c r="CU189" s="203"/>
      <c r="CV189" s="203"/>
      <c r="CW189" s="203"/>
      <c r="CX189" s="203"/>
      <c r="CY189" s="203"/>
      <c r="CZ189" s="203"/>
      <c r="DA189" s="203"/>
      <c r="DB189" s="203"/>
      <c r="DC189" s="203"/>
      <c r="DD189" s="203"/>
      <c r="DE189" s="203"/>
      <c r="DF189" s="203"/>
      <c r="DG189" s="203"/>
      <c r="DH189" s="203"/>
      <c r="DI189" s="203"/>
      <c r="DJ189" s="203"/>
      <c r="DK189" s="203"/>
      <c r="DL189" s="203"/>
      <c r="DM189" s="203"/>
      <c r="DN189" s="203"/>
      <c r="DO189" s="203"/>
      <c r="DP189" s="203"/>
      <c r="DQ189" s="203"/>
      <c r="DR189" s="203"/>
      <c r="DS189" s="203"/>
      <c r="DT189" s="203"/>
      <c r="DU189" s="203"/>
      <c r="DV189" s="203"/>
      <c r="DW189" s="203"/>
      <c r="DX189" s="203"/>
      <c r="DY189" s="203"/>
      <c r="DZ189" s="203"/>
      <c r="EA189" s="203"/>
      <c r="EB189" s="203"/>
      <c r="EC189" s="203"/>
      <c r="ED189" s="203"/>
      <c r="EE189" s="203"/>
      <c r="EF189" s="203"/>
      <c r="EG189" s="203"/>
      <c r="EH189" s="203"/>
      <c r="EI189" s="203"/>
    </row>
    <row r="190" spans="2:139" ht="12.75" customHeight="1">
      <c r="B190" s="41" t="str">
        <f>IF(AssumIntType=FixedInterest,B192,"Interest Rate before Floor/Cap")</f>
        <v>Assumable Loan Interest Rate</v>
      </c>
      <c r="C190" s="211"/>
      <c r="D190" s="203"/>
      <c r="E190" s="862">
        <f>IF(Assum3IntType=FixedInterest,Assum3IntRate,(SUMIF('Multiple Assumable Loans'!$I$17:$I$26,E$4,'Multiple Assumable Loans'!$M$17:$M$26)+Assum3IntSprd/10000))*AND(AssumLoan3Term&lt;&gt;"",E$4&gt;AnalysisStartDate,E$183+E184&gt;0)</f>
        <v>0</v>
      </c>
      <c r="F190" s="862">
        <f>IF(Assum3IntType=FixedInterest,Assum3IntRate,(SUMIF('Multiple Assumable Loans'!$I$17:$I$26,F$4,'Multiple Assumable Loans'!$M$17:$M$26)+Assum3IntSprd/10000))*AND(AssumLoan3Term&lt;&gt;"",F$4&gt;AnalysisStartDate,F$183+F184&gt;0)</f>
        <v>0</v>
      </c>
      <c r="G190" s="862">
        <f>IF(Assum3IntType=FixedInterest,Assum3IntRate,(SUMIF('Multiple Assumable Loans'!$I$17:$I$26,G$4,'Multiple Assumable Loans'!$M$17:$M$26)+Assum3IntSprd/10000))*AND(AssumLoan3Term&lt;&gt;"",G$4&gt;AnalysisStartDate,G$183+G184&gt;0)</f>
        <v>0</v>
      </c>
      <c r="H190" s="862">
        <f>IF(Assum3IntType=FixedInterest,Assum3IntRate,(SUMIF('Multiple Assumable Loans'!$I$17:$I$26,H$4,'Multiple Assumable Loans'!$M$17:$M$26)+Assum3IntSprd/10000))*AND(AssumLoan3Term&lt;&gt;"",H$4&gt;AnalysisStartDate,H$183+H184&gt;0)</f>
        <v>0</v>
      </c>
      <c r="I190" s="862">
        <f>IF(Assum3IntType=FixedInterest,Assum3IntRate,(SUMIF('Multiple Assumable Loans'!$I$17:$I$26,I$4,'Multiple Assumable Loans'!$M$17:$M$26)+Assum3IntSprd/10000))*AND(AssumLoan3Term&lt;&gt;"",I$4&gt;AnalysisStartDate,I$183+I184&gt;0)</f>
        <v>0</v>
      </c>
      <c r="J190" s="862">
        <f>IF(Assum3IntType=FixedInterest,Assum3IntRate,(SUMIF('Multiple Assumable Loans'!$I$17:$I$26,J$4,'Multiple Assumable Loans'!$M$17:$M$26)+Assum3IntSprd/10000))*AND(AssumLoan3Term&lt;&gt;"",J$4&gt;AnalysisStartDate,J$183+J184&gt;0)</f>
        <v>0</v>
      </c>
      <c r="K190" s="862">
        <f>IF(Assum3IntType=FixedInterest,Assum3IntRate,(SUMIF('Multiple Assumable Loans'!$I$17:$I$26,K$4,'Multiple Assumable Loans'!$M$17:$M$26)+Assum3IntSprd/10000))*AND(AssumLoan3Term&lt;&gt;"",K$4&gt;AnalysisStartDate,K$183+K184&gt;0)</f>
        <v>0</v>
      </c>
      <c r="L190" s="862">
        <f>IF(Assum3IntType=FixedInterest,Assum3IntRate,(SUMIF('Multiple Assumable Loans'!$I$17:$I$26,L$4,'Multiple Assumable Loans'!$M$17:$M$26)+Assum3IntSprd/10000))*AND(AssumLoan3Term&lt;&gt;"",L$4&gt;AnalysisStartDate,L$183+L184&gt;0)</f>
        <v>0</v>
      </c>
      <c r="M190" s="862">
        <f>IF(Assum3IntType=FixedInterest,Assum3IntRate,(SUMIF('Multiple Assumable Loans'!$I$17:$I$26,M$4,'Multiple Assumable Loans'!$M$17:$M$26)+Assum3IntSprd/10000))*AND(AssumLoan3Term&lt;&gt;"",M$4&gt;AnalysisStartDate,M$183+M184&gt;0)</f>
        <v>0</v>
      </c>
      <c r="N190" s="862">
        <f>IF(Assum3IntType=FixedInterest,Assum3IntRate,(SUMIF('Multiple Assumable Loans'!$I$17:$I$26,N$4,'Multiple Assumable Loans'!$M$17:$M$26)+Assum3IntSprd/10000))*AND(AssumLoan3Term&lt;&gt;"",N$4&gt;AnalysisStartDate,N$183+N184&gt;0)</f>
        <v>0</v>
      </c>
      <c r="O190" s="853"/>
      <c r="P190" s="313"/>
      <c r="Q190" s="313"/>
      <c r="R190" s="313"/>
      <c r="S190" s="203"/>
      <c r="T190" s="862">
        <f t="shared" ref="T190:AY190" si="311">SUMIF($D$5:$N$5,T$6,$D190:$N190)*(T183+T184&gt;0)</f>
        <v>0</v>
      </c>
      <c r="U190" s="862">
        <f t="shared" si="311"/>
        <v>0</v>
      </c>
      <c r="V190" s="862">
        <f t="shared" si="311"/>
        <v>0</v>
      </c>
      <c r="W190" s="862">
        <f t="shared" si="311"/>
        <v>0</v>
      </c>
      <c r="X190" s="862">
        <f t="shared" si="311"/>
        <v>0</v>
      </c>
      <c r="Y190" s="862">
        <f t="shared" si="311"/>
        <v>0</v>
      </c>
      <c r="Z190" s="862">
        <f t="shared" si="311"/>
        <v>0</v>
      </c>
      <c r="AA190" s="862">
        <f t="shared" si="311"/>
        <v>0</v>
      </c>
      <c r="AB190" s="862">
        <f t="shared" si="311"/>
        <v>0</v>
      </c>
      <c r="AC190" s="862">
        <f t="shared" si="311"/>
        <v>0</v>
      </c>
      <c r="AD190" s="862">
        <f t="shared" si="311"/>
        <v>0</v>
      </c>
      <c r="AE190" s="862">
        <f t="shared" si="311"/>
        <v>0</v>
      </c>
      <c r="AF190" s="862">
        <f t="shared" si="311"/>
        <v>0</v>
      </c>
      <c r="AG190" s="862">
        <f t="shared" si="311"/>
        <v>0</v>
      </c>
      <c r="AH190" s="862">
        <f t="shared" si="311"/>
        <v>0</v>
      </c>
      <c r="AI190" s="862">
        <f t="shared" si="311"/>
        <v>0</v>
      </c>
      <c r="AJ190" s="862">
        <f t="shared" si="311"/>
        <v>0</v>
      </c>
      <c r="AK190" s="862">
        <f t="shared" si="311"/>
        <v>0</v>
      </c>
      <c r="AL190" s="862">
        <f t="shared" si="311"/>
        <v>0</v>
      </c>
      <c r="AM190" s="862">
        <f t="shared" si="311"/>
        <v>0</v>
      </c>
      <c r="AN190" s="862">
        <f t="shared" si="311"/>
        <v>0</v>
      </c>
      <c r="AO190" s="862">
        <f t="shared" si="311"/>
        <v>0</v>
      </c>
      <c r="AP190" s="862">
        <f t="shared" si="311"/>
        <v>0</v>
      </c>
      <c r="AQ190" s="862">
        <f t="shared" si="311"/>
        <v>0</v>
      </c>
      <c r="AR190" s="862">
        <f t="shared" si="311"/>
        <v>0</v>
      </c>
      <c r="AS190" s="862">
        <f t="shared" si="311"/>
        <v>0</v>
      </c>
      <c r="AT190" s="862">
        <f t="shared" si="311"/>
        <v>0</v>
      </c>
      <c r="AU190" s="862">
        <f t="shared" si="311"/>
        <v>0</v>
      </c>
      <c r="AV190" s="862">
        <f t="shared" si="311"/>
        <v>0</v>
      </c>
      <c r="AW190" s="862">
        <f t="shared" si="311"/>
        <v>0</v>
      </c>
      <c r="AX190" s="862">
        <f t="shared" si="311"/>
        <v>0</v>
      </c>
      <c r="AY190" s="862">
        <f t="shared" si="311"/>
        <v>0</v>
      </c>
      <c r="AZ190" s="862">
        <f t="shared" ref="AZ190:CE190" si="312">SUMIF($D$5:$N$5,AZ$6,$D190:$N190)*(AZ183+AZ184&gt;0)</f>
        <v>0</v>
      </c>
      <c r="BA190" s="862">
        <f t="shared" si="312"/>
        <v>0</v>
      </c>
      <c r="BB190" s="862">
        <f t="shared" si="312"/>
        <v>0</v>
      </c>
      <c r="BC190" s="862">
        <f t="shared" si="312"/>
        <v>0</v>
      </c>
      <c r="BD190" s="862">
        <f t="shared" si="312"/>
        <v>0</v>
      </c>
      <c r="BE190" s="862">
        <f t="shared" si="312"/>
        <v>0</v>
      </c>
      <c r="BF190" s="862">
        <f t="shared" si="312"/>
        <v>0</v>
      </c>
      <c r="BG190" s="862">
        <f t="shared" si="312"/>
        <v>0</v>
      </c>
      <c r="BH190" s="862">
        <f t="shared" si="312"/>
        <v>0</v>
      </c>
      <c r="BI190" s="862">
        <f t="shared" si="312"/>
        <v>0</v>
      </c>
      <c r="BJ190" s="862">
        <f t="shared" si="312"/>
        <v>0</v>
      </c>
      <c r="BK190" s="862">
        <f t="shared" si="312"/>
        <v>0</v>
      </c>
      <c r="BL190" s="862">
        <f t="shared" si="312"/>
        <v>0</v>
      </c>
      <c r="BM190" s="862">
        <f t="shared" si="312"/>
        <v>0</v>
      </c>
      <c r="BN190" s="862">
        <f t="shared" si="312"/>
        <v>0</v>
      </c>
      <c r="BO190" s="862">
        <f t="shared" si="312"/>
        <v>0</v>
      </c>
      <c r="BP190" s="862">
        <f t="shared" si="312"/>
        <v>0</v>
      </c>
      <c r="BQ190" s="862">
        <f t="shared" si="312"/>
        <v>0</v>
      </c>
      <c r="BR190" s="862">
        <f t="shared" si="312"/>
        <v>0</v>
      </c>
      <c r="BS190" s="862">
        <f t="shared" si="312"/>
        <v>0</v>
      </c>
      <c r="BT190" s="862">
        <f t="shared" si="312"/>
        <v>0</v>
      </c>
      <c r="BU190" s="862">
        <f t="shared" si="312"/>
        <v>0</v>
      </c>
      <c r="BV190" s="862">
        <f t="shared" si="312"/>
        <v>0</v>
      </c>
      <c r="BW190" s="862">
        <f t="shared" si="312"/>
        <v>0</v>
      </c>
      <c r="BX190" s="862">
        <f t="shared" si="312"/>
        <v>0</v>
      </c>
      <c r="BY190" s="862">
        <f t="shared" si="312"/>
        <v>0</v>
      </c>
      <c r="BZ190" s="862">
        <f t="shared" si="312"/>
        <v>0</v>
      </c>
      <c r="CA190" s="862">
        <f t="shared" si="312"/>
        <v>0</v>
      </c>
      <c r="CB190" s="862">
        <f t="shared" si="312"/>
        <v>0</v>
      </c>
      <c r="CC190" s="862">
        <f t="shared" si="312"/>
        <v>0</v>
      </c>
      <c r="CD190" s="862">
        <f t="shared" si="312"/>
        <v>0</v>
      </c>
      <c r="CE190" s="862">
        <f t="shared" si="312"/>
        <v>0</v>
      </c>
      <c r="CF190" s="862">
        <f t="shared" ref="CF190:DK190" si="313">SUMIF($D$5:$N$5,CF$6,$D190:$N190)*(CF183+CF184&gt;0)</f>
        <v>0</v>
      </c>
      <c r="CG190" s="862">
        <f t="shared" si="313"/>
        <v>0</v>
      </c>
      <c r="CH190" s="862">
        <f t="shared" si="313"/>
        <v>0</v>
      </c>
      <c r="CI190" s="862">
        <f t="shared" si="313"/>
        <v>0</v>
      </c>
      <c r="CJ190" s="862">
        <f t="shared" si="313"/>
        <v>0</v>
      </c>
      <c r="CK190" s="862">
        <f t="shared" si="313"/>
        <v>0</v>
      </c>
      <c r="CL190" s="862">
        <f t="shared" si="313"/>
        <v>0</v>
      </c>
      <c r="CM190" s="862">
        <f t="shared" si="313"/>
        <v>0</v>
      </c>
      <c r="CN190" s="862">
        <f t="shared" si="313"/>
        <v>0</v>
      </c>
      <c r="CO190" s="862">
        <f t="shared" si="313"/>
        <v>0</v>
      </c>
      <c r="CP190" s="862">
        <f t="shared" si="313"/>
        <v>0</v>
      </c>
      <c r="CQ190" s="862">
        <f t="shared" si="313"/>
        <v>0</v>
      </c>
      <c r="CR190" s="862">
        <f t="shared" si="313"/>
        <v>0</v>
      </c>
      <c r="CS190" s="862">
        <f t="shared" si="313"/>
        <v>0</v>
      </c>
      <c r="CT190" s="862">
        <f t="shared" si="313"/>
        <v>0</v>
      </c>
      <c r="CU190" s="862">
        <f t="shared" si="313"/>
        <v>0</v>
      </c>
      <c r="CV190" s="862">
        <f t="shared" si="313"/>
        <v>0</v>
      </c>
      <c r="CW190" s="862">
        <f t="shared" si="313"/>
        <v>0</v>
      </c>
      <c r="CX190" s="862">
        <f t="shared" si="313"/>
        <v>0</v>
      </c>
      <c r="CY190" s="862">
        <f t="shared" si="313"/>
        <v>0</v>
      </c>
      <c r="CZ190" s="862">
        <f t="shared" si="313"/>
        <v>0</v>
      </c>
      <c r="DA190" s="862">
        <f t="shared" si="313"/>
        <v>0</v>
      </c>
      <c r="DB190" s="862">
        <f t="shared" si="313"/>
        <v>0</v>
      </c>
      <c r="DC190" s="862">
        <f t="shared" si="313"/>
        <v>0</v>
      </c>
      <c r="DD190" s="862">
        <f t="shared" si="313"/>
        <v>0</v>
      </c>
      <c r="DE190" s="862">
        <f t="shared" si="313"/>
        <v>0</v>
      </c>
      <c r="DF190" s="862">
        <f t="shared" si="313"/>
        <v>0</v>
      </c>
      <c r="DG190" s="862">
        <f t="shared" si="313"/>
        <v>0</v>
      </c>
      <c r="DH190" s="862">
        <f t="shared" si="313"/>
        <v>0</v>
      </c>
      <c r="DI190" s="862">
        <f t="shared" si="313"/>
        <v>0</v>
      </c>
      <c r="DJ190" s="862">
        <f t="shared" si="313"/>
        <v>0</v>
      </c>
      <c r="DK190" s="862">
        <f t="shared" si="313"/>
        <v>0</v>
      </c>
      <c r="DL190" s="862">
        <f t="shared" ref="DL190:EI190" si="314">SUMIF($D$5:$N$5,DL$6,$D190:$N190)*(DL183+DL184&gt;0)</f>
        <v>0</v>
      </c>
      <c r="DM190" s="862">
        <f t="shared" si="314"/>
        <v>0</v>
      </c>
      <c r="DN190" s="862">
        <f t="shared" si="314"/>
        <v>0</v>
      </c>
      <c r="DO190" s="862">
        <f t="shared" si="314"/>
        <v>0</v>
      </c>
      <c r="DP190" s="862">
        <f t="shared" si="314"/>
        <v>0</v>
      </c>
      <c r="DQ190" s="862">
        <f t="shared" si="314"/>
        <v>0</v>
      </c>
      <c r="DR190" s="862">
        <f t="shared" si="314"/>
        <v>0</v>
      </c>
      <c r="DS190" s="862">
        <f t="shared" si="314"/>
        <v>0</v>
      </c>
      <c r="DT190" s="862">
        <f t="shared" si="314"/>
        <v>0</v>
      </c>
      <c r="DU190" s="862">
        <f t="shared" si="314"/>
        <v>0</v>
      </c>
      <c r="DV190" s="862">
        <f t="shared" si="314"/>
        <v>0</v>
      </c>
      <c r="DW190" s="862">
        <f t="shared" si="314"/>
        <v>0</v>
      </c>
      <c r="DX190" s="862">
        <f t="shared" si="314"/>
        <v>0</v>
      </c>
      <c r="DY190" s="862">
        <f t="shared" si="314"/>
        <v>0</v>
      </c>
      <c r="DZ190" s="862">
        <f t="shared" si="314"/>
        <v>0</v>
      </c>
      <c r="EA190" s="862">
        <f t="shared" si="314"/>
        <v>0</v>
      </c>
      <c r="EB190" s="862">
        <f t="shared" si="314"/>
        <v>0</v>
      </c>
      <c r="EC190" s="862">
        <f t="shared" si="314"/>
        <v>0</v>
      </c>
      <c r="ED190" s="862">
        <f t="shared" si="314"/>
        <v>0</v>
      </c>
      <c r="EE190" s="862">
        <f t="shared" si="314"/>
        <v>0</v>
      </c>
      <c r="EF190" s="862">
        <f t="shared" si="314"/>
        <v>0</v>
      </c>
      <c r="EG190" s="862">
        <f t="shared" si="314"/>
        <v>0</v>
      </c>
      <c r="EH190" s="862">
        <f t="shared" si="314"/>
        <v>0</v>
      </c>
      <c r="EI190" s="862">
        <f t="shared" si="314"/>
        <v>0</v>
      </c>
    </row>
    <row r="191" spans="2:139" ht="12.75" hidden="1" customHeight="1">
      <c r="B191" s="861" t="s">
        <v>596</v>
      </c>
      <c r="C191" s="211"/>
      <c r="D191" s="203"/>
      <c r="E191" s="862">
        <f t="shared" ref="E191:N191" si="315">E192-E190</f>
        <v>0</v>
      </c>
      <c r="F191" s="862">
        <f t="shared" si="315"/>
        <v>0</v>
      </c>
      <c r="G191" s="862">
        <f t="shared" si="315"/>
        <v>0</v>
      </c>
      <c r="H191" s="862">
        <f t="shared" si="315"/>
        <v>0</v>
      </c>
      <c r="I191" s="862">
        <f t="shared" si="315"/>
        <v>0</v>
      </c>
      <c r="J191" s="862">
        <f t="shared" si="315"/>
        <v>0</v>
      </c>
      <c r="K191" s="862">
        <f t="shared" si="315"/>
        <v>0</v>
      </c>
      <c r="L191" s="862">
        <f t="shared" si="315"/>
        <v>0</v>
      </c>
      <c r="M191" s="862">
        <f t="shared" si="315"/>
        <v>0</v>
      </c>
      <c r="N191" s="862">
        <f t="shared" si="315"/>
        <v>0</v>
      </c>
      <c r="O191" s="853"/>
      <c r="P191" s="313"/>
      <c r="Q191" s="313"/>
      <c r="R191" s="313"/>
      <c r="S191" s="203"/>
      <c r="T191" s="862">
        <f t="shared" ref="T191:AY191" si="316">T192-T190</f>
        <v>0</v>
      </c>
      <c r="U191" s="862">
        <f t="shared" si="316"/>
        <v>0</v>
      </c>
      <c r="V191" s="862">
        <f t="shared" si="316"/>
        <v>0</v>
      </c>
      <c r="W191" s="862">
        <f t="shared" si="316"/>
        <v>0</v>
      </c>
      <c r="X191" s="862">
        <f t="shared" si="316"/>
        <v>0</v>
      </c>
      <c r="Y191" s="862">
        <f t="shared" si="316"/>
        <v>0</v>
      </c>
      <c r="Z191" s="862">
        <f t="shared" si="316"/>
        <v>0</v>
      </c>
      <c r="AA191" s="862">
        <f t="shared" si="316"/>
        <v>0</v>
      </c>
      <c r="AB191" s="862">
        <f t="shared" si="316"/>
        <v>0</v>
      </c>
      <c r="AC191" s="862">
        <f t="shared" si="316"/>
        <v>0</v>
      </c>
      <c r="AD191" s="862">
        <f t="shared" si="316"/>
        <v>0</v>
      </c>
      <c r="AE191" s="862">
        <f t="shared" si="316"/>
        <v>0</v>
      </c>
      <c r="AF191" s="862">
        <f t="shared" si="316"/>
        <v>0</v>
      </c>
      <c r="AG191" s="862">
        <f t="shared" si="316"/>
        <v>0</v>
      </c>
      <c r="AH191" s="862">
        <f t="shared" si="316"/>
        <v>0</v>
      </c>
      <c r="AI191" s="862">
        <f t="shared" si="316"/>
        <v>0</v>
      </c>
      <c r="AJ191" s="862">
        <f t="shared" si="316"/>
        <v>0</v>
      </c>
      <c r="AK191" s="862">
        <f t="shared" si="316"/>
        <v>0</v>
      </c>
      <c r="AL191" s="862">
        <f t="shared" si="316"/>
        <v>0</v>
      </c>
      <c r="AM191" s="862">
        <f t="shared" si="316"/>
        <v>0</v>
      </c>
      <c r="AN191" s="862">
        <f t="shared" si="316"/>
        <v>0</v>
      </c>
      <c r="AO191" s="862">
        <f t="shared" si="316"/>
        <v>0</v>
      </c>
      <c r="AP191" s="862">
        <f t="shared" si="316"/>
        <v>0</v>
      </c>
      <c r="AQ191" s="862">
        <f t="shared" si="316"/>
        <v>0</v>
      </c>
      <c r="AR191" s="862">
        <f t="shared" si="316"/>
        <v>0</v>
      </c>
      <c r="AS191" s="862">
        <f t="shared" si="316"/>
        <v>0</v>
      </c>
      <c r="AT191" s="862">
        <f t="shared" si="316"/>
        <v>0</v>
      </c>
      <c r="AU191" s="862">
        <f t="shared" si="316"/>
        <v>0</v>
      </c>
      <c r="AV191" s="862">
        <f t="shared" si="316"/>
        <v>0</v>
      </c>
      <c r="AW191" s="862">
        <f t="shared" si="316"/>
        <v>0</v>
      </c>
      <c r="AX191" s="862">
        <f t="shared" si="316"/>
        <v>0</v>
      </c>
      <c r="AY191" s="862">
        <f t="shared" si="316"/>
        <v>0</v>
      </c>
      <c r="AZ191" s="862">
        <f t="shared" ref="AZ191:CE191" si="317">AZ192-AZ190</f>
        <v>0</v>
      </c>
      <c r="BA191" s="862">
        <f t="shared" si="317"/>
        <v>0</v>
      </c>
      <c r="BB191" s="862">
        <f t="shared" si="317"/>
        <v>0</v>
      </c>
      <c r="BC191" s="862">
        <f t="shared" si="317"/>
        <v>0</v>
      </c>
      <c r="BD191" s="862">
        <f t="shared" si="317"/>
        <v>0</v>
      </c>
      <c r="BE191" s="862">
        <f t="shared" si="317"/>
        <v>0</v>
      </c>
      <c r="BF191" s="862">
        <f t="shared" si="317"/>
        <v>0</v>
      </c>
      <c r="BG191" s="862">
        <f t="shared" si="317"/>
        <v>0</v>
      </c>
      <c r="BH191" s="862">
        <f t="shared" si="317"/>
        <v>0</v>
      </c>
      <c r="BI191" s="862">
        <f t="shared" si="317"/>
        <v>0</v>
      </c>
      <c r="BJ191" s="862">
        <f t="shared" si="317"/>
        <v>0</v>
      </c>
      <c r="BK191" s="862">
        <f t="shared" si="317"/>
        <v>0</v>
      </c>
      <c r="BL191" s="862">
        <f t="shared" si="317"/>
        <v>0</v>
      </c>
      <c r="BM191" s="862">
        <f t="shared" si="317"/>
        <v>0</v>
      </c>
      <c r="BN191" s="862">
        <f t="shared" si="317"/>
        <v>0</v>
      </c>
      <c r="BO191" s="862">
        <f t="shared" si="317"/>
        <v>0</v>
      </c>
      <c r="BP191" s="862">
        <f t="shared" si="317"/>
        <v>0</v>
      </c>
      <c r="BQ191" s="862">
        <f t="shared" si="317"/>
        <v>0</v>
      </c>
      <c r="BR191" s="862">
        <f t="shared" si="317"/>
        <v>0</v>
      </c>
      <c r="BS191" s="862">
        <f t="shared" si="317"/>
        <v>0</v>
      </c>
      <c r="BT191" s="862">
        <f t="shared" si="317"/>
        <v>0</v>
      </c>
      <c r="BU191" s="862">
        <f t="shared" si="317"/>
        <v>0</v>
      </c>
      <c r="BV191" s="862">
        <f t="shared" si="317"/>
        <v>0</v>
      </c>
      <c r="BW191" s="862">
        <f t="shared" si="317"/>
        <v>0</v>
      </c>
      <c r="BX191" s="862">
        <f t="shared" si="317"/>
        <v>0</v>
      </c>
      <c r="BY191" s="862">
        <f t="shared" si="317"/>
        <v>0</v>
      </c>
      <c r="BZ191" s="862">
        <f t="shared" si="317"/>
        <v>0</v>
      </c>
      <c r="CA191" s="862">
        <f t="shared" si="317"/>
        <v>0</v>
      </c>
      <c r="CB191" s="862">
        <f t="shared" si="317"/>
        <v>0</v>
      </c>
      <c r="CC191" s="862">
        <f t="shared" si="317"/>
        <v>0</v>
      </c>
      <c r="CD191" s="862">
        <f t="shared" si="317"/>
        <v>0</v>
      </c>
      <c r="CE191" s="862">
        <f t="shared" si="317"/>
        <v>0</v>
      </c>
      <c r="CF191" s="862">
        <f t="shared" ref="CF191:DK191" si="318">CF192-CF190</f>
        <v>0</v>
      </c>
      <c r="CG191" s="862">
        <f t="shared" si="318"/>
        <v>0</v>
      </c>
      <c r="CH191" s="862">
        <f t="shared" si="318"/>
        <v>0</v>
      </c>
      <c r="CI191" s="862">
        <f t="shared" si="318"/>
        <v>0</v>
      </c>
      <c r="CJ191" s="862">
        <f t="shared" si="318"/>
        <v>0</v>
      </c>
      <c r="CK191" s="862">
        <f t="shared" si="318"/>
        <v>0</v>
      </c>
      <c r="CL191" s="862">
        <f t="shared" si="318"/>
        <v>0</v>
      </c>
      <c r="CM191" s="862">
        <f t="shared" si="318"/>
        <v>0</v>
      </c>
      <c r="CN191" s="862">
        <f t="shared" si="318"/>
        <v>0</v>
      </c>
      <c r="CO191" s="862">
        <f t="shared" si="318"/>
        <v>0</v>
      </c>
      <c r="CP191" s="862">
        <f t="shared" si="318"/>
        <v>0</v>
      </c>
      <c r="CQ191" s="862">
        <f t="shared" si="318"/>
        <v>0</v>
      </c>
      <c r="CR191" s="862">
        <f t="shared" si="318"/>
        <v>0</v>
      </c>
      <c r="CS191" s="862">
        <f t="shared" si="318"/>
        <v>0</v>
      </c>
      <c r="CT191" s="862">
        <f t="shared" si="318"/>
        <v>0</v>
      </c>
      <c r="CU191" s="862">
        <f t="shared" si="318"/>
        <v>0</v>
      </c>
      <c r="CV191" s="862">
        <f t="shared" si="318"/>
        <v>0</v>
      </c>
      <c r="CW191" s="862">
        <f t="shared" si="318"/>
        <v>0</v>
      </c>
      <c r="CX191" s="862">
        <f t="shared" si="318"/>
        <v>0</v>
      </c>
      <c r="CY191" s="862">
        <f t="shared" si="318"/>
        <v>0</v>
      </c>
      <c r="CZ191" s="862">
        <f t="shared" si="318"/>
        <v>0</v>
      </c>
      <c r="DA191" s="862">
        <f t="shared" si="318"/>
        <v>0</v>
      </c>
      <c r="DB191" s="862">
        <f t="shared" si="318"/>
        <v>0</v>
      </c>
      <c r="DC191" s="862">
        <f t="shared" si="318"/>
        <v>0</v>
      </c>
      <c r="DD191" s="862">
        <f t="shared" si="318"/>
        <v>0</v>
      </c>
      <c r="DE191" s="862">
        <f t="shared" si="318"/>
        <v>0</v>
      </c>
      <c r="DF191" s="862">
        <f t="shared" si="318"/>
        <v>0</v>
      </c>
      <c r="DG191" s="862">
        <f t="shared" si="318"/>
        <v>0</v>
      </c>
      <c r="DH191" s="862">
        <f t="shared" si="318"/>
        <v>0</v>
      </c>
      <c r="DI191" s="862">
        <f t="shared" si="318"/>
        <v>0</v>
      </c>
      <c r="DJ191" s="862">
        <f t="shared" si="318"/>
        <v>0</v>
      </c>
      <c r="DK191" s="862">
        <f t="shared" si="318"/>
        <v>0</v>
      </c>
      <c r="DL191" s="862">
        <f t="shared" ref="DL191:EQ191" si="319">DL192-DL190</f>
        <v>0</v>
      </c>
      <c r="DM191" s="862">
        <f t="shared" si="319"/>
        <v>0</v>
      </c>
      <c r="DN191" s="862">
        <f t="shared" si="319"/>
        <v>0</v>
      </c>
      <c r="DO191" s="862">
        <f t="shared" si="319"/>
        <v>0</v>
      </c>
      <c r="DP191" s="862">
        <f t="shared" si="319"/>
        <v>0</v>
      </c>
      <c r="DQ191" s="862">
        <f t="shared" si="319"/>
        <v>0</v>
      </c>
      <c r="DR191" s="862">
        <f t="shared" si="319"/>
        <v>0</v>
      </c>
      <c r="DS191" s="862">
        <f t="shared" si="319"/>
        <v>0</v>
      </c>
      <c r="DT191" s="862">
        <f t="shared" si="319"/>
        <v>0</v>
      </c>
      <c r="DU191" s="862">
        <f t="shared" si="319"/>
        <v>0</v>
      </c>
      <c r="DV191" s="862">
        <f t="shared" si="319"/>
        <v>0</v>
      </c>
      <c r="DW191" s="862">
        <f t="shared" si="319"/>
        <v>0</v>
      </c>
      <c r="DX191" s="862">
        <f t="shared" si="319"/>
        <v>0</v>
      </c>
      <c r="DY191" s="862">
        <f t="shared" si="319"/>
        <v>0</v>
      </c>
      <c r="DZ191" s="862">
        <f t="shared" si="319"/>
        <v>0</v>
      </c>
      <c r="EA191" s="862">
        <f t="shared" si="319"/>
        <v>0</v>
      </c>
      <c r="EB191" s="862">
        <f t="shared" si="319"/>
        <v>0</v>
      </c>
      <c r="EC191" s="862">
        <f t="shared" si="319"/>
        <v>0</v>
      </c>
      <c r="ED191" s="862">
        <f t="shared" si="319"/>
        <v>0</v>
      </c>
      <c r="EE191" s="862">
        <f t="shared" si="319"/>
        <v>0</v>
      </c>
      <c r="EF191" s="862">
        <f t="shared" si="319"/>
        <v>0</v>
      </c>
      <c r="EG191" s="862">
        <f t="shared" si="319"/>
        <v>0</v>
      </c>
      <c r="EH191" s="862">
        <f t="shared" si="319"/>
        <v>0</v>
      </c>
      <c r="EI191" s="862">
        <f t="shared" si="319"/>
        <v>0</v>
      </c>
    </row>
    <row r="192" spans="2:139" ht="12.75" hidden="1" customHeight="1" collapsed="1">
      <c r="B192" s="863" t="s">
        <v>597</v>
      </c>
      <c r="C192" s="209"/>
      <c r="D192" s="203"/>
      <c r="E192" s="864">
        <f>IF(Assum3IntType=FixedInterest,E190,MIN(MAX(E190,'Multiple Assumable Loans'!$M$28),'Multiple Assumable Loans'!$M$29))*AND(AssumLoan3Term&lt;&gt;"",E$4&gt;AnalysisStartDate,E$183+E184&gt;0)</f>
        <v>0</v>
      </c>
      <c r="F192" s="864">
        <f>IF(Assum3IntType=FixedInterest,F190,MIN(MAX(F190,'Multiple Assumable Loans'!$M$28),'Multiple Assumable Loans'!$M$29))*AND(AssumLoan3Term&lt;&gt;"",F$4&gt;AnalysisStartDate,F$183+F184&gt;0)</f>
        <v>0</v>
      </c>
      <c r="G192" s="864">
        <f>IF(Assum3IntType=FixedInterest,G190,MIN(MAX(G190,'Multiple Assumable Loans'!$M$28),'Multiple Assumable Loans'!$M$29))*AND(AssumLoan3Term&lt;&gt;"",G$4&gt;AnalysisStartDate,G$183+G184&gt;0)</f>
        <v>0</v>
      </c>
      <c r="H192" s="864">
        <f>IF(Assum3IntType=FixedInterest,H190,MIN(MAX(H190,'Multiple Assumable Loans'!$M$28),'Multiple Assumable Loans'!$M$29))*AND(AssumLoan3Term&lt;&gt;"",H$4&gt;AnalysisStartDate,H$183+H184&gt;0)</f>
        <v>0</v>
      </c>
      <c r="I192" s="864">
        <f>IF(Assum3IntType=FixedInterest,I190,MIN(MAX(I190,'Multiple Assumable Loans'!$M$28),'Multiple Assumable Loans'!$M$29))*AND(AssumLoan3Term&lt;&gt;"",I$4&gt;AnalysisStartDate,I$183+I184&gt;0)</f>
        <v>0</v>
      </c>
      <c r="J192" s="864">
        <f>IF(Assum3IntType=FixedInterest,J190,MIN(MAX(J190,'Multiple Assumable Loans'!$M$28),'Multiple Assumable Loans'!$M$29))*AND(AssumLoan3Term&lt;&gt;"",J$4&gt;AnalysisStartDate,J$183+J184&gt;0)</f>
        <v>0</v>
      </c>
      <c r="K192" s="864">
        <f>IF(Assum3IntType=FixedInterest,K190,MIN(MAX(K190,'Multiple Assumable Loans'!$M$28),'Multiple Assumable Loans'!$M$29))*AND(AssumLoan3Term&lt;&gt;"",K$4&gt;AnalysisStartDate,K$183+K184&gt;0)</f>
        <v>0</v>
      </c>
      <c r="L192" s="864">
        <f>IF(Assum3IntType=FixedInterest,L190,MIN(MAX(L190,'Multiple Assumable Loans'!$M$28),'Multiple Assumable Loans'!$M$29))*AND(AssumLoan3Term&lt;&gt;"",L$4&gt;AnalysisStartDate,L$183+L184&gt;0)</f>
        <v>0</v>
      </c>
      <c r="M192" s="864">
        <f>IF(Assum3IntType=FixedInterest,M190,MIN(MAX(M190,'Multiple Assumable Loans'!$M$28),'Multiple Assumable Loans'!$M$29))*AND(AssumLoan3Term&lt;&gt;"",M$4&gt;AnalysisStartDate,M$183+M184&gt;0)</f>
        <v>0</v>
      </c>
      <c r="N192" s="864">
        <f>IF(Assum3IntType=FixedInterest,N190,MIN(MAX(N190,'Multiple Assumable Loans'!$M$28),'Multiple Assumable Loans'!$M$29))*AND(AssumLoan3Term&lt;&gt;"",N$4&gt;AnalysisStartDate,N$183+N184&gt;0)</f>
        <v>0</v>
      </c>
      <c r="O192" s="865"/>
      <c r="P192" s="313"/>
      <c r="Q192" s="313"/>
      <c r="R192" s="313"/>
      <c r="S192" s="203"/>
      <c r="T192" s="864">
        <f t="shared" ref="T192:AY192" si="320">SUMIF($D$5:$N$5,T$6,$D192:$N192)*(T183+T184&gt;0)</f>
        <v>0</v>
      </c>
      <c r="U192" s="864">
        <f t="shared" si="320"/>
        <v>0</v>
      </c>
      <c r="V192" s="864">
        <f t="shared" si="320"/>
        <v>0</v>
      </c>
      <c r="W192" s="864">
        <f t="shared" si="320"/>
        <v>0</v>
      </c>
      <c r="X192" s="864">
        <f t="shared" si="320"/>
        <v>0</v>
      </c>
      <c r="Y192" s="864">
        <f t="shared" si="320"/>
        <v>0</v>
      </c>
      <c r="Z192" s="864">
        <f t="shared" si="320"/>
        <v>0</v>
      </c>
      <c r="AA192" s="864">
        <f t="shared" si="320"/>
        <v>0</v>
      </c>
      <c r="AB192" s="864">
        <f t="shared" si="320"/>
        <v>0</v>
      </c>
      <c r="AC192" s="864">
        <f t="shared" si="320"/>
        <v>0</v>
      </c>
      <c r="AD192" s="864">
        <f t="shared" si="320"/>
        <v>0</v>
      </c>
      <c r="AE192" s="864">
        <f t="shared" si="320"/>
        <v>0</v>
      </c>
      <c r="AF192" s="864">
        <f t="shared" si="320"/>
        <v>0</v>
      </c>
      <c r="AG192" s="864">
        <f t="shared" si="320"/>
        <v>0</v>
      </c>
      <c r="AH192" s="864">
        <f t="shared" si="320"/>
        <v>0</v>
      </c>
      <c r="AI192" s="864">
        <f t="shared" si="320"/>
        <v>0</v>
      </c>
      <c r="AJ192" s="864">
        <f t="shared" si="320"/>
        <v>0</v>
      </c>
      <c r="AK192" s="864">
        <f t="shared" si="320"/>
        <v>0</v>
      </c>
      <c r="AL192" s="864">
        <f t="shared" si="320"/>
        <v>0</v>
      </c>
      <c r="AM192" s="864">
        <f t="shared" si="320"/>
        <v>0</v>
      </c>
      <c r="AN192" s="864">
        <f t="shared" si="320"/>
        <v>0</v>
      </c>
      <c r="AO192" s="864">
        <f t="shared" si="320"/>
        <v>0</v>
      </c>
      <c r="AP192" s="864">
        <f t="shared" si="320"/>
        <v>0</v>
      </c>
      <c r="AQ192" s="864">
        <f t="shared" si="320"/>
        <v>0</v>
      </c>
      <c r="AR192" s="864">
        <f t="shared" si="320"/>
        <v>0</v>
      </c>
      <c r="AS192" s="864">
        <f t="shared" si="320"/>
        <v>0</v>
      </c>
      <c r="AT192" s="864">
        <f t="shared" si="320"/>
        <v>0</v>
      </c>
      <c r="AU192" s="864">
        <f t="shared" si="320"/>
        <v>0</v>
      </c>
      <c r="AV192" s="864">
        <f t="shared" si="320"/>
        <v>0</v>
      </c>
      <c r="AW192" s="864">
        <f t="shared" si="320"/>
        <v>0</v>
      </c>
      <c r="AX192" s="864">
        <f t="shared" si="320"/>
        <v>0</v>
      </c>
      <c r="AY192" s="864">
        <f t="shared" si="320"/>
        <v>0</v>
      </c>
      <c r="AZ192" s="864">
        <f t="shared" ref="AZ192:CE192" si="321">SUMIF($D$5:$N$5,AZ$6,$D192:$N192)*(AZ183+AZ184&gt;0)</f>
        <v>0</v>
      </c>
      <c r="BA192" s="864">
        <f t="shared" si="321"/>
        <v>0</v>
      </c>
      <c r="BB192" s="864">
        <f t="shared" si="321"/>
        <v>0</v>
      </c>
      <c r="BC192" s="864">
        <f t="shared" si="321"/>
        <v>0</v>
      </c>
      <c r="BD192" s="864">
        <f t="shared" si="321"/>
        <v>0</v>
      </c>
      <c r="BE192" s="864">
        <f t="shared" si="321"/>
        <v>0</v>
      </c>
      <c r="BF192" s="864">
        <f t="shared" si="321"/>
        <v>0</v>
      </c>
      <c r="BG192" s="864">
        <f t="shared" si="321"/>
        <v>0</v>
      </c>
      <c r="BH192" s="864">
        <f t="shared" si="321"/>
        <v>0</v>
      </c>
      <c r="BI192" s="864">
        <f t="shared" si="321"/>
        <v>0</v>
      </c>
      <c r="BJ192" s="864">
        <f t="shared" si="321"/>
        <v>0</v>
      </c>
      <c r="BK192" s="864">
        <f t="shared" si="321"/>
        <v>0</v>
      </c>
      <c r="BL192" s="864">
        <f t="shared" si="321"/>
        <v>0</v>
      </c>
      <c r="BM192" s="864">
        <f t="shared" si="321"/>
        <v>0</v>
      </c>
      <c r="BN192" s="864">
        <f t="shared" si="321"/>
        <v>0</v>
      </c>
      <c r="BO192" s="864">
        <f t="shared" si="321"/>
        <v>0</v>
      </c>
      <c r="BP192" s="864">
        <f t="shared" si="321"/>
        <v>0</v>
      </c>
      <c r="BQ192" s="864">
        <f t="shared" si="321"/>
        <v>0</v>
      </c>
      <c r="BR192" s="864">
        <f t="shared" si="321"/>
        <v>0</v>
      </c>
      <c r="BS192" s="864">
        <f t="shared" si="321"/>
        <v>0</v>
      </c>
      <c r="BT192" s="864">
        <f t="shared" si="321"/>
        <v>0</v>
      </c>
      <c r="BU192" s="864">
        <f t="shared" si="321"/>
        <v>0</v>
      </c>
      <c r="BV192" s="864">
        <f t="shared" si="321"/>
        <v>0</v>
      </c>
      <c r="BW192" s="864">
        <f t="shared" si="321"/>
        <v>0</v>
      </c>
      <c r="BX192" s="864">
        <f t="shared" si="321"/>
        <v>0</v>
      </c>
      <c r="BY192" s="864">
        <f t="shared" si="321"/>
        <v>0</v>
      </c>
      <c r="BZ192" s="864">
        <f t="shared" si="321"/>
        <v>0</v>
      </c>
      <c r="CA192" s="864">
        <f t="shared" si="321"/>
        <v>0</v>
      </c>
      <c r="CB192" s="864">
        <f t="shared" si="321"/>
        <v>0</v>
      </c>
      <c r="CC192" s="864">
        <f t="shared" si="321"/>
        <v>0</v>
      </c>
      <c r="CD192" s="864">
        <f t="shared" si="321"/>
        <v>0</v>
      </c>
      <c r="CE192" s="864">
        <f t="shared" si="321"/>
        <v>0</v>
      </c>
      <c r="CF192" s="864">
        <f t="shared" ref="CF192:DK192" si="322">SUMIF($D$5:$N$5,CF$6,$D192:$N192)*(CF183+CF184&gt;0)</f>
        <v>0</v>
      </c>
      <c r="CG192" s="864">
        <f t="shared" si="322"/>
        <v>0</v>
      </c>
      <c r="CH192" s="864">
        <f t="shared" si="322"/>
        <v>0</v>
      </c>
      <c r="CI192" s="864">
        <f t="shared" si="322"/>
        <v>0</v>
      </c>
      <c r="CJ192" s="864">
        <f t="shared" si="322"/>
        <v>0</v>
      </c>
      <c r="CK192" s="864">
        <f t="shared" si="322"/>
        <v>0</v>
      </c>
      <c r="CL192" s="864">
        <f t="shared" si="322"/>
        <v>0</v>
      </c>
      <c r="CM192" s="864">
        <f t="shared" si="322"/>
        <v>0</v>
      </c>
      <c r="CN192" s="864">
        <f t="shared" si="322"/>
        <v>0</v>
      </c>
      <c r="CO192" s="864">
        <f t="shared" si="322"/>
        <v>0</v>
      </c>
      <c r="CP192" s="864">
        <f t="shared" si="322"/>
        <v>0</v>
      </c>
      <c r="CQ192" s="864">
        <f t="shared" si="322"/>
        <v>0</v>
      </c>
      <c r="CR192" s="864">
        <f t="shared" si="322"/>
        <v>0</v>
      </c>
      <c r="CS192" s="864">
        <f t="shared" si="322"/>
        <v>0</v>
      </c>
      <c r="CT192" s="864">
        <f t="shared" si="322"/>
        <v>0</v>
      </c>
      <c r="CU192" s="864">
        <f t="shared" si="322"/>
        <v>0</v>
      </c>
      <c r="CV192" s="864">
        <f t="shared" si="322"/>
        <v>0</v>
      </c>
      <c r="CW192" s="864">
        <f t="shared" si="322"/>
        <v>0</v>
      </c>
      <c r="CX192" s="864">
        <f t="shared" si="322"/>
        <v>0</v>
      </c>
      <c r="CY192" s="864">
        <f t="shared" si="322"/>
        <v>0</v>
      </c>
      <c r="CZ192" s="864">
        <f t="shared" si="322"/>
        <v>0</v>
      </c>
      <c r="DA192" s="864">
        <f t="shared" si="322"/>
        <v>0</v>
      </c>
      <c r="DB192" s="864">
        <f t="shared" si="322"/>
        <v>0</v>
      </c>
      <c r="DC192" s="864">
        <f t="shared" si="322"/>
        <v>0</v>
      </c>
      <c r="DD192" s="864">
        <f t="shared" si="322"/>
        <v>0</v>
      </c>
      <c r="DE192" s="864">
        <f t="shared" si="322"/>
        <v>0</v>
      </c>
      <c r="DF192" s="864">
        <f t="shared" si="322"/>
        <v>0</v>
      </c>
      <c r="DG192" s="864">
        <f t="shared" si="322"/>
        <v>0</v>
      </c>
      <c r="DH192" s="864">
        <f t="shared" si="322"/>
        <v>0</v>
      </c>
      <c r="DI192" s="864">
        <f t="shared" si="322"/>
        <v>0</v>
      </c>
      <c r="DJ192" s="864">
        <f t="shared" si="322"/>
        <v>0</v>
      </c>
      <c r="DK192" s="864">
        <f t="shared" si="322"/>
        <v>0</v>
      </c>
      <c r="DL192" s="864">
        <f t="shared" ref="DL192:EI192" si="323">SUMIF($D$5:$N$5,DL$6,$D192:$N192)*(DL183+DL184&gt;0)</f>
        <v>0</v>
      </c>
      <c r="DM192" s="864">
        <f t="shared" si="323"/>
        <v>0</v>
      </c>
      <c r="DN192" s="864">
        <f t="shared" si="323"/>
        <v>0</v>
      </c>
      <c r="DO192" s="864">
        <f t="shared" si="323"/>
        <v>0</v>
      </c>
      <c r="DP192" s="864">
        <f t="shared" si="323"/>
        <v>0</v>
      </c>
      <c r="DQ192" s="864">
        <f t="shared" si="323"/>
        <v>0</v>
      </c>
      <c r="DR192" s="864">
        <f t="shared" si="323"/>
        <v>0</v>
      </c>
      <c r="DS192" s="864">
        <f t="shared" si="323"/>
        <v>0</v>
      </c>
      <c r="DT192" s="864">
        <f t="shared" si="323"/>
        <v>0</v>
      </c>
      <c r="DU192" s="864">
        <f t="shared" si="323"/>
        <v>0</v>
      </c>
      <c r="DV192" s="864">
        <f t="shared" si="323"/>
        <v>0</v>
      </c>
      <c r="DW192" s="864">
        <f t="shared" si="323"/>
        <v>0</v>
      </c>
      <c r="DX192" s="864">
        <f t="shared" si="323"/>
        <v>0</v>
      </c>
      <c r="DY192" s="864">
        <f t="shared" si="323"/>
        <v>0</v>
      </c>
      <c r="DZ192" s="864">
        <f t="shared" si="323"/>
        <v>0</v>
      </c>
      <c r="EA192" s="864">
        <f t="shared" si="323"/>
        <v>0</v>
      </c>
      <c r="EB192" s="864">
        <f t="shared" si="323"/>
        <v>0</v>
      </c>
      <c r="EC192" s="864">
        <f t="shared" si="323"/>
        <v>0</v>
      </c>
      <c r="ED192" s="864">
        <f t="shared" si="323"/>
        <v>0</v>
      </c>
      <c r="EE192" s="864">
        <f t="shared" si="323"/>
        <v>0</v>
      </c>
      <c r="EF192" s="864">
        <f t="shared" si="323"/>
        <v>0</v>
      </c>
      <c r="EG192" s="864">
        <f t="shared" si="323"/>
        <v>0</v>
      </c>
      <c r="EH192" s="864">
        <f t="shared" si="323"/>
        <v>0</v>
      </c>
      <c r="EI192" s="864">
        <f t="shared" si="323"/>
        <v>0</v>
      </c>
    </row>
    <row r="193" spans="2:139" ht="12.75" customHeight="1">
      <c r="B193" s="46"/>
      <c r="C193" s="209"/>
      <c r="D193" s="857"/>
      <c r="E193" s="857"/>
      <c r="F193" s="857"/>
      <c r="G193" s="857"/>
      <c r="H193" s="857"/>
      <c r="I193" s="857"/>
      <c r="J193" s="857"/>
      <c r="K193" s="857"/>
      <c r="L193" s="857"/>
      <c r="M193" s="857"/>
      <c r="N193" s="857"/>
      <c r="O193" s="858"/>
      <c r="P193" s="313"/>
      <c r="Q193" s="313"/>
      <c r="R193" s="313"/>
      <c r="S193" s="857"/>
      <c r="T193" s="857"/>
      <c r="U193" s="857"/>
      <c r="V193" s="857"/>
      <c r="W193" s="857"/>
      <c r="X193" s="857"/>
      <c r="Y193" s="857"/>
      <c r="Z193" s="857"/>
      <c r="AA193" s="857"/>
      <c r="AB193" s="857"/>
      <c r="AC193" s="857"/>
      <c r="AD193" s="857"/>
      <c r="AE193" s="857"/>
      <c r="AF193" s="857"/>
      <c r="AG193" s="857"/>
      <c r="AH193" s="857"/>
      <c r="AI193" s="857"/>
      <c r="AJ193" s="857"/>
      <c r="AK193" s="857"/>
      <c r="AL193" s="857"/>
      <c r="AM193" s="857"/>
      <c r="AN193" s="857"/>
      <c r="AO193" s="857"/>
      <c r="AP193" s="857"/>
      <c r="AQ193" s="857"/>
      <c r="AR193" s="857"/>
      <c r="AS193" s="857"/>
      <c r="AT193" s="857"/>
      <c r="AU193" s="857"/>
      <c r="AV193" s="857"/>
      <c r="AW193" s="857"/>
      <c r="AX193" s="857"/>
      <c r="AY193" s="857"/>
      <c r="AZ193" s="857"/>
      <c r="BA193" s="857"/>
      <c r="BB193" s="857"/>
      <c r="BC193" s="857"/>
      <c r="BD193" s="857"/>
      <c r="BE193" s="857"/>
      <c r="BF193" s="857"/>
      <c r="BG193" s="857"/>
      <c r="BH193" s="857"/>
      <c r="BI193" s="857"/>
      <c r="BJ193" s="857"/>
      <c r="BK193" s="857"/>
      <c r="BL193" s="857"/>
      <c r="BM193" s="857"/>
      <c r="BN193" s="857"/>
      <c r="BO193" s="857"/>
      <c r="BP193" s="857"/>
      <c r="BQ193" s="857"/>
      <c r="BR193" s="857"/>
      <c r="BS193" s="857"/>
      <c r="BT193" s="857"/>
      <c r="BU193" s="857"/>
      <c r="BV193" s="857"/>
      <c r="BW193" s="857"/>
      <c r="BX193" s="857"/>
      <c r="BY193" s="857"/>
      <c r="BZ193" s="857"/>
      <c r="CA193" s="857"/>
      <c r="CB193" s="857"/>
      <c r="CC193" s="857"/>
      <c r="CD193" s="857"/>
      <c r="CE193" s="857"/>
      <c r="CF193" s="857"/>
      <c r="CG193" s="857"/>
      <c r="CH193" s="857"/>
      <c r="CI193" s="857"/>
      <c r="CJ193" s="857"/>
      <c r="CK193" s="857"/>
      <c r="CL193" s="857"/>
      <c r="CM193" s="857"/>
      <c r="CN193" s="857"/>
      <c r="CO193" s="857"/>
      <c r="CP193" s="857"/>
      <c r="CQ193" s="857"/>
      <c r="CR193" s="857"/>
      <c r="CS193" s="857"/>
      <c r="CT193" s="857"/>
      <c r="CU193" s="857"/>
      <c r="CV193" s="857"/>
      <c r="CW193" s="857"/>
      <c r="CX193" s="857"/>
      <c r="CY193" s="857"/>
      <c r="CZ193" s="857"/>
      <c r="DA193" s="857"/>
      <c r="DB193" s="857"/>
      <c r="DC193" s="857"/>
      <c r="DD193" s="857"/>
      <c r="DE193" s="857"/>
      <c r="DF193" s="857"/>
      <c r="DG193" s="857"/>
      <c r="DH193" s="857"/>
      <c r="DI193" s="857"/>
      <c r="DJ193" s="857"/>
      <c r="DK193" s="857"/>
      <c r="DL193" s="857"/>
      <c r="DM193" s="857"/>
      <c r="DN193" s="857"/>
      <c r="DO193" s="857"/>
      <c r="DP193" s="857"/>
      <c r="DQ193" s="857"/>
      <c r="DR193" s="857"/>
      <c r="DS193" s="857"/>
      <c r="DT193" s="857"/>
      <c r="DU193" s="857"/>
      <c r="DV193" s="857"/>
      <c r="DW193" s="857"/>
      <c r="DX193" s="857"/>
      <c r="DY193" s="857"/>
      <c r="DZ193" s="857"/>
      <c r="EA193" s="857"/>
      <c r="EB193" s="857"/>
      <c r="EC193" s="857"/>
      <c r="ED193" s="857"/>
      <c r="EE193" s="857"/>
      <c r="EF193" s="857"/>
      <c r="EG193" s="857"/>
      <c r="EH193" s="857"/>
      <c r="EI193" s="857"/>
    </row>
    <row r="194" spans="2:139" ht="12.75" customHeight="1">
      <c r="B194" s="32" t="s">
        <v>598</v>
      </c>
      <c r="C194" s="209"/>
      <c r="D194" s="867">
        <f t="shared" ref="D194:N194" si="324">SUMPRODUCT($S$4:$EI$4*(D$5=$S$6:$EI$6)*($S194:$EI194=1))</f>
        <v>0</v>
      </c>
      <c r="E194" s="867">
        <f t="shared" si="324"/>
        <v>0</v>
      </c>
      <c r="F194" s="867">
        <f t="shared" si="324"/>
        <v>0</v>
      </c>
      <c r="G194" s="867">
        <f t="shared" si="324"/>
        <v>0</v>
      </c>
      <c r="H194" s="867">
        <f t="shared" si="324"/>
        <v>0</v>
      </c>
      <c r="I194" s="867">
        <f t="shared" si="324"/>
        <v>0</v>
      </c>
      <c r="J194" s="867">
        <f t="shared" si="324"/>
        <v>0</v>
      </c>
      <c r="K194" s="867">
        <f t="shared" si="324"/>
        <v>0</v>
      </c>
      <c r="L194" s="867">
        <f t="shared" si="324"/>
        <v>0</v>
      </c>
      <c r="M194" s="867">
        <f t="shared" si="324"/>
        <v>0</v>
      </c>
      <c r="N194" s="867">
        <f t="shared" si="324"/>
        <v>0</v>
      </c>
      <c r="O194" s="858"/>
      <c r="P194" s="313"/>
      <c r="Q194" s="313"/>
      <c r="R194" s="313"/>
      <c r="S194" s="318">
        <f t="shared" ref="S194:AX194" si="325">AND(S186*1,OR(S$206,S$270,S$292))*1</f>
        <v>0</v>
      </c>
      <c r="T194" s="318">
        <f t="shared" si="325"/>
        <v>0</v>
      </c>
      <c r="U194" s="318">
        <f t="shared" si="325"/>
        <v>0</v>
      </c>
      <c r="V194" s="318">
        <f t="shared" si="325"/>
        <v>0</v>
      </c>
      <c r="W194" s="318">
        <f t="shared" si="325"/>
        <v>0</v>
      </c>
      <c r="X194" s="318">
        <f t="shared" si="325"/>
        <v>0</v>
      </c>
      <c r="Y194" s="318">
        <f t="shared" si="325"/>
        <v>0</v>
      </c>
      <c r="Z194" s="318">
        <f t="shared" si="325"/>
        <v>0</v>
      </c>
      <c r="AA194" s="318">
        <f t="shared" si="325"/>
        <v>0</v>
      </c>
      <c r="AB194" s="318">
        <f t="shared" si="325"/>
        <v>0</v>
      </c>
      <c r="AC194" s="318">
        <f t="shared" si="325"/>
        <v>0</v>
      </c>
      <c r="AD194" s="318">
        <f t="shared" si="325"/>
        <v>0</v>
      </c>
      <c r="AE194" s="318">
        <f t="shared" si="325"/>
        <v>0</v>
      </c>
      <c r="AF194" s="318">
        <f t="shared" si="325"/>
        <v>0</v>
      </c>
      <c r="AG194" s="318">
        <f t="shared" si="325"/>
        <v>0</v>
      </c>
      <c r="AH194" s="318">
        <f t="shared" si="325"/>
        <v>0</v>
      </c>
      <c r="AI194" s="318">
        <f t="shared" si="325"/>
        <v>0</v>
      </c>
      <c r="AJ194" s="318">
        <f t="shared" si="325"/>
        <v>0</v>
      </c>
      <c r="AK194" s="318">
        <f t="shared" si="325"/>
        <v>0</v>
      </c>
      <c r="AL194" s="318">
        <f t="shared" si="325"/>
        <v>0</v>
      </c>
      <c r="AM194" s="318">
        <f t="shared" si="325"/>
        <v>0</v>
      </c>
      <c r="AN194" s="318">
        <f t="shared" si="325"/>
        <v>0</v>
      </c>
      <c r="AO194" s="318">
        <f t="shared" si="325"/>
        <v>0</v>
      </c>
      <c r="AP194" s="318">
        <f t="shared" si="325"/>
        <v>0</v>
      </c>
      <c r="AQ194" s="318">
        <f t="shared" si="325"/>
        <v>0</v>
      </c>
      <c r="AR194" s="318">
        <f t="shared" si="325"/>
        <v>0</v>
      </c>
      <c r="AS194" s="318">
        <f t="shared" si="325"/>
        <v>0</v>
      </c>
      <c r="AT194" s="318">
        <f t="shared" si="325"/>
        <v>0</v>
      </c>
      <c r="AU194" s="318">
        <f t="shared" si="325"/>
        <v>0</v>
      </c>
      <c r="AV194" s="318">
        <f t="shared" si="325"/>
        <v>0</v>
      </c>
      <c r="AW194" s="318">
        <f t="shared" si="325"/>
        <v>0</v>
      </c>
      <c r="AX194" s="318">
        <f t="shared" si="325"/>
        <v>0</v>
      </c>
      <c r="AY194" s="318">
        <f t="shared" ref="AY194:CD194" si="326">AND(AY186*1,OR(AY$206,AY$270,AY$292))*1</f>
        <v>0</v>
      </c>
      <c r="AZ194" s="318">
        <f t="shared" si="326"/>
        <v>0</v>
      </c>
      <c r="BA194" s="318">
        <f t="shared" si="326"/>
        <v>0</v>
      </c>
      <c r="BB194" s="318">
        <f t="shared" si="326"/>
        <v>0</v>
      </c>
      <c r="BC194" s="318">
        <f t="shared" si="326"/>
        <v>0</v>
      </c>
      <c r="BD194" s="318">
        <f t="shared" si="326"/>
        <v>0</v>
      </c>
      <c r="BE194" s="318">
        <f t="shared" si="326"/>
        <v>0</v>
      </c>
      <c r="BF194" s="318">
        <f t="shared" si="326"/>
        <v>0</v>
      </c>
      <c r="BG194" s="318">
        <f t="shared" si="326"/>
        <v>0</v>
      </c>
      <c r="BH194" s="318">
        <f t="shared" si="326"/>
        <v>0</v>
      </c>
      <c r="BI194" s="318">
        <f t="shared" si="326"/>
        <v>0</v>
      </c>
      <c r="BJ194" s="318">
        <f t="shared" si="326"/>
        <v>0</v>
      </c>
      <c r="BK194" s="318">
        <f t="shared" si="326"/>
        <v>0</v>
      </c>
      <c r="BL194" s="318">
        <f t="shared" si="326"/>
        <v>0</v>
      </c>
      <c r="BM194" s="318">
        <f t="shared" si="326"/>
        <v>0</v>
      </c>
      <c r="BN194" s="318">
        <f t="shared" si="326"/>
        <v>0</v>
      </c>
      <c r="BO194" s="318">
        <f t="shared" si="326"/>
        <v>0</v>
      </c>
      <c r="BP194" s="318">
        <f t="shared" si="326"/>
        <v>0</v>
      </c>
      <c r="BQ194" s="318">
        <f t="shared" si="326"/>
        <v>0</v>
      </c>
      <c r="BR194" s="318">
        <f t="shared" si="326"/>
        <v>0</v>
      </c>
      <c r="BS194" s="318">
        <f t="shared" si="326"/>
        <v>0</v>
      </c>
      <c r="BT194" s="318">
        <f t="shared" si="326"/>
        <v>0</v>
      </c>
      <c r="BU194" s="318">
        <f t="shared" si="326"/>
        <v>0</v>
      </c>
      <c r="BV194" s="318">
        <f t="shared" si="326"/>
        <v>0</v>
      </c>
      <c r="BW194" s="318">
        <f t="shared" si="326"/>
        <v>0</v>
      </c>
      <c r="BX194" s="318">
        <f t="shared" si="326"/>
        <v>0</v>
      </c>
      <c r="BY194" s="318">
        <f t="shared" si="326"/>
        <v>0</v>
      </c>
      <c r="BZ194" s="318">
        <f t="shared" si="326"/>
        <v>0</v>
      </c>
      <c r="CA194" s="318">
        <f t="shared" si="326"/>
        <v>0</v>
      </c>
      <c r="CB194" s="318">
        <f t="shared" si="326"/>
        <v>0</v>
      </c>
      <c r="CC194" s="318">
        <f t="shared" si="326"/>
        <v>0</v>
      </c>
      <c r="CD194" s="318">
        <f t="shared" si="326"/>
        <v>0</v>
      </c>
      <c r="CE194" s="318">
        <f t="shared" ref="CE194:DJ194" si="327">AND(CE186*1,OR(CE$206,CE$270,CE$292))*1</f>
        <v>0</v>
      </c>
      <c r="CF194" s="318">
        <f t="shared" si="327"/>
        <v>0</v>
      </c>
      <c r="CG194" s="318">
        <f t="shared" si="327"/>
        <v>0</v>
      </c>
      <c r="CH194" s="318">
        <f t="shared" si="327"/>
        <v>0</v>
      </c>
      <c r="CI194" s="318">
        <f t="shared" si="327"/>
        <v>0</v>
      </c>
      <c r="CJ194" s="318">
        <f t="shared" si="327"/>
        <v>0</v>
      </c>
      <c r="CK194" s="318">
        <f t="shared" si="327"/>
        <v>0</v>
      </c>
      <c r="CL194" s="318">
        <f t="shared" si="327"/>
        <v>0</v>
      </c>
      <c r="CM194" s="318">
        <f t="shared" si="327"/>
        <v>0</v>
      </c>
      <c r="CN194" s="318">
        <f t="shared" si="327"/>
        <v>0</v>
      </c>
      <c r="CO194" s="318">
        <f t="shared" si="327"/>
        <v>0</v>
      </c>
      <c r="CP194" s="318">
        <f t="shared" si="327"/>
        <v>0</v>
      </c>
      <c r="CQ194" s="318">
        <f t="shared" si="327"/>
        <v>0</v>
      </c>
      <c r="CR194" s="318">
        <f t="shared" si="327"/>
        <v>0</v>
      </c>
      <c r="CS194" s="318">
        <f t="shared" si="327"/>
        <v>0</v>
      </c>
      <c r="CT194" s="318">
        <f t="shared" si="327"/>
        <v>0</v>
      </c>
      <c r="CU194" s="318">
        <f t="shared" si="327"/>
        <v>0</v>
      </c>
      <c r="CV194" s="318">
        <f t="shared" si="327"/>
        <v>0</v>
      </c>
      <c r="CW194" s="318">
        <f t="shared" si="327"/>
        <v>0</v>
      </c>
      <c r="CX194" s="318">
        <f t="shared" si="327"/>
        <v>0</v>
      </c>
      <c r="CY194" s="318">
        <f t="shared" si="327"/>
        <v>0</v>
      </c>
      <c r="CZ194" s="318">
        <f t="shared" si="327"/>
        <v>0</v>
      </c>
      <c r="DA194" s="318">
        <f t="shared" si="327"/>
        <v>0</v>
      </c>
      <c r="DB194" s="318">
        <f t="shared" si="327"/>
        <v>0</v>
      </c>
      <c r="DC194" s="318">
        <f t="shared" si="327"/>
        <v>0</v>
      </c>
      <c r="DD194" s="318">
        <f t="shared" si="327"/>
        <v>0</v>
      </c>
      <c r="DE194" s="318">
        <f t="shared" si="327"/>
        <v>0</v>
      </c>
      <c r="DF194" s="318">
        <f t="shared" si="327"/>
        <v>0</v>
      </c>
      <c r="DG194" s="318">
        <f t="shared" si="327"/>
        <v>0</v>
      </c>
      <c r="DH194" s="318">
        <f t="shared" si="327"/>
        <v>0</v>
      </c>
      <c r="DI194" s="318">
        <f t="shared" si="327"/>
        <v>0</v>
      </c>
      <c r="DJ194" s="318">
        <f t="shared" si="327"/>
        <v>0</v>
      </c>
      <c r="DK194" s="318">
        <f t="shared" ref="DK194:EI194" si="328">AND(DK186*1,OR(DK$206,DK$270,DK$292))*1</f>
        <v>0</v>
      </c>
      <c r="DL194" s="318">
        <f t="shared" si="328"/>
        <v>0</v>
      </c>
      <c r="DM194" s="318">
        <f t="shared" si="328"/>
        <v>0</v>
      </c>
      <c r="DN194" s="318">
        <f t="shared" si="328"/>
        <v>0</v>
      </c>
      <c r="DO194" s="318">
        <f t="shared" si="328"/>
        <v>0</v>
      </c>
      <c r="DP194" s="318">
        <f t="shared" si="328"/>
        <v>0</v>
      </c>
      <c r="DQ194" s="318">
        <f t="shared" si="328"/>
        <v>0</v>
      </c>
      <c r="DR194" s="318">
        <f t="shared" si="328"/>
        <v>0</v>
      </c>
      <c r="DS194" s="318">
        <f t="shared" si="328"/>
        <v>0</v>
      </c>
      <c r="DT194" s="318">
        <f t="shared" si="328"/>
        <v>0</v>
      </c>
      <c r="DU194" s="318">
        <f t="shared" si="328"/>
        <v>0</v>
      </c>
      <c r="DV194" s="318">
        <f t="shared" si="328"/>
        <v>0</v>
      </c>
      <c r="DW194" s="318">
        <f t="shared" si="328"/>
        <v>0</v>
      </c>
      <c r="DX194" s="318">
        <f t="shared" si="328"/>
        <v>0</v>
      </c>
      <c r="DY194" s="318">
        <f t="shared" si="328"/>
        <v>0</v>
      </c>
      <c r="DZ194" s="318">
        <f t="shared" si="328"/>
        <v>0</v>
      </c>
      <c r="EA194" s="318">
        <f t="shared" si="328"/>
        <v>0</v>
      </c>
      <c r="EB194" s="318">
        <f t="shared" si="328"/>
        <v>0</v>
      </c>
      <c r="EC194" s="318">
        <f t="shared" si="328"/>
        <v>0</v>
      </c>
      <c r="ED194" s="318">
        <f t="shared" si="328"/>
        <v>0</v>
      </c>
      <c r="EE194" s="318">
        <f t="shared" si="328"/>
        <v>0</v>
      </c>
      <c r="EF194" s="318">
        <f t="shared" si="328"/>
        <v>0</v>
      </c>
      <c r="EG194" s="318">
        <f t="shared" si="328"/>
        <v>0</v>
      </c>
      <c r="EH194" s="318">
        <f t="shared" si="328"/>
        <v>0</v>
      </c>
      <c r="EI194" s="318">
        <f t="shared" si="328"/>
        <v>0</v>
      </c>
    </row>
    <row r="195" spans="2:139" ht="12.75" customHeight="1">
      <c r="B195" s="46"/>
      <c r="C195" s="209"/>
      <c r="D195" s="857"/>
      <c r="E195" s="857"/>
      <c r="F195" s="857"/>
      <c r="G195" s="857"/>
      <c r="H195" s="857"/>
      <c r="I195" s="857"/>
      <c r="J195" s="857"/>
      <c r="K195" s="857"/>
      <c r="L195" s="857"/>
      <c r="M195" s="857"/>
      <c r="N195" s="857"/>
      <c r="O195" s="858"/>
      <c r="P195" s="313"/>
      <c r="Q195" s="313"/>
      <c r="R195" s="313"/>
      <c r="S195" s="857"/>
      <c r="T195" s="857"/>
      <c r="U195" s="857"/>
      <c r="V195" s="857"/>
      <c r="W195" s="857"/>
      <c r="X195" s="857"/>
      <c r="Y195" s="857"/>
      <c r="Z195" s="857"/>
      <c r="AA195" s="857"/>
      <c r="AB195" s="857"/>
      <c r="AC195" s="857"/>
      <c r="AD195" s="857"/>
      <c r="AE195" s="857"/>
      <c r="AF195" s="857"/>
      <c r="AG195" s="857"/>
      <c r="AH195" s="857"/>
      <c r="AI195" s="857"/>
      <c r="AJ195" s="857"/>
      <c r="AK195" s="857"/>
      <c r="AL195" s="857"/>
      <c r="AM195" s="857"/>
      <c r="AN195" s="857"/>
      <c r="AO195" s="857"/>
      <c r="AP195" s="857"/>
      <c r="AQ195" s="857"/>
      <c r="AR195" s="857"/>
      <c r="AS195" s="857"/>
      <c r="AT195" s="857"/>
      <c r="AU195" s="857"/>
      <c r="AV195" s="857"/>
      <c r="AW195" s="857"/>
      <c r="AX195" s="857"/>
      <c r="AY195" s="857"/>
      <c r="AZ195" s="857"/>
      <c r="BA195" s="857"/>
      <c r="BB195" s="857"/>
      <c r="BC195" s="857"/>
      <c r="BD195" s="857"/>
      <c r="BE195" s="857"/>
      <c r="BF195" s="857"/>
      <c r="BG195" s="857"/>
      <c r="BH195" s="857"/>
      <c r="BI195" s="857"/>
      <c r="BJ195" s="857"/>
      <c r="BK195" s="857"/>
      <c r="BL195" s="857"/>
      <c r="BM195" s="857"/>
      <c r="BN195" s="857"/>
      <c r="BO195" s="857"/>
      <c r="BP195" s="857"/>
      <c r="BQ195" s="857"/>
      <c r="BR195" s="857"/>
      <c r="BS195" s="857"/>
      <c r="BT195" s="857"/>
      <c r="BU195" s="857"/>
      <c r="BV195" s="857"/>
      <c r="BW195" s="857"/>
      <c r="BX195" s="857"/>
      <c r="BY195" s="857"/>
      <c r="BZ195" s="857"/>
      <c r="CA195" s="857"/>
      <c r="CB195" s="857"/>
      <c r="CC195" s="857"/>
      <c r="CD195" s="857"/>
      <c r="CE195" s="857"/>
      <c r="CF195" s="857"/>
      <c r="CG195" s="857"/>
      <c r="CH195" s="857"/>
      <c r="CI195" s="857"/>
      <c r="CJ195" s="857"/>
      <c r="CK195" s="857"/>
      <c r="CL195" s="857"/>
      <c r="CM195" s="857"/>
      <c r="CN195" s="857"/>
      <c r="CO195" s="857"/>
      <c r="CP195" s="857"/>
      <c r="CQ195" s="857"/>
      <c r="CR195" s="857"/>
      <c r="CS195" s="857"/>
      <c r="CT195" s="857"/>
      <c r="CU195" s="857"/>
      <c r="CV195" s="857"/>
      <c r="CW195" s="857"/>
      <c r="CX195" s="857"/>
      <c r="CY195" s="857"/>
      <c r="CZ195" s="857"/>
      <c r="DA195" s="857"/>
      <c r="DB195" s="857"/>
      <c r="DC195" s="857"/>
      <c r="DD195" s="857"/>
      <c r="DE195" s="857"/>
      <c r="DF195" s="857"/>
      <c r="DG195" s="857"/>
      <c r="DH195" s="857"/>
      <c r="DI195" s="857"/>
      <c r="DJ195" s="857"/>
      <c r="DK195" s="857"/>
      <c r="DL195" s="857"/>
      <c r="DM195" s="857"/>
      <c r="DN195" s="857"/>
      <c r="DO195" s="857"/>
      <c r="DP195" s="857"/>
      <c r="DQ195" s="857"/>
      <c r="DR195" s="857"/>
      <c r="DS195" s="857"/>
      <c r="DT195" s="857"/>
      <c r="DU195" s="857"/>
      <c r="DV195" s="857"/>
      <c r="DW195" s="857"/>
      <c r="DX195" s="857"/>
      <c r="DY195" s="857"/>
      <c r="DZ195" s="857"/>
      <c r="EA195" s="857"/>
      <c r="EB195" s="857"/>
      <c r="EC195" s="857"/>
      <c r="ED195" s="857"/>
      <c r="EE195" s="857"/>
      <c r="EF195" s="857"/>
      <c r="EG195" s="857"/>
      <c r="EH195" s="857"/>
      <c r="EI195" s="857"/>
    </row>
    <row r="198" spans="2:139" s="192" customFormat="1" ht="14.25" customHeight="1">
      <c r="B198" s="1043" t="s">
        <v>601</v>
      </c>
      <c r="C198" s="196"/>
      <c r="D198" s="196"/>
      <c r="E198" s="196"/>
      <c r="F198" s="197"/>
      <c r="G198" s="197"/>
      <c r="H198" s="197"/>
      <c r="I198" s="197"/>
      <c r="J198" s="197"/>
      <c r="K198" s="197"/>
      <c r="L198" s="197"/>
      <c r="M198" s="197"/>
      <c r="N198" s="197"/>
      <c r="O198" s="197"/>
      <c r="P198"/>
      <c r="Q198"/>
      <c r="R198"/>
      <c r="S198" s="197"/>
      <c r="T198" s="197"/>
      <c r="U198" s="197"/>
      <c r="V198" s="197"/>
      <c r="W198" s="197"/>
      <c r="X198" s="197"/>
      <c r="Y198" s="197"/>
      <c r="Z198" s="197"/>
      <c r="AA198" s="197"/>
      <c r="AB198" s="197"/>
      <c r="AC198" s="197"/>
      <c r="AD198" s="197"/>
      <c r="AE198" s="197"/>
      <c r="AF198" s="197"/>
      <c r="AG198" s="197"/>
      <c r="AH198" s="197"/>
      <c r="AI198" s="197"/>
      <c r="AJ198" s="197"/>
      <c r="AK198" s="197"/>
      <c r="AL198" s="197"/>
      <c r="AM198" s="197"/>
      <c r="AN198" s="197"/>
      <c r="AO198" s="197"/>
      <c r="AP198" s="197"/>
      <c r="AQ198" s="197"/>
      <c r="AR198" s="197"/>
      <c r="AS198" s="197"/>
      <c r="AT198" s="197"/>
      <c r="AU198" s="197"/>
      <c r="AV198" s="197"/>
      <c r="AW198" s="197"/>
      <c r="AX198" s="197"/>
      <c r="AY198" s="197"/>
      <c r="AZ198" s="197"/>
      <c r="BA198" s="197"/>
      <c r="BB198" s="197"/>
      <c r="BC198" s="197"/>
      <c r="BD198" s="197"/>
      <c r="BE198" s="197"/>
      <c r="BF198" s="197"/>
      <c r="BG198" s="197"/>
      <c r="BH198" s="197"/>
      <c r="BI198" s="197"/>
      <c r="BJ198" s="197"/>
      <c r="BK198" s="197"/>
      <c r="BL198" s="197"/>
      <c r="BM198" s="197"/>
      <c r="BN198" s="197"/>
      <c r="BO198" s="197"/>
      <c r="BP198" s="197"/>
      <c r="BQ198" s="197"/>
      <c r="BR198" s="197"/>
      <c r="BS198" s="197"/>
      <c r="BT198" s="197"/>
      <c r="BU198" s="197"/>
      <c r="BV198" s="197"/>
      <c r="BW198" s="197"/>
      <c r="BX198" s="197"/>
      <c r="BY198" s="197"/>
      <c r="BZ198" s="197"/>
      <c r="CA198" s="197"/>
      <c r="CB198" s="197"/>
      <c r="CC198" s="197"/>
      <c r="CD198" s="197"/>
      <c r="CE198" s="197"/>
      <c r="CF198" s="197"/>
      <c r="CG198" s="197"/>
      <c r="CH198" s="197"/>
      <c r="CI198" s="197"/>
      <c r="CJ198" s="197"/>
      <c r="CK198" s="197"/>
      <c r="CL198" s="197"/>
      <c r="CM198" s="197"/>
      <c r="CN198" s="197"/>
      <c r="CO198" s="197"/>
      <c r="CP198" s="197"/>
      <c r="CQ198" s="197"/>
      <c r="CR198" s="197"/>
      <c r="CS198" s="197"/>
      <c r="CT198" s="197"/>
      <c r="CU198" s="197"/>
      <c r="CV198" s="197"/>
      <c r="CW198" s="197"/>
      <c r="CX198" s="197"/>
      <c r="CY198" s="197"/>
      <c r="CZ198" s="197"/>
      <c r="DA198" s="197"/>
      <c r="DB198" s="197"/>
      <c r="DC198" s="197"/>
      <c r="DD198" s="197"/>
      <c r="DE198" s="197"/>
      <c r="DF198" s="197"/>
      <c r="DG198" s="197"/>
      <c r="DH198" s="197"/>
      <c r="DI198" s="197"/>
      <c r="DJ198" s="197"/>
      <c r="DK198" s="197"/>
      <c r="DL198" s="197"/>
      <c r="DM198" s="197"/>
      <c r="DN198" s="197"/>
      <c r="DO198" s="197"/>
      <c r="DP198" s="197"/>
      <c r="DQ198" s="197"/>
      <c r="DR198" s="197"/>
      <c r="DS198" s="197"/>
      <c r="DT198" s="197"/>
      <c r="DU198" s="197"/>
      <c r="DV198" s="197"/>
      <c r="DW198" s="197"/>
      <c r="DX198" s="197"/>
      <c r="DY198" s="197"/>
      <c r="DZ198" s="197"/>
      <c r="EA198" s="197"/>
      <c r="EB198" s="197"/>
      <c r="EC198" s="197"/>
      <c r="ED198" s="197"/>
      <c r="EE198" s="197"/>
      <c r="EF198" s="197"/>
      <c r="EG198" s="197"/>
      <c r="EH198" s="197"/>
      <c r="EI198" s="197"/>
    </row>
    <row r="199" spans="2:139" ht="12.75" customHeight="1">
      <c r="B199" s="1045" t="s">
        <v>227</v>
      </c>
      <c r="C199" s="211"/>
      <c r="D199" s="78"/>
      <c r="E199" s="78"/>
      <c r="F199" s="78"/>
      <c r="G199" s="78"/>
      <c r="H199" s="78"/>
      <c r="I199" s="78"/>
      <c r="J199" s="78"/>
      <c r="K199" s="78"/>
      <c r="L199" s="78"/>
      <c r="M199" s="78"/>
      <c r="N199" s="78"/>
      <c r="O199" s="145"/>
      <c r="S199" s="78"/>
      <c r="T199" s="78"/>
      <c r="U199" s="78"/>
      <c r="V199" s="78"/>
      <c r="W199" s="78"/>
      <c r="X199" s="78"/>
      <c r="Y199" s="78"/>
      <c r="Z199" s="78"/>
      <c r="AA199" s="78"/>
      <c r="AB199" s="78"/>
      <c r="AC199" s="78"/>
      <c r="AD199" s="78"/>
      <c r="AE199" s="78"/>
      <c r="AF199" s="78"/>
      <c r="AG199" s="78"/>
      <c r="AH199" s="78"/>
      <c r="AI199" s="78"/>
      <c r="AJ199" s="78"/>
      <c r="AK199" s="78"/>
      <c r="AL199" s="78"/>
      <c r="AM199" s="78"/>
      <c r="AN199" s="78"/>
      <c r="AO199" s="78"/>
      <c r="AP199" s="78"/>
      <c r="AQ199" s="78"/>
      <c r="AR199" s="78"/>
      <c r="AS199" s="78"/>
      <c r="AT199" s="78"/>
      <c r="AU199" s="78"/>
      <c r="AV199" s="78"/>
      <c r="AW199" s="78"/>
      <c r="AX199" s="78"/>
      <c r="AY199" s="78"/>
      <c r="AZ199" s="78"/>
      <c r="BA199" s="78"/>
      <c r="BB199" s="78"/>
      <c r="BC199" s="78"/>
      <c r="BD199" s="78"/>
      <c r="BE199" s="78"/>
      <c r="BF199" s="78"/>
      <c r="BG199" s="78"/>
      <c r="BH199" s="78"/>
      <c r="BI199" s="78"/>
      <c r="BJ199" s="78"/>
      <c r="BK199" s="78"/>
      <c r="BL199" s="78"/>
      <c r="BM199" s="78"/>
      <c r="BN199" s="78"/>
      <c r="BO199" s="78"/>
      <c r="BP199" s="78"/>
      <c r="BQ199" s="78"/>
      <c r="BR199" s="78"/>
      <c r="BS199" s="78"/>
      <c r="BT199" s="78"/>
      <c r="BU199" s="78"/>
      <c r="BV199" s="78"/>
      <c r="BW199" s="78"/>
      <c r="BX199" s="78"/>
      <c r="BY199" s="78"/>
      <c r="BZ199" s="78"/>
      <c r="CA199" s="78"/>
      <c r="CB199" s="78"/>
      <c r="CC199" s="78"/>
      <c r="CD199" s="78"/>
      <c r="CE199" s="78"/>
      <c r="CF199" s="78"/>
      <c r="CG199" s="78"/>
      <c r="CH199" s="78"/>
      <c r="CI199" s="78"/>
      <c r="CJ199" s="78"/>
      <c r="CK199" s="78"/>
      <c r="CL199" s="78"/>
      <c r="CM199" s="78"/>
      <c r="CN199" s="78"/>
      <c r="CO199" s="78"/>
      <c r="CP199" s="78"/>
      <c r="CQ199" s="78"/>
      <c r="CR199" s="78"/>
      <c r="CS199" s="78"/>
      <c r="CT199" s="78"/>
      <c r="CU199" s="78"/>
      <c r="CV199" s="78"/>
      <c r="CW199" s="78"/>
      <c r="CX199" s="78"/>
      <c r="CY199" s="78"/>
      <c r="CZ199" s="78"/>
      <c r="DA199" s="78"/>
      <c r="DB199" s="78"/>
      <c r="DC199" s="78"/>
      <c r="DD199" s="78"/>
      <c r="DE199" s="78"/>
      <c r="DF199" s="78"/>
      <c r="DG199" s="78"/>
      <c r="DH199" s="78"/>
      <c r="DI199" s="78"/>
      <c r="DJ199" s="78"/>
      <c r="DK199" s="78"/>
      <c r="DL199" s="78"/>
      <c r="DM199" s="78"/>
      <c r="DN199" s="78"/>
      <c r="DO199" s="78"/>
      <c r="DP199" s="78"/>
      <c r="DQ199" s="78"/>
      <c r="DR199" s="78"/>
      <c r="DS199" s="78"/>
      <c r="DT199" s="78"/>
      <c r="DU199" s="78"/>
      <c r="DV199" s="78"/>
      <c r="DW199" s="78"/>
      <c r="DX199" s="78"/>
      <c r="DY199" s="78"/>
      <c r="DZ199" s="78"/>
      <c r="EA199" s="78"/>
      <c r="EB199" s="78"/>
      <c r="EC199" s="78"/>
      <c r="ED199" s="78"/>
      <c r="EE199" s="78"/>
      <c r="EF199" s="78"/>
      <c r="EG199" s="78"/>
      <c r="EH199" s="78"/>
      <c r="EI199" s="78"/>
    </row>
    <row r="200" spans="2:139" ht="12.75" customHeight="1">
      <c r="B200" s="41" t="s">
        <v>229</v>
      </c>
      <c r="C200" s="211"/>
      <c r="D200" s="78">
        <f t="shared" ref="D200:N200" si="329">SUMIF($S$6:$EI$6,D$5,$S200:$EI200)</f>
        <v>0</v>
      </c>
      <c r="E200" s="78">
        <f t="shared" si="329"/>
        <v>0</v>
      </c>
      <c r="F200" s="78">
        <f t="shared" si="329"/>
        <v>0</v>
      </c>
      <c r="G200" s="78">
        <f t="shared" si="329"/>
        <v>0</v>
      </c>
      <c r="H200" s="78">
        <f t="shared" si="329"/>
        <v>0</v>
      </c>
      <c r="I200" s="78">
        <f t="shared" si="329"/>
        <v>0</v>
      </c>
      <c r="J200" s="78">
        <f t="shared" si="329"/>
        <v>0</v>
      </c>
      <c r="K200" s="78">
        <f t="shared" si="329"/>
        <v>0</v>
      </c>
      <c r="L200" s="78">
        <f t="shared" si="329"/>
        <v>0</v>
      </c>
      <c r="M200" s="78">
        <f t="shared" si="329"/>
        <v>0</v>
      </c>
      <c r="N200" s="78">
        <f t="shared" si="329"/>
        <v>0</v>
      </c>
      <c r="O200" s="145">
        <f>SUM(D200:N200)</f>
        <v>0</v>
      </c>
      <c r="S200" s="78">
        <f>-(Input!$I$217+Input!$I$218)*S206</f>
        <v>0</v>
      </c>
      <c r="T200" s="78">
        <f>-(Input!$I$217+Input!$I$218)*T206</f>
        <v>0</v>
      </c>
      <c r="U200" s="78">
        <f>-(Input!$I$217+Input!$I$218)*U206</f>
        <v>0</v>
      </c>
      <c r="V200" s="78">
        <f>-(Input!$I$217+Input!$I$218)*V206</f>
        <v>0</v>
      </c>
      <c r="W200" s="78">
        <f>-(Input!$I$217+Input!$I$218)*W206</f>
        <v>0</v>
      </c>
      <c r="X200" s="78">
        <f>-(Input!$I$217+Input!$I$218)*X206</f>
        <v>0</v>
      </c>
      <c r="Y200" s="78">
        <f>-(Input!$I$217+Input!$I$218)*Y206</f>
        <v>0</v>
      </c>
      <c r="Z200" s="78">
        <f>-(Input!$I$217+Input!$I$218)*Z206</f>
        <v>0</v>
      </c>
      <c r="AA200" s="78">
        <f>-(Input!$I$217+Input!$I$218)*AA206</f>
        <v>0</v>
      </c>
      <c r="AB200" s="78">
        <f>-(Input!$I$217+Input!$I$218)*AB206</f>
        <v>0</v>
      </c>
      <c r="AC200" s="78">
        <f>-(Input!$I$217+Input!$I$218)*AC206</f>
        <v>0</v>
      </c>
      <c r="AD200" s="78">
        <f>-(Input!$I$217+Input!$I$218)*AD206</f>
        <v>0</v>
      </c>
      <c r="AE200" s="78">
        <f>-(Input!$I$217+Input!$I$218)*AE206</f>
        <v>0</v>
      </c>
      <c r="AF200" s="78">
        <f>-(Input!$I$217+Input!$I$218)*AF206</f>
        <v>0</v>
      </c>
      <c r="AG200" s="78">
        <f>-(Input!$I$217+Input!$I$218)*AG206</f>
        <v>0</v>
      </c>
      <c r="AH200" s="78">
        <f>-(Input!$I$217+Input!$I$218)*AH206</f>
        <v>0</v>
      </c>
      <c r="AI200" s="78">
        <f>-(Input!$I$217+Input!$I$218)*AI206</f>
        <v>0</v>
      </c>
      <c r="AJ200" s="78">
        <f>-(Input!$I$217+Input!$I$218)*AJ206</f>
        <v>0</v>
      </c>
      <c r="AK200" s="78">
        <f>-(Input!$I$217+Input!$I$218)*AK206</f>
        <v>0</v>
      </c>
      <c r="AL200" s="78">
        <f>-(Input!$I$217+Input!$I$218)*AL206</f>
        <v>0</v>
      </c>
      <c r="AM200" s="78">
        <f>-(Input!$I$217+Input!$I$218)*AM206</f>
        <v>0</v>
      </c>
      <c r="AN200" s="78">
        <f>-(Input!$I$217+Input!$I$218)*AN206</f>
        <v>0</v>
      </c>
      <c r="AO200" s="78">
        <f>-(Input!$I$217+Input!$I$218)*AO206</f>
        <v>0</v>
      </c>
      <c r="AP200" s="78">
        <f>-(Input!$I$217+Input!$I$218)*AP206</f>
        <v>0</v>
      </c>
      <c r="AQ200" s="78">
        <f>-(Input!$I$217+Input!$I$218)*AQ206</f>
        <v>0</v>
      </c>
      <c r="AR200" s="78">
        <f>-(Input!$I$217+Input!$I$218)*AR206</f>
        <v>0</v>
      </c>
      <c r="AS200" s="78">
        <f>-(Input!$I$217+Input!$I$218)*AS206</f>
        <v>0</v>
      </c>
      <c r="AT200" s="78">
        <f>-(Input!$I$217+Input!$I$218)*AT206</f>
        <v>0</v>
      </c>
      <c r="AU200" s="78">
        <f>-(Input!$I$217+Input!$I$218)*AU206</f>
        <v>0</v>
      </c>
      <c r="AV200" s="78">
        <f>-(Input!$I$217+Input!$I$218)*AV206</f>
        <v>0</v>
      </c>
      <c r="AW200" s="78">
        <f>-(Input!$I$217+Input!$I$218)*AW206</f>
        <v>0</v>
      </c>
      <c r="AX200" s="78">
        <f>-(Input!$I$217+Input!$I$218)*AX206</f>
        <v>0</v>
      </c>
      <c r="AY200" s="78">
        <f>-(Input!$I$217+Input!$I$218)*AY206</f>
        <v>0</v>
      </c>
      <c r="AZ200" s="78">
        <f>-(Input!$I$217+Input!$I$218)*AZ206</f>
        <v>0</v>
      </c>
      <c r="BA200" s="78">
        <f>-(Input!$I$217+Input!$I$218)*BA206</f>
        <v>0</v>
      </c>
      <c r="BB200" s="78">
        <f>-(Input!$I$217+Input!$I$218)*BB206</f>
        <v>0</v>
      </c>
      <c r="BC200" s="78">
        <f>-(Input!$I$217+Input!$I$218)*BC206</f>
        <v>0</v>
      </c>
      <c r="BD200" s="78">
        <f>-(Input!$I$217+Input!$I$218)*BD206</f>
        <v>0</v>
      </c>
      <c r="BE200" s="78">
        <f>-(Input!$I$217+Input!$I$218)*BE206</f>
        <v>0</v>
      </c>
      <c r="BF200" s="78">
        <f>-(Input!$I$217+Input!$I$218)*BF206</f>
        <v>0</v>
      </c>
      <c r="BG200" s="78">
        <f>-(Input!$I$217+Input!$I$218)*BG206</f>
        <v>0</v>
      </c>
      <c r="BH200" s="78">
        <f>-(Input!$I$217+Input!$I$218)*BH206</f>
        <v>0</v>
      </c>
      <c r="BI200" s="78">
        <f>-(Input!$I$217+Input!$I$218)*BI206</f>
        <v>0</v>
      </c>
      <c r="BJ200" s="78">
        <f>-(Input!$I$217+Input!$I$218)*BJ206</f>
        <v>0</v>
      </c>
      <c r="BK200" s="78">
        <f>-(Input!$I$217+Input!$I$218)*BK206</f>
        <v>0</v>
      </c>
      <c r="BL200" s="78">
        <f>-(Input!$I$217+Input!$I$218)*BL206</f>
        <v>0</v>
      </c>
      <c r="BM200" s="78">
        <f>-(Input!$I$217+Input!$I$218)*BM206</f>
        <v>0</v>
      </c>
      <c r="BN200" s="78">
        <f>-(Input!$I$217+Input!$I$218)*BN206</f>
        <v>0</v>
      </c>
      <c r="BO200" s="78">
        <f>-(Input!$I$217+Input!$I$218)*BO206</f>
        <v>0</v>
      </c>
      <c r="BP200" s="78">
        <f>-(Input!$I$217+Input!$I$218)*BP206</f>
        <v>0</v>
      </c>
      <c r="BQ200" s="78">
        <f>-(Input!$I$217+Input!$I$218)*BQ206</f>
        <v>0</v>
      </c>
      <c r="BR200" s="78">
        <f>-(Input!$I$217+Input!$I$218)*BR206</f>
        <v>0</v>
      </c>
      <c r="BS200" s="78">
        <f>-(Input!$I$217+Input!$I$218)*BS206</f>
        <v>0</v>
      </c>
      <c r="BT200" s="78">
        <f>-(Input!$I$217+Input!$I$218)*BT206</f>
        <v>0</v>
      </c>
      <c r="BU200" s="78">
        <f>-(Input!$I$217+Input!$I$218)*BU206</f>
        <v>0</v>
      </c>
      <c r="BV200" s="78">
        <f>-(Input!$I$217+Input!$I$218)*BV206</f>
        <v>0</v>
      </c>
      <c r="BW200" s="78">
        <f>-(Input!$I$217+Input!$I$218)*BW206</f>
        <v>0</v>
      </c>
      <c r="BX200" s="78">
        <f>-(Input!$I$217+Input!$I$218)*BX206</f>
        <v>0</v>
      </c>
      <c r="BY200" s="78">
        <f>-(Input!$I$217+Input!$I$218)*BY206</f>
        <v>0</v>
      </c>
      <c r="BZ200" s="78">
        <f>-(Input!$I$217+Input!$I$218)*BZ206</f>
        <v>0</v>
      </c>
      <c r="CA200" s="78">
        <f>-(Input!$I$217+Input!$I$218)*CA206</f>
        <v>0</v>
      </c>
      <c r="CB200" s="78">
        <f>-(Input!$I$217+Input!$I$218)*CB206</f>
        <v>0</v>
      </c>
      <c r="CC200" s="78">
        <f>-(Input!$I$217+Input!$I$218)*CC206</f>
        <v>0</v>
      </c>
      <c r="CD200" s="78">
        <f>-(Input!$I$217+Input!$I$218)*CD206</f>
        <v>0</v>
      </c>
      <c r="CE200" s="78">
        <f>-(Input!$I$217+Input!$I$218)*CE206</f>
        <v>0</v>
      </c>
      <c r="CF200" s="78">
        <f>-(Input!$I$217+Input!$I$218)*CF206</f>
        <v>0</v>
      </c>
      <c r="CG200" s="78">
        <f>-(Input!$I$217+Input!$I$218)*CG206</f>
        <v>0</v>
      </c>
      <c r="CH200" s="78">
        <f>-(Input!$I$217+Input!$I$218)*CH206</f>
        <v>0</v>
      </c>
      <c r="CI200" s="78">
        <f>-(Input!$I$217+Input!$I$218)*CI206</f>
        <v>0</v>
      </c>
      <c r="CJ200" s="78">
        <f>-(Input!$I$217+Input!$I$218)*CJ206</f>
        <v>0</v>
      </c>
      <c r="CK200" s="78">
        <f>-(Input!$I$217+Input!$I$218)*CK206</f>
        <v>0</v>
      </c>
      <c r="CL200" s="78">
        <f>-(Input!$I$217+Input!$I$218)*CL206</f>
        <v>0</v>
      </c>
      <c r="CM200" s="78">
        <f>-(Input!$I$217+Input!$I$218)*CM206</f>
        <v>0</v>
      </c>
      <c r="CN200" s="78">
        <f>-(Input!$I$217+Input!$I$218)*CN206</f>
        <v>0</v>
      </c>
      <c r="CO200" s="78">
        <f>-(Input!$I$217+Input!$I$218)*CO206</f>
        <v>0</v>
      </c>
      <c r="CP200" s="78">
        <f>-(Input!$I$217+Input!$I$218)*CP206</f>
        <v>0</v>
      </c>
      <c r="CQ200" s="78">
        <f>-(Input!$I$217+Input!$I$218)*CQ206</f>
        <v>0</v>
      </c>
      <c r="CR200" s="78">
        <f>-(Input!$I$217+Input!$I$218)*CR206</f>
        <v>0</v>
      </c>
      <c r="CS200" s="78">
        <f>-(Input!$I$217+Input!$I$218)*CS206</f>
        <v>0</v>
      </c>
      <c r="CT200" s="78">
        <f>-(Input!$I$217+Input!$I$218)*CT206</f>
        <v>0</v>
      </c>
      <c r="CU200" s="78">
        <f>-(Input!$I$217+Input!$I$218)*CU206</f>
        <v>0</v>
      </c>
      <c r="CV200" s="78">
        <f>-(Input!$I$217+Input!$I$218)*CV206</f>
        <v>0</v>
      </c>
      <c r="CW200" s="78">
        <f>-(Input!$I$217+Input!$I$218)*CW206</f>
        <v>0</v>
      </c>
      <c r="CX200" s="78">
        <f>-(Input!$I$217+Input!$I$218)*CX206</f>
        <v>0</v>
      </c>
      <c r="CY200" s="78">
        <f>-(Input!$I$217+Input!$I$218)*CY206</f>
        <v>0</v>
      </c>
      <c r="CZ200" s="78">
        <f>-(Input!$I$217+Input!$I$218)*CZ206</f>
        <v>0</v>
      </c>
      <c r="DA200" s="78">
        <f>-(Input!$I$217+Input!$I$218)*DA206</f>
        <v>0</v>
      </c>
      <c r="DB200" s="78">
        <f>-(Input!$I$217+Input!$I$218)*DB206</f>
        <v>0</v>
      </c>
      <c r="DC200" s="78">
        <f>-(Input!$I$217+Input!$I$218)*DC206</f>
        <v>0</v>
      </c>
      <c r="DD200" s="78">
        <f>-(Input!$I$217+Input!$I$218)*DD206</f>
        <v>0</v>
      </c>
      <c r="DE200" s="78">
        <f>-(Input!$I$217+Input!$I$218)*DE206</f>
        <v>0</v>
      </c>
      <c r="DF200" s="78">
        <f>-(Input!$I$217+Input!$I$218)*DF206</f>
        <v>0</v>
      </c>
      <c r="DG200" s="78">
        <f>-(Input!$I$217+Input!$I$218)*DG206</f>
        <v>0</v>
      </c>
      <c r="DH200" s="78">
        <f>-(Input!$I$217+Input!$I$218)*DH206</f>
        <v>0</v>
      </c>
      <c r="DI200" s="78">
        <f>-(Input!$I$217+Input!$I$218)*DI206</f>
        <v>0</v>
      </c>
      <c r="DJ200" s="78">
        <f>-(Input!$I$217+Input!$I$218)*DJ206</f>
        <v>0</v>
      </c>
      <c r="DK200" s="78">
        <f>-(Input!$I$217+Input!$I$218)*DK206</f>
        <v>0</v>
      </c>
      <c r="DL200" s="78">
        <f>-(Input!$I$217+Input!$I$218)*DL206</f>
        <v>0</v>
      </c>
      <c r="DM200" s="78">
        <f>-(Input!$I$217+Input!$I$218)*DM206</f>
        <v>0</v>
      </c>
      <c r="DN200" s="78">
        <f>-(Input!$I$217+Input!$I$218)*DN206</f>
        <v>0</v>
      </c>
      <c r="DO200" s="78">
        <f>-(Input!$I$217+Input!$I$218)*DO206</f>
        <v>0</v>
      </c>
      <c r="DP200" s="78">
        <f>-(Input!$I$217+Input!$I$218)*DP206</f>
        <v>0</v>
      </c>
      <c r="DQ200" s="78">
        <f>-(Input!$I$217+Input!$I$218)*DQ206</f>
        <v>0</v>
      </c>
      <c r="DR200" s="78">
        <f>-(Input!$I$217+Input!$I$218)*DR206</f>
        <v>0</v>
      </c>
      <c r="DS200" s="78">
        <f>-(Input!$I$217+Input!$I$218)*DS206</f>
        <v>0</v>
      </c>
      <c r="DT200" s="78">
        <f>-(Input!$I$217+Input!$I$218)*DT206</f>
        <v>0</v>
      </c>
      <c r="DU200" s="78">
        <f>-(Input!$I$217+Input!$I$218)*DU206</f>
        <v>0</v>
      </c>
      <c r="DV200" s="78">
        <f>-(Input!$I$217+Input!$I$218)*DV206</f>
        <v>0</v>
      </c>
      <c r="DW200" s="78">
        <f>-(Input!$I$217+Input!$I$218)*DW206</f>
        <v>0</v>
      </c>
      <c r="DX200" s="78">
        <f>-(Input!$I$217+Input!$I$218)*DX206</f>
        <v>0</v>
      </c>
      <c r="DY200" s="78">
        <f>-(Input!$I$217+Input!$I$218)*DY206</f>
        <v>0</v>
      </c>
      <c r="DZ200" s="78">
        <f>-(Input!$I$217+Input!$I$218)*DZ206</f>
        <v>0</v>
      </c>
      <c r="EA200" s="78">
        <f>-(Input!$I$217+Input!$I$218)*EA206</f>
        <v>0</v>
      </c>
      <c r="EB200" s="78">
        <f>-(Input!$I$217+Input!$I$218)*EB206</f>
        <v>0</v>
      </c>
      <c r="EC200" s="78">
        <f>-(Input!$I$217+Input!$I$218)*EC206</f>
        <v>0</v>
      </c>
      <c r="ED200" s="78">
        <f>-(Input!$I$217+Input!$I$218)*ED206</f>
        <v>0</v>
      </c>
      <c r="EE200" s="78">
        <f>-(Input!$I$217+Input!$I$218)*EE206</f>
        <v>0</v>
      </c>
      <c r="EF200" s="78">
        <f>-(Input!$I$217+Input!$I$218)*EF206</f>
        <v>0</v>
      </c>
      <c r="EG200" s="78">
        <f>-(Input!$I$217+Input!$I$218)*EG206</f>
        <v>0</v>
      </c>
      <c r="EH200" s="78">
        <f>-(Input!$I$217+Input!$I$218)*EH206</f>
        <v>0</v>
      </c>
      <c r="EI200" s="78">
        <f>-(Input!$I$217+Input!$I$218)*EI206</f>
        <v>0</v>
      </c>
    </row>
    <row r="201" spans="2:139" ht="12.75" customHeight="1">
      <c r="B201" s="41" t="s">
        <v>590</v>
      </c>
      <c r="C201" s="211"/>
      <c r="D201" s="78"/>
      <c r="E201" s="78">
        <f t="shared" ref="E201:N201" si="330">SUMIF($S$6:$EI$6,E$5,$S201:$EI201)</f>
        <v>0</v>
      </c>
      <c r="F201" s="78">
        <f t="shared" si="330"/>
        <v>0</v>
      </c>
      <c r="G201" s="78">
        <f t="shared" si="330"/>
        <v>0</v>
      </c>
      <c r="H201" s="78">
        <f t="shared" si="330"/>
        <v>0</v>
      </c>
      <c r="I201" s="78">
        <f t="shared" si="330"/>
        <v>0</v>
      </c>
      <c r="J201" s="78">
        <f t="shared" si="330"/>
        <v>0</v>
      </c>
      <c r="K201" s="78">
        <f t="shared" si="330"/>
        <v>0</v>
      </c>
      <c r="L201" s="78">
        <f t="shared" si="330"/>
        <v>0</v>
      </c>
      <c r="M201" s="78">
        <f t="shared" si="330"/>
        <v>0</v>
      </c>
      <c r="N201" s="78">
        <f t="shared" si="330"/>
        <v>0</v>
      </c>
      <c r="O201" s="145">
        <f>SUM(D201:N201)</f>
        <v>0</v>
      </c>
      <c r="S201" s="78"/>
      <c r="T201" s="78">
        <f t="shared" ref="T201:AY201" si="331">-T214*T205/12</f>
        <v>0</v>
      </c>
      <c r="U201" s="78">
        <f t="shared" si="331"/>
        <v>0</v>
      </c>
      <c r="V201" s="78">
        <f t="shared" si="331"/>
        <v>0</v>
      </c>
      <c r="W201" s="78">
        <f t="shared" si="331"/>
        <v>0</v>
      </c>
      <c r="X201" s="78">
        <f t="shared" si="331"/>
        <v>0</v>
      </c>
      <c r="Y201" s="78">
        <f t="shared" si="331"/>
        <v>0</v>
      </c>
      <c r="Z201" s="78">
        <f t="shared" si="331"/>
        <v>0</v>
      </c>
      <c r="AA201" s="78">
        <f t="shared" si="331"/>
        <v>0</v>
      </c>
      <c r="AB201" s="78">
        <f t="shared" si="331"/>
        <v>0</v>
      </c>
      <c r="AC201" s="78">
        <f t="shared" si="331"/>
        <v>0</v>
      </c>
      <c r="AD201" s="78">
        <f t="shared" si="331"/>
        <v>0</v>
      </c>
      <c r="AE201" s="78">
        <f t="shared" si="331"/>
        <v>0</v>
      </c>
      <c r="AF201" s="78">
        <f t="shared" si="331"/>
        <v>0</v>
      </c>
      <c r="AG201" s="78">
        <f t="shared" si="331"/>
        <v>0</v>
      </c>
      <c r="AH201" s="78">
        <f t="shared" si="331"/>
        <v>0</v>
      </c>
      <c r="AI201" s="78">
        <f t="shared" si="331"/>
        <v>0</v>
      </c>
      <c r="AJ201" s="78">
        <f t="shared" si="331"/>
        <v>0</v>
      </c>
      <c r="AK201" s="78">
        <f t="shared" si="331"/>
        <v>0</v>
      </c>
      <c r="AL201" s="78">
        <f t="shared" si="331"/>
        <v>0</v>
      </c>
      <c r="AM201" s="78">
        <f t="shared" si="331"/>
        <v>0</v>
      </c>
      <c r="AN201" s="78">
        <f t="shared" si="331"/>
        <v>0</v>
      </c>
      <c r="AO201" s="78">
        <f t="shared" si="331"/>
        <v>0</v>
      </c>
      <c r="AP201" s="78">
        <f t="shared" si="331"/>
        <v>0</v>
      </c>
      <c r="AQ201" s="78">
        <f t="shared" si="331"/>
        <v>0</v>
      </c>
      <c r="AR201" s="78">
        <f t="shared" si="331"/>
        <v>0</v>
      </c>
      <c r="AS201" s="78">
        <f t="shared" si="331"/>
        <v>0</v>
      </c>
      <c r="AT201" s="78">
        <f t="shared" si="331"/>
        <v>0</v>
      </c>
      <c r="AU201" s="78">
        <f t="shared" si="331"/>
        <v>0</v>
      </c>
      <c r="AV201" s="78">
        <f t="shared" si="331"/>
        <v>0</v>
      </c>
      <c r="AW201" s="78">
        <f t="shared" si="331"/>
        <v>0</v>
      </c>
      <c r="AX201" s="78">
        <f t="shared" si="331"/>
        <v>0</v>
      </c>
      <c r="AY201" s="78">
        <f t="shared" si="331"/>
        <v>0</v>
      </c>
      <c r="AZ201" s="78">
        <f t="shared" ref="AZ201:CE201" si="332">-AZ214*AZ205/12</f>
        <v>0</v>
      </c>
      <c r="BA201" s="78">
        <f t="shared" si="332"/>
        <v>0</v>
      </c>
      <c r="BB201" s="78">
        <f t="shared" si="332"/>
        <v>0</v>
      </c>
      <c r="BC201" s="78">
        <f t="shared" si="332"/>
        <v>0</v>
      </c>
      <c r="BD201" s="78">
        <f t="shared" si="332"/>
        <v>0</v>
      </c>
      <c r="BE201" s="78">
        <f t="shared" si="332"/>
        <v>0</v>
      </c>
      <c r="BF201" s="78">
        <f t="shared" si="332"/>
        <v>0</v>
      </c>
      <c r="BG201" s="78">
        <f t="shared" si="332"/>
        <v>0</v>
      </c>
      <c r="BH201" s="78">
        <f t="shared" si="332"/>
        <v>0</v>
      </c>
      <c r="BI201" s="78">
        <f t="shared" si="332"/>
        <v>0</v>
      </c>
      <c r="BJ201" s="78">
        <f t="shared" si="332"/>
        <v>0</v>
      </c>
      <c r="BK201" s="78">
        <f t="shared" si="332"/>
        <v>0</v>
      </c>
      <c r="BL201" s="78">
        <f t="shared" si="332"/>
        <v>0</v>
      </c>
      <c r="BM201" s="78">
        <f t="shared" si="332"/>
        <v>0</v>
      </c>
      <c r="BN201" s="78">
        <f t="shared" si="332"/>
        <v>0</v>
      </c>
      <c r="BO201" s="78">
        <f t="shared" si="332"/>
        <v>0</v>
      </c>
      <c r="BP201" s="78">
        <f t="shared" si="332"/>
        <v>0</v>
      </c>
      <c r="BQ201" s="78">
        <f t="shared" si="332"/>
        <v>0</v>
      </c>
      <c r="BR201" s="78">
        <f t="shared" si="332"/>
        <v>0</v>
      </c>
      <c r="BS201" s="78">
        <f t="shared" si="332"/>
        <v>0</v>
      </c>
      <c r="BT201" s="78">
        <f t="shared" si="332"/>
        <v>0</v>
      </c>
      <c r="BU201" s="78">
        <f t="shared" si="332"/>
        <v>0</v>
      </c>
      <c r="BV201" s="78">
        <f t="shared" si="332"/>
        <v>0</v>
      </c>
      <c r="BW201" s="78">
        <f t="shared" si="332"/>
        <v>0</v>
      </c>
      <c r="BX201" s="78">
        <f t="shared" si="332"/>
        <v>0</v>
      </c>
      <c r="BY201" s="78">
        <f t="shared" si="332"/>
        <v>0</v>
      </c>
      <c r="BZ201" s="78">
        <f t="shared" si="332"/>
        <v>0</v>
      </c>
      <c r="CA201" s="78">
        <f t="shared" si="332"/>
        <v>0</v>
      </c>
      <c r="CB201" s="78">
        <f t="shared" si="332"/>
        <v>0</v>
      </c>
      <c r="CC201" s="78">
        <f t="shared" si="332"/>
        <v>0</v>
      </c>
      <c r="CD201" s="78">
        <f t="shared" si="332"/>
        <v>0</v>
      </c>
      <c r="CE201" s="78">
        <f t="shared" si="332"/>
        <v>0</v>
      </c>
      <c r="CF201" s="78">
        <f t="shared" ref="CF201:DK201" si="333">-CF214*CF205/12</f>
        <v>0</v>
      </c>
      <c r="CG201" s="78">
        <f t="shared" si="333"/>
        <v>0</v>
      </c>
      <c r="CH201" s="78">
        <f t="shared" si="333"/>
        <v>0</v>
      </c>
      <c r="CI201" s="78">
        <f t="shared" si="333"/>
        <v>0</v>
      </c>
      <c r="CJ201" s="78">
        <f t="shared" si="333"/>
        <v>0</v>
      </c>
      <c r="CK201" s="78">
        <f t="shared" si="333"/>
        <v>0</v>
      </c>
      <c r="CL201" s="78">
        <f t="shared" si="333"/>
        <v>0</v>
      </c>
      <c r="CM201" s="78">
        <f t="shared" si="333"/>
        <v>0</v>
      </c>
      <c r="CN201" s="78">
        <f t="shared" si="333"/>
        <v>0</v>
      </c>
      <c r="CO201" s="78">
        <f t="shared" si="333"/>
        <v>0</v>
      </c>
      <c r="CP201" s="78">
        <f t="shared" si="333"/>
        <v>0</v>
      </c>
      <c r="CQ201" s="78">
        <f t="shared" si="333"/>
        <v>0</v>
      </c>
      <c r="CR201" s="78">
        <f t="shared" si="333"/>
        <v>0</v>
      </c>
      <c r="CS201" s="78">
        <f t="shared" si="333"/>
        <v>0</v>
      </c>
      <c r="CT201" s="78">
        <f t="shared" si="333"/>
        <v>0</v>
      </c>
      <c r="CU201" s="78">
        <f t="shared" si="333"/>
        <v>0</v>
      </c>
      <c r="CV201" s="78">
        <f t="shared" si="333"/>
        <v>0</v>
      </c>
      <c r="CW201" s="78">
        <f t="shared" si="333"/>
        <v>0</v>
      </c>
      <c r="CX201" s="78">
        <f t="shared" si="333"/>
        <v>0</v>
      </c>
      <c r="CY201" s="78">
        <f t="shared" si="333"/>
        <v>0</v>
      </c>
      <c r="CZ201" s="78">
        <f t="shared" si="333"/>
        <v>0</v>
      </c>
      <c r="DA201" s="78">
        <f t="shared" si="333"/>
        <v>0</v>
      </c>
      <c r="DB201" s="78">
        <f t="shared" si="333"/>
        <v>0</v>
      </c>
      <c r="DC201" s="78">
        <f t="shared" si="333"/>
        <v>0</v>
      </c>
      <c r="DD201" s="78">
        <f t="shared" si="333"/>
        <v>0</v>
      </c>
      <c r="DE201" s="78">
        <f t="shared" si="333"/>
        <v>0</v>
      </c>
      <c r="DF201" s="78">
        <f t="shared" si="333"/>
        <v>0</v>
      </c>
      <c r="DG201" s="78">
        <f t="shared" si="333"/>
        <v>0</v>
      </c>
      <c r="DH201" s="78">
        <f t="shared" si="333"/>
        <v>0</v>
      </c>
      <c r="DI201" s="78">
        <f t="shared" si="333"/>
        <v>0</v>
      </c>
      <c r="DJ201" s="78">
        <f t="shared" si="333"/>
        <v>0</v>
      </c>
      <c r="DK201" s="78">
        <f t="shared" si="333"/>
        <v>0</v>
      </c>
      <c r="DL201" s="78">
        <f t="shared" ref="DL201:EI201" si="334">-DL214*DL205/12</f>
        <v>0</v>
      </c>
      <c r="DM201" s="78">
        <f t="shared" si="334"/>
        <v>0</v>
      </c>
      <c r="DN201" s="78">
        <f t="shared" si="334"/>
        <v>0</v>
      </c>
      <c r="DO201" s="78">
        <f t="shared" si="334"/>
        <v>0</v>
      </c>
      <c r="DP201" s="78">
        <f t="shared" si="334"/>
        <v>0</v>
      </c>
      <c r="DQ201" s="78">
        <f t="shared" si="334"/>
        <v>0</v>
      </c>
      <c r="DR201" s="78">
        <f t="shared" si="334"/>
        <v>0</v>
      </c>
      <c r="DS201" s="78">
        <f t="shared" si="334"/>
        <v>0</v>
      </c>
      <c r="DT201" s="78">
        <f t="shared" si="334"/>
        <v>0</v>
      </c>
      <c r="DU201" s="78">
        <f t="shared" si="334"/>
        <v>0</v>
      </c>
      <c r="DV201" s="78">
        <f t="shared" si="334"/>
        <v>0</v>
      </c>
      <c r="DW201" s="78">
        <f t="shared" si="334"/>
        <v>0</v>
      </c>
      <c r="DX201" s="78">
        <f t="shared" si="334"/>
        <v>0</v>
      </c>
      <c r="DY201" s="78">
        <f t="shared" si="334"/>
        <v>0</v>
      </c>
      <c r="DZ201" s="78">
        <f t="shared" si="334"/>
        <v>0</v>
      </c>
      <c r="EA201" s="78">
        <f t="shared" si="334"/>
        <v>0</v>
      </c>
      <c r="EB201" s="78">
        <f t="shared" si="334"/>
        <v>0</v>
      </c>
      <c r="EC201" s="78">
        <f t="shared" si="334"/>
        <v>0</v>
      </c>
      <c r="ED201" s="78">
        <f t="shared" si="334"/>
        <v>0</v>
      </c>
      <c r="EE201" s="78">
        <f t="shared" si="334"/>
        <v>0</v>
      </c>
      <c r="EF201" s="78">
        <f t="shared" si="334"/>
        <v>0</v>
      </c>
      <c r="EG201" s="78">
        <f t="shared" si="334"/>
        <v>0</v>
      </c>
      <c r="EH201" s="78">
        <f t="shared" si="334"/>
        <v>0</v>
      </c>
      <c r="EI201" s="78">
        <f t="shared" si="334"/>
        <v>0</v>
      </c>
    </row>
    <row r="202" spans="2:139" ht="12.75" customHeight="1">
      <c r="B202" s="46" t="s">
        <v>231</v>
      </c>
      <c r="C202" s="209"/>
      <c r="D202" s="694">
        <f t="shared" ref="D202:O202" si="335">SUBTOTAL(9,D200:D201)</f>
        <v>0</v>
      </c>
      <c r="E202" s="694">
        <f t="shared" si="335"/>
        <v>0</v>
      </c>
      <c r="F202" s="694">
        <f t="shared" si="335"/>
        <v>0</v>
      </c>
      <c r="G202" s="694">
        <f t="shared" si="335"/>
        <v>0</v>
      </c>
      <c r="H202" s="694">
        <f t="shared" si="335"/>
        <v>0</v>
      </c>
      <c r="I202" s="694">
        <f t="shared" si="335"/>
        <v>0</v>
      </c>
      <c r="J202" s="694">
        <f t="shared" si="335"/>
        <v>0</v>
      </c>
      <c r="K202" s="694">
        <f t="shared" si="335"/>
        <v>0</v>
      </c>
      <c r="L202" s="694">
        <f t="shared" si="335"/>
        <v>0</v>
      </c>
      <c r="M202" s="694">
        <f t="shared" si="335"/>
        <v>0</v>
      </c>
      <c r="N202" s="694">
        <f t="shared" si="335"/>
        <v>0</v>
      </c>
      <c r="O202" s="713">
        <f t="shared" si="335"/>
        <v>0</v>
      </c>
      <c r="S202" s="694">
        <f t="shared" ref="S202:AX202" si="336">SUBTOTAL(9,S200:S201)</f>
        <v>0</v>
      </c>
      <c r="T202" s="694">
        <f t="shared" si="336"/>
        <v>0</v>
      </c>
      <c r="U202" s="694">
        <f t="shared" si="336"/>
        <v>0</v>
      </c>
      <c r="V202" s="694">
        <f t="shared" si="336"/>
        <v>0</v>
      </c>
      <c r="W202" s="694">
        <f t="shared" si="336"/>
        <v>0</v>
      </c>
      <c r="X202" s="694">
        <f t="shared" si="336"/>
        <v>0</v>
      </c>
      <c r="Y202" s="694">
        <f t="shared" si="336"/>
        <v>0</v>
      </c>
      <c r="Z202" s="694">
        <f t="shared" si="336"/>
        <v>0</v>
      </c>
      <c r="AA202" s="694">
        <f t="shared" si="336"/>
        <v>0</v>
      </c>
      <c r="AB202" s="694">
        <f t="shared" si="336"/>
        <v>0</v>
      </c>
      <c r="AC202" s="694">
        <f t="shared" si="336"/>
        <v>0</v>
      </c>
      <c r="AD202" s="694">
        <f t="shared" si="336"/>
        <v>0</v>
      </c>
      <c r="AE202" s="694">
        <f t="shared" si="336"/>
        <v>0</v>
      </c>
      <c r="AF202" s="694">
        <f t="shared" si="336"/>
        <v>0</v>
      </c>
      <c r="AG202" s="694">
        <f t="shared" si="336"/>
        <v>0</v>
      </c>
      <c r="AH202" s="694">
        <f t="shared" si="336"/>
        <v>0</v>
      </c>
      <c r="AI202" s="694">
        <f t="shared" si="336"/>
        <v>0</v>
      </c>
      <c r="AJ202" s="694">
        <f t="shared" si="336"/>
        <v>0</v>
      </c>
      <c r="AK202" s="694">
        <f t="shared" si="336"/>
        <v>0</v>
      </c>
      <c r="AL202" s="694">
        <f t="shared" si="336"/>
        <v>0</v>
      </c>
      <c r="AM202" s="694">
        <f t="shared" si="336"/>
        <v>0</v>
      </c>
      <c r="AN202" s="694">
        <f t="shared" si="336"/>
        <v>0</v>
      </c>
      <c r="AO202" s="694">
        <f t="shared" si="336"/>
        <v>0</v>
      </c>
      <c r="AP202" s="694">
        <f t="shared" si="336"/>
        <v>0</v>
      </c>
      <c r="AQ202" s="694">
        <f t="shared" si="336"/>
        <v>0</v>
      </c>
      <c r="AR202" s="694">
        <f t="shared" si="336"/>
        <v>0</v>
      </c>
      <c r="AS202" s="694">
        <f t="shared" si="336"/>
        <v>0</v>
      </c>
      <c r="AT202" s="694">
        <f t="shared" si="336"/>
        <v>0</v>
      </c>
      <c r="AU202" s="694">
        <f t="shared" si="336"/>
        <v>0</v>
      </c>
      <c r="AV202" s="694">
        <f t="shared" si="336"/>
        <v>0</v>
      </c>
      <c r="AW202" s="694">
        <f t="shared" si="336"/>
        <v>0</v>
      </c>
      <c r="AX202" s="694">
        <f t="shared" si="336"/>
        <v>0</v>
      </c>
      <c r="AY202" s="694">
        <f t="shared" ref="AY202:CD202" si="337">SUBTOTAL(9,AY200:AY201)</f>
        <v>0</v>
      </c>
      <c r="AZ202" s="694">
        <f t="shared" si="337"/>
        <v>0</v>
      </c>
      <c r="BA202" s="694">
        <f t="shared" si="337"/>
        <v>0</v>
      </c>
      <c r="BB202" s="694">
        <f t="shared" si="337"/>
        <v>0</v>
      </c>
      <c r="BC202" s="694">
        <f t="shared" si="337"/>
        <v>0</v>
      </c>
      <c r="BD202" s="694">
        <f t="shared" si="337"/>
        <v>0</v>
      </c>
      <c r="BE202" s="694">
        <f t="shared" si="337"/>
        <v>0</v>
      </c>
      <c r="BF202" s="694">
        <f t="shared" si="337"/>
        <v>0</v>
      </c>
      <c r="BG202" s="694">
        <f t="shared" si="337"/>
        <v>0</v>
      </c>
      <c r="BH202" s="694">
        <f t="shared" si="337"/>
        <v>0</v>
      </c>
      <c r="BI202" s="694">
        <f t="shared" si="337"/>
        <v>0</v>
      </c>
      <c r="BJ202" s="694">
        <f t="shared" si="337"/>
        <v>0</v>
      </c>
      <c r="BK202" s="694">
        <f t="shared" si="337"/>
        <v>0</v>
      </c>
      <c r="BL202" s="694">
        <f t="shared" si="337"/>
        <v>0</v>
      </c>
      <c r="BM202" s="694">
        <f t="shared" si="337"/>
        <v>0</v>
      </c>
      <c r="BN202" s="694">
        <f t="shared" si="337"/>
        <v>0</v>
      </c>
      <c r="BO202" s="694">
        <f t="shared" si="337"/>
        <v>0</v>
      </c>
      <c r="BP202" s="694">
        <f t="shared" si="337"/>
        <v>0</v>
      </c>
      <c r="BQ202" s="694">
        <f t="shared" si="337"/>
        <v>0</v>
      </c>
      <c r="BR202" s="694">
        <f t="shared" si="337"/>
        <v>0</v>
      </c>
      <c r="BS202" s="694">
        <f t="shared" si="337"/>
        <v>0</v>
      </c>
      <c r="BT202" s="694">
        <f t="shared" si="337"/>
        <v>0</v>
      </c>
      <c r="BU202" s="694">
        <f t="shared" si="337"/>
        <v>0</v>
      </c>
      <c r="BV202" s="694">
        <f t="shared" si="337"/>
        <v>0</v>
      </c>
      <c r="BW202" s="694">
        <f t="shared" si="337"/>
        <v>0</v>
      </c>
      <c r="BX202" s="694">
        <f t="shared" si="337"/>
        <v>0</v>
      </c>
      <c r="BY202" s="694">
        <f t="shared" si="337"/>
        <v>0</v>
      </c>
      <c r="BZ202" s="694">
        <f t="shared" si="337"/>
        <v>0</v>
      </c>
      <c r="CA202" s="694">
        <f t="shared" si="337"/>
        <v>0</v>
      </c>
      <c r="CB202" s="694">
        <f t="shared" si="337"/>
        <v>0</v>
      </c>
      <c r="CC202" s="694">
        <f t="shared" si="337"/>
        <v>0</v>
      </c>
      <c r="CD202" s="694">
        <f t="shared" si="337"/>
        <v>0</v>
      </c>
      <c r="CE202" s="694">
        <f t="shared" ref="CE202:DJ202" si="338">SUBTOTAL(9,CE200:CE201)</f>
        <v>0</v>
      </c>
      <c r="CF202" s="694">
        <f t="shared" si="338"/>
        <v>0</v>
      </c>
      <c r="CG202" s="694">
        <f t="shared" si="338"/>
        <v>0</v>
      </c>
      <c r="CH202" s="694">
        <f t="shared" si="338"/>
        <v>0</v>
      </c>
      <c r="CI202" s="694">
        <f t="shared" si="338"/>
        <v>0</v>
      </c>
      <c r="CJ202" s="694">
        <f t="shared" si="338"/>
        <v>0</v>
      </c>
      <c r="CK202" s="694">
        <f t="shared" si="338"/>
        <v>0</v>
      </c>
      <c r="CL202" s="694">
        <f t="shared" si="338"/>
        <v>0</v>
      </c>
      <c r="CM202" s="694">
        <f t="shared" si="338"/>
        <v>0</v>
      </c>
      <c r="CN202" s="694">
        <f t="shared" si="338"/>
        <v>0</v>
      </c>
      <c r="CO202" s="694">
        <f t="shared" si="338"/>
        <v>0</v>
      </c>
      <c r="CP202" s="694">
        <f t="shared" si="338"/>
        <v>0</v>
      </c>
      <c r="CQ202" s="694">
        <f t="shared" si="338"/>
        <v>0</v>
      </c>
      <c r="CR202" s="694">
        <f t="shared" si="338"/>
        <v>0</v>
      </c>
      <c r="CS202" s="694">
        <f t="shared" si="338"/>
        <v>0</v>
      </c>
      <c r="CT202" s="694">
        <f t="shared" si="338"/>
        <v>0</v>
      </c>
      <c r="CU202" s="694">
        <f t="shared" si="338"/>
        <v>0</v>
      </c>
      <c r="CV202" s="694">
        <f t="shared" si="338"/>
        <v>0</v>
      </c>
      <c r="CW202" s="694">
        <f t="shared" si="338"/>
        <v>0</v>
      </c>
      <c r="CX202" s="694">
        <f t="shared" si="338"/>
        <v>0</v>
      </c>
      <c r="CY202" s="694">
        <f t="shared" si="338"/>
        <v>0</v>
      </c>
      <c r="CZ202" s="694">
        <f t="shared" si="338"/>
        <v>0</v>
      </c>
      <c r="DA202" s="694">
        <f t="shared" si="338"/>
        <v>0</v>
      </c>
      <c r="DB202" s="694">
        <f t="shared" si="338"/>
        <v>0</v>
      </c>
      <c r="DC202" s="694">
        <f t="shared" si="338"/>
        <v>0</v>
      </c>
      <c r="DD202" s="694">
        <f t="shared" si="338"/>
        <v>0</v>
      </c>
      <c r="DE202" s="694">
        <f t="shared" si="338"/>
        <v>0</v>
      </c>
      <c r="DF202" s="694">
        <f t="shared" si="338"/>
        <v>0</v>
      </c>
      <c r="DG202" s="694">
        <f t="shared" si="338"/>
        <v>0</v>
      </c>
      <c r="DH202" s="694">
        <f t="shared" si="338"/>
        <v>0</v>
      </c>
      <c r="DI202" s="694">
        <f t="shared" si="338"/>
        <v>0</v>
      </c>
      <c r="DJ202" s="694">
        <f t="shared" si="338"/>
        <v>0</v>
      </c>
      <c r="DK202" s="694">
        <f t="shared" ref="DK202:EP202" si="339">SUBTOTAL(9,DK200:DK201)</f>
        <v>0</v>
      </c>
      <c r="DL202" s="694">
        <f t="shared" si="339"/>
        <v>0</v>
      </c>
      <c r="DM202" s="694">
        <f t="shared" si="339"/>
        <v>0</v>
      </c>
      <c r="DN202" s="694">
        <f t="shared" si="339"/>
        <v>0</v>
      </c>
      <c r="DO202" s="694">
        <f t="shared" si="339"/>
        <v>0</v>
      </c>
      <c r="DP202" s="694">
        <f t="shared" si="339"/>
        <v>0</v>
      </c>
      <c r="DQ202" s="694">
        <f t="shared" si="339"/>
        <v>0</v>
      </c>
      <c r="DR202" s="694">
        <f t="shared" si="339"/>
        <v>0</v>
      </c>
      <c r="DS202" s="694">
        <f t="shared" si="339"/>
        <v>0</v>
      </c>
      <c r="DT202" s="694">
        <f t="shared" si="339"/>
        <v>0</v>
      </c>
      <c r="DU202" s="694">
        <f t="shared" si="339"/>
        <v>0</v>
      </c>
      <c r="DV202" s="694">
        <f t="shared" si="339"/>
        <v>0</v>
      </c>
      <c r="DW202" s="694">
        <f t="shared" si="339"/>
        <v>0</v>
      </c>
      <c r="DX202" s="694">
        <f t="shared" si="339"/>
        <v>0</v>
      </c>
      <c r="DY202" s="694">
        <f t="shared" si="339"/>
        <v>0</v>
      </c>
      <c r="DZ202" s="694">
        <f t="shared" si="339"/>
        <v>0</v>
      </c>
      <c r="EA202" s="694">
        <f t="shared" si="339"/>
        <v>0</v>
      </c>
      <c r="EB202" s="694">
        <f t="shared" si="339"/>
        <v>0</v>
      </c>
      <c r="EC202" s="694">
        <f t="shared" si="339"/>
        <v>0</v>
      </c>
      <c r="ED202" s="694">
        <f t="shared" si="339"/>
        <v>0</v>
      </c>
      <c r="EE202" s="694">
        <f t="shared" si="339"/>
        <v>0</v>
      </c>
      <c r="EF202" s="694">
        <f t="shared" si="339"/>
        <v>0</v>
      </c>
      <c r="EG202" s="694">
        <f t="shared" si="339"/>
        <v>0</v>
      </c>
      <c r="EH202" s="694">
        <f t="shared" si="339"/>
        <v>0</v>
      </c>
      <c r="EI202" s="694">
        <f t="shared" si="339"/>
        <v>0</v>
      </c>
    </row>
    <row r="203" spans="2:139" ht="12.75" customHeight="1">
      <c r="B203" s="46"/>
      <c r="C203" s="209"/>
      <c r="D203" s="169"/>
      <c r="E203" s="169"/>
      <c r="F203" s="169"/>
      <c r="G203" s="169"/>
      <c r="H203" s="169"/>
      <c r="I203" s="169"/>
      <c r="J203" s="169"/>
      <c r="K203" s="169"/>
      <c r="L203" s="169"/>
      <c r="M203" s="169"/>
      <c r="N203" s="169"/>
      <c r="O203" s="91"/>
      <c r="S203" s="169"/>
      <c r="T203" s="169"/>
      <c r="U203" s="169"/>
      <c r="V203" s="169"/>
      <c r="W203" s="169"/>
      <c r="X203" s="169"/>
      <c r="Y203" s="169"/>
      <c r="Z203" s="169"/>
      <c r="AA203" s="169"/>
      <c r="AB203" s="169"/>
      <c r="AC203" s="169"/>
      <c r="AD203" s="169"/>
      <c r="AE203" s="169"/>
      <c r="AF203" s="169"/>
      <c r="AG203" s="169"/>
      <c r="AH203" s="169"/>
      <c r="AI203" s="169"/>
      <c r="AJ203" s="169"/>
      <c r="AK203" s="169"/>
      <c r="AL203" s="169"/>
      <c r="AM203" s="169"/>
      <c r="AN203" s="169"/>
      <c r="AO203" s="169"/>
      <c r="AP203" s="169"/>
      <c r="AQ203" s="169"/>
      <c r="AR203" s="169"/>
      <c r="AS203" s="169"/>
      <c r="AT203" s="169"/>
      <c r="AU203" s="169"/>
      <c r="AV203" s="169"/>
      <c r="AW203" s="169"/>
      <c r="AX203" s="169"/>
      <c r="AY203" s="169"/>
      <c r="AZ203" s="169"/>
      <c r="BA203" s="169"/>
      <c r="BB203" s="169"/>
      <c r="BC203" s="169"/>
      <c r="BD203" s="169"/>
      <c r="BE203" s="169"/>
      <c r="BF203" s="169"/>
      <c r="BG203" s="169"/>
      <c r="BH203" s="169"/>
      <c r="BI203" s="169"/>
      <c r="BJ203" s="169"/>
      <c r="BK203" s="169"/>
      <c r="BL203" s="169"/>
      <c r="BM203" s="169"/>
      <c r="BN203" s="169"/>
      <c r="BO203" s="169"/>
      <c r="BP203" s="169"/>
      <c r="BQ203" s="169"/>
      <c r="BR203" s="169"/>
      <c r="BS203" s="169"/>
      <c r="BT203" s="169"/>
      <c r="BU203" s="169"/>
      <c r="BV203" s="169"/>
      <c r="BW203" s="169"/>
      <c r="BX203" s="169"/>
      <c r="BY203" s="169"/>
      <c r="BZ203" s="169"/>
      <c r="CA203" s="169"/>
      <c r="CB203" s="169"/>
      <c r="CC203" s="169"/>
      <c r="CD203" s="169"/>
      <c r="CE203" s="169"/>
      <c r="CF203" s="169"/>
      <c r="CG203" s="169"/>
      <c r="CH203" s="169"/>
      <c r="CI203" s="169"/>
      <c r="CJ203" s="169"/>
      <c r="CK203" s="169"/>
      <c r="CL203" s="169"/>
      <c r="CM203" s="169"/>
      <c r="CN203" s="169"/>
      <c r="CO203" s="169"/>
      <c r="CP203" s="169"/>
      <c r="CQ203" s="169"/>
      <c r="CR203" s="169"/>
      <c r="CS203" s="169"/>
      <c r="CT203" s="169"/>
      <c r="CU203" s="169"/>
      <c r="CV203" s="169"/>
      <c r="CW203" s="169"/>
      <c r="CX203" s="169"/>
      <c r="CY203" s="169"/>
      <c r="CZ203" s="169"/>
      <c r="DA203" s="169"/>
      <c r="DB203" s="169"/>
      <c r="DC203" s="169"/>
      <c r="DD203" s="169"/>
      <c r="DE203" s="169"/>
      <c r="DF203" s="169"/>
      <c r="DG203" s="169"/>
      <c r="DH203" s="169"/>
      <c r="DI203" s="169"/>
      <c r="DJ203" s="169"/>
      <c r="DK203" s="169"/>
      <c r="DL203" s="169"/>
      <c r="DM203" s="169"/>
      <c r="DN203" s="169"/>
      <c r="DO203" s="169"/>
      <c r="DP203" s="169"/>
      <c r="DQ203" s="169"/>
      <c r="DR203" s="169"/>
      <c r="DS203" s="169"/>
      <c r="DT203" s="169"/>
      <c r="DU203" s="169"/>
      <c r="DV203" s="169"/>
      <c r="DW203" s="169"/>
      <c r="DX203" s="169"/>
      <c r="DY203" s="169"/>
      <c r="DZ203" s="169"/>
      <c r="EA203" s="169"/>
      <c r="EB203" s="169"/>
      <c r="EC203" s="169"/>
      <c r="ED203" s="169"/>
      <c r="EE203" s="169"/>
      <c r="EF203" s="169"/>
      <c r="EG203" s="169"/>
      <c r="EH203" s="169"/>
      <c r="EI203" s="169"/>
    </row>
    <row r="204" spans="2:139" ht="12.75" customHeight="1">
      <c r="B204" s="1045" t="s">
        <v>592</v>
      </c>
      <c r="C204" s="211"/>
      <c r="D204" s="78"/>
      <c r="E204" s="78"/>
      <c r="F204" s="78"/>
      <c r="G204" s="78"/>
      <c r="H204" s="78"/>
      <c r="I204" s="78"/>
      <c r="J204" s="78"/>
      <c r="K204" s="78"/>
      <c r="L204" s="78"/>
      <c r="M204" s="78"/>
      <c r="N204" s="78"/>
      <c r="O204" s="145"/>
      <c r="S204" s="78"/>
      <c r="T204" s="78"/>
      <c r="U204" s="78"/>
      <c r="V204" s="78"/>
      <c r="W204" s="78"/>
      <c r="X204" s="78"/>
      <c r="Y204" s="78"/>
      <c r="Z204" s="78"/>
      <c r="AA204" s="78"/>
      <c r="AB204" s="78"/>
      <c r="AC204" s="78"/>
      <c r="AD204" s="78"/>
      <c r="AE204" s="78"/>
      <c r="AF204" s="78"/>
      <c r="AG204" s="78"/>
      <c r="AH204" s="78"/>
      <c r="AI204" s="78"/>
      <c r="AJ204" s="78"/>
      <c r="AK204" s="78"/>
      <c r="AL204" s="78"/>
      <c r="AM204" s="78"/>
      <c r="AN204" s="78"/>
      <c r="AO204" s="78"/>
      <c r="AP204" s="78"/>
      <c r="AQ204" s="78"/>
      <c r="AR204" s="78"/>
      <c r="AS204" s="78"/>
      <c r="AT204" s="78"/>
      <c r="AU204" s="78"/>
      <c r="AV204" s="78"/>
      <c r="AW204" s="78"/>
      <c r="AX204" s="78"/>
      <c r="AY204" s="78"/>
      <c r="AZ204" s="78"/>
      <c r="BA204" s="78"/>
      <c r="BB204" s="78"/>
      <c r="BC204" s="78"/>
      <c r="BD204" s="78"/>
      <c r="BE204" s="78"/>
      <c r="BF204" s="78"/>
      <c r="BG204" s="78"/>
      <c r="BH204" s="78"/>
      <c r="BI204" s="78"/>
      <c r="BJ204" s="78"/>
      <c r="BK204" s="78"/>
      <c r="BL204" s="78"/>
      <c r="BM204" s="78"/>
      <c r="BN204" s="78"/>
      <c r="BO204" s="78"/>
      <c r="BP204" s="78"/>
      <c r="BQ204" s="78"/>
      <c r="BR204" s="78"/>
      <c r="BS204" s="78"/>
      <c r="BT204" s="78"/>
      <c r="BU204" s="78"/>
      <c r="BV204" s="78"/>
      <c r="BW204" s="78"/>
      <c r="BX204" s="78"/>
      <c r="BY204" s="78"/>
      <c r="BZ204" s="78"/>
      <c r="CA204" s="78"/>
      <c r="CB204" s="78"/>
      <c r="CC204" s="78"/>
      <c r="CD204" s="78"/>
      <c r="CE204" s="78"/>
      <c r="CF204" s="78"/>
      <c r="CG204" s="78"/>
      <c r="CH204" s="78"/>
      <c r="CI204" s="78"/>
      <c r="CJ204" s="78"/>
      <c r="CK204" s="78"/>
      <c r="CL204" s="78"/>
      <c r="CM204" s="78"/>
      <c r="CN204" s="78"/>
      <c r="CO204" s="78"/>
      <c r="CP204" s="78"/>
      <c r="CQ204" s="78"/>
      <c r="CR204" s="78"/>
      <c r="CS204" s="78"/>
      <c r="CT204" s="78"/>
      <c r="CU204" s="78"/>
      <c r="CV204" s="78"/>
      <c r="CW204" s="78"/>
      <c r="CX204" s="78"/>
      <c r="CY204" s="78"/>
      <c r="CZ204" s="78"/>
      <c r="DA204" s="78"/>
      <c r="DB204" s="78"/>
      <c r="DC204" s="78"/>
      <c r="DD204" s="78"/>
      <c r="DE204" s="78"/>
      <c r="DF204" s="78"/>
      <c r="DG204" s="78"/>
      <c r="DH204" s="78"/>
      <c r="DI204" s="78"/>
      <c r="DJ204" s="78"/>
      <c r="DK204" s="78"/>
      <c r="DL204" s="78"/>
      <c r="DM204" s="78"/>
      <c r="DN204" s="78"/>
      <c r="DO204" s="78"/>
      <c r="DP204" s="78"/>
      <c r="DQ204" s="78"/>
      <c r="DR204" s="78"/>
      <c r="DS204" s="78"/>
      <c r="DT204" s="78"/>
      <c r="DU204" s="78"/>
      <c r="DV204" s="78"/>
      <c r="DW204" s="78"/>
      <c r="DX204" s="78"/>
      <c r="DY204" s="78"/>
      <c r="DZ204" s="78"/>
      <c r="EA204" s="78"/>
      <c r="EB204" s="78"/>
      <c r="EC204" s="78"/>
      <c r="ED204" s="78"/>
      <c r="EE204" s="78"/>
      <c r="EF204" s="78"/>
      <c r="EG204" s="78"/>
      <c r="EH204" s="78"/>
      <c r="EI204" s="78"/>
    </row>
    <row r="205" spans="2:139" ht="12.75" customHeight="1">
      <c r="B205" s="41" t="s">
        <v>593</v>
      </c>
      <c r="C205" s="211"/>
      <c r="D205" s="78"/>
      <c r="E205" s="78">
        <f t="shared" ref="E205:N205" si="340">D209</f>
        <v>0</v>
      </c>
      <c r="F205" s="78">
        <f t="shared" si="340"/>
        <v>0</v>
      </c>
      <c r="G205" s="78">
        <f t="shared" si="340"/>
        <v>0</v>
      </c>
      <c r="H205" s="78">
        <f t="shared" si="340"/>
        <v>0</v>
      </c>
      <c r="I205" s="78">
        <f t="shared" si="340"/>
        <v>0</v>
      </c>
      <c r="J205" s="78">
        <f t="shared" si="340"/>
        <v>0</v>
      </c>
      <c r="K205" s="78">
        <f t="shared" si="340"/>
        <v>0</v>
      </c>
      <c r="L205" s="78">
        <f t="shared" si="340"/>
        <v>0</v>
      </c>
      <c r="M205" s="78">
        <f t="shared" si="340"/>
        <v>0</v>
      </c>
      <c r="N205" s="78">
        <f t="shared" si="340"/>
        <v>0</v>
      </c>
      <c r="O205" s="145"/>
      <c r="S205" s="78"/>
      <c r="T205" s="78">
        <f t="shared" ref="T205:AY205" si="341">S209</f>
        <v>0</v>
      </c>
      <c r="U205" s="78">
        <f t="shared" si="341"/>
        <v>0</v>
      </c>
      <c r="V205" s="78">
        <f t="shared" si="341"/>
        <v>0</v>
      </c>
      <c r="W205" s="78">
        <f t="shared" si="341"/>
        <v>0</v>
      </c>
      <c r="X205" s="78">
        <f t="shared" si="341"/>
        <v>0</v>
      </c>
      <c r="Y205" s="78">
        <f t="shared" si="341"/>
        <v>0</v>
      </c>
      <c r="Z205" s="78">
        <f t="shared" si="341"/>
        <v>0</v>
      </c>
      <c r="AA205" s="78">
        <f t="shared" si="341"/>
        <v>0</v>
      </c>
      <c r="AB205" s="78">
        <f t="shared" si="341"/>
        <v>0</v>
      </c>
      <c r="AC205" s="78">
        <f t="shared" si="341"/>
        <v>0</v>
      </c>
      <c r="AD205" s="78">
        <f t="shared" si="341"/>
        <v>0</v>
      </c>
      <c r="AE205" s="78">
        <f t="shared" si="341"/>
        <v>0</v>
      </c>
      <c r="AF205" s="78">
        <f t="shared" si="341"/>
        <v>0</v>
      </c>
      <c r="AG205" s="78">
        <f t="shared" si="341"/>
        <v>0</v>
      </c>
      <c r="AH205" s="78">
        <f t="shared" si="341"/>
        <v>0</v>
      </c>
      <c r="AI205" s="78">
        <f t="shared" si="341"/>
        <v>0</v>
      </c>
      <c r="AJ205" s="78">
        <f t="shared" si="341"/>
        <v>0</v>
      </c>
      <c r="AK205" s="78">
        <f t="shared" si="341"/>
        <v>0</v>
      </c>
      <c r="AL205" s="78">
        <f t="shared" si="341"/>
        <v>0</v>
      </c>
      <c r="AM205" s="78">
        <f t="shared" si="341"/>
        <v>0</v>
      </c>
      <c r="AN205" s="78">
        <f t="shared" si="341"/>
        <v>0</v>
      </c>
      <c r="AO205" s="78">
        <f t="shared" si="341"/>
        <v>0</v>
      </c>
      <c r="AP205" s="78">
        <f t="shared" si="341"/>
        <v>0</v>
      </c>
      <c r="AQ205" s="78">
        <f t="shared" si="341"/>
        <v>0</v>
      </c>
      <c r="AR205" s="78">
        <f t="shared" si="341"/>
        <v>0</v>
      </c>
      <c r="AS205" s="78">
        <f t="shared" si="341"/>
        <v>0</v>
      </c>
      <c r="AT205" s="78">
        <f t="shared" si="341"/>
        <v>0</v>
      </c>
      <c r="AU205" s="78">
        <f t="shared" si="341"/>
        <v>0</v>
      </c>
      <c r="AV205" s="78">
        <f t="shared" si="341"/>
        <v>0</v>
      </c>
      <c r="AW205" s="78">
        <f t="shared" si="341"/>
        <v>0</v>
      </c>
      <c r="AX205" s="78">
        <f t="shared" si="341"/>
        <v>0</v>
      </c>
      <c r="AY205" s="78">
        <f t="shared" si="341"/>
        <v>0</v>
      </c>
      <c r="AZ205" s="78">
        <f t="shared" ref="AZ205:CE205" si="342">AY209</f>
        <v>0</v>
      </c>
      <c r="BA205" s="78">
        <f t="shared" si="342"/>
        <v>0</v>
      </c>
      <c r="BB205" s="78">
        <f t="shared" si="342"/>
        <v>0</v>
      </c>
      <c r="BC205" s="78">
        <f t="shared" si="342"/>
        <v>0</v>
      </c>
      <c r="BD205" s="78">
        <f t="shared" si="342"/>
        <v>0</v>
      </c>
      <c r="BE205" s="78">
        <f t="shared" si="342"/>
        <v>0</v>
      </c>
      <c r="BF205" s="78">
        <f t="shared" si="342"/>
        <v>0</v>
      </c>
      <c r="BG205" s="78">
        <f t="shared" si="342"/>
        <v>0</v>
      </c>
      <c r="BH205" s="78">
        <f t="shared" si="342"/>
        <v>0</v>
      </c>
      <c r="BI205" s="78">
        <f t="shared" si="342"/>
        <v>0</v>
      </c>
      <c r="BJ205" s="78">
        <f t="shared" si="342"/>
        <v>0</v>
      </c>
      <c r="BK205" s="78">
        <f t="shared" si="342"/>
        <v>0</v>
      </c>
      <c r="BL205" s="78">
        <f t="shared" si="342"/>
        <v>0</v>
      </c>
      <c r="BM205" s="78">
        <f t="shared" si="342"/>
        <v>0</v>
      </c>
      <c r="BN205" s="78">
        <f t="shared" si="342"/>
        <v>0</v>
      </c>
      <c r="BO205" s="78">
        <f t="shared" si="342"/>
        <v>0</v>
      </c>
      <c r="BP205" s="78">
        <f t="shared" si="342"/>
        <v>0</v>
      </c>
      <c r="BQ205" s="78">
        <f t="shared" si="342"/>
        <v>0</v>
      </c>
      <c r="BR205" s="78">
        <f t="shared" si="342"/>
        <v>0</v>
      </c>
      <c r="BS205" s="78">
        <f t="shared" si="342"/>
        <v>0</v>
      </c>
      <c r="BT205" s="78">
        <f t="shared" si="342"/>
        <v>0</v>
      </c>
      <c r="BU205" s="78">
        <f t="shared" si="342"/>
        <v>0</v>
      </c>
      <c r="BV205" s="78">
        <f t="shared" si="342"/>
        <v>0</v>
      </c>
      <c r="BW205" s="78">
        <f t="shared" si="342"/>
        <v>0</v>
      </c>
      <c r="BX205" s="78">
        <f t="shared" si="342"/>
        <v>0</v>
      </c>
      <c r="BY205" s="78">
        <f t="shared" si="342"/>
        <v>0</v>
      </c>
      <c r="BZ205" s="78">
        <f t="shared" si="342"/>
        <v>0</v>
      </c>
      <c r="CA205" s="78">
        <f t="shared" si="342"/>
        <v>0</v>
      </c>
      <c r="CB205" s="78">
        <f t="shared" si="342"/>
        <v>0</v>
      </c>
      <c r="CC205" s="78">
        <f t="shared" si="342"/>
        <v>0</v>
      </c>
      <c r="CD205" s="78">
        <f t="shared" si="342"/>
        <v>0</v>
      </c>
      <c r="CE205" s="78">
        <f t="shared" si="342"/>
        <v>0</v>
      </c>
      <c r="CF205" s="78">
        <f t="shared" ref="CF205:DK205" si="343">CE209</f>
        <v>0</v>
      </c>
      <c r="CG205" s="78">
        <f t="shared" si="343"/>
        <v>0</v>
      </c>
      <c r="CH205" s="78">
        <f t="shared" si="343"/>
        <v>0</v>
      </c>
      <c r="CI205" s="78">
        <f t="shared" si="343"/>
        <v>0</v>
      </c>
      <c r="CJ205" s="78">
        <f t="shared" si="343"/>
        <v>0</v>
      </c>
      <c r="CK205" s="78">
        <f t="shared" si="343"/>
        <v>0</v>
      </c>
      <c r="CL205" s="78">
        <f t="shared" si="343"/>
        <v>0</v>
      </c>
      <c r="CM205" s="78">
        <f t="shared" si="343"/>
        <v>0</v>
      </c>
      <c r="CN205" s="78">
        <f t="shared" si="343"/>
        <v>0</v>
      </c>
      <c r="CO205" s="78">
        <f t="shared" si="343"/>
        <v>0</v>
      </c>
      <c r="CP205" s="78">
        <f t="shared" si="343"/>
        <v>0</v>
      </c>
      <c r="CQ205" s="78">
        <f t="shared" si="343"/>
        <v>0</v>
      </c>
      <c r="CR205" s="78">
        <f t="shared" si="343"/>
        <v>0</v>
      </c>
      <c r="CS205" s="78">
        <f t="shared" si="343"/>
        <v>0</v>
      </c>
      <c r="CT205" s="78">
        <f t="shared" si="343"/>
        <v>0</v>
      </c>
      <c r="CU205" s="78">
        <f t="shared" si="343"/>
        <v>0</v>
      </c>
      <c r="CV205" s="78">
        <f t="shared" si="343"/>
        <v>0</v>
      </c>
      <c r="CW205" s="78">
        <f t="shared" si="343"/>
        <v>0</v>
      </c>
      <c r="CX205" s="78">
        <f t="shared" si="343"/>
        <v>0</v>
      </c>
      <c r="CY205" s="78">
        <f t="shared" si="343"/>
        <v>0</v>
      </c>
      <c r="CZ205" s="78">
        <f t="shared" si="343"/>
        <v>0</v>
      </c>
      <c r="DA205" s="78">
        <f t="shared" si="343"/>
        <v>0</v>
      </c>
      <c r="DB205" s="78">
        <f t="shared" si="343"/>
        <v>0</v>
      </c>
      <c r="DC205" s="78">
        <f t="shared" si="343"/>
        <v>0</v>
      </c>
      <c r="DD205" s="78">
        <f t="shared" si="343"/>
        <v>0</v>
      </c>
      <c r="DE205" s="78">
        <f t="shared" si="343"/>
        <v>0</v>
      </c>
      <c r="DF205" s="78">
        <f t="shared" si="343"/>
        <v>0</v>
      </c>
      <c r="DG205" s="78">
        <f t="shared" si="343"/>
        <v>0</v>
      </c>
      <c r="DH205" s="78">
        <f t="shared" si="343"/>
        <v>0</v>
      </c>
      <c r="DI205" s="78">
        <f t="shared" si="343"/>
        <v>0</v>
      </c>
      <c r="DJ205" s="78">
        <f t="shared" si="343"/>
        <v>0</v>
      </c>
      <c r="DK205" s="78">
        <f t="shared" si="343"/>
        <v>0</v>
      </c>
      <c r="DL205" s="78">
        <f t="shared" ref="DL205:EI205" si="344">DK209</f>
        <v>0</v>
      </c>
      <c r="DM205" s="78">
        <f t="shared" si="344"/>
        <v>0</v>
      </c>
      <c r="DN205" s="78">
        <f t="shared" si="344"/>
        <v>0</v>
      </c>
      <c r="DO205" s="78">
        <f t="shared" si="344"/>
        <v>0</v>
      </c>
      <c r="DP205" s="78">
        <f t="shared" si="344"/>
        <v>0</v>
      </c>
      <c r="DQ205" s="78">
        <f t="shared" si="344"/>
        <v>0</v>
      </c>
      <c r="DR205" s="78">
        <f t="shared" si="344"/>
        <v>0</v>
      </c>
      <c r="DS205" s="78">
        <f t="shared" si="344"/>
        <v>0</v>
      </c>
      <c r="DT205" s="78">
        <f t="shared" si="344"/>
        <v>0</v>
      </c>
      <c r="DU205" s="78">
        <f t="shared" si="344"/>
        <v>0</v>
      </c>
      <c r="DV205" s="78">
        <f t="shared" si="344"/>
        <v>0</v>
      </c>
      <c r="DW205" s="78">
        <f t="shared" si="344"/>
        <v>0</v>
      </c>
      <c r="DX205" s="78">
        <f t="shared" si="344"/>
        <v>0</v>
      </c>
      <c r="DY205" s="78">
        <f t="shared" si="344"/>
        <v>0</v>
      </c>
      <c r="DZ205" s="78">
        <f t="shared" si="344"/>
        <v>0</v>
      </c>
      <c r="EA205" s="78">
        <f t="shared" si="344"/>
        <v>0</v>
      </c>
      <c r="EB205" s="78">
        <f t="shared" si="344"/>
        <v>0</v>
      </c>
      <c r="EC205" s="78">
        <f t="shared" si="344"/>
        <v>0</v>
      </c>
      <c r="ED205" s="78">
        <f t="shared" si="344"/>
        <v>0</v>
      </c>
      <c r="EE205" s="78">
        <f t="shared" si="344"/>
        <v>0</v>
      </c>
      <c r="EF205" s="78">
        <f t="shared" si="344"/>
        <v>0</v>
      </c>
      <c r="EG205" s="78">
        <f t="shared" si="344"/>
        <v>0</v>
      </c>
      <c r="EH205" s="78">
        <f t="shared" si="344"/>
        <v>0</v>
      </c>
      <c r="EI205" s="78">
        <f t="shared" si="344"/>
        <v>0</v>
      </c>
    </row>
    <row r="206" spans="2:139" ht="12.75" customHeight="1">
      <c r="B206" s="41" t="s">
        <v>180</v>
      </c>
      <c r="C206" s="211"/>
      <c r="D206" s="78">
        <f t="shared" ref="D206:N206" si="345">SUMIF($S$6:$EI$6,D$5,$S206:$EI206)</f>
        <v>0</v>
      </c>
      <c r="E206" s="78">
        <f t="shared" si="345"/>
        <v>0</v>
      </c>
      <c r="F206" s="78">
        <f t="shared" si="345"/>
        <v>0</v>
      </c>
      <c r="G206" s="78">
        <f t="shared" si="345"/>
        <v>0</v>
      </c>
      <c r="H206" s="78">
        <f t="shared" si="345"/>
        <v>0</v>
      </c>
      <c r="I206" s="78">
        <f t="shared" si="345"/>
        <v>0</v>
      </c>
      <c r="J206" s="78">
        <f t="shared" si="345"/>
        <v>0</v>
      </c>
      <c r="K206" s="78">
        <f t="shared" si="345"/>
        <v>0</v>
      </c>
      <c r="L206" s="78">
        <f t="shared" si="345"/>
        <v>0</v>
      </c>
      <c r="M206" s="78">
        <f t="shared" si="345"/>
        <v>0</v>
      </c>
      <c r="N206" s="78">
        <f t="shared" si="345"/>
        <v>0</v>
      </c>
      <c r="O206" s="145">
        <f>SUM(D206:N206)</f>
        <v>0</v>
      </c>
      <c r="S206" s="78">
        <f t="shared" ref="S206:AX206" si="346">Loan1Amount*AND(HasLoan1,Loan1OrigMnth=S$5)</f>
        <v>0</v>
      </c>
      <c r="T206" s="78">
        <f t="shared" si="346"/>
        <v>0</v>
      </c>
      <c r="U206" s="78">
        <f t="shared" si="346"/>
        <v>0</v>
      </c>
      <c r="V206" s="78">
        <f t="shared" si="346"/>
        <v>0</v>
      </c>
      <c r="W206" s="78">
        <f t="shared" si="346"/>
        <v>0</v>
      </c>
      <c r="X206" s="78">
        <f t="shared" si="346"/>
        <v>0</v>
      </c>
      <c r="Y206" s="78">
        <f t="shared" si="346"/>
        <v>0</v>
      </c>
      <c r="Z206" s="78">
        <f t="shared" si="346"/>
        <v>0</v>
      </c>
      <c r="AA206" s="78">
        <f t="shared" si="346"/>
        <v>0</v>
      </c>
      <c r="AB206" s="78">
        <f t="shared" si="346"/>
        <v>0</v>
      </c>
      <c r="AC206" s="78">
        <f t="shared" si="346"/>
        <v>0</v>
      </c>
      <c r="AD206" s="78">
        <f t="shared" si="346"/>
        <v>0</v>
      </c>
      <c r="AE206" s="78">
        <f t="shared" si="346"/>
        <v>0</v>
      </c>
      <c r="AF206" s="78">
        <f t="shared" si="346"/>
        <v>0</v>
      </c>
      <c r="AG206" s="78">
        <f t="shared" si="346"/>
        <v>0</v>
      </c>
      <c r="AH206" s="78">
        <f t="shared" si="346"/>
        <v>0</v>
      </c>
      <c r="AI206" s="78">
        <f t="shared" si="346"/>
        <v>0</v>
      </c>
      <c r="AJ206" s="78">
        <f t="shared" si="346"/>
        <v>0</v>
      </c>
      <c r="AK206" s="78">
        <f t="shared" si="346"/>
        <v>0</v>
      </c>
      <c r="AL206" s="78">
        <f t="shared" si="346"/>
        <v>0</v>
      </c>
      <c r="AM206" s="78">
        <f t="shared" si="346"/>
        <v>0</v>
      </c>
      <c r="AN206" s="78">
        <f t="shared" si="346"/>
        <v>0</v>
      </c>
      <c r="AO206" s="78">
        <f t="shared" si="346"/>
        <v>0</v>
      </c>
      <c r="AP206" s="78">
        <f t="shared" si="346"/>
        <v>0</v>
      </c>
      <c r="AQ206" s="78">
        <f t="shared" si="346"/>
        <v>0</v>
      </c>
      <c r="AR206" s="78">
        <f t="shared" si="346"/>
        <v>0</v>
      </c>
      <c r="AS206" s="78">
        <f t="shared" si="346"/>
        <v>0</v>
      </c>
      <c r="AT206" s="78">
        <f t="shared" si="346"/>
        <v>0</v>
      </c>
      <c r="AU206" s="78">
        <f t="shared" si="346"/>
        <v>0</v>
      </c>
      <c r="AV206" s="78">
        <f t="shared" si="346"/>
        <v>0</v>
      </c>
      <c r="AW206" s="78">
        <f t="shared" si="346"/>
        <v>0</v>
      </c>
      <c r="AX206" s="78">
        <f t="shared" si="346"/>
        <v>0</v>
      </c>
      <c r="AY206" s="78">
        <f t="shared" ref="AY206:CD206" si="347">Loan1Amount*AND(HasLoan1,Loan1OrigMnth=AY$5)</f>
        <v>0</v>
      </c>
      <c r="AZ206" s="78">
        <f t="shared" si="347"/>
        <v>0</v>
      </c>
      <c r="BA206" s="78">
        <f t="shared" si="347"/>
        <v>0</v>
      </c>
      <c r="BB206" s="78">
        <f t="shared" si="347"/>
        <v>0</v>
      </c>
      <c r="BC206" s="78">
        <f t="shared" si="347"/>
        <v>0</v>
      </c>
      <c r="BD206" s="78">
        <f t="shared" si="347"/>
        <v>0</v>
      </c>
      <c r="BE206" s="78">
        <f t="shared" si="347"/>
        <v>0</v>
      </c>
      <c r="BF206" s="78">
        <f t="shared" si="347"/>
        <v>0</v>
      </c>
      <c r="BG206" s="78">
        <f t="shared" si="347"/>
        <v>0</v>
      </c>
      <c r="BH206" s="78">
        <f t="shared" si="347"/>
        <v>0</v>
      </c>
      <c r="BI206" s="78">
        <f t="shared" si="347"/>
        <v>0</v>
      </c>
      <c r="BJ206" s="78">
        <f t="shared" si="347"/>
        <v>0</v>
      </c>
      <c r="BK206" s="78">
        <f t="shared" si="347"/>
        <v>0</v>
      </c>
      <c r="BL206" s="78">
        <f t="shared" si="347"/>
        <v>0</v>
      </c>
      <c r="BM206" s="78">
        <f t="shared" si="347"/>
        <v>0</v>
      </c>
      <c r="BN206" s="78">
        <f t="shared" si="347"/>
        <v>0</v>
      </c>
      <c r="BO206" s="78">
        <f t="shared" si="347"/>
        <v>0</v>
      </c>
      <c r="BP206" s="78">
        <f t="shared" si="347"/>
        <v>0</v>
      </c>
      <c r="BQ206" s="78">
        <f t="shared" si="347"/>
        <v>0</v>
      </c>
      <c r="BR206" s="78">
        <f t="shared" si="347"/>
        <v>0</v>
      </c>
      <c r="BS206" s="78">
        <f t="shared" si="347"/>
        <v>0</v>
      </c>
      <c r="BT206" s="78">
        <f t="shared" si="347"/>
        <v>0</v>
      </c>
      <c r="BU206" s="78">
        <f t="shared" si="347"/>
        <v>0</v>
      </c>
      <c r="BV206" s="78">
        <f t="shared" si="347"/>
        <v>0</v>
      </c>
      <c r="BW206" s="78">
        <f t="shared" si="347"/>
        <v>0</v>
      </c>
      <c r="BX206" s="78">
        <f t="shared" si="347"/>
        <v>0</v>
      </c>
      <c r="BY206" s="78">
        <f t="shared" si="347"/>
        <v>0</v>
      </c>
      <c r="BZ206" s="78">
        <f t="shared" si="347"/>
        <v>0</v>
      </c>
      <c r="CA206" s="78">
        <f t="shared" si="347"/>
        <v>0</v>
      </c>
      <c r="CB206" s="78">
        <f t="shared" si="347"/>
        <v>0</v>
      </c>
      <c r="CC206" s="78">
        <f t="shared" si="347"/>
        <v>0</v>
      </c>
      <c r="CD206" s="78">
        <f t="shared" si="347"/>
        <v>0</v>
      </c>
      <c r="CE206" s="78">
        <f t="shared" ref="CE206:DJ206" si="348">Loan1Amount*AND(HasLoan1,Loan1OrigMnth=CE$5)</f>
        <v>0</v>
      </c>
      <c r="CF206" s="78">
        <f t="shared" si="348"/>
        <v>0</v>
      </c>
      <c r="CG206" s="78">
        <f t="shared" si="348"/>
        <v>0</v>
      </c>
      <c r="CH206" s="78">
        <f t="shared" si="348"/>
        <v>0</v>
      </c>
      <c r="CI206" s="78">
        <f t="shared" si="348"/>
        <v>0</v>
      </c>
      <c r="CJ206" s="78">
        <f t="shared" si="348"/>
        <v>0</v>
      </c>
      <c r="CK206" s="78">
        <f t="shared" si="348"/>
        <v>0</v>
      </c>
      <c r="CL206" s="78">
        <f t="shared" si="348"/>
        <v>0</v>
      </c>
      <c r="CM206" s="78">
        <f t="shared" si="348"/>
        <v>0</v>
      </c>
      <c r="CN206" s="78">
        <f t="shared" si="348"/>
        <v>0</v>
      </c>
      <c r="CO206" s="78">
        <f t="shared" si="348"/>
        <v>0</v>
      </c>
      <c r="CP206" s="78">
        <f t="shared" si="348"/>
        <v>0</v>
      </c>
      <c r="CQ206" s="78">
        <f t="shared" si="348"/>
        <v>0</v>
      </c>
      <c r="CR206" s="78">
        <f t="shared" si="348"/>
        <v>0</v>
      </c>
      <c r="CS206" s="78">
        <f t="shared" si="348"/>
        <v>0</v>
      </c>
      <c r="CT206" s="78">
        <f t="shared" si="348"/>
        <v>0</v>
      </c>
      <c r="CU206" s="78">
        <f t="shared" si="348"/>
        <v>0</v>
      </c>
      <c r="CV206" s="78">
        <f t="shared" si="348"/>
        <v>0</v>
      </c>
      <c r="CW206" s="78">
        <f t="shared" si="348"/>
        <v>0</v>
      </c>
      <c r="CX206" s="78">
        <f t="shared" si="348"/>
        <v>0</v>
      </c>
      <c r="CY206" s="78">
        <f t="shared" si="348"/>
        <v>0</v>
      </c>
      <c r="CZ206" s="78">
        <f t="shared" si="348"/>
        <v>0</v>
      </c>
      <c r="DA206" s="78">
        <f t="shared" si="348"/>
        <v>0</v>
      </c>
      <c r="DB206" s="78">
        <f t="shared" si="348"/>
        <v>0</v>
      </c>
      <c r="DC206" s="78">
        <f t="shared" si="348"/>
        <v>0</v>
      </c>
      <c r="DD206" s="78">
        <f t="shared" si="348"/>
        <v>0</v>
      </c>
      <c r="DE206" s="78">
        <f t="shared" si="348"/>
        <v>0</v>
      </c>
      <c r="DF206" s="78">
        <f t="shared" si="348"/>
        <v>0</v>
      </c>
      <c r="DG206" s="78">
        <f t="shared" si="348"/>
        <v>0</v>
      </c>
      <c r="DH206" s="78">
        <f t="shared" si="348"/>
        <v>0</v>
      </c>
      <c r="DI206" s="78">
        <f t="shared" si="348"/>
        <v>0</v>
      </c>
      <c r="DJ206" s="78">
        <f t="shared" si="348"/>
        <v>0</v>
      </c>
      <c r="DK206" s="78">
        <f t="shared" ref="DK206:EI206" si="349">Loan1Amount*AND(HasLoan1,Loan1OrigMnth=DK$5)</f>
        <v>0</v>
      </c>
      <c r="DL206" s="78">
        <f t="shared" si="349"/>
        <v>0</v>
      </c>
      <c r="DM206" s="78">
        <f t="shared" si="349"/>
        <v>0</v>
      </c>
      <c r="DN206" s="78">
        <f t="shared" si="349"/>
        <v>0</v>
      </c>
      <c r="DO206" s="78">
        <f t="shared" si="349"/>
        <v>0</v>
      </c>
      <c r="DP206" s="78">
        <f t="shared" si="349"/>
        <v>0</v>
      </c>
      <c r="DQ206" s="78">
        <f t="shared" si="349"/>
        <v>0</v>
      </c>
      <c r="DR206" s="78">
        <f t="shared" si="349"/>
        <v>0</v>
      </c>
      <c r="DS206" s="78">
        <f t="shared" si="349"/>
        <v>0</v>
      </c>
      <c r="DT206" s="78">
        <f t="shared" si="349"/>
        <v>0</v>
      </c>
      <c r="DU206" s="78">
        <f t="shared" si="349"/>
        <v>0</v>
      </c>
      <c r="DV206" s="78">
        <f t="shared" si="349"/>
        <v>0</v>
      </c>
      <c r="DW206" s="78">
        <f t="shared" si="349"/>
        <v>0</v>
      </c>
      <c r="DX206" s="78">
        <f t="shared" si="349"/>
        <v>0</v>
      </c>
      <c r="DY206" s="78">
        <f t="shared" si="349"/>
        <v>0</v>
      </c>
      <c r="DZ206" s="78">
        <f t="shared" si="349"/>
        <v>0</v>
      </c>
      <c r="EA206" s="78">
        <f t="shared" si="349"/>
        <v>0</v>
      </c>
      <c r="EB206" s="78">
        <f t="shared" si="349"/>
        <v>0</v>
      </c>
      <c r="EC206" s="78">
        <f t="shared" si="349"/>
        <v>0</v>
      </c>
      <c r="ED206" s="78">
        <f t="shared" si="349"/>
        <v>0</v>
      </c>
      <c r="EE206" s="78">
        <f t="shared" si="349"/>
        <v>0</v>
      </c>
      <c r="EF206" s="78">
        <f t="shared" si="349"/>
        <v>0</v>
      </c>
      <c r="EG206" s="78">
        <f t="shared" si="349"/>
        <v>0</v>
      </c>
      <c r="EH206" s="78">
        <f t="shared" si="349"/>
        <v>0</v>
      </c>
      <c r="EI206" s="78">
        <f t="shared" si="349"/>
        <v>0</v>
      </c>
    </row>
    <row r="207" spans="2:139" ht="12.75" customHeight="1">
      <c r="B207" s="41" t="s">
        <v>594</v>
      </c>
      <c r="C207" s="211"/>
      <c r="D207" s="78"/>
      <c r="E207" s="78">
        <f t="shared" ref="E207:N208" si="350">SUMIF($S$6:$EI$6,E$5,$S207:$EI207)</f>
        <v>0</v>
      </c>
      <c r="F207" s="78">
        <f t="shared" si="350"/>
        <v>0</v>
      </c>
      <c r="G207" s="78">
        <f t="shared" si="350"/>
        <v>0</v>
      </c>
      <c r="H207" s="78">
        <f t="shared" si="350"/>
        <v>0</v>
      </c>
      <c r="I207" s="78">
        <f t="shared" si="350"/>
        <v>0</v>
      </c>
      <c r="J207" s="78">
        <f t="shared" si="350"/>
        <v>0</v>
      </c>
      <c r="K207" s="78">
        <f t="shared" si="350"/>
        <v>0</v>
      </c>
      <c r="L207" s="78">
        <f t="shared" si="350"/>
        <v>0</v>
      </c>
      <c r="M207" s="78">
        <f t="shared" si="350"/>
        <v>0</v>
      </c>
      <c r="N207" s="78">
        <f t="shared" si="350"/>
        <v>0</v>
      </c>
      <c r="O207" s="145">
        <f>SUM(D207:N207)</f>
        <v>0</v>
      </c>
      <c r="S207" s="78"/>
      <c r="T207" s="78">
        <f>IF(AND(HasLoan1,L1HasAmort,T205,T$5&gt;Loan1OrigMnth+Loan1IOPer),IF(Loan1PmtType=VariablePmt,PPMT(Loan1IntRate/12,T$5-Loan1OrigMnth-Loan1IOPer,Loan1AmortPer*12,Loan1Amount),-MIN(T205,PMT(Loan1IntRate/12,Loan1AmortPer*12,-Loan1Amount)+T201)),)</f>
        <v>0</v>
      </c>
      <c r="U207" s="78">
        <f>IF(AND(HasLoan1,L1HasAmort,U205,U$5&gt;Loan1OrigMnth+Loan1IOPer),IF(Loan1PmtType=VariablePmt,PPMT(Loan1IntRate/12,U$5-Loan1OrigMnth-Loan1IOPer,Loan1AmortPer*12,Loan1Amount),-MIN(U205,PMT(Loan1IntRate/12,Loan1AmortPer*12,-Loan1Amount)+U201)),)</f>
        <v>0</v>
      </c>
      <c r="V207" s="78">
        <f>IF(AND(HasLoan1,L1HasAmort,V205,V$5&gt;Loan1OrigMnth+Loan1IOPer),IF(Loan1PmtType=VariablePmt,PPMT(Loan1IntRate/12,V$5-Loan1OrigMnth-Loan1IOPer,Loan1AmortPer*12,Loan1Amount),-MIN(V205,PMT(Loan1IntRate/12,Loan1AmortPer*12,-Loan1Amount)+V201)),)</f>
        <v>0</v>
      </c>
      <c r="W207" s="78">
        <f>IF(AND(HasLoan1,L1HasAmort,W205,W$5&gt;Loan1OrigMnth+Loan1IOPer),IF(Loan1PmtType=VariablePmt,PPMT(Loan1IntRate/12,W$5-Loan1OrigMnth-Loan1IOPer,Loan1AmortPer*12,Loan1Amount),-MIN(W205,PMT(Loan1IntRate/12,Loan1AmortPer*12,-Loan1Amount)+W201)),)</f>
        <v>0</v>
      </c>
      <c r="X207" s="78">
        <f>IF(AND(HasLoan1,L1HasAmort,X205,X$5&gt;Loan1OrigMnth+Loan1IOPer),IF(Loan1PmtType=VariablePmt,PPMT(Loan1IntRate/12,X$5-Loan1OrigMnth-Loan1IOPer,Loan1AmortPer*12,Loan1Amount),-MIN(X205,PMT(Loan1IntRate/12,Loan1AmortPer*12,-Loan1Amount)+X201)),)</f>
        <v>0</v>
      </c>
      <c r="Y207" s="78">
        <f>IF(AND(HasLoan1,L1HasAmort,Y205,Y$5&gt;Loan1OrigMnth+Loan1IOPer),IF(Loan1PmtType=VariablePmt,PPMT(Loan1IntRate/12,Y$5-Loan1OrigMnth-Loan1IOPer,Loan1AmortPer*12,Loan1Amount),-MIN(Y205,PMT(Loan1IntRate/12,Loan1AmortPer*12,-Loan1Amount)+Y201)),)</f>
        <v>0</v>
      </c>
      <c r="Z207" s="78">
        <f>IF(AND(HasLoan1,L1HasAmort,Z205,Z$5&gt;Loan1OrigMnth+Loan1IOPer),IF(Loan1PmtType=VariablePmt,PPMT(Loan1IntRate/12,Z$5-Loan1OrigMnth-Loan1IOPer,Loan1AmortPer*12,Loan1Amount),-MIN(Z205,PMT(Loan1IntRate/12,Loan1AmortPer*12,-Loan1Amount)+Z201)),)</f>
        <v>0</v>
      </c>
      <c r="AA207" s="78">
        <f>IF(AND(HasLoan1,L1HasAmort,AA205,AA$5&gt;Loan1OrigMnth+Loan1IOPer),IF(Loan1PmtType=VariablePmt,PPMT(Loan1IntRate/12,AA$5-Loan1OrigMnth-Loan1IOPer,Loan1AmortPer*12,Loan1Amount),-MIN(AA205,PMT(Loan1IntRate/12,Loan1AmortPer*12,-Loan1Amount)+AA201)),)</f>
        <v>0</v>
      </c>
      <c r="AB207" s="78">
        <f>IF(AND(HasLoan1,L1HasAmort,AB205,AB$5&gt;Loan1OrigMnth+Loan1IOPer),IF(Loan1PmtType=VariablePmt,PPMT(Loan1IntRate/12,AB$5-Loan1OrigMnth-Loan1IOPer,Loan1AmortPer*12,Loan1Amount),-MIN(AB205,PMT(Loan1IntRate/12,Loan1AmortPer*12,-Loan1Amount)+AB201)),)</f>
        <v>0</v>
      </c>
      <c r="AC207" s="78">
        <f>IF(AND(HasLoan1,L1HasAmort,AC205,AC$5&gt;Loan1OrigMnth+Loan1IOPer),IF(Loan1PmtType=VariablePmt,PPMT(Loan1IntRate/12,AC$5-Loan1OrigMnth-Loan1IOPer,Loan1AmortPer*12,Loan1Amount),-MIN(AC205,PMT(Loan1IntRate/12,Loan1AmortPer*12,-Loan1Amount)+AC201)),)</f>
        <v>0</v>
      </c>
      <c r="AD207" s="78">
        <f>IF(AND(HasLoan1,L1HasAmort,AD205,AD$5&gt;Loan1OrigMnth+Loan1IOPer),IF(Loan1PmtType=VariablePmt,PPMT(Loan1IntRate/12,AD$5-Loan1OrigMnth-Loan1IOPer,Loan1AmortPer*12,Loan1Amount),-MIN(AD205,PMT(Loan1IntRate/12,Loan1AmortPer*12,-Loan1Amount)+AD201)),)</f>
        <v>0</v>
      </c>
      <c r="AE207" s="78">
        <f>IF(AND(HasLoan1,L1HasAmort,AE205,AE$5&gt;Loan1OrigMnth+Loan1IOPer),IF(Loan1PmtType=VariablePmt,PPMT(Loan1IntRate/12,AE$5-Loan1OrigMnth-Loan1IOPer,Loan1AmortPer*12,Loan1Amount),-MIN(AE205,PMT(Loan1IntRate/12,Loan1AmortPer*12,-Loan1Amount)+AE201)),)</f>
        <v>0</v>
      </c>
      <c r="AF207" s="78">
        <f>IF(AND(HasLoan1,L1HasAmort,AF205,AF$5&gt;Loan1OrigMnth+Loan1IOPer),IF(Loan1PmtType=VariablePmt,PPMT(Loan1IntRate/12,AF$5-Loan1OrigMnth-Loan1IOPer,Loan1AmortPer*12,Loan1Amount),-MIN(AF205,PMT(Loan1IntRate/12,Loan1AmortPer*12,-Loan1Amount)+AF201)),)</f>
        <v>0</v>
      </c>
      <c r="AG207" s="78">
        <f>IF(AND(HasLoan1,L1HasAmort,AG205,AG$5&gt;Loan1OrigMnth+Loan1IOPer),IF(Loan1PmtType=VariablePmt,PPMT(Loan1IntRate/12,AG$5-Loan1OrigMnth-Loan1IOPer,Loan1AmortPer*12,Loan1Amount),-MIN(AG205,PMT(Loan1IntRate/12,Loan1AmortPer*12,-Loan1Amount)+AG201)),)</f>
        <v>0</v>
      </c>
      <c r="AH207" s="78">
        <f>IF(AND(HasLoan1,L1HasAmort,AH205,AH$5&gt;Loan1OrigMnth+Loan1IOPer),IF(Loan1PmtType=VariablePmt,PPMT(Loan1IntRate/12,AH$5-Loan1OrigMnth-Loan1IOPer,Loan1AmortPer*12,Loan1Amount),-MIN(AH205,PMT(Loan1IntRate/12,Loan1AmortPer*12,-Loan1Amount)+AH201)),)</f>
        <v>0</v>
      </c>
      <c r="AI207" s="78">
        <f>IF(AND(HasLoan1,L1HasAmort,AI205,AI$5&gt;Loan1OrigMnth+Loan1IOPer),IF(Loan1PmtType=VariablePmt,PPMT(Loan1IntRate/12,AI$5-Loan1OrigMnth-Loan1IOPer,Loan1AmortPer*12,Loan1Amount),-MIN(AI205,PMT(Loan1IntRate/12,Loan1AmortPer*12,-Loan1Amount)+AI201)),)</f>
        <v>0</v>
      </c>
      <c r="AJ207" s="78">
        <f>IF(AND(HasLoan1,L1HasAmort,AJ205,AJ$5&gt;Loan1OrigMnth+Loan1IOPer),IF(Loan1PmtType=VariablePmt,PPMT(Loan1IntRate/12,AJ$5-Loan1OrigMnth-Loan1IOPer,Loan1AmortPer*12,Loan1Amount),-MIN(AJ205,PMT(Loan1IntRate/12,Loan1AmortPer*12,-Loan1Amount)+AJ201)),)</f>
        <v>0</v>
      </c>
      <c r="AK207" s="78">
        <f>IF(AND(HasLoan1,L1HasAmort,AK205,AK$5&gt;Loan1OrigMnth+Loan1IOPer),IF(Loan1PmtType=VariablePmt,PPMT(Loan1IntRate/12,AK$5-Loan1OrigMnth-Loan1IOPer,Loan1AmortPer*12,Loan1Amount),-MIN(AK205,PMT(Loan1IntRate/12,Loan1AmortPer*12,-Loan1Amount)+AK201)),)</f>
        <v>0</v>
      </c>
      <c r="AL207" s="78">
        <f>IF(AND(HasLoan1,L1HasAmort,AL205,AL$5&gt;Loan1OrigMnth+Loan1IOPer),IF(Loan1PmtType=VariablePmt,PPMT(Loan1IntRate/12,AL$5-Loan1OrigMnth-Loan1IOPer,Loan1AmortPer*12,Loan1Amount),-MIN(AL205,PMT(Loan1IntRate/12,Loan1AmortPer*12,-Loan1Amount)+AL201)),)</f>
        <v>0</v>
      </c>
      <c r="AM207" s="78">
        <f>IF(AND(HasLoan1,L1HasAmort,AM205,AM$5&gt;Loan1OrigMnth+Loan1IOPer),IF(Loan1PmtType=VariablePmt,PPMT(Loan1IntRate/12,AM$5-Loan1OrigMnth-Loan1IOPer,Loan1AmortPer*12,Loan1Amount),-MIN(AM205,PMT(Loan1IntRate/12,Loan1AmortPer*12,-Loan1Amount)+AM201)),)</f>
        <v>0</v>
      </c>
      <c r="AN207" s="78">
        <f>IF(AND(HasLoan1,L1HasAmort,AN205,AN$5&gt;Loan1OrigMnth+Loan1IOPer),IF(Loan1PmtType=VariablePmt,PPMT(Loan1IntRate/12,AN$5-Loan1OrigMnth-Loan1IOPer,Loan1AmortPer*12,Loan1Amount),-MIN(AN205,PMT(Loan1IntRate/12,Loan1AmortPer*12,-Loan1Amount)+AN201)),)</f>
        <v>0</v>
      </c>
      <c r="AO207" s="78">
        <f>IF(AND(HasLoan1,L1HasAmort,AO205,AO$5&gt;Loan1OrigMnth+Loan1IOPer),IF(Loan1PmtType=VariablePmt,PPMT(Loan1IntRate/12,AO$5-Loan1OrigMnth-Loan1IOPer,Loan1AmortPer*12,Loan1Amount),-MIN(AO205,PMT(Loan1IntRate/12,Loan1AmortPer*12,-Loan1Amount)+AO201)),)</f>
        <v>0</v>
      </c>
      <c r="AP207" s="78">
        <f>IF(AND(HasLoan1,L1HasAmort,AP205,AP$5&gt;Loan1OrigMnth+Loan1IOPer),IF(Loan1PmtType=VariablePmt,PPMT(Loan1IntRate/12,AP$5-Loan1OrigMnth-Loan1IOPer,Loan1AmortPer*12,Loan1Amount),-MIN(AP205,PMT(Loan1IntRate/12,Loan1AmortPer*12,-Loan1Amount)+AP201)),)</f>
        <v>0</v>
      </c>
      <c r="AQ207" s="78">
        <f>IF(AND(HasLoan1,L1HasAmort,AQ205,AQ$5&gt;Loan1OrigMnth+Loan1IOPer),IF(Loan1PmtType=VariablePmt,PPMT(Loan1IntRate/12,AQ$5-Loan1OrigMnth-Loan1IOPer,Loan1AmortPer*12,Loan1Amount),-MIN(AQ205,PMT(Loan1IntRate/12,Loan1AmortPer*12,-Loan1Amount)+AQ201)),)</f>
        <v>0</v>
      </c>
      <c r="AR207" s="78">
        <f>IF(AND(HasLoan1,L1HasAmort,AR205,AR$5&gt;Loan1OrigMnth+Loan1IOPer),IF(Loan1PmtType=VariablePmt,PPMT(Loan1IntRate/12,AR$5-Loan1OrigMnth-Loan1IOPer,Loan1AmortPer*12,Loan1Amount),-MIN(AR205,PMT(Loan1IntRate/12,Loan1AmortPer*12,-Loan1Amount)+AR201)),)</f>
        <v>0</v>
      </c>
      <c r="AS207" s="78">
        <f>IF(AND(HasLoan1,L1HasAmort,AS205,AS$5&gt;Loan1OrigMnth+Loan1IOPer),IF(Loan1PmtType=VariablePmt,PPMT(Loan1IntRate/12,AS$5-Loan1OrigMnth-Loan1IOPer,Loan1AmortPer*12,Loan1Amount),-MIN(AS205,PMT(Loan1IntRate/12,Loan1AmortPer*12,-Loan1Amount)+AS201)),)</f>
        <v>0</v>
      </c>
      <c r="AT207" s="78">
        <f>IF(AND(HasLoan1,L1HasAmort,AT205,AT$5&gt;Loan1OrigMnth+Loan1IOPer),IF(Loan1PmtType=VariablePmt,PPMT(Loan1IntRate/12,AT$5-Loan1OrigMnth-Loan1IOPer,Loan1AmortPer*12,Loan1Amount),-MIN(AT205,PMT(Loan1IntRate/12,Loan1AmortPer*12,-Loan1Amount)+AT201)),)</f>
        <v>0</v>
      </c>
      <c r="AU207" s="78">
        <f>IF(AND(HasLoan1,L1HasAmort,AU205,AU$5&gt;Loan1OrigMnth+Loan1IOPer),IF(Loan1PmtType=VariablePmt,PPMT(Loan1IntRate/12,AU$5-Loan1OrigMnth-Loan1IOPer,Loan1AmortPer*12,Loan1Amount),-MIN(AU205,PMT(Loan1IntRate/12,Loan1AmortPer*12,-Loan1Amount)+AU201)),)</f>
        <v>0</v>
      </c>
      <c r="AV207" s="78">
        <f>IF(AND(HasLoan1,L1HasAmort,AV205,AV$5&gt;Loan1OrigMnth+Loan1IOPer),IF(Loan1PmtType=VariablePmt,PPMT(Loan1IntRate/12,AV$5-Loan1OrigMnth-Loan1IOPer,Loan1AmortPer*12,Loan1Amount),-MIN(AV205,PMT(Loan1IntRate/12,Loan1AmortPer*12,-Loan1Amount)+AV201)),)</f>
        <v>0</v>
      </c>
      <c r="AW207" s="78">
        <f>IF(AND(HasLoan1,L1HasAmort,AW205,AW$5&gt;Loan1OrigMnth+Loan1IOPer),IF(Loan1PmtType=VariablePmt,PPMT(Loan1IntRate/12,AW$5-Loan1OrigMnth-Loan1IOPer,Loan1AmortPer*12,Loan1Amount),-MIN(AW205,PMT(Loan1IntRate/12,Loan1AmortPer*12,-Loan1Amount)+AW201)),)</f>
        <v>0</v>
      </c>
      <c r="AX207" s="78">
        <f>IF(AND(HasLoan1,L1HasAmort,AX205,AX$5&gt;Loan1OrigMnth+Loan1IOPer),IF(Loan1PmtType=VariablePmt,PPMT(Loan1IntRate/12,AX$5-Loan1OrigMnth-Loan1IOPer,Loan1AmortPer*12,Loan1Amount),-MIN(AX205,PMT(Loan1IntRate/12,Loan1AmortPer*12,-Loan1Amount)+AX201)),)</f>
        <v>0</v>
      </c>
      <c r="AY207" s="78">
        <f>IF(AND(HasLoan1,L1HasAmort,AY205,AY$5&gt;Loan1OrigMnth+Loan1IOPer),IF(Loan1PmtType=VariablePmt,PPMT(Loan1IntRate/12,AY$5-Loan1OrigMnth-Loan1IOPer,Loan1AmortPer*12,Loan1Amount),-MIN(AY205,PMT(Loan1IntRate/12,Loan1AmortPer*12,-Loan1Amount)+AY201)),)</f>
        <v>0</v>
      </c>
      <c r="AZ207" s="78">
        <f>IF(AND(HasLoan1,L1HasAmort,AZ205,AZ$5&gt;Loan1OrigMnth+Loan1IOPer),IF(Loan1PmtType=VariablePmt,PPMT(Loan1IntRate/12,AZ$5-Loan1OrigMnth-Loan1IOPer,Loan1AmortPer*12,Loan1Amount),-MIN(AZ205,PMT(Loan1IntRate/12,Loan1AmortPer*12,-Loan1Amount)+AZ201)),)</f>
        <v>0</v>
      </c>
      <c r="BA207" s="78">
        <f>IF(AND(HasLoan1,L1HasAmort,BA205,BA$5&gt;Loan1OrigMnth+Loan1IOPer),IF(Loan1PmtType=VariablePmt,PPMT(Loan1IntRate/12,BA$5-Loan1OrigMnth-Loan1IOPer,Loan1AmortPer*12,Loan1Amount),-MIN(BA205,PMT(Loan1IntRate/12,Loan1AmortPer*12,-Loan1Amount)+BA201)),)</f>
        <v>0</v>
      </c>
      <c r="BB207" s="78">
        <f>IF(AND(HasLoan1,L1HasAmort,BB205,BB$5&gt;Loan1OrigMnth+Loan1IOPer),IF(Loan1PmtType=VariablePmt,PPMT(Loan1IntRate/12,BB$5-Loan1OrigMnth-Loan1IOPer,Loan1AmortPer*12,Loan1Amount),-MIN(BB205,PMT(Loan1IntRate/12,Loan1AmortPer*12,-Loan1Amount)+BB201)),)</f>
        <v>0</v>
      </c>
      <c r="BC207" s="78">
        <f>IF(AND(HasLoan1,L1HasAmort,BC205,BC$5&gt;Loan1OrigMnth+Loan1IOPer),IF(Loan1PmtType=VariablePmt,PPMT(Loan1IntRate/12,BC$5-Loan1OrigMnth-Loan1IOPer,Loan1AmortPer*12,Loan1Amount),-MIN(BC205,PMT(Loan1IntRate/12,Loan1AmortPer*12,-Loan1Amount)+BC201)),)</f>
        <v>0</v>
      </c>
      <c r="BD207" s="78">
        <f>IF(AND(HasLoan1,L1HasAmort,BD205,BD$5&gt;Loan1OrigMnth+Loan1IOPer),IF(Loan1PmtType=VariablePmt,PPMT(Loan1IntRate/12,BD$5-Loan1OrigMnth-Loan1IOPer,Loan1AmortPer*12,Loan1Amount),-MIN(BD205,PMT(Loan1IntRate/12,Loan1AmortPer*12,-Loan1Amount)+BD201)),)</f>
        <v>0</v>
      </c>
      <c r="BE207" s="78">
        <f>IF(AND(HasLoan1,L1HasAmort,BE205,BE$5&gt;Loan1OrigMnth+Loan1IOPer),IF(Loan1PmtType=VariablePmt,PPMT(Loan1IntRate/12,BE$5-Loan1OrigMnth-Loan1IOPer,Loan1AmortPer*12,Loan1Amount),-MIN(BE205,PMT(Loan1IntRate/12,Loan1AmortPer*12,-Loan1Amount)+BE201)),)</f>
        <v>0</v>
      </c>
      <c r="BF207" s="78">
        <f>IF(AND(HasLoan1,L1HasAmort,BF205,BF$5&gt;Loan1OrigMnth+Loan1IOPer),IF(Loan1PmtType=VariablePmt,PPMT(Loan1IntRate/12,BF$5-Loan1OrigMnth-Loan1IOPer,Loan1AmortPer*12,Loan1Amount),-MIN(BF205,PMT(Loan1IntRate/12,Loan1AmortPer*12,-Loan1Amount)+BF201)),)</f>
        <v>0</v>
      </c>
      <c r="BG207" s="78">
        <f>IF(AND(HasLoan1,L1HasAmort,BG205,BG$5&gt;Loan1OrigMnth+Loan1IOPer),IF(Loan1PmtType=VariablePmt,PPMT(Loan1IntRate/12,BG$5-Loan1OrigMnth-Loan1IOPer,Loan1AmortPer*12,Loan1Amount),-MIN(BG205,PMT(Loan1IntRate/12,Loan1AmortPer*12,-Loan1Amount)+BG201)),)</f>
        <v>0</v>
      </c>
      <c r="BH207" s="78">
        <f>IF(AND(HasLoan1,L1HasAmort,BH205,BH$5&gt;Loan1OrigMnth+Loan1IOPer),IF(Loan1PmtType=VariablePmt,PPMT(Loan1IntRate/12,BH$5-Loan1OrigMnth-Loan1IOPer,Loan1AmortPer*12,Loan1Amount),-MIN(BH205,PMT(Loan1IntRate/12,Loan1AmortPer*12,-Loan1Amount)+BH201)),)</f>
        <v>0</v>
      </c>
      <c r="BI207" s="78">
        <f>IF(AND(HasLoan1,L1HasAmort,BI205,BI$5&gt;Loan1OrigMnth+Loan1IOPer),IF(Loan1PmtType=VariablePmt,PPMT(Loan1IntRate/12,BI$5-Loan1OrigMnth-Loan1IOPer,Loan1AmortPer*12,Loan1Amount),-MIN(BI205,PMT(Loan1IntRate/12,Loan1AmortPer*12,-Loan1Amount)+BI201)),)</f>
        <v>0</v>
      </c>
      <c r="BJ207" s="78">
        <f>IF(AND(HasLoan1,L1HasAmort,BJ205,BJ$5&gt;Loan1OrigMnth+Loan1IOPer),IF(Loan1PmtType=VariablePmt,PPMT(Loan1IntRate/12,BJ$5-Loan1OrigMnth-Loan1IOPer,Loan1AmortPer*12,Loan1Amount),-MIN(BJ205,PMT(Loan1IntRate/12,Loan1AmortPer*12,-Loan1Amount)+BJ201)),)</f>
        <v>0</v>
      </c>
      <c r="BK207" s="78">
        <f>IF(AND(HasLoan1,L1HasAmort,BK205,BK$5&gt;Loan1OrigMnth+Loan1IOPer),IF(Loan1PmtType=VariablePmt,PPMT(Loan1IntRate/12,BK$5-Loan1OrigMnth-Loan1IOPer,Loan1AmortPer*12,Loan1Amount),-MIN(BK205,PMT(Loan1IntRate/12,Loan1AmortPer*12,-Loan1Amount)+BK201)),)</f>
        <v>0</v>
      </c>
      <c r="BL207" s="78">
        <f>IF(AND(HasLoan1,L1HasAmort,BL205,BL$5&gt;Loan1OrigMnth+Loan1IOPer),IF(Loan1PmtType=VariablePmt,PPMT(Loan1IntRate/12,BL$5-Loan1OrigMnth-Loan1IOPer,Loan1AmortPer*12,Loan1Amount),-MIN(BL205,PMT(Loan1IntRate/12,Loan1AmortPer*12,-Loan1Amount)+BL201)),)</f>
        <v>0</v>
      </c>
      <c r="BM207" s="78">
        <f>IF(AND(HasLoan1,L1HasAmort,BM205,BM$5&gt;Loan1OrigMnth+Loan1IOPer),IF(Loan1PmtType=VariablePmt,PPMT(Loan1IntRate/12,BM$5-Loan1OrigMnth-Loan1IOPer,Loan1AmortPer*12,Loan1Amount),-MIN(BM205,PMT(Loan1IntRate/12,Loan1AmortPer*12,-Loan1Amount)+BM201)),)</f>
        <v>0</v>
      </c>
      <c r="BN207" s="78">
        <f>IF(AND(HasLoan1,L1HasAmort,BN205,BN$5&gt;Loan1OrigMnth+Loan1IOPer),IF(Loan1PmtType=VariablePmt,PPMT(Loan1IntRate/12,BN$5-Loan1OrigMnth-Loan1IOPer,Loan1AmortPer*12,Loan1Amount),-MIN(BN205,PMT(Loan1IntRate/12,Loan1AmortPer*12,-Loan1Amount)+BN201)),)</f>
        <v>0</v>
      </c>
      <c r="BO207" s="78">
        <f>IF(AND(HasLoan1,L1HasAmort,BO205,BO$5&gt;Loan1OrigMnth+Loan1IOPer),IF(Loan1PmtType=VariablePmt,PPMT(Loan1IntRate/12,BO$5-Loan1OrigMnth-Loan1IOPer,Loan1AmortPer*12,Loan1Amount),-MIN(BO205,PMT(Loan1IntRate/12,Loan1AmortPer*12,-Loan1Amount)+BO201)),)</f>
        <v>0</v>
      </c>
      <c r="BP207" s="78">
        <f>IF(AND(HasLoan1,L1HasAmort,BP205,BP$5&gt;Loan1OrigMnth+Loan1IOPer),IF(Loan1PmtType=VariablePmt,PPMT(Loan1IntRate/12,BP$5-Loan1OrigMnth-Loan1IOPer,Loan1AmortPer*12,Loan1Amount),-MIN(BP205,PMT(Loan1IntRate/12,Loan1AmortPer*12,-Loan1Amount)+BP201)),)</f>
        <v>0</v>
      </c>
      <c r="BQ207" s="78">
        <f>IF(AND(HasLoan1,L1HasAmort,BQ205,BQ$5&gt;Loan1OrigMnth+Loan1IOPer),IF(Loan1PmtType=VariablePmt,PPMT(Loan1IntRate/12,BQ$5-Loan1OrigMnth-Loan1IOPer,Loan1AmortPer*12,Loan1Amount),-MIN(BQ205,PMT(Loan1IntRate/12,Loan1AmortPer*12,-Loan1Amount)+BQ201)),)</f>
        <v>0</v>
      </c>
      <c r="BR207" s="78">
        <f>IF(AND(HasLoan1,L1HasAmort,BR205,BR$5&gt;Loan1OrigMnth+Loan1IOPer),IF(Loan1PmtType=VariablePmt,PPMT(Loan1IntRate/12,BR$5-Loan1OrigMnth-Loan1IOPer,Loan1AmortPer*12,Loan1Amount),-MIN(BR205,PMT(Loan1IntRate/12,Loan1AmortPer*12,-Loan1Amount)+BR201)),)</f>
        <v>0</v>
      </c>
      <c r="BS207" s="78">
        <f>IF(AND(HasLoan1,L1HasAmort,BS205,BS$5&gt;Loan1OrigMnth+Loan1IOPer),IF(Loan1PmtType=VariablePmt,PPMT(Loan1IntRate/12,BS$5-Loan1OrigMnth-Loan1IOPer,Loan1AmortPer*12,Loan1Amount),-MIN(BS205,PMT(Loan1IntRate/12,Loan1AmortPer*12,-Loan1Amount)+BS201)),)</f>
        <v>0</v>
      </c>
      <c r="BT207" s="78">
        <f>IF(AND(HasLoan1,L1HasAmort,BT205,BT$5&gt;Loan1OrigMnth+Loan1IOPer),IF(Loan1PmtType=VariablePmt,PPMT(Loan1IntRate/12,BT$5-Loan1OrigMnth-Loan1IOPer,Loan1AmortPer*12,Loan1Amount),-MIN(BT205,PMT(Loan1IntRate/12,Loan1AmortPer*12,-Loan1Amount)+BT201)),)</f>
        <v>0</v>
      </c>
      <c r="BU207" s="78">
        <f>IF(AND(HasLoan1,L1HasAmort,BU205,BU$5&gt;Loan1OrigMnth+Loan1IOPer),IF(Loan1PmtType=VariablePmt,PPMT(Loan1IntRate/12,BU$5-Loan1OrigMnth-Loan1IOPer,Loan1AmortPer*12,Loan1Amount),-MIN(BU205,PMT(Loan1IntRate/12,Loan1AmortPer*12,-Loan1Amount)+BU201)),)</f>
        <v>0</v>
      </c>
      <c r="BV207" s="78">
        <f>IF(AND(HasLoan1,L1HasAmort,BV205,BV$5&gt;Loan1OrigMnth+Loan1IOPer),IF(Loan1PmtType=VariablePmt,PPMT(Loan1IntRate/12,BV$5-Loan1OrigMnth-Loan1IOPer,Loan1AmortPer*12,Loan1Amount),-MIN(BV205,PMT(Loan1IntRate/12,Loan1AmortPer*12,-Loan1Amount)+BV201)),)</f>
        <v>0</v>
      </c>
      <c r="BW207" s="78">
        <f>IF(AND(HasLoan1,L1HasAmort,BW205,BW$5&gt;Loan1OrigMnth+Loan1IOPer),IF(Loan1PmtType=VariablePmt,PPMT(Loan1IntRate/12,BW$5-Loan1OrigMnth-Loan1IOPer,Loan1AmortPer*12,Loan1Amount),-MIN(BW205,PMT(Loan1IntRate/12,Loan1AmortPer*12,-Loan1Amount)+BW201)),)</f>
        <v>0</v>
      </c>
      <c r="BX207" s="78">
        <f>IF(AND(HasLoan1,L1HasAmort,BX205,BX$5&gt;Loan1OrigMnth+Loan1IOPer),IF(Loan1PmtType=VariablePmt,PPMT(Loan1IntRate/12,BX$5-Loan1OrigMnth-Loan1IOPer,Loan1AmortPer*12,Loan1Amount),-MIN(BX205,PMT(Loan1IntRate/12,Loan1AmortPer*12,-Loan1Amount)+BX201)),)</f>
        <v>0</v>
      </c>
      <c r="BY207" s="78">
        <f>IF(AND(HasLoan1,L1HasAmort,BY205,BY$5&gt;Loan1OrigMnth+Loan1IOPer),IF(Loan1PmtType=VariablePmt,PPMT(Loan1IntRate/12,BY$5-Loan1OrigMnth-Loan1IOPer,Loan1AmortPer*12,Loan1Amount),-MIN(BY205,PMT(Loan1IntRate/12,Loan1AmortPer*12,-Loan1Amount)+BY201)),)</f>
        <v>0</v>
      </c>
      <c r="BZ207" s="78">
        <f>IF(AND(HasLoan1,L1HasAmort,BZ205,BZ$5&gt;Loan1OrigMnth+Loan1IOPer),IF(Loan1PmtType=VariablePmt,PPMT(Loan1IntRate/12,BZ$5-Loan1OrigMnth-Loan1IOPer,Loan1AmortPer*12,Loan1Amount),-MIN(BZ205,PMT(Loan1IntRate/12,Loan1AmortPer*12,-Loan1Amount)+BZ201)),)</f>
        <v>0</v>
      </c>
      <c r="CA207" s="78">
        <f>IF(AND(HasLoan1,L1HasAmort,CA205,CA$5&gt;Loan1OrigMnth+Loan1IOPer),IF(Loan1PmtType=VariablePmt,PPMT(Loan1IntRate/12,CA$5-Loan1OrigMnth-Loan1IOPer,Loan1AmortPer*12,Loan1Amount),-MIN(CA205,PMT(Loan1IntRate/12,Loan1AmortPer*12,-Loan1Amount)+CA201)),)</f>
        <v>0</v>
      </c>
      <c r="CB207" s="78">
        <f>IF(AND(HasLoan1,L1HasAmort,CB205,CB$5&gt;Loan1OrigMnth+Loan1IOPer),IF(Loan1PmtType=VariablePmt,PPMT(Loan1IntRate/12,CB$5-Loan1OrigMnth-Loan1IOPer,Loan1AmortPer*12,Loan1Amount),-MIN(CB205,PMT(Loan1IntRate/12,Loan1AmortPer*12,-Loan1Amount)+CB201)),)</f>
        <v>0</v>
      </c>
      <c r="CC207" s="78">
        <f>IF(AND(HasLoan1,L1HasAmort,CC205,CC$5&gt;Loan1OrigMnth+Loan1IOPer),IF(Loan1PmtType=VariablePmt,PPMT(Loan1IntRate/12,CC$5-Loan1OrigMnth-Loan1IOPer,Loan1AmortPer*12,Loan1Amount),-MIN(CC205,PMT(Loan1IntRate/12,Loan1AmortPer*12,-Loan1Amount)+CC201)),)</f>
        <v>0</v>
      </c>
      <c r="CD207" s="78">
        <f>IF(AND(HasLoan1,L1HasAmort,CD205,CD$5&gt;Loan1OrigMnth+Loan1IOPer),IF(Loan1PmtType=VariablePmt,PPMT(Loan1IntRate/12,CD$5-Loan1OrigMnth-Loan1IOPer,Loan1AmortPer*12,Loan1Amount),-MIN(CD205,PMT(Loan1IntRate/12,Loan1AmortPer*12,-Loan1Amount)+CD201)),)</f>
        <v>0</v>
      </c>
      <c r="CE207" s="78">
        <f>IF(AND(HasLoan1,L1HasAmort,CE205,CE$5&gt;Loan1OrigMnth+Loan1IOPer),IF(Loan1PmtType=VariablePmt,PPMT(Loan1IntRate/12,CE$5-Loan1OrigMnth-Loan1IOPer,Loan1AmortPer*12,Loan1Amount),-MIN(CE205,PMT(Loan1IntRate/12,Loan1AmortPer*12,-Loan1Amount)+CE201)),)</f>
        <v>0</v>
      </c>
      <c r="CF207" s="78">
        <f>IF(AND(HasLoan1,L1HasAmort,CF205,CF$5&gt;Loan1OrigMnth+Loan1IOPer),IF(Loan1PmtType=VariablePmt,PPMT(Loan1IntRate/12,CF$5-Loan1OrigMnth-Loan1IOPer,Loan1AmortPer*12,Loan1Amount),-MIN(CF205,PMT(Loan1IntRate/12,Loan1AmortPer*12,-Loan1Amount)+CF201)),)</f>
        <v>0</v>
      </c>
      <c r="CG207" s="78">
        <f>IF(AND(HasLoan1,L1HasAmort,CG205,CG$5&gt;Loan1OrigMnth+Loan1IOPer),IF(Loan1PmtType=VariablePmt,PPMT(Loan1IntRate/12,CG$5-Loan1OrigMnth-Loan1IOPer,Loan1AmortPer*12,Loan1Amount),-MIN(CG205,PMT(Loan1IntRate/12,Loan1AmortPer*12,-Loan1Amount)+CG201)),)</f>
        <v>0</v>
      </c>
      <c r="CH207" s="78">
        <f>IF(AND(HasLoan1,L1HasAmort,CH205,CH$5&gt;Loan1OrigMnth+Loan1IOPer),IF(Loan1PmtType=VariablePmt,PPMT(Loan1IntRate/12,CH$5-Loan1OrigMnth-Loan1IOPer,Loan1AmortPer*12,Loan1Amount),-MIN(CH205,PMT(Loan1IntRate/12,Loan1AmortPer*12,-Loan1Amount)+CH201)),)</f>
        <v>0</v>
      </c>
      <c r="CI207" s="78">
        <f>IF(AND(HasLoan1,L1HasAmort,CI205,CI$5&gt;Loan1OrigMnth+Loan1IOPer),IF(Loan1PmtType=VariablePmt,PPMT(Loan1IntRate/12,CI$5-Loan1OrigMnth-Loan1IOPer,Loan1AmortPer*12,Loan1Amount),-MIN(CI205,PMT(Loan1IntRate/12,Loan1AmortPer*12,-Loan1Amount)+CI201)),)</f>
        <v>0</v>
      </c>
      <c r="CJ207" s="78">
        <f>IF(AND(HasLoan1,L1HasAmort,CJ205,CJ$5&gt;Loan1OrigMnth+Loan1IOPer),IF(Loan1PmtType=VariablePmt,PPMT(Loan1IntRate/12,CJ$5-Loan1OrigMnth-Loan1IOPer,Loan1AmortPer*12,Loan1Amount),-MIN(CJ205,PMT(Loan1IntRate/12,Loan1AmortPer*12,-Loan1Amount)+CJ201)),)</f>
        <v>0</v>
      </c>
      <c r="CK207" s="78">
        <f>IF(AND(HasLoan1,L1HasAmort,CK205,CK$5&gt;Loan1OrigMnth+Loan1IOPer),IF(Loan1PmtType=VariablePmt,PPMT(Loan1IntRate/12,CK$5-Loan1OrigMnth-Loan1IOPer,Loan1AmortPer*12,Loan1Amount),-MIN(CK205,PMT(Loan1IntRate/12,Loan1AmortPer*12,-Loan1Amount)+CK201)),)</f>
        <v>0</v>
      </c>
      <c r="CL207" s="78">
        <f>IF(AND(HasLoan1,L1HasAmort,CL205,CL$5&gt;Loan1OrigMnth+Loan1IOPer),IF(Loan1PmtType=VariablePmt,PPMT(Loan1IntRate/12,CL$5-Loan1OrigMnth-Loan1IOPer,Loan1AmortPer*12,Loan1Amount),-MIN(CL205,PMT(Loan1IntRate/12,Loan1AmortPer*12,-Loan1Amount)+CL201)),)</f>
        <v>0</v>
      </c>
      <c r="CM207" s="78">
        <f>IF(AND(HasLoan1,L1HasAmort,CM205,CM$5&gt;Loan1OrigMnth+Loan1IOPer),IF(Loan1PmtType=VariablePmt,PPMT(Loan1IntRate/12,CM$5-Loan1OrigMnth-Loan1IOPer,Loan1AmortPer*12,Loan1Amount),-MIN(CM205,PMT(Loan1IntRate/12,Loan1AmortPer*12,-Loan1Amount)+CM201)),)</f>
        <v>0</v>
      </c>
      <c r="CN207" s="78">
        <f>IF(AND(HasLoan1,L1HasAmort,CN205,CN$5&gt;Loan1OrigMnth+Loan1IOPer),IF(Loan1PmtType=VariablePmt,PPMT(Loan1IntRate/12,CN$5-Loan1OrigMnth-Loan1IOPer,Loan1AmortPer*12,Loan1Amount),-MIN(CN205,PMT(Loan1IntRate/12,Loan1AmortPer*12,-Loan1Amount)+CN201)),)</f>
        <v>0</v>
      </c>
      <c r="CO207" s="78">
        <f>IF(AND(HasLoan1,L1HasAmort,CO205,CO$5&gt;Loan1OrigMnth+Loan1IOPer),IF(Loan1PmtType=VariablePmt,PPMT(Loan1IntRate/12,CO$5-Loan1OrigMnth-Loan1IOPer,Loan1AmortPer*12,Loan1Amount),-MIN(CO205,PMT(Loan1IntRate/12,Loan1AmortPer*12,-Loan1Amount)+CO201)),)</f>
        <v>0</v>
      </c>
      <c r="CP207" s="78">
        <f>IF(AND(HasLoan1,L1HasAmort,CP205,CP$5&gt;Loan1OrigMnth+Loan1IOPer),IF(Loan1PmtType=VariablePmt,PPMT(Loan1IntRate/12,CP$5-Loan1OrigMnth-Loan1IOPer,Loan1AmortPer*12,Loan1Amount),-MIN(CP205,PMT(Loan1IntRate/12,Loan1AmortPer*12,-Loan1Amount)+CP201)),)</f>
        <v>0</v>
      </c>
      <c r="CQ207" s="78">
        <f>IF(AND(HasLoan1,L1HasAmort,CQ205,CQ$5&gt;Loan1OrigMnth+Loan1IOPer),IF(Loan1PmtType=VariablePmt,PPMT(Loan1IntRate/12,CQ$5-Loan1OrigMnth-Loan1IOPer,Loan1AmortPer*12,Loan1Amount),-MIN(CQ205,PMT(Loan1IntRate/12,Loan1AmortPer*12,-Loan1Amount)+CQ201)),)</f>
        <v>0</v>
      </c>
      <c r="CR207" s="78">
        <f>IF(AND(HasLoan1,L1HasAmort,CR205,CR$5&gt;Loan1OrigMnth+Loan1IOPer),IF(Loan1PmtType=VariablePmt,PPMT(Loan1IntRate/12,CR$5-Loan1OrigMnth-Loan1IOPer,Loan1AmortPer*12,Loan1Amount),-MIN(CR205,PMT(Loan1IntRate/12,Loan1AmortPer*12,-Loan1Amount)+CR201)),)</f>
        <v>0</v>
      </c>
      <c r="CS207" s="78">
        <f>IF(AND(HasLoan1,L1HasAmort,CS205,CS$5&gt;Loan1OrigMnth+Loan1IOPer),IF(Loan1PmtType=VariablePmt,PPMT(Loan1IntRate/12,CS$5-Loan1OrigMnth-Loan1IOPer,Loan1AmortPer*12,Loan1Amount),-MIN(CS205,PMT(Loan1IntRate/12,Loan1AmortPer*12,-Loan1Amount)+CS201)),)</f>
        <v>0</v>
      </c>
      <c r="CT207" s="78">
        <f>IF(AND(HasLoan1,L1HasAmort,CT205,CT$5&gt;Loan1OrigMnth+Loan1IOPer),IF(Loan1PmtType=VariablePmt,PPMT(Loan1IntRate/12,CT$5-Loan1OrigMnth-Loan1IOPer,Loan1AmortPer*12,Loan1Amount),-MIN(CT205,PMT(Loan1IntRate/12,Loan1AmortPer*12,-Loan1Amount)+CT201)),)</f>
        <v>0</v>
      </c>
      <c r="CU207" s="78">
        <f>IF(AND(HasLoan1,L1HasAmort,CU205,CU$5&gt;Loan1OrigMnth+Loan1IOPer),IF(Loan1PmtType=VariablePmt,PPMT(Loan1IntRate/12,CU$5-Loan1OrigMnth-Loan1IOPer,Loan1AmortPer*12,Loan1Amount),-MIN(CU205,PMT(Loan1IntRate/12,Loan1AmortPer*12,-Loan1Amount)+CU201)),)</f>
        <v>0</v>
      </c>
      <c r="CV207" s="78">
        <f>IF(AND(HasLoan1,L1HasAmort,CV205,CV$5&gt;Loan1OrigMnth+Loan1IOPer),IF(Loan1PmtType=VariablePmt,PPMT(Loan1IntRate/12,CV$5-Loan1OrigMnth-Loan1IOPer,Loan1AmortPer*12,Loan1Amount),-MIN(CV205,PMT(Loan1IntRate/12,Loan1AmortPer*12,-Loan1Amount)+CV201)),)</f>
        <v>0</v>
      </c>
      <c r="CW207" s="78">
        <f>IF(AND(HasLoan1,L1HasAmort,CW205,CW$5&gt;Loan1OrigMnth+Loan1IOPer),IF(Loan1PmtType=VariablePmt,PPMT(Loan1IntRate/12,CW$5-Loan1OrigMnth-Loan1IOPer,Loan1AmortPer*12,Loan1Amount),-MIN(CW205,PMT(Loan1IntRate/12,Loan1AmortPer*12,-Loan1Amount)+CW201)),)</f>
        <v>0</v>
      </c>
      <c r="CX207" s="78">
        <f>IF(AND(HasLoan1,L1HasAmort,CX205,CX$5&gt;Loan1OrigMnth+Loan1IOPer),IF(Loan1PmtType=VariablePmt,PPMT(Loan1IntRate/12,CX$5-Loan1OrigMnth-Loan1IOPer,Loan1AmortPer*12,Loan1Amount),-MIN(CX205,PMT(Loan1IntRate/12,Loan1AmortPer*12,-Loan1Amount)+CX201)),)</f>
        <v>0</v>
      </c>
      <c r="CY207" s="78">
        <f>IF(AND(HasLoan1,L1HasAmort,CY205,CY$5&gt;Loan1OrigMnth+Loan1IOPer),IF(Loan1PmtType=VariablePmt,PPMT(Loan1IntRate/12,CY$5-Loan1OrigMnth-Loan1IOPer,Loan1AmortPer*12,Loan1Amount),-MIN(CY205,PMT(Loan1IntRate/12,Loan1AmortPer*12,-Loan1Amount)+CY201)),)</f>
        <v>0</v>
      </c>
      <c r="CZ207" s="78">
        <f>IF(AND(HasLoan1,L1HasAmort,CZ205,CZ$5&gt;Loan1OrigMnth+Loan1IOPer),IF(Loan1PmtType=VariablePmt,PPMT(Loan1IntRate/12,CZ$5-Loan1OrigMnth-Loan1IOPer,Loan1AmortPer*12,Loan1Amount),-MIN(CZ205,PMT(Loan1IntRate/12,Loan1AmortPer*12,-Loan1Amount)+CZ201)),)</f>
        <v>0</v>
      </c>
      <c r="DA207" s="78">
        <f>IF(AND(HasLoan1,L1HasAmort,DA205,DA$5&gt;Loan1OrigMnth+Loan1IOPer),IF(Loan1PmtType=VariablePmt,PPMT(Loan1IntRate/12,DA$5-Loan1OrigMnth-Loan1IOPer,Loan1AmortPer*12,Loan1Amount),-MIN(DA205,PMT(Loan1IntRate/12,Loan1AmortPer*12,-Loan1Amount)+DA201)),)</f>
        <v>0</v>
      </c>
      <c r="DB207" s="78">
        <f>IF(AND(HasLoan1,L1HasAmort,DB205,DB$5&gt;Loan1OrigMnth+Loan1IOPer),IF(Loan1PmtType=VariablePmt,PPMT(Loan1IntRate/12,DB$5-Loan1OrigMnth-Loan1IOPer,Loan1AmortPer*12,Loan1Amount),-MIN(DB205,PMT(Loan1IntRate/12,Loan1AmortPer*12,-Loan1Amount)+DB201)),)</f>
        <v>0</v>
      </c>
      <c r="DC207" s="78">
        <f>IF(AND(HasLoan1,L1HasAmort,DC205,DC$5&gt;Loan1OrigMnth+Loan1IOPer),IF(Loan1PmtType=VariablePmt,PPMT(Loan1IntRate/12,DC$5-Loan1OrigMnth-Loan1IOPer,Loan1AmortPer*12,Loan1Amount),-MIN(DC205,PMT(Loan1IntRate/12,Loan1AmortPer*12,-Loan1Amount)+DC201)),)</f>
        <v>0</v>
      </c>
      <c r="DD207" s="78">
        <f>IF(AND(HasLoan1,L1HasAmort,DD205,DD$5&gt;Loan1OrigMnth+Loan1IOPer),IF(Loan1PmtType=VariablePmt,PPMT(Loan1IntRate/12,DD$5-Loan1OrigMnth-Loan1IOPer,Loan1AmortPer*12,Loan1Amount),-MIN(DD205,PMT(Loan1IntRate/12,Loan1AmortPer*12,-Loan1Amount)+DD201)),)</f>
        <v>0</v>
      </c>
      <c r="DE207" s="78">
        <f>IF(AND(HasLoan1,L1HasAmort,DE205,DE$5&gt;Loan1OrigMnth+Loan1IOPer),IF(Loan1PmtType=VariablePmt,PPMT(Loan1IntRate/12,DE$5-Loan1OrigMnth-Loan1IOPer,Loan1AmortPer*12,Loan1Amount),-MIN(DE205,PMT(Loan1IntRate/12,Loan1AmortPer*12,-Loan1Amount)+DE201)),)</f>
        <v>0</v>
      </c>
      <c r="DF207" s="78">
        <f>IF(AND(HasLoan1,L1HasAmort,DF205,DF$5&gt;Loan1OrigMnth+Loan1IOPer),IF(Loan1PmtType=VariablePmt,PPMT(Loan1IntRate/12,DF$5-Loan1OrigMnth-Loan1IOPer,Loan1AmortPer*12,Loan1Amount),-MIN(DF205,PMT(Loan1IntRate/12,Loan1AmortPer*12,-Loan1Amount)+DF201)),)</f>
        <v>0</v>
      </c>
      <c r="DG207" s="78">
        <f>IF(AND(HasLoan1,L1HasAmort,DG205,DG$5&gt;Loan1OrigMnth+Loan1IOPer),IF(Loan1PmtType=VariablePmt,PPMT(Loan1IntRate/12,DG$5-Loan1OrigMnth-Loan1IOPer,Loan1AmortPer*12,Loan1Amount),-MIN(DG205,PMT(Loan1IntRate/12,Loan1AmortPer*12,-Loan1Amount)+DG201)),)</f>
        <v>0</v>
      </c>
      <c r="DH207" s="78">
        <f>IF(AND(HasLoan1,L1HasAmort,DH205,DH$5&gt;Loan1OrigMnth+Loan1IOPer),IF(Loan1PmtType=VariablePmt,PPMT(Loan1IntRate/12,DH$5-Loan1OrigMnth-Loan1IOPer,Loan1AmortPer*12,Loan1Amount),-MIN(DH205,PMT(Loan1IntRate/12,Loan1AmortPer*12,-Loan1Amount)+DH201)),)</f>
        <v>0</v>
      </c>
      <c r="DI207" s="78">
        <f>IF(AND(HasLoan1,L1HasAmort,DI205,DI$5&gt;Loan1OrigMnth+Loan1IOPer),IF(Loan1PmtType=VariablePmt,PPMT(Loan1IntRate/12,DI$5-Loan1OrigMnth-Loan1IOPer,Loan1AmortPer*12,Loan1Amount),-MIN(DI205,PMT(Loan1IntRate/12,Loan1AmortPer*12,-Loan1Amount)+DI201)),)</f>
        <v>0</v>
      </c>
      <c r="DJ207" s="78">
        <f>IF(AND(HasLoan1,L1HasAmort,DJ205,DJ$5&gt;Loan1OrigMnth+Loan1IOPer),IF(Loan1PmtType=VariablePmt,PPMT(Loan1IntRate/12,DJ$5-Loan1OrigMnth-Loan1IOPer,Loan1AmortPer*12,Loan1Amount),-MIN(DJ205,PMT(Loan1IntRate/12,Loan1AmortPer*12,-Loan1Amount)+DJ201)),)</f>
        <v>0</v>
      </c>
      <c r="DK207" s="78">
        <f>IF(AND(HasLoan1,L1HasAmort,DK205,DK$5&gt;Loan1OrigMnth+Loan1IOPer),IF(Loan1PmtType=VariablePmt,PPMT(Loan1IntRate/12,DK$5-Loan1OrigMnth-Loan1IOPer,Loan1AmortPer*12,Loan1Amount),-MIN(DK205,PMT(Loan1IntRate/12,Loan1AmortPer*12,-Loan1Amount)+DK201)),)</f>
        <v>0</v>
      </c>
      <c r="DL207" s="78">
        <f>IF(AND(HasLoan1,L1HasAmort,DL205,DL$5&gt;Loan1OrigMnth+Loan1IOPer),IF(Loan1PmtType=VariablePmt,PPMT(Loan1IntRate/12,DL$5-Loan1OrigMnth-Loan1IOPer,Loan1AmortPer*12,Loan1Amount),-MIN(DL205,PMT(Loan1IntRate/12,Loan1AmortPer*12,-Loan1Amount)+DL201)),)</f>
        <v>0</v>
      </c>
      <c r="DM207" s="78">
        <f>IF(AND(HasLoan1,L1HasAmort,DM205,DM$5&gt;Loan1OrigMnth+Loan1IOPer),IF(Loan1PmtType=VariablePmt,PPMT(Loan1IntRate/12,DM$5-Loan1OrigMnth-Loan1IOPer,Loan1AmortPer*12,Loan1Amount),-MIN(DM205,PMT(Loan1IntRate/12,Loan1AmortPer*12,-Loan1Amount)+DM201)),)</f>
        <v>0</v>
      </c>
      <c r="DN207" s="78">
        <f>IF(AND(HasLoan1,L1HasAmort,DN205,DN$5&gt;Loan1OrigMnth+Loan1IOPer),IF(Loan1PmtType=VariablePmt,PPMT(Loan1IntRate/12,DN$5-Loan1OrigMnth-Loan1IOPer,Loan1AmortPer*12,Loan1Amount),-MIN(DN205,PMT(Loan1IntRate/12,Loan1AmortPer*12,-Loan1Amount)+DN201)),)</f>
        <v>0</v>
      </c>
      <c r="DO207" s="78">
        <f>IF(AND(HasLoan1,L1HasAmort,DO205,DO$5&gt;Loan1OrigMnth+Loan1IOPer),IF(Loan1PmtType=VariablePmt,PPMT(Loan1IntRate/12,DO$5-Loan1OrigMnth-Loan1IOPer,Loan1AmortPer*12,Loan1Amount),-MIN(DO205,PMT(Loan1IntRate/12,Loan1AmortPer*12,-Loan1Amount)+DO201)),)</f>
        <v>0</v>
      </c>
      <c r="DP207" s="78">
        <f>IF(AND(HasLoan1,L1HasAmort,DP205,DP$5&gt;Loan1OrigMnth+Loan1IOPer),IF(Loan1PmtType=VariablePmt,PPMT(Loan1IntRate/12,DP$5-Loan1OrigMnth-Loan1IOPer,Loan1AmortPer*12,Loan1Amount),-MIN(DP205,PMT(Loan1IntRate/12,Loan1AmortPer*12,-Loan1Amount)+DP201)),)</f>
        <v>0</v>
      </c>
      <c r="DQ207" s="78">
        <f>IF(AND(HasLoan1,L1HasAmort,DQ205,DQ$5&gt;Loan1OrigMnth+Loan1IOPer),IF(Loan1PmtType=VariablePmt,PPMT(Loan1IntRate/12,DQ$5-Loan1OrigMnth-Loan1IOPer,Loan1AmortPer*12,Loan1Amount),-MIN(DQ205,PMT(Loan1IntRate/12,Loan1AmortPer*12,-Loan1Amount)+DQ201)),)</f>
        <v>0</v>
      </c>
      <c r="DR207" s="78">
        <f>IF(AND(HasLoan1,L1HasAmort,DR205,DR$5&gt;Loan1OrigMnth+Loan1IOPer),IF(Loan1PmtType=VariablePmt,PPMT(Loan1IntRate/12,DR$5-Loan1OrigMnth-Loan1IOPer,Loan1AmortPer*12,Loan1Amount),-MIN(DR205,PMT(Loan1IntRate/12,Loan1AmortPer*12,-Loan1Amount)+DR201)),)</f>
        <v>0</v>
      </c>
      <c r="DS207" s="78">
        <f>IF(AND(HasLoan1,L1HasAmort,DS205,DS$5&gt;Loan1OrigMnth+Loan1IOPer),IF(Loan1PmtType=VariablePmt,PPMT(Loan1IntRate/12,DS$5-Loan1OrigMnth-Loan1IOPer,Loan1AmortPer*12,Loan1Amount),-MIN(DS205,PMT(Loan1IntRate/12,Loan1AmortPer*12,-Loan1Amount)+DS201)),)</f>
        <v>0</v>
      </c>
      <c r="DT207" s="78">
        <f>IF(AND(HasLoan1,L1HasAmort,DT205,DT$5&gt;Loan1OrigMnth+Loan1IOPer),IF(Loan1PmtType=VariablePmt,PPMT(Loan1IntRate/12,DT$5-Loan1OrigMnth-Loan1IOPer,Loan1AmortPer*12,Loan1Amount),-MIN(DT205,PMT(Loan1IntRate/12,Loan1AmortPer*12,-Loan1Amount)+DT201)),)</f>
        <v>0</v>
      </c>
      <c r="DU207" s="78">
        <f>IF(AND(HasLoan1,L1HasAmort,DU205,DU$5&gt;Loan1OrigMnth+Loan1IOPer),IF(Loan1PmtType=VariablePmt,PPMT(Loan1IntRate/12,DU$5-Loan1OrigMnth-Loan1IOPer,Loan1AmortPer*12,Loan1Amount),-MIN(DU205,PMT(Loan1IntRate/12,Loan1AmortPer*12,-Loan1Amount)+DU201)),)</f>
        <v>0</v>
      </c>
      <c r="DV207" s="78">
        <f>IF(AND(HasLoan1,L1HasAmort,DV205,DV$5&gt;Loan1OrigMnth+Loan1IOPer),IF(Loan1PmtType=VariablePmt,PPMT(Loan1IntRate/12,DV$5-Loan1OrigMnth-Loan1IOPer,Loan1AmortPer*12,Loan1Amount),-MIN(DV205,PMT(Loan1IntRate/12,Loan1AmortPer*12,-Loan1Amount)+DV201)),)</f>
        <v>0</v>
      </c>
      <c r="DW207" s="78">
        <f>IF(AND(HasLoan1,L1HasAmort,DW205,DW$5&gt;Loan1OrigMnth+Loan1IOPer),IF(Loan1PmtType=VariablePmt,PPMT(Loan1IntRate/12,DW$5-Loan1OrigMnth-Loan1IOPer,Loan1AmortPer*12,Loan1Amount),-MIN(DW205,PMT(Loan1IntRate/12,Loan1AmortPer*12,-Loan1Amount)+DW201)),)</f>
        <v>0</v>
      </c>
      <c r="DX207" s="78">
        <f>IF(AND(HasLoan1,L1HasAmort,DX205,DX$5&gt;Loan1OrigMnth+Loan1IOPer),IF(Loan1PmtType=VariablePmt,PPMT(Loan1IntRate/12,DX$5-Loan1OrigMnth-Loan1IOPer,Loan1AmortPer*12,Loan1Amount),-MIN(DX205,PMT(Loan1IntRate/12,Loan1AmortPer*12,-Loan1Amount)+DX201)),)</f>
        <v>0</v>
      </c>
      <c r="DY207" s="78">
        <f>IF(AND(HasLoan1,L1HasAmort,DY205,DY$5&gt;Loan1OrigMnth+Loan1IOPer),IF(Loan1PmtType=VariablePmt,PPMT(Loan1IntRate/12,DY$5-Loan1OrigMnth-Loan1IOPer,Loan1AmortPer*12,Loan1Amount),-MIN(DY205,PMT(Loan1IntRate/12,Loan1AmortPer*12,-Loan1Amount)+DY201)),)</f>
        <v>0</v>
      </c>
      <c r="DZ207" s="78">
        <f>IF(AND(HasLoan1,L1HasAmort,DZ205,DZ$5&gt;Loan1OrigMnth+Loan1IOPer),IF(Loan1PmtType=VariablePmt,PPMT(Loan1IntRate/12,DZ$5-Loan1OrigMnth-Loan1IOPer,Loan1AmortPer*12,Loan1Amount),-MIN(DZ205,PMT(Loan1IntRate/12,Loan1AmortPer*12,-Loan1Amount)+DZ201)),)</f>
        <v>0</v>
      </c>
      <c r="EA207" s="78">
        <f>IF(AND(HasLoan1,L1HasAmort,EA205,EA$5&gt;Loan1OrigMnth+Loan1IOPer),IF(Loan1PmtType=VariablePmt,PPMT(Loan1IntRate/12,EA$5-Loan1OrigMnth-Loan1IOPer,Loan1AmortPer*12,Loan1Amount),-MIN(EA205,PMT(Loan1IntRate/12,Loan1AmortPer*12,-Loan1Amount)+EA201)),)</f>
        <v>0</v>
      </c>
      <c r="EB207" s="78">
        <f>IF(AND(HasLoan1,L1HasAmort,EB205,EB$5&gt;Loan1OrigMnth+Loan1IOPer),IF(Loan1PmtType=VariablePmt,PPMT(Loan1IntRate/12,EB$5-Loan1OrigMnth-Loan1IOPer,Loan1AmortPer*12,Loan1Amount),-MIN(EB205,PMT(Loan1IntRate/12,Loan1AmortPer*12,-Loan1Amount)+EB201)),)</f>
        <v>0</v>
      </c>
      <c r="EC207" s="78">
        <f>IF(AND(HasLoan1,L1HasAmort,EC205,EC$5&gt;Loan1OrigMnth+Loan1IOPer),IF(Loan1PmtType=VariablePmt,PPMT(Loan1IntRate/12,EC$5-Loan1OrigMnth-Loan1IOPer,Loan1AmortPer*12,Loan1Amount),-MIN(EC205,PMT(Loan1IntRate/12,Loan1AmortPer*12,-Loan1Amount)+EC201)),)</f>
        <v>0</v>
      </c>
      <c r="ED207" s="78">
        <f>IF(AND(HasLoan1,L1HasAmort,ED205,ED$5&gt;Loan1OrigMnth+Loan1IOPer),IF(Loan1PmtType=VariablePmt,PPMT(Loan1IntRate/12,ED$5-Loan1OrigMnth-Loan1IOPer,Loan1AmortPer*12,Loan1Amount),-MIN(ED205,PMT(Loan1IntRate/12,Loan1AmortPer*12,-Loan1Amount)+ED201)),)</f>
        <v>0</v>
      </c>
      <c r="EE207" s="78">
        <f>IF(AND(HasLoan1,L1HasAmort,EE205,EE$5&gt;Loan1OrigMnth+Loan1IOPer),IF(Loan1PmtType=VariablePmt,PPMT(Loan1IntRate/12,EE$5-Loan1OrigMnth-Loan1IOPer,Loan1AmortPer*12,Loan1Amount),-MIN(EE205,PMT(Loan1IntRate/12,Loan1AmortPer*12,-Loan1Amount)+EE201)),)</f>
        <v>0</v>
      </c>
      <c r="EF207" s="78">
        <f>IF(AND(HasLoan1,L1HasAmort,EF205,EF$5&gt;Loan1OrigMnth+Loan1IOPer),IF(Loan1PmtType=VariablePmt,PPMT(Loan1IntRate/12,EF$5-Loan1OrigMnth-Loan1IOPer,Loan1AmortPer*12,Loan1Amount),-MIN(EF205,PMT(Loan1IntRate/12,Loan1AmortPer*12,-Loan1Amount)+EF201)),)</f>
        <v>0</v>
      </c>
      <c r="EG207" s="78">
        <f>IF(AND(HasLoan1,L1HasAmort,EG205,EG$5&gt;Loan1OrigMnth+Loan1IOPer),IF(Loan1PmtType=VariablePmt,PPMT(Loan1IntRate/12,EG$5-Loan1OrigMnth-Loan1IOPer,Loan1AmortPer*12,Loan1Amount),-MIN(EG205,PMT(Loan1IntRate/12,Loan1AmortPer*12,-Loan1Amount)+EG201)),)</f>
        <v>0</v>
      </c>
      <c r="EH207" s="78">
        <f>IF(AND(HasLoan1,L1HasAmort,EH205,EH$5&gt;Loan1OrigMnth+Loan1IOPer),IF(Loan1PmtType=VariablePmt,PPMT(Loan1IntRate/12,EH$5-Loan1OrigMnth-Loan1IOPer,Loan1AmortPer*12,Loan1Amount),-MIN(EH205,PMT(Loan1IntRate/12,Loan1AmortPer*12,-Loan1Amount)+EH201)),)</f>
        <v>0</v>
      </c>
      <c r="EI207" s="78">
        <f>IF(AND(HasLoan1,L1HasAmort,EI205,EI$5&gt;Loan1OrigMnth+Loan1IOPer),IF(Loan1PmtType=VariablePmt,PPMT(Loan1IntRate/12,EI$5-Loan1OrigMnth-Loan1IOPer,Loan1AmortPer*12,Loan1Amount),-MIN(EI205,PMT(Loan1IntRate/12,Loan1AmortPer*12,-Loan1Amount)+EI201)),)</f>
        <v>0</v>
      </c>
    </row>
    <row r="208" spans="2:139" ht="12.75" customHeight="1">
      <c r="B208" s="41" t="s">
        <v>184</v>
      </c>
      <c r="C208" s="211"/>
      <c r="D208" s="78">
        <f>SUMIF($S$6:$EI$6,D$5,$S208:$EI208)</f>
        <v>0</v>
      </c>
      <c r="E208" s="78">
        <f t="shared" si="350"/>
        <v>0</v>
      </c>
      <c r="F208" s="78">
        <f t="shared" si="350"/>
        <v>0</v>
      </c>
      <c r="G208" s="78">
        <f t="shared" si="350"/>
        <v>0</v>
      </c>
      <c r="H208" s="78">
        <f t="shared" si="350"/>
        <v>0</v>
      </c>
      <c r="I208" s="78">
        <f t="shared" si="350"/>
        <v>0</v>
      </c>
      <c r="J208" s="78">
        <f t="shared" si="350"/>
        <v>0</v>
      </c>
      <c r="K208" s="78">
        <f t="shared" si="350"/>
        <v>0</v>
      </c>
      <c r="L208" s="78">
        <f t="shared" si="350"/>
        <v>0</v>
      </c>
      <c r="M208" s="78">
        <f t="shared" si="350"/>
        <v>0</v>
      </c>
      <c r="N208" s="78">
        <f t="shared" si="350"/>
        <v>0</v>
      </c>
      <c r="O208" s="145">
        <f>SUM(D208:N208)</f>
        <v>0</v>
      </c>
      <c r="S208" s="78">
        <f>-SUM(S205:S207)*AND(S$5=MIN(Input!$I$196+Input!$I$195,MAX(YrOfExit,1)*12))</f>
        <v>0</v>
      </c>
      <c r="T208" s="78">
        <f>-SUM(T205:T207)*AND(T$5=MIN(Input!$I$196+Input!$I$195,MAX(YrOfExit,1)*12))</f>
        <v>0</v>
      </c>
      <c r="U208" s="78">
        <f>-SUM(U205:U207)*AND(U$5=MIN(Input!$I$196+Input!$I$195,MAX(YrOfExit,1)*12))</f>
        <v>0</v>
      </c>
      <c r="V208" s="78">
        <f>-SUM(V205:V207)*AND(V$5=MIN(Input!$I$196+Input!$I$195,MAX(YrOfExit,1)*12))</f>
        <v>0</v>
      </c>
      <c r="W208" s="78">
        <f>-SUM(W205:W207)*AND(W$5=MIN(Input!$I$196+Input!$I$195,MAX(YrOfExit,1)*12))</f>
        <v>0</v>
      </c>
      <c r="X208" s="78">
        <f>-SUM(X205:X207)*AND(X$5=MIN(Input!$I$196+Input!$I$195,MAX(YrOfExit,1)*12))</f>
        <v>0</v>
      </c>
      <c r="Y208" s="78">
        <f>-SUM(Y205:Y207)*AND(Y$5=MIN(Input!$I$196+Input!$I$195,MAX(YrOfExit,1)*12))</f>
        <v>0</v>
      </c>
      <c r="Z208" s="78">
        <f>-SUM(Z205:Z207)*AND(Z$5=MIN(Input!$I$196+Input!$I$195,MAX(YrOfExit,1)*12))</f>
        <v>0</v>
      </c>
      <c r="AA208" s="78">
        <f>-SUM(AA205:AA207)*AND(AA$5=MIN(Input!$I$196+Input!$I$195,MAX(YrOfExit,1)*12))</f>
        <v>0</v>
      </c>
      <c r="AB208" s="78">
        <f>-SUM(AB205:AB207)*AND(AB$5=MIN(Input!$I$196+Input!$I$195,MAX(YrOfExit,1)*12))</f>
        <v>0</v>
      </c>
      <c r="AC208" s="78">
        <f>-SUM(AC205:AC207)*AND(AC$5=MIN(Input!$I$196+Input!$I$195,MAX(YrOfExit,1)*12))</f>
        <v>0</v>
      </c>
      <c r="AD208" s="78">
        <f>-SUM(AD205:AD207)*AND(AD$5=MIN(Input!$I$196+Input!$I$195,MAX(YrOfExit,1)*12))</f>
        <v>0</v>
      </c>
      <c r="AE208" s="78">
        <f>-SUM(AE205:AE207)*AND(AE$5=MIN(Input!$I$196+Input!$I$195,MAX(YrOfExit,1)*12))</f>
        <v>0</v>
      </c>
      <c r="AF208" s="78">
        <f>-SUM(AF205:AF207)*AND(AF$5=MIN(Input!$I$196+Input!$I$195,MAX(YrOfExit,1)*12))</f>
        <v>0</v>
      </c>
      <c r="AG208" s="78">
        <f>-SUM(AG205:AG207)*AND(AG$5=MIN(Input!$I$196+Input!$I$195,MAX(YrOfExit,1)*12))</f>
        <v>0</v>
      </c>
      <c r="AH208" s="78">
        <f>-SUM(AH205:AH207)*AND(AH$5=MIN(Input!$I$196+Input!$I$195,MAX(YrOfExit,1)*12))</f>
        <v>0</v>
      </c>
      <c r="AI208" s="78">
        <f>-SUM(AI205:AI207)*AND(AI$5=MIN(Input!$I$196+Input!$I$195,MAX(YrOfExit,1)*12))</f>
        <v>0</v>
      </c>
      <c r="AJ208" s="78">
        <f>-SUM(AJ205:AJ207)*AND(AJ$5=MIN(Input!$I$196+Input!$I$195,MAX(YrOfExit,1)*12))</f>
        <v>0</v>
      </c>
      <c r="AK208" s="78">
        <f>-SUM(AK205:AK207)*AND(AK$5=MIN(Input!$I$196+Input!$I$195,MAX(YrOfExit,1)*12))</f>
        <v>0</v>
      </c>
      <c r="AL208" s="78">
        <f>-SUM(AL205:AL207)*AND(AL$5=MIN(Input!$I$196+Input!$I$195,MAX(YrOfExit,1)*12))</f>
        <v>0</v>
      </c>
      <c r="AM208" s="78">
        <f>-SUM(AM205:AM207)*AND(AM$5=MIN(Input!$I$196+Input!$I$195,MAX(YrOfExit,1)*12))</f>
        <v>0</v>
      </c>
      <c r="AN208" s="78">
        <f>-SUM(AN205:AN207)*AND(AN$5=MIN(Input!$I$196+Input!$I$195,MAX(YrOfExit,1)*12))</f>
        <v>0</v>
      </c>
      <c r="AO208" s="78">
        <f>-SUM(AO205:AO207)*AND(AO$5=MIN(Input!$I$196+Input!$I$195,MAX(YrOfExit,1)*12))</f>
        <v>0</v>
      </c>
      <c r="AP208" s="78">
        <f>-SUM(AP205:AP207)*AND(AP$5=MIN(Input!$I$196+Input!$I$195,MAX(YrOfExit,1)*12))</f>
        <v>0</v>
      </c>
      <c r="AQ208" s="78">
        <f>-SUM(AQ205:AQ207)*AND(AQ$5=MIN(Input!$I$196+Input!$I$195,MAX(YrOfExit,1)*12))</f>
        <v>0</v>
      </c>
      <c r="AR208" s="78">
        <f>-SUM(AR205:AR207)*AND(AR$5=MIN(Input!$I$196+Input!$I$195,MAX(YrOfExit,1)*12))</f>
        <v>0</v>
      </c>
      <c r="AS208" s="78">
        <f>-SUM(AS205:AS207)*AND(AS$5=MIN(Input!$I$196+Input!$I$195,MAX(YrOfExit,1)*12))</f>
        <v>0</v>
      </c>
      <c r="AT208" s="78">
        <f>-SUM(AT205:AT207)*AND(AT$5=MIN(Input!$I$196+Input!$I$195,MAX(YrOfExit,1)*12))</f>
        <v>0</v>
      </c>
      <c r="AU208" s="78">
        <f>-SUM(AU205:AU207)*AND(AU$5=MIN(Input!$I$196+Input!$I$195,MAX(YrOfExit,1)*12))</f>
        <v>0</v>
      </c>
      <c r="AV208" s="78">
        <f>-SUM(AV205:AV207)*AND(AV$5=MIN(Input!$I$196+Input!$I$195,MAX(YrOfExit,1)*12))</f>
        <v>0</v>
      </c>
      <c r="AW208" s="78">
        <f>-SUM(AW205:AW207)*AND(AW$5=MIN(Input!$I$196+Input!$I$195,MAX(YrOfExit,1)*12))</f>
        <v>0</v>
      </c>
      <c r="AX208" s="78">
        <f>-SUM(AX205:AX207)*AND(AX$5=MIN(Input!$I$196+Input!$I$195,MAX(YrOfExit,1)*12))</f>
        <v>0</v>
      </c>
      <c r="AY208" s="78">
        <f>-SUM(AY205:AY207)*AND(AY$5=MIN(Input!$I$196+Input!$I$195,MAX(YrOfExit,1)*12))</f>
        <v>0</v>
      </c>
      <c r="AZ208" s="78">
        <f>-SUM(AZ205:AZ207)*AND(AZ$5=MIN(Input!$I$196+Input!$I$195,MAX(YrOfExit,1)*12))</f>
        <v>0</v>
      </c>
      <c r="BA208" s="78">
        <f>-SUM(BA205:BA207)*AND(BA$5=MIN(Input!$I$196+Input!$I$195,MAX(YrOfExit,1)*12))</f>
        <v>0</v>
      </c>
      <c r="BB208" s="78">
        <f>-SUM(BB205:BB207)*AND(BB$5=MIN(Input!$I$196+Input!$I$195,MAX(YrOfExit,1)*12))</f>
        <v>0</v>
      </c>
      <c r="BC208" s="78">
        <f>-SUM(BC205:BC207)*AND(BC$5=MIN(Input!$I$196+Input!$I$195,MAX(YrOfExit,1)*12))</f>
        <v>0</v>
      </c>
      <c r="BD208" s="78">
        <f>-SUM(BD205:BD207)*AND(BD$5=MIN(Input!$I$196+Input!$I$195,MAX(YrOfExit,1)*12))</f>
        <v>0</v>
      </c>
      <c r="BE208" s="78">
        <f>-SUM(BE205:BE207)*AND(BE$5=MIN(Input!$I$196+Input!$I$195,MAX(YrOfExit,1)*12))</f>
        <v>0</v>
      </c>
      <c r="BF208" s="78">
        <f>-SUM(BF205:BF207)*AND(BF$5=MIN(Input!$I$196+Input!$I$195,MAX(YrOfExit,1)*12))</f>
        <v>0</v>
      </c>
      <c r="BG208" s="78">
        <f>-SUM(BG205:BG207)*AND(BG$5=MIN(Input!$I$196+Input!$I$195,MAX(YrOfExit,1)*12))</f>
        <v>0</v>
      </c>
      <c r="BH208" s="78">
        <f>-SUM(BH205:BH207)*AND(BH$5=MIN(Input!$I$196+Input!$I$195,MAX(YrOfExit,1)*12))</f>
        <v>0</v>
      </c>
      <c r="BI208" s="78">
        <f>-SUM(BI205:BI207)*AND(BI$5=MIN(Input!$I$196+Input!$I$195,MAX(YrOfExit,1)*12))</f>
        <v>0</v>
      </c>
      <c r="BJ208" s="78">
        <f>-SUM(BJ205:BJ207)*AND(BJ$5=MIN(Input!$I$196+Input!$I$195,MAX(YrOfExit,1)*12))</f>
        <v>0</v>
      </c>
      <c r="BK208" s="78">
        <f>-SUM(BK205:BK207)*AND(BK$5=MIN(Input!$I$196+Input!$I$195,MAX(YrOfExit,1)*12))</f>
        <v>0</v>
      </c>
      <c r="BL208" s="78">
        <f>-SUM(BL205:BL207)*AND(BL$5=MIN(Input!$I$196+Input!$I$195,MAX(YrOfExit,1)*12))</f>
        <v>0</v>
      </c>
      <c r="BM208" s="78">
        <f>-SUM(BM205:BM207)*AND(BM$5=MIN(Input!$I$196+Input!$I$195,MAX(YrOfExit,1)*12))</f>
        <v>0</v>
      </c>
      <c r="BN208" s="78">
        <f>-SUM(BN205:BN207)*AND(BN$5=MIN(Input!$I$196+Input!$I$195,MAX(YrOfExit,1)*12))</f>
        <v>0</v>
      </c>
      <c r="BO208" s="78">
        <f>-SUM(BO205:BO207)*AND(BO$5=MIN(Input!$I$196+Input!$I$195,MAX(YrOfExit,1)*12))</f>
        <v>0</v>
      </c>
      <c r="BP208" s="78">
        <f>-SUM(BP205:BP207)*AND(BP$5=MIN(Input!$I$196+Input!$I$195,MAX(YrOfExit,1)*12))</f>
        <v>0</v>
      </c>
      <c r="BQ208" s="78">
        <f>-SUM(BQ205:BQ207)*AND(BQ$5=MIN(Input!$I$196+Input!$I$195,MAX(YrOfExit,1)*12))</f>
        <v>0</v>
      </c>
      <c r="BR208" s="78">
        <f>-SUM(BR205:BR207)*AND(BR$5=MIN(Input!$I$196+Input!$I$195,MAX(YrOfExit,1)*12))</f>
        <v>0</v>
      </c>
      <c r="BS208" s="78">
        <f>-SUM(BS205:BS207)*AND(BS$5=MIN(Input!$I$196+Input!$I$195,MAX(YrOfExit,1)*12))</f>
        <v>0</v>
      </c>
      <c r="BT208" s="78">
        <f>-SUM(BT205:BT207)*AND(BT$5=MIN(Input!$I$196+Input!$I$195,MAX(YrOfExit,1)*12))</f>
        <v>0</v>
      </c>
      <c r="BU208" s="78">
        <f>-SUM(BU205:BU207)*AND(BU$5=MIN(Input!$I$196+Input!$I$195,MAX(YrOfExit,1)*12))</f>
        <v>0</v>
      </c>
      <c r="BV208" s="78">
        <f>-SUM(BV205:BV207)*AND(BV$5=MIN(Input!$I$196+Input!$I$195,MAX(YrOfExit,1)*12))</f>
        <v>0</v>
      </c>
      <c r="BW208" s="78">
        <f>-SUM(BW205:BW207)*AND(BW$5=MIN(Input!$I$196+Input!$I$195,MAX(YrOfExit,1)*12))</f>
        <v>0</v>
      </c>
      <c r="BX208" s="78">
        <f>-SUM(BX205:BX207)*AND(BX$5=MIN(Input!$I$196+Input!$I$195,MAX(YrOfExit,1)*12))</f>
        <v>0</v>
      </c>
      <c r="BY208" s="78">
        <f>-SUM(BY205:BY207)*AND(BY$5=MIN(Input!$I$196+Input!$I$195,MAX(YrOfExit,1)*12))</f>
        <v>0</v>
      </c>
      <c r="BZ208" s="78">
        <f>-SUM(BZ205:BZ207)*AND(BZ$5=MIN(Input!$I$196+Input!$I$195,MAX(YrOfExit,1)*12))</f>
        <v>0</v>
      </c>
      <c r="CA208" s="78">
        <f>-SUM(CA205:CA207)*AND(CA$5=MIN(Input!$I$196+Input!$I$195,MAX(YrOfExit,1)*12))</f>
        <v>0</v>
      </c>
      <c r="CB208" s="78">
        <f>-SUM(CB205:CB207)*AND(CB$5=MIN(Input!$I$196+Input!$I$195,MAX(YrOfExit,1)*12))</f>
        <v>0</v>
      </c>
      <c r="CC208" s="78">
        <f>-SUM(CC205:CC207)*AND(CC$5=MIN(Input!$I$196+Input!$I$195,MAX(YrOfExit,1)*12))</f>
        <v>0</v>
      </c>
      <c r="CD208" s="78">
        <f>-SUM(CD205:CD207)*AND(CD$5=MIN(Input!$I$196+Input!$I$195,MAX(YrOfExit,1)*12))</f>
        <v>0</v>
      </c>
      <c r="CE208" s="78">
        <f>-SUM(CE205:CE207)*AND(CE$5=MIN(Input!$I$196+Input!$I$195,MAX(YrOfExit,1)*12))</f>
        <v>0</v>
      </c>
      <c r="CF208" s="78">
        <f>-SUM(CF205:CF207)*AND(CF$5=MIN(Input!$I$196+Input!$I$195,MAX(YrOfExit,1)*12))</f>
        <v>0</v>
      </c>
      <c r="CG208" s="78">
        <f>-SUM(CG205:CG207)*AND(CG$5=MIN(Input!$I$196+Input!$I$195,MAX(YrOfExit,1)*12))</f>
        <v>0</v>
      </c>
      <c r="CH208" s="78">
        <f>-SUM(CH205:CH207)*AND(CH$5=MIN(Input!$I$196+Input!$I$195,MAX(YrOfExit,1)*12))</f>
        <v>0</v>
      </c>
      <c r="CI208" s="78">
        <f>-SUM(CI205:CI207)*AND(CI$5=MIN(Input!$I$196+Input!$I$195,MAX(YrOfExit,1)*12))</f>
        <v>0</v>
      </c>
      <c r="CJ208" s="78">
        <f>-SUM(CJ205:CJ207)*AND(CJ$5=MIN(Input!$I$196+Input!$I$195,MAX(YrOfExit,1)*12))</f>
        <v>0</v>
      </c>
      <c r="CK208" s="78">
        <f>-SUM(CK205:CK207)*AND(CK$5=MIN(Input!$I$196+Input!$I$195,MAX(YrOfExit,1)*12))</f>
        <v>0</v>
      </c>
      <c r="CL208" s="78">
        <f>-SUM(CL205:CL207)*AND(CL$5=MIN(Input!$I$196+Input!$I$195,MAX(YrOfExit,1)*12))</f>
        <v>0</v>
      </c>
      <c r="CM208" s="78">
        <f>-SUM(CM205:CM207)*AND(CM$5=MIN(Input!$I$196+Input!$I$195,MAX(YrOfExit,1)*12))</f>
        <v>0</v>
      </c>
      <c r="CN208" s="78">
        <f>-SUM(CN205:CN207)*AND(CN$5=MIN(Input!$I$196+Input!$I$195,MAX(YrOfExit,1)*12))</f>
        <v>0</v>
      </c>
      <c r="CO208" s="78">
        <f>-SUM(CO205:CO207)*AND(CO$5=MIN(Input!$I$196+Input!$I$195,MAX(YrOfExit,1)*12))</f>
        <v>0</v>
      </c>
      <c r="CP208" s="78">
        <f>-SUM(CP205:CP207)*AND(CP$5=MIN(Input!$I$196+Input!$I$195,MAX(YrOfExit,1)*12))</f>
        <v>0</v>
      </c>
      <c r="CQ208" s="78">
        <f>-SUM(CQ205:CQ207)*AND(CQ$5=MIN(Input!$I$196+Input!$I$195,MAX(YrOfExit,1)*12))</f>
        <v>0</v>
      </c>
      <c r="CR208" s="78">
        <f>-SUM(CR205:CR207)*AND(CR$5=MIN(Input!$I$196+Input!$I$195,MAX(YrOfExit,1)*12))</f>
        <v>0</v>
      </c>
      <c r="CS208" s="78">
        <f>-SUM(CS205:CS207)*AND(CS$5=MIN(Input!$I$196+Input!$I$195,MAX(YrOfExit,1)*12))</f>
        <v>0</v>
      </c>
      <c r="CT208" s="78">
        <f>-SUM(CT205:CT207)*AND(CT$5=MIN(Input!$I$196+Input!$I$195,MAX(YrOfExit,1)*12))</f>
        <v>0</v>
      </c>
      <c r="CU208" s="78">
        <f>-SUM(CU205:CU207)*AND(CU$5=MIN(Input!$I$196+Input!$I$195,MAX(YrOfExit,1)*12))</f>
        <v>0</v>
      </c>
      <c r="CV208" s="78">
        <f>-SUM(CV205:CV207)*AND(CV$5=MIN(Input!$I$196+Input!$I$195,MAX(YrOfExit,1)*12))</f>
        <v>0</v>
      </c>
      <c r="CW208" s="78">
        <f>-SUM(CW205:CW207)*AND(CW$5=MIN(Input!$I$196+Input!$I$195,MAX(YrOfExit,1)*12))</f>
        <v>0</v>
      </c>
      <c r="CX208" s="78">
        <f>-SUM(CX205:CX207)*AND(CX$5=MIN(Input!$I$196+Input!$I$195,MAX(YrOfExit,1)*12))</f>
        <v>0</v>
      </c>
      <c r="CY208" s="78">
        <f>-SUM(CY205:CY207)*AND(CY$5=MIN(Input!$I$196+Input!$I$195,MAX(YrOfExit,1)*12))</f>
        <v>0</v>
      </c>
      <c r="CZ208" s="78">
        <f>-SUM(CZ205:CZ207)*AND(CZ$5=MIN(Input!$I$196+Input!$I$195,MAX(YrOfExit,1)*12))</f>
        <v>0</v>
      </c>
      <c r="DA208" s="78">
        <f>-SUM(DA205:DA207)*AND(DA$5=MIN(Input!$I$196+Input!$I$195,MAX(YrOfExit,1)*12))</f>
        <v>0</v>
      </c>
      <c r="DB208" s="78">
        <f>-SUM(DB205:DB207)*AND(DB$5=MIN(Input!$I$196+Input!$I$195,MAX(YrOfExit,1)*12))</f>
        <v>0</v>
      </c>
      <c r="DC208" s="78">
        <f>-SUM(DC205:DC207)*AND(DC$5=MIN(Input!$I$196+Input!$I$195,MAX(YrOfExit,1)*12))</f>
        <v>0</v>
      </c>
      <c r="DD208" s="78">
        <f>-SUM(DD205:DD207)*AND(DD$5=MIN(Input!$I$196+Input!$I$195,MAX(YrOfExit,1)*12))</f>
        <v>0</v>
      </c>
      <c r="DE208" s="78">
        <f>-SUM(DE205:DE207)*AND(DE$5=MIN(Input!$I$196+Input!$I$195,MAX(YrOfExit,1)*12))</f>
        <v>0</v>
      </c>
      <c r="DF208" s="78">
        <f>-SUM(DF205:DF207)*AND(DF$5=MIN(Input!$I$196+Input!$I$195,MAX(YrOfExit,1)*12))</f>
        <v>0</v>
      </c>
      <c r="DG208" s="78">
        <f>-SUM(DG205:DG207)*AND(DG$5=MIN(Input!$I$196+Input!$I$195,MAX(YrOfExit,1)*12))</f>
        <v>0</v>
      </c>
      <c r="DH208" s="78">
        <f>-SUM(DH205:DH207)*AND(DH$5=MIN(Input!$I$196+Input!$I$195,MAX(YrOfExit,1)*12))</f>
        <v>0</v>
      </c>
      <c r="DI208" s="78">
        <f>-SUM(DI205:DI207)*AND(DI$5=MIN(Input!$I$196+Input!$I$195,MAX(YrOfExit,1)*12))</f>
        <v>0</v>
      </c>
      <c r="DJ208" s="78">
        <f>-SUM(DJ205:DJ207)*AND(DJ$5=MIN(Input!$I$196+Input!$I$195,MAX(YrOfExit,1)*12))</f>
        <v>0</v>
      </c>
      <c r="DK208" s="78">
        <f>-SUM(DK205:DK207)*AND(DK$5=MIN(Input!$I$196+Input!$I$195,MAX(YrOfExit,1)*12))</f>
        <v>0</v>
      </c>
      <c r="DL208" s="78">
        <f>-SUM(DL205:DL207)*AND(DL$5=MIN(Input!$I$196+Input!$I$195,MAX(YrOfExit,1)*12))</f>
        <v>0</v>
      </c>
      <c r="DM208" s="78">
        <f>-SUM(DM205:DM207)*AND(DM$5=MIN(Input!$I$196+Input!$I$195,MAX(YrOfExit,1)*12))</f>
        <v>0</v>
      </c>
      <c r="DN208" s="78">
        <f>-SUM(DN205:DN207)*AND(DN$5=MIN(Input!$I$196+Input!$I$195,MAX(YrOfExit,1)*12))</f>
        <v>0</v>
      </c>
      <c r="DO208" s="78">
        <f>-SUM(DO205:DO207)*AND(DO$5=MIN(Input!$I$196+Input!$I$195,MAX(YrOfExit,1)*12))</f>
        <v>0</v>
      </c>
      <c r="DP208" s="78">
        <f>-SUM(DP205:DP207)*AND(DP$5=MIN(Input!$I$196+Input!$I$195,MAX(YrOfExit,1)*12))</f>
        <v>0</v>
      </c>
      <c r="DQ208" s="78">
        <f>-SUM(DQ205:DQ207)*AND(DQ$5=MIN(Input!$I$196+Input!$I$195,MAX(YrOfExit,1)*12))</f>
        <v>0</v>
      </c>
      <c r="DR208" s="78">
        <f>-SUM(DR205:DR207)*AND(DR$5=MIN(Input!$I$196+Input!$I$195,MAX(YrOfExit,1)*12))</f>
        <v>0</v>
      </c>
      <c r="DS208" s="78">
        <f>-SUM(DS205:DS207)*AND(DS$5=MIN(Input!$I$196+Input!$I$195,MAX(YrOfExit,1)*12))</f>
        <v>0</v>
      </c>
      <c r="DT208" s="78">
        <f>-SUM(DT205:DT207)*AND(DT$5=MIN(Input!$I$196+Input!$I$195,MAX(YrOfExit,1)*12))</f>
        <v>0</v>
      </c>
      <c r="DU208" s="78">
        <f>-SUM(DU205:DU207)*AND(DU$5=MIN(Input!$I$196+Input!$I$195,MAX(YrOfExit,1)*12))</f>
        <v>0</v>
      </c>
      <c r="DV208" s="78">
        <f>-SUM(DV205:DV207)*AND(DV$5=MIN(Input!$I$196+Input!$I$195,MAX(YrOfExit,1)*12))</f>
        <v>0</v>
      </c>
      <c r="DW208" s="78">
        <f>-SUM(DW205:DW207)*AND(DW$5=MIN(Input!$I$196+Input!$I$195,MAX(YrOfExit,1)*12))</f>
        <v>0</v>
      </c>
      <c r="DX208" s="78">
        <f>-SUM(DX205:DX207)*AND(DX$5=MIN(Input!$I$196+Input!$I$195,MAX(YrOfExit,1)*12))</f>
        <v>0</v>
      </c>
      <c r="DY208" s="78">
        <f>-SUM(DY205:DY207)*AND(DY$5=MIN(Input!$I$196+Input!$I$195,MAX(YrOfExit,1)*12))</f>
        <v>0</v>
      </c>
      <c r="DZ208" s="78">
        <f>-SUM(DZ205:DZ207)*AND(DZ$5=MIN(Input!$I$196+Input!$I$195,MAX(YrOfExit,1)*12))</f>
        <v>0</v>
      </c>
      <c r="EA208" s="78">
        <f>-SUM(EA205:EA207)*AND(EA$5=MIN(Input!$I$196+Input!$I$195,MAX(YrOfExit,1)*12))</f>
        <v>0</v>
      </c>
      <c r="EB208" s="78">
        <f>-SUM(EB205:EB207)*AND(EB$5=MIN(Input!$I$196+Input!$I$195,MAX(YrOfExit,1)*12))</f>
        <v>0</v>
      </c>
      <c r="EC208" s="78">
        <f>-SUM(EC205:EC207)*AND(EC$5=MIN(Input!$I$196+Input!$I$195,MAX(YrOfExit,1)*12))</f>
        <v>0</v>
      </c>
      <c r="ED208" s="78">
        <f>-SUM(ED205:ED207)*AND(ED$5=MIN(Input!$I$196+Input!$I$195,MAX(YrOfExit,1)*12))</f>
        <v>0</v>
      </c>
      <c r="EE208" s="78">
        <f>-SUM(EE205:EE207)*AND(EE$5=MIN(Input!$I$196+Input!$I$195,MAX(YrOfExit,1)*12))</f>
        <v>0</v>
      </c>
      <c r="EF208" s="78">
        <f>-SUM(EF205:EF207)*AND(EF$5=MIN(Input!$I$196+Input!$I$195,MAX(YrOfExit,1)*12))</f>
        <v>0</v>
      </c>
      <c r="EG208" s="78">
        <f>-SUM(EG205:EG207)*AND(EG$5=MIN(Input!$I$196+Input!$I$195,MAX(YrOfExit,1)*12))</f>
        <v>0</v>
      </c>
      <c r="EH208" s="78">
        <f>-SUM(EH205:EH207)*AND(EH$5=MIN(Input!$I$196+Input!$I$195,MAX(YrOfExit,1)*12))</f>
        <v>0</v>
      </c>
      <c r="EI208" s="78">
        <f>-SUM(EI205:EI207)*AND(EI$5=MIN(Input!$I$196+Input!$I$195,MAX(YrOfExit,1)*12))</f>
        <v>0</v>
      </c>
    </row>
    <row r="209" spans="2:139" ht="12.75" customHeight="1">
      <c r="B209" s="46" t="s">
        <v>595</v>
      </c>
      <c r="C209" s="209"/>
      <c r="D209" s="694">
        <f t="shared" ref="D209:O209" si="351">SUBTOTAL(9,D205:D208)*(SUM(D205:D208)&gt;1)</f>
        <v>0</v>
      </c>
      <c r="E209" s="694">
        <f t="shared" si="351"/>
        <v>0</v>
      </c>
      <c r="F209" s="694">
        <f t="shared" si="351"/>
        <v>0</v>
      </c>
      <c r="G209" s="694">
        <f t="shared" si="351"/>
        <v>0</v>
      </c>
      <c r="H209" s="694">
        <f t="shared" si="351"/>
        <v>0</v>
      </c>
      <c r="I209" s="694">
        <f t="shared" si="351"/>
        <v>0</v>
      </c>
      <c r="J209" s="694">
        <f t="shared" si="351"/>
        <v>0</v>
      </c>
      <c r="K209" s="694">
        <f t="shared" si="351"/>
        <v>0</v>
      </c>
      <c r="L209" s="694">
        <f t="shared" si="351"/>
        <v>0</v>
      </c>
      <c r="M209" s="694">
        <f t="shared" si="351"/>
        <v>0</v>
      </c>
      <c r="N209" s="694">
        <f t="shared" si="351"/>
        <v>0</v>
      </c>
      <c r="O209" s="713">
        <f t="shared" si="351"/>
        <v>0</v>
      </c>
      <c r="S209" s="694">
        <f t="shared" ref="S209:AX209" si="352">SUBTOTAL(9,S205:S208)*(SUM(S205:S208)&gt;1)</f>
        <v>0</v>
      </c>
      <c r="T209" s="694">
        <f t="shared" si="352"/>
        <v>0</v>
      </c>
      <c r="U209" s="694">
        <f t="shared" si="352"/>
        <v>0</v>
      </c>
      <c r="V209" s="694">
        <f t="shared" si="352"/>
        <v>0</v>
      </c>
      <c r="W209" s="694">
        <f t="shared" si="352"/>
        <v>0</v>
      </c>
      <c r="X209" s="694">
        <f t="shared" si="352"/>
        <v>0</v>
      </c>
      <c r="Y209" s="694">
        <f t="shared" si="352"/>
        <v>0</v>
      </c>
      <c r="Z209" s="694">
        <f t="shared" si="352"/>
        <v>0</v>
      </c>
      <c r="AA209" s="694">
        <f t="shared" si="352"/>
        <v>0</v>
      </c>
      <c r="AB209" s="694">
        <f t="shared" si="352"/>
        <v>0</v>
      </c>
      <c r="AC209" s="694">
        <f t="shared" si="352"/>
        <v>0</v>
      </c>
      <c r="AD209" s="694">
        <f t="shared" si="352"/>
        <v>0</v>
      </c>
      <c r="AE209" s="694">
        <f t="shared" si="352"/>
        <v>0</v>
      </c>
      <c r="AF209" s="694">
        <f t="shared" si="352"/>
        <v>0</v>
      </c>
      <c r="AG209" s="694">
        <f t="shared" si="352"/>
        <v>0</v>
      </c>
      <c r="AH209" s="694">
        <f t="shared" si="352"/>
        <v>0</v>
      </c>
      <c r="AI209" s="694">
        <f t="shared" si="352"/>
        <v>0</v>
      </c>
      <c r="AJ209" s="694">
        <f t="shared" si="352"/>
        <v>0</v>
      </c>
      <c r="AK209" s="694">
        <f t="shared" si="352"/>
        <v>0</v>
      </c>
      <c r="AL209" s="694">
        <f t="shared" si="352"/>
        <v>0</v>
      </c>
      <c r="AM209" s="694">
        <f t="shared" si="352"/>
        <v>0</v>
      </c>
      <c r="AN209" s="694">
        <f t="shared" si="352"/>
        <v>0</v>
      </c>
      <c r="AO209" s="694">
        <f t="shared" si="352"/>
        <v>0</v>
      </c>
      <c r="AP209" s="694">
        <f t="shared" si="352"/>
        <v>0</v>
      </c>
      <c r="AQ209" s="694">
        <f t="shared" si="352"/>
        <v>0</v>
      </c>
      <c r="AR209" s="694">
        <f t="shared" si="352"/>
        <v>0</v>
      </c>
      <c r="AS209" s="694">
        <f t="shared" si="352"/>
        <v>0</v>
      </c>
      <c r="AT209" s="694">
        <f t="shared" si="352"/>
        <v>0</v>
      </c>
      <c r="AU209" s="694">
        <f t="shared" si="352"/>
        <v>0</v>
      </c>
      <c r="AV209" s="694">
        <f t="shared" si="352"/>
        <v>0</v>
      </c>
      <c r="AW209" s="694">
        <f t="shared" si="352"/>
        <v>0</v>
      </c>
      <c r="AX209" s="694">
        <f t="shared" si="352"/>
        <v>0</v>
      </c>
      <c r="AY209" s="694">
        <f t="shared" ref="AY209:CD209" si="353">SUBTOTAL(9,AY205:AY208)*(SUM(AY205:AY208)&gt;1)</f>
        <v>0</v>
      </c>
      <c r="AZ209" s="694">
        <f t="shared" si="353"/>
        <v>0</v>
      </c>
      <c r="BA209" s="694">
        <f t="shared" si="353"/>
        <v>0</v>
      </c>
      <c r="BB209" s="694">
        <f t="shared" si="353"/>
        <v>0</v>
      </c>
      <c r="BC209" s="694">
        <f t="shared" si="353"/>
        <v>0</v>
      </c>
      <c r="BD209" s="694">
        <f t="shared" si="353"/>
        <v>0</v>
      </c>
      <c r="BE209" s="694">
        <f t="shared" si="353"/>
        <v>0</v>
      </c>
      <c r="BF209" s="694">
        <f t="shared" si="353"/>
        <v>0</v>
      </c>
      <c r="BG209" s="694">
        <f t="shared" si="353"/>
        <v>0</v>
      </c>
      <c r="BH209" s="694">
        <f t="shared" si="353"/>
        <v>0</v>
      </c>
      <c r="BI209" s="694">
        <f t="shared" si="353"/>
        <v>0</v>
      </c>
      <c r="BJ209" s="694">
        <f t="shared" si="353"/>
        <v>0</v>
      </c>
      <c r="BK209" s="694">
        <f t="shared" si="353"/>
        <v>0</v>
      </c>
      <c r="BL209" s="694">
        <f t="shared" si="353"/>
        <v>0</v>
      </c>
      <c r="BM209" s="694">
        <f t="shared" si="353"/>
        <v>0</v>
      </c>
      <c r="BN209" s="694">
        <f t="shared" si="353"/>
        <v>0</v>
      </c>
      <c r="BO209" s="694">
        <f t="shared" si="353"/>
        <v>0</v>
      </c>
      <c r="BP209" s="694">
        <f t="shared" si="353"/>
        <v>0</v>
      </c>
      <c r="BQ209" s="694">
        <f t="shared" si="353"/>
        <v>0</v>
      </c>
      <c r="BR209" s="694">
        <f t="shared" si="353"/>
        <v>0</v>
      </c>
      <c r="BS209" s="694">
        <f t="shared" si="353"/>
        <v>0</v>
      </c>
      <c r="BT209" s="694">
        <f t="shared" si="353"/>
        <v>0</v>
      </c>
      <c r="BU209" s="694">
        <f t="shared" si="353"/>
        <v>0</v>
      </c>
      <c r="BV209" s="694">
        <f t="shared" si="353"/>
        <v>0</v>
      </c>
      <c r="BW209" s="694">
        <f t="shared" si="353"/>
        <v>0</v>
      </c>
      <c r="BX209" s="694">
        <f t="shared" si="353"/>
        <v>0</v>
      </c>
      <c r="BY209" s="694">
        <f t="shared" si="353"/>
        <v>0</v>
      </c>
      <c r="BZ209" s="694">
        <f t="shared" si="353"/>
        <v>0</v>
      </c>
      <c r="CA209" s="694">
        <f t="shared" si="353"/>
        <v>0</v>
      </c>
      <c r="CB209" s="694">
        <f t="shared" si="353"/>
        <v>0</v>
      </c>
      <c r="CC209" s="694">
        <f t="shared" si="353"/>
        <v>0</v>
      </c>
      <c r="CD209" s="694">
        <f t="shared" si="353"/>
        <v>0</v>
      </c>
      <c r="CE209" s="694">
        <f t="shared" ref="CE209:DJ209" si="354">SUBTOTAL(9,CE205:CE208)*(SUM(CE205:CE208)&gt;1)</f>
        <v>0</v>
      </c>
      <c r="CF209" s="694">
        <f t="shared" si="354"/>
        <v>0</v>
      </c>
      <c r="CG209" s="694">
        <f t="shared" si="354"/>
        <v>0</v>
      </c>
      <c r="CH209" s="694">
        <f t="shared" si="354"/>
        <v>0</v>
      </c>
      <c r="CI209" s="694">
        <f t="shared" si="354"/>
        <v>0</v>
      </c>
      <c r="CJ209" s="694">
        <f t="shared" si="354"/>
        <v>0</v>
      </c>
      <c r="CK209" s="694">
        <f t="shared" si="354"/>
        <v>0</v>
      </c>
      <c r="CL209" s="694">
        <f t="shared" si="354"/>
        <v>0</v>
      </c>
      <c r="CM209" s="694">
        <f t="shared" si="354"/>
        <v>0</v>
      </c>
      <c r="CN209" s="694">
        <f t="shared" si="354"/>
        <v>0</v>
      </c>
      <c r="CO209" s="694">
        <f t="shared" si="354"/>
        <v>0</v>
      </c>
      <c r="CP209" s="694">
        <f t="shared" si="354"/>
        <v>0</v>
      </c>
      <c r="CQ209" s="694">
        <f t="shared" si="354"/>
        <v>0</v>
      </c>
      <c r="CR209" s="694">
        <f t="shared" si="354"/>
        <v>0</v>
      </c>
      <c r="CS209" s="694">
        <f t="shared" si="354"/>
        <v>0</v>
      </c>
      <c r="CT209" s="694">
        <f t="shared" si="354"/>
        <v>0</v>
      </c>
      <c r="CU209" s="694">
        <f t="shared" si="354"/>
        <v>0</v>
      </c>
      <c r="CV209" s="694">
        <f t="shared" si="354"/>
        <v>0</v>
      </c>
      <c r="CW209" s="694">
        <f t="shared" si="354"/>
        <v>0</v>
      </c>
      <c r="CX209" s="694">
        <f t="shared" si="354"/>
        <v>0</v>
      </c>
      <c r="CY209" s="694">
        <f t="shared" si="354"/>
        <v>0</v>
      </c>
      <c r="CZ209" s="694">
        <f t="shared" si="354"/>
        <v>0</v>
      </c>
      <c r="DA209" s="694">
        <f t="shared" si="354"/>
        <v>0</v>
      </c>
      <c r="DB209" s="694">
        <f t="shared" si="354"/>
        <v>0</v>
      </c>
      <c r="DC209" s="694">
        <f t="shared" si="354"/>
        <v>0</v>
      </c>
      <c r="DD209" s="694">
        <f t="shared" si="354"/>
        <v>0</v>
      </c>
      <c r="DE209" s="694">
        <f t="shared" si="354"/>
        <v>0</v>
      </c>
      <c r="DF209" s="694">
        <f t="shared" si="354"/>
        <v>0</v>
      </c>
      <c r="DG209" s="694">
        <f t="shared" si="354"/>
        <v>0</v>
      </c>
      <c r="DH209" s="694">
        <f t="shared" si="354"/>
        <v>0</v>
      </c>
      <c r="DI209" s="694">
        <f t="shared" si="354"/>
        <v>0</v>
      </c>
      <c r="DJ209" s="694">
        <f t="shared" si="354"/>
        <v>0</v>
      </c>
      <c r="DK209" s="694">
        <f t="shared" ref="DK209:EP209" si="355">SUBTOTAL(9,DK205:DK208)*(SUM(DK205:DK208)&gt;1)</f>
        <v>0</v>
      </c>
      <c r="DL209" s="694">
        <f t="shared" si="355"/>
        <v>0</v>
      </c>
      <c r="DM209" s="694">
        <f t="shared" si="355"/>
        <v>0</v>
      </c>
      <c r="DN209" s="694">
        <f t="shared" si="355"/>
        <v>0</v>
      </c>
      <c r="DO209" s="694">
        <f t="shared" si="355"/>
        <v>0</v>
      </c>
      <c r="DP209" s="694">
        <f t="shared" si="355"/>
        <v>0</v>
      </c>
      <c r="DQ209" s="694">
        <f t="shared" si="355"/>
        <v>0</v>
      </c>
      <c r="DR209" s="694">
        <f t="shared" si="355"/>
        <v>0</v>
      </c>
      <c r="DS209" s="694">
        <f t="shared" si="355"/>
        <v>0</v>
      </c>
      <c r="DT209" s="694">
        <f t="shared" si="355"/>
        <v>0</v>
      </c>
      <c r="DU209" s="694">
        <f t="shared" si="355"/>
        <v>0</v>
      </c>
      <c r="DV209" s="694">
        <f t="shared" si="355"/>
        <v>0</v>
      </c>
      <c r="DW209" s="694">
        <f t="shared" si="355"/>
        <v>0</v>
      </c>
      <c r="DX209" s="694">
        <f t="shared" si="355"/>
        <v>0</v>
      </c>
      <c r="DY209" s="694">
        <f t="shared" si="355"/>
        <v>0</v>
      </c>
      <c r="DZ209" s="694">
        <f t="shared" si="355"/>
        <v>0</v>
      </c>
      <c r="EA209" s="694">
        <f t="shared" si="355"/>
        <v>0</v>
      </c>
      <c r="EB209" s="694">
        <f t="shared" si="355"/>
        <v>0</v>
      </c>
      <c r="EC209" s="694">
        <f t="shared" si="355"/>
        <v>0</v>
      </c>
      <c r="ED209" s="694">
        <f t="shared" si="355"/>
        <v>0</v>
      </c>
      <c r="EE209" s="694">
        <f t="shared" si="355"/>
        <v>0</v>
      </c>
      <c r="EF209" s="694">
        <f t="shared" si="355"/>
        <v>0</v>
      </c>
      <c r="EG209" s="694">
        <f t="shared" si="355"/>
        <v>0</v>
      </c>
      <c r="EH209" s="694">
        <f t="shared" si="355"/>
        <v>0</v>
      </c>
      <c r="EI209" s="694">
        <f t="shared" si="355"/>
        <v>0</v>
      </c>
    </row>
    <row r="210" spans="2:139" ht="12.75" customHeight="1">
      <c r="B210" s="46"/>
      <c r="C210" s="209"/>
      <c r="D210" s="169"/>
      <c r="E210" s="169"/>
      <c r="F210" s="169"/>
      <c r="G210" s="169"/>
      <c r="H210" s="169"/>
      <c r="I210" s="169"/>
      <c r="J210" s="169"/>
      <c r="K210" s="169"/>
      <c r="L210" s="169"/>
      <c r="M210" s="169"/>
      <c r="N210" s="169"/>
      <c r="O210" s="91"/>
      <c r="S210" s="169"/>
      <c r="T210" s="169"/>
      <c r="U210" s="169"/>
      <c r="V210" s="169"/>
      <c r="W210" s="169"/>
      <c r="X210" s="169"/>
      <c r="Y210" s="169"/>
      <c r="Z210" s="169"/>
      <c r="AA210" s="169"/>
      <c r="AB210" s="169"/>
      <c r="AC210" s="169"/>
      <c r="AD210" s="169"/>
      <c r="AE210" s="169"/>
      <c r="AF210" s="169"/>
      <c r="AG210" s="169"/>
      <c r="AH210" s="169"/>
      <c r="AI210" s="169"/>
      <c r="AJ210" s="169"/>
      <c r="AK210" s="169"/>
      <c r="AL210" s="169"/>
      <c r="AM210" s="169"/>
      <c r="AN210" s="169"/>
      <c r="AO210" s="169"/>
      <c r="AP210" s="169"/>
      <c r="AQ210" s="169"/>
      <c r="AR210" s="169"/>
      <c r="AS210" s="169"/>
      <c r="AT210" s="169"/>
      <c r="AU210" s="169"/>
      <c r="AV210" s="169"/>
      <c r="AW210" s="169"/>
      <c r="AX210" s="169"/>
      <c r="AY210" s="169"/>
      <c r="AZ210" s="169"/>
      <c r="BA210" s="169"/>
      <c r="BB210" s="169"/>
      <c r="BC210" s="169"/>
      <c r="BD210" s="169"/>
      <c r="BE210" s="169"/>
      <c r="BF210" s="169"/>
      <c r="BG210" s="169"/>
      <c r="BH210" s="169"/>
      <c r="BI210" s="169"/>
      <c r="BJ210" s="169"/>
      <c r="BK210" s="169"/>
      <c r="BL210" s="169"/>
      <c r="BM210" s="169"/>
      <c r="BN210" s="169"/>
      <c r="BO210" s="169"/>
      <c r="BP210" s="169"/>
      <c r="BQ210" s="169"/>
      <c r="BR210" s="169"/>
      <c r="BS210" s="169"/>
      <c r="BT210" s="169"/>
      <c r="BU210" s="169"/>
      <c r="BV210" s="169"/>
      <c r="BW210" s="169"/>
      <c r="BX210" s="169"/>
      <c r="BY210" s="169"/>
      <c r="BZ210" s="169"/>
      <c r="CA210" s="169"/>
      <c r="CB210" s="169"/>
      <c r="CC210" s="169"/>
      <c r="CD210" s="169"/>
      <c r="CE210" s="169"/>
      <c r="CF210" s="169"/>
      <c r="CG210" s="169"/>
      <c r="CH210" s="169"/>
      <c r="CI210" s="169"/>
      <c r="CJ210" s="169"/>
      <c r="CK210" s="169"/>
      <c r="CL210" s="169"/>
      <c r="CM210" s="169"/>
      <c r="CN210" s="169"/>
      <c r="CO210" s="169"/>
      <c r="CP210" s="169"/>
      <c r="CQ210" s="169"/>
      <c r="CR210" s="169"/>
      <c r="CS210" s="169"/>
      <c r="CT210" s="169"/>
      <c r="CU210" s="169"/>
      <c r="CV210" s="169"/>
      <c r="CW210" s="169"/>
      <c r="CX210" s="169"/>
      <c r="CY210" s="169"/>
      <c r="CZ210" s="169"/>
      <c r="DA210" s="169"/>
      <c r="DB210" s="169"/>
      <c r="DC210" s="169"/>
      <c r="DD210" s="169"/>
      <c r="DE210" s="169"/>
      <c r="DF210" s="169"/>
      <c r="DG210" s="169"/>
      <c r="DH210" s="169"/>
      <c r="DI210" s="169"/>
      <c r="DJ210" s="169"/>
      <c r="DK210" s="169"/>
      <c r="DL210" s="169"/>
      <c r="DM210" s="169"/>
      <c r="DN210" s="169"/>
      <c r="DO210" s="169"/>
      <c r="DP210" s="169"/>
      <c r="DQ210" s="169"/>
      <c r="DR210" s="169"/>
      <c r="DS210" s="169"/>
      <c r="DT210" s="169"/>
      <c r="DU210" s="169"/>
      <c r="DV210" s="169"/>
      <c r="DW210" s="169"/>
      <c r="DX210" s="169"/>
      <c r="DY210" s="169"/>
      <c r="DZ210" s="169"/>
      <c r="EA210" s="169"/>
      <c r="EB210" s="169"/>
      <c r="EC210" s="169"/>
      <c r="ED210" s="169"/>
      <c r="EE210" s="169"/>
      <c r="EF210" s="169"/>
      <c r="EG210" s="169"/>
      <c r="EH210" s="169"/>
      <c r="EI210" s="169"/>
    </row>
    <row r="211" spans="2:139" ht="12.75" customHeight="1">
      <c r="B211" s="1045" t="s">
        <v>48</v>
      </c>
      <c r="C211" s="211"/>
      <c r="D211" s="78"/>
      <c r="E211" s="78"/>
      <c r="F211" s="78"/>
      <c r="G211" s="78"/>
      <c r="H211" s="78"/>
      <c r="I211" s="78"/>
      <c r="J211" s="78"/>
      <c r="K211" s="78"/>
      <c r="L211" s="78"/>
      <c r="M211" s="78"/>
      <c r="N211" s="78"/>
      <c r="O211" s="145"/>
      <c r="S211" s="78"/>
      <c r="T211" s="78"/>
      <c r="U211" s="78"/>
      <c r="V211" s="78"/>
      <c r="W211" s="78"/>
      <c r="X211" s="78"/>
      <c r="Y211" s="78"/>
      <c r="Z211" s="78"/>
      <c r="AA211" s="78"/>
      <c r="AB211" s="78"/>
      <c r="AC211" s="78"/>
      <c r="AD211" s="78"/>
      <c r="AE211" s="78"/>
      <c r="AF211" s="78"/>
      <c r="AG211" s="78"/>
      <c r="AH211" s="78"/>
      <c r="AI211" s="78"/>
      <c r="AJ211" s="78"/>
      <c r="AK211" s="78"/>
      <c r="AL211" s="78"/>
      <c r="AM211" s="78"/>
      <c r="AN211" s="78"/>
      <c r="AO211" s="78"/>
      <c r="AP211" s="78"/>
      <c r="AQ211" s="78"/>
      <c r="AR211" s="78"/>
      <c r="AS211" s="78"/>
      <c r="AT211" s="78"/>
      <c r="AU211" s="78"/>
      <c r="AV211" s="78"/>
      <c r="AW211" s="78"/>
      <c r="AX211" s="78"/>
      <c r="AY211" s="78"/>
      <c r="AZ211" s="78"/>
      <c r="BA211" s="78"/>
      <c r="BB211" s="78"/>
      <c r="BC211" s="78"/>
      <c r="BD211" s="78"/>
      <c r="BE211" s="78"/>
      <c r="BF211" s="78"/>
      <c r="BG211" s="78"/>
      <c r="BH211" s="78"/>
      <c r="BI211" s="78"/>
      <c r="BJ211" s="78"/>
      <c r="BK211" s="78"/>
      <c r="BL211" s="78"/>
      <c r="BM211" s="78"/>
      <c r="BN211" s="78"/>
      <c r="BO211" s="78"/>
      <c r="BP211" s="78"/>
      <c r="BQ211" s="78"/>
      <c r="BR211" s="78"/>
      <c r="BS211" s="78"/>
      <c r="BT211" s="78"/>
      <c r="BU211" s="78"/>
      <c r="BV211" s="78"/>
      <c r="BW211" s="78"/>
      <c r="BX211" s="78"/>
      <c r="BY211" s="78"/>
      <c r="BZ211" s="78"/>
      <c r="CA211" s="78"/>
      <c r="CB211" s="78"/>
      <c r="CC211" s="78"/>
      <c r="CD211" s="78"/>
      <c r="CE211" s="78"/>
      <c r="CF211" s="78"/>
      <c r="CG211" s="78"/>
      <c r="CH211" s="78"/>
      <c r="CI211" s="78"/>
      <c r="CJ211" s="78"/>
      <c r="CK211" s="78"/>
      <c r="CL211" s="78"/>
      <c r="CM211" s="78"/>
      <c r="CN211" s="78"/>
      <c r="CO211" s="78"/>
      <c r="CP211" s="78"/>
      <c r="CQ211" s="78"/>
      <c r="CR211" s="78"/>
      <c r="CS211" s="78"/>
      <c r="CT211" s="78"/>
      <c r="CU211" s="78"/>
      <c r="CV211" s="78"/>
      <c r="CW211" s="78"/>
      <c r="CX211" s="78"/>
      <c r="CY211" s="78"/>
      <c r="CZ211" s="78"/>
      <c r="DA211" s="78"/>
      <c r="DB211" s="78"/>
      <c r="DC211" s="78"/>
      <c r="DD211" s="78"/>
      <c r="DE211" s="78"/>
      <c r="DF211" s="78"/>
      <c r="DG211" s="78"/>
      <c r="DH211" s="78"/>
      <c r="DI211" s="78"/>
      <c r="DJ211" s="78"/>
      <c r="DK211" s="78"/>
      <c r="DL211" s="78"/>
      <c r="DM211" s="78"/>
      <c r="DN211" s="78"/>
      <c r="DO211" s="78"/>
      <c r="DP211" s="78"/>
      <c r="DQ211" s="78"/>
      <c r="DR211" s="78"/>
      <c r="DS211" s="78"/>
      <c r="DT211" s="78"/>
      <c r="DU211" s="78"/>
      <c r="DV211" s="78"/>
      <c r="DW211" s="78"/>
      <c r="DX211" s="78"/>
      <c r="DY211" s="78"/>
      <c r="DZ211" s="78"/>
      <c r="EA211" s="78"/>
      <c r="EB211" s="78"/>
      <c r="EC211" s="78"/>
      <c r="ED211" s="78"/>
      <c r="EE211" s="78"/>
      <c r="EF211" s="78"/>
      <c r="EG211" s="78"/>
      <c r="EH211" s="78"/>
      <c r="EI211" s="78"/>
    </row>
    <row r="212" spans="2:139" ht="12.75" customHeight="1">
      <c r="B212" s="41" t="str">
        <f>IF(Loan1IntType=FixedInterest,B214,"Interest Rate before Floor/Cap")</f>
        <v>Loan 1 Interest Rate</v>
      </c>
      <c r="C212" s="211"/>
      <c r="D212" s="78"/>
      <c r="E212" s="40">
        <f>IF(Input!$I$207=FixedInterest,Input!$I$214,(SUMIF(Input!$S$196:$S$205,E$4,Input!$V$196:$V$205)+Input!$I$213/10000))*AND(Input!$I$195&lt;&gt;"",E$4&gt;Input!$I$194,E$205+E206&gt;0)</f>
        <v>0</v>
      </c>
      <c r="F212" s="40">
        <f>IF(Input!$I$207=FixedInterest,Input!$I$214,(SUMIF(Input!$S$196:$S$205,F$4,Input!$V$196:$V$205)+Input!$I$213/10000))*AND(Input!$I$195&lt;&gt;"",F$4&gt;Input!$I$194,F$205+F206&gt;0)</f>
        <v>0</v>
      </c>
      <c r="G212" s="40">
        <f>IF(Input!$I$207=FixedInterest,Input!$I$214,(SUMIF(Input!$S$196:$S$205,G$4,Input!$V$196:$V$205)+Input!$I$213/10000))*AND(Input!$I$195&lt;&gt;"",G$4&gt;Input!$I$194,G$205+G206&gt;0)</f>
        <v>0</v>
      </c>
      <c r="H212" s="40">
        <f>IF(Input!$I$207=FixedInterest,Input!$I$214,(SUMIF(Input!$S$196:$S$205,H$4,Input!$V$196:$V$205)+Input!$I$213/10000))*AND(Input!$I$195&lt;&gt;"",H$4&gt;Input!$I$194,H$205+H206&gt;0)</f>
        <v>0</v>
      </c>
      <c r="I212" s="40">
        <f>IF(Input!$I$207=FixedInterest,Input!$I$214,(SUMIF(Input!$S$196:$S$205,I$4,Input!$V$196:$V$205)+Input!$I$213/10000))*AND(Input!$I$195&lt;&gt;"",I$4&gt;Input!$I$194,I$205+I206&gt;0)</f>
        <v>0</v>
      </c>
      <c r="J212" s="40">
        <f>IF(Input!$I$207=FixedInterest,Input!$I$214,(SUMIF(Input!$S$196:$S$205,J$4,Input!$V$196:$V$205)+Input!$I$213/10000))*AND(Input!$I$195&lt;&gt;"",J$4&gt;Input!$I$194,J$205+J206&gt;0)</f>
        <v>0</v>
      </c>
      <c r="K212" s="40">
        <f>IF(Input!$I$207=FixedInterest,Input!$I$214,(SUMIF(Input!$S$196:$S$205,K$4,Input!$V$196:$V$205)+Input!$I$213/10000))*AND(Input!$I$195&lt;&gt;"",K$4&gt;Input!$I$194,K$205+K206&gt;0)</f>
        <v>0</v>
      </c>
      <c r="L212" s="40">
        <f>IF(Input!$I$207=FixedInterest,Input!$I$214,(SUMIF(Input!$S$196:$S$205,L$4,Input!$V$196:$V$205)+Input!$I$213/10000))*AND(Input!$I$195&lt;&gt;"",L$4&gt;Input!$I$194,L$205+L206&gt;0)</f>
        <v>0</v>
      </c>
      <c r="M212" s="40">
        <f>IF(Input!$I$207=FixedInterest,Input!$I$214,(SUMIF(Input!$S$196:$S$205,M$4,Input!$V$196:$V$205)+Input!$I$213/10000))*AND(Input!$I$195&lt;&gt;"",M$4&gt;Input!$I$194,M$205+M206&gt;0)</f>
        <v>0</v>
      </c>
      <c r="N212" s="40">
        <f>IF(Input!$I$207=FixedInterest,Input!$I$214,(SUMIF(Input!$S$196:$S$205,N$4,Input!$V$196:$V$205)+Input!$I$213/10000))*AND(Input!$I$195&lt;&gt;"",N$4&gt;Input!$I$194,N$205+N206&gt;0)</f>
        <v>0</v>
      </c>
      <c r="O212" s="145"/>
      <c r="S212" s="78"/>
      <c r="T212" s="40">
        <f t="shared" ref="T212:AY212" si="356">SUMIF($D$5:$N$5,T$6,$D212:$N212)*(T205+T206&gt;0)</f>
        <v>0</v>
      </c>
      <c r="U212" s="40">
        <f t="shared" si="356"/>
        <v>0</v>
      </c>
      <c r="V212" s="40">
        <f t="shared" si="356"/>
        <v>0</v>
      </c>
      <c r="W212" s="40">
        <f t="shared" si="356"/>
        <v>0</v>
      </c>
      <c r="X212" s="40">
        <f t="shared" si="356"/>
        <v>0</v>
      </c>
      <c r="Y212" s="40">
        <f t="shared" si="356"/>
        <v>0</v>
      </c>
      <c r="Z212" s="40">
        <f t="shared" si="356"/>
        <v>0</v>
      </c>
      <c r="AA212" s="40">
        <f t="shared" si="356"/>
        <v>0</v>
      </c>
      <c r="AB212" s="40">
        <f t="shared" si="356"/>
        <v>0</v>
      </c>
      <c r="AC212" s="40">
        <f t="shared" si="356"/>
        <v>0</v>
      </c>
      <c r="AD212" s="40">
        <f t="shared" si="356"/>
        <v>0</v>
      </c>
      <c r="AE212" s="40">
        <f t="shared" si="356"/>
        <v>0</v>
      </c>
      <c r="AF212" s="40">
        <f t="shared" si="356"/>
        <v>0</v>
      </c>
      <c r="AG212" s="40">
        <f t="shared" si="356"/>
        <v>0</v>
      </c>
      <c r="AH212" s="40">
        <f t="shared" si="356"/>
        <v>0</v>
      </c>
      <c r="AI212" s="40">
        <f t="shared" si="356"/>
        <v>0</v>
      </c>
      <c r="AJ212" s="40">
        <f t="shared" si="356"/>
        <v>0</v>
      </c>
      <c r="AK212" s="40">
        <f t="shared" si="356"/>
        <v>0</v>
      </c>
      <c r="AL212" s="40">
        <f t="shared" si="356"/>
        <v>0</v>
      </c>
      <c r="AM212" s="40">
        <f t="shared" si="356"/>
        <v>0</v>
      </c>
      <c r="AN212" s="40">
        <f t="shared" si="356"/>
        <v>0</v>
      </c>
      <c r="AO212" s="40">
        <f t="shared" si="356"/>
        <v>0</v>
      </c>
      <c r="AP212" s="40">
        <f t="shared" si="356"/>
        <v>0</v>
      </c>
      <c r="AQ212" s="40">
        <f t="shared" si="356"/>
        <v>0</v>
      </c>
      <c r="AR212" s="40">
        <f t="shared" si="356"/>
        <v>0</v>
      </c>
      <c r="AS212" s="40">
        <f t="shared" si="356"/>
        <v>0</v>
      </c>
      <c r="AT212" s="40">
        <f t="shared" si="356"/>
        <v>0</v>
      </c>
      <c r="AU212" s="40">
        <f t="shared" si="356"/>
        <v>0</v>
      </c>
      <c r="AV212" s="40">
        <f t="shared" si="356"/>
        <v>0</v>
      </c>
      <c r="AW212" s="40">
        <f t="shared" si="356"/>
        <v>0</v>
      </c>
      <c r="AX212" s="40">
        <f t="shared" si="356"/>
        <v>0</v>
      </c>
      <c r="AY212" s="40">
        <f t="shared" si="356"/>
        <v>0</v>
      </c>
      <c r="AZ212" s="40">
        <f t="shared" ref="AZ212:CE212" si="357">SUMIF($D$5:$N$5,AZ$6,$D212:$N212)*(AZ205+AZ206&gt;0)</f>
        <v>0</v>
      </c>
      <c r="BA212" s="40">
        <f t="shared" si="357"/>
        <v>0</v>
      </c>
      <c r="BB212" s="40">
        <f t="shared" si="357"/>
        <v>0</v>
      </c>
      <c r="BC212" s="40">
        <f t="shared" si="357"/>
        <v>0</v>
      </c>
      <c r="BD212" s="40">
        <f t="shared" si="357"/>
        <v>0</v>
      </c>
      <c r="BE212" s="40">
        <f t="shared" si="357"/>
        <v>0</v>
      </c>
      <c r="BF212" s="40">
        <f t="shared" si="357"/>
        <v>0</v>
      </c>
      <c r="BG212" s="40">
        <f t="shared" si="357"/>
        <v>0</v>
      </c>
      <c r="BH212" s="40">
        <f t="shared" si="357"/>
        <v>0</v>
      </c>
      <c r="BI212" s="40">
        <f t="shared" si="357"/>
        <v>0</v>
      </c>
      <c r="BJ212" s="40">
        <f t="shared" si="357"/>
        <v>0</v>
      </c>
      <c r="BK212" s="40">
        <f t="shared" si="357"/>
        <v>0</v>
      </c>
      <c r="BL212" s="40">
        <f t="shared" si="357"/>
        <v>0</v>
      </c>
      <c r="BM212" s="40">
        <f t="shared" si="357"/>
        <v>0</v>
      </c>
      <c r="BN212" s="40">
        <f t="shared" si="357"/>
        <v>0</v>
      </c>
      <c r="BO212" s="40">
        <f t="shared" si="357"/>
        <v>0</v>
      </c>
      <c r="BP212" s="40">
        <f t="shared" si="357"/>
        <v>0</v>
      </c>
      <c r="BQ212" s="40">
        <f t="shared" si="357"/>
        <v>0</v>
      </c>
      <c r="BR212" s="40">
        <f t="shared" si="357"/>
        <v>0</v>
      </c>
      <c r="BS212" s="40">
        <f t="shared" si="357"/>
        <v>0</v>
      </c>
      <c r="BT212" s="40">
        <f t="shared" si="357"/>
        <v>0</v>
      </c>
      <c r="BU212" s="40">
        <f t="shared" si="357"/>
        <v>0</v>
      </c>
      <c r="BV212" s="40">
        <f t="shared" si="357"/>
        <v>0</v>
      </c>
      <c r="BW212" s="40">
        <f t="shared" si="357"/>
        <v>0</v>
      </c>
      <c r="BX212" s="40">
        <f t="shared" si="357"/>
        <v>0</v>
      </c>
      <c r="BY212" s="40">
        <f t="shared" si="357"/>
        <v>0</v>
      </c>
      <c r="BZ212" s="40">
        <f t="shared" si="357"/>
        <v>0</v>
      </c>
      <c r="CA212" s="40">
        <f t="shared" si="357"/>
        <v>0</v>
      </c>
      <c r="CB212" s="40">
        <f t="shared" si="357"/>
        <v>0</v>
      </c>
      <c r="CC212" s="40">
        <f t="shared" si="357"/>
        <v>0</v>
      </c>
      <c r="CD212" s="40">
        <f t="shared" si="357"/>
        <v>0</v>
      </c>
      <c r="CE212" s="40">
        <f t="shared" si="357"/>
        <v>0</v>
      </c>
      <c r="CF212" s="40">
        <f t="shared" ref="CF212:DK212" si="358">SUMIF($D$5:$N$5,CF$6,$D212:$N212)*(CF205+CF206&gt;0)</f>
        <v>0</v>
      </c>
      <c r="CG212" s="40">
        <f t="shared" si="358"/>
        <v>0</v>
      </c>
      <c r="CH212" s="40">
        <f t="shared" si="358"/>
        <v>0</v>
      </c>
      <c r="CI212" s="40">
        <f t="shared" si="358"/>
        <v>0</v>
      </c>
      <c r="CJ212" s="40">
        <f t="shared" si="358"/>
        <v>0</v>
      </c>
      <c r="CK212" s="40">
        <f t="shared" si="358"/>
        <v>0</v>
      </c>
      <c r="CL212" s="40">
        <f t="shared" si="358"/>
        <v>0</v>
      </c>
      <c r="CM212" s="40">
        <f t="shared" si="358"/>
        <v>0</v>
      </c>
      <c r="CN212" s="40">
        <f t="shared" si="358"/>
        <v>0</v>
      </c>
      <c r="CO212" s="40">
        <f t="shared" si="358"/>
        <v>0</v>
      </c>
      <c r="CP212" s="40">
        <f t="shared" si="358"/>
        <v>0</v>
      </c>
      <c r="CQ212" s="40">
        <f t="shared" si="358"/>
        <v>0</v>
      </c>
      <c r="CR212" s="40">
        <f t="shared" si="358"/>
        <v>0</v>
      </c>
      <c r="CS212" s="40">
        <f t="shared" si="358"/>
        <v>0</v>
      </c>
      <c r="CT212" s="40">
        <f t="shared" si="358"/>
        <v>0</v>
      </c>
      <c r="CU212" s="40">
        <f t="shared" si="358"/>
        <v>0</v>
      </c>
      <c r="CV212" s="40">
        <f t="shared" si="358"/>
        <v>0</v>
      </c>
      <c r="CW212" s="40">
        <f t="shared" si="358"/>
        <v>0</v>
      </c>
      <c r="CX212" s="40">
        <f t="shared" si="358"/>
        <v>0</v>
      </c>
      <c r="CY212" s="40">
        <f t="shared" si="358"/>
        <v>0</v>
      </c>
      <c r="CZ212" s="40">
        <f t="shared" si="358"/>
        <v>0</v>
      </c>
      <c r="DA212" s="40">
        <f t="shared" si="358"/>
        <v>0</v>
      </c>
      <c r="DB212" s="40">
        <f t="shared" si="358"/>
        <v>0</v>
      </c>
      <c r="DC212" s="40">
        <f t="shared" si="358"/>
        <v>0</v>
      </c>
      <c r="DD212" s="40">
        <f t="shared" si="358"/>
        <v>0</v>
      </c>
      <c r="DE212" s="40">
        <f t="shared" si="358"/>
        <v>0</v>
      </c>
      <c r="DF212" s="40">
        <f t="shared" si="358"/>
        <v>0</v>
      </c>
      <c r="DG212" s="40">
        <f t="shared" si="358"/>
        <v>0</v>
      </c>
      <c r="DH212" s="40">
        <f t="shared" si="358"/>
        <v>0</v>
      </c>
      <c r="DI212" s="40">
        <f t="shared" si="358"/>
        <v>0</v>
      </c>
      <c r="DJ212" s="40">
        <f t="shared" si="358"/>
        <v>0</v>
      </c>
      <c r="DK212" s="40">
        <f t="shared" si="358"/>
        <v>0</v>
      </c>
      <c r="DL212" s="40">
        <f t="shared" ref="DL212:EI212" si="359">SUMIF($D$5:$N$5,DL$6,$D212:$N212)*(DL205+DL206&gt;0)</f>
        <v>0</v>
      </c>
      <c r="DM212" s="40">
        <f t="shared" si="359"/>
        <v>0</v>
      </c>
      <c r="DN212" s="40">
        <f t="shared" si="359"/>
        <v>0</v>
      </c>
      <c r="DO212" s="40">
        <f t="shared" si="359"/>
        <v>0</v>
      </c>
      <c r="DP212" s="40">
        <f t="shared" si="359"/>
        <v>0</v>
      </c>
      <c r="DQ212" s="40">
        <f t="shared" si="359"/>
        <v>0</v>
      </c>
      <c r="DR212" s="40">
        <f t="shared" si="359"/>
        <v>0</v>
      </c>
      <c r="DS212" s="40">
        <f t="shared" si="359"/>
        <v>0</v>
      </c>
      <c r="DT212" s="40">
        <f t="shared" si="359"/>
        <v>0</v>
      </c>
      <c r="DU212" s="40">
        <f t="shared" si="359"/>
        <v>0</v>
      </c>
      <c r="DV212" s="40">
        <f t="shared" si="359"/>
        <v>0</v>
      </c>
      <c r="DW212" s="40">
        <f t="shared" si="359"/>
        <v>0</v>
      </c>
      <c r="DX212" s="40">
        <f t="shared" si="359"/>
        <v>0</v>
      </c>
      <c r="DY212" s="40">
        <f t="shared" si="359"/>
        <v>0</v>
      </c>
      <c r="DZ212" s="40">
        <f t="shared" si="359"/>
        <v>0</v>
      </c>
      <c r="EA212" s="40">
        <f t="shared" si="359"/>
        <v>0</v>
      </c>
      <c r="EB212" s="40">
        <f t="shared" si="359"/>
        <v>0</v>
      </c>
      <c r="EC212" s="40">
        <f t="shared" si="359"/>
        <v>0</v>
      </c>
      <c r="ED212" s="40">
        <f t="shared" si="359"/>
        <v>0</v>
      </c>
      <c r="EE212" s="40">
        <f t="shared" si="359"/>
        <v>0</v>
      </c>
      <c r="EF212" s="40">
        <f t="shared" si="359"/>
        <v>0</v>
      </c>
      <c r="EG212" s="40">
        <f t="shared" si="359"/>
        <v>0</v>
      </c>
      <c r="EH212" s="40">
        <f t="shared" si="359"/>
        <v>0</v>
      </c>
      <c r="EI212" s="40">
        <f t="shared" si="359"/>
        <v>0</v>
      </c>
    </row>
    <row r="213" spans="2:139" ht="12.75" hidden="1" customHeight="1">
      <c r="B213" s="41" t="s">
        <v>596</v>
      </c>
      <c r="C213" s="211"/>
      <c r="D213" s="78"/>
      <c r="E213" s="40">
        <f t="shared" ref="E213:N213" si="360">E214-E212</f>
        <v>0</v>
      </c>
      <c r="F213" s="40">
        <f t="shared" si="360"/>
        <v>0</v>
      </c>
      <c r="G213" s="40">
        <f t="shared" si="360"/>
        <v>0</v>
      </c>
      <c r="H213" s="40">
        <f t="shared" si="360"/>
        <v>0</v>
      </c>
      <c r="I213" s="40">
        <f t="shared" si="360"/>
        <v>0</v>
      </c>
      <c r="J213" s="40">
        <f t="shared" si="360"/>
        <v>0</v>
      </c>
      <c r="K213" s="40">
        <f t="shared" si="360"/>
        <v>0</v>
      </c>
      <c r="L213" s="40">
        <f t="shared" si="360"/>
        <v>0</v>
      </c>
      <c r="M213" s="40">
        <f t="shared" si="360"/>
        <v>0</v>
      </c>
      <c r="N213" s="40">
        <f t="shared" si="360"/>
        <v>0</v>
      </c>
      <c r="O213" s="145"/>
      <c r="S213" s="78"/>
      <c r="T213" s="40">
        <f t="shared" ref="T213:AY213" si="361">T214-T212</f>
        <v>0</v>
      </c>
      <c r="U213" s="40">
        <f t="shared" si="361"/>
        <v>0</v>
      </c>
      <c r="V213" s="40">
        <f t="shared" si="361"/>
        <v>0</v>
      </c>
      <c r="W213" s="40">
        <f t="shared" si="361"/>
        <v>0</v>
      </c>
      <c r="X213" s="40">
        <f t="shared" si="361"/>
        <v>0</v>
      </c>
      <c r="Y213" s="40">
        <f t="shared" si="361"/>
        <v>0</v>
      </c>
      <c r="Z213" s="40">
        <f t="shared" si="361"/>
        <v>0</v>
      </c>
      <c r="AA213" s="40">
        <f t="shared" si="361"/>
        <v>0</v>
      </c>
      <c r="AB213" s="40">
        <f t="shared" si="361"/>
        <v>0</v>
      </c>
      <c r="AC213" s="40">
        <f t="shared" si="361"/>
        <v>0</v>
      </c>
      <c r="AD213" s="40">
        <f t="shared" si="361"/>
        <v>0</v>
      </c>
      <c r="AE213" s="40">
        <f t="shared" si="361"/>
        <v>0</v>
      </c>
      <c r="AF213" s="40">
        <f t="shared" si="361"/>
        <v>0</v>
      </c>
      <c r="AG213" s="40">
        <f t="shared" si="361"/>
        <v>0</v>
      </c>
      <c r="AH213" s="40">
        <f t="shared" si="361"/>
        <v>0</v>
      </c>
      <c r="AI213" s="40">
        <f t="shared" si="361"/>
        <v>0</v>
      </c>
      <c r="AJ213" s="40">
        <f t="shared" si="361"/>
        <v>0</v>
      </c>
      <c r="AK213" s="40">
        <f t="shared" si="361"/>
        <v>0</v>
      </c>
      <c r="AL213" s="40">
        <f t="shared" si="361"/>
        <v>0</v>
      </c>
      <c r="AM213" s="40">
        <f t="shared" si="361"/>
        <v>0</v>
      </c>
      <c r="AN213" s="40">
        <f t="shared" si="361"/>
        <v>0</v>
      </c>
      <c r="AO213" s="40">
        <f t="shared" si="361"/>
        <v>0</v>
      </c>
      <c r="AP213" s="40">
        <f t="shared" si="361"/>
        <v>0</v>
      </c>
      <c r="AQ213" s="40">
        <f t="shared" si="361"/>
        <v>0</v>
      </c>
      <c r="AR213" s="40">
        <f t="shared" si="361"/>
        <v>0</v>
      </c>
      <c r="AS213" s="40">
        <f t="shared" si="361"/>
        <v>0</v>
      </c>
      <c r="AT213" s="40">
        <f t="shared" si="361"/>
        <v>0</v>
      </c>
      <c r="AU213" s="40">
        <f t="shared" si="361"/>
        <v>0</v>
      </c>
      <c r="AV213" s="40">
        <f t="shared" si="361"/>
        <v>0</v>
      </c>
      <c r="AW213" s="40">
        <f t="shared" si="361"/>
        <v>0</v>
      </c>
      <c r="AX213" s="40">
        <f t="shared" si="361"/>
        <v>0</v>
      </c>
      <c r="AY213" s="40">
        <f t="shared" si="361"/>
        <v>0</v>
      </c>
      <c r="AZ213" s="40">
        <f t="shared" ref="AZ213:CE213" si="362">AZ214-AZ212</f>
        <v>0</v>
      </c>
      <c r="BA213" s="40">
        <f t="shared" si="362"/>
        <v>0</v>
      </c>
      <c r="BB213" s="40">
        <f t="shared" si="362"/>
        <v>0</v>
      </c>
      <c r="BC213" s="40">
        <f t="shared" si="362"/>
        <v>0</v>
      </c>
      <c r="BD213" s="40">
        <f t="shared" si="362"/>
        <v>0</v>
      </c>
      <c r="BE213" s="40">
        <f t="shared" si="362"/>
        <v>0</v>
      </c>
      <c r="BF213" s="40">
        <f t="shared" si="362"/>
        <v>0</v>
      </c>
      <c r="BG213" s="40">
        <f t="shared" si="362"/>
        <v>0</v>
      </c>
      <c r="BH213" s="40">
        <f t="shared" si="362"/>
        <v>0</v>
      </c>
      <c r="BI213" s="40">
        <f t="shared" si="362"/>
        <v>0</v>
      </c>
      <c r="BJ213" s="40">
        <f t="shared" si="362"/>
        <v>0</v>
      </c>
      <c r="BK213" s="40">
        <f t="shared" si="362"/>
        <v>0</v>
      </c>
      <c r="BL213" s="40">
        <f t="shared" si="362"/>
        <v>0</v>
      </c>
      <c r="BM213" s="40">
        <f t="shared" si="362"/>
        <v>0</v>
      </c>
      <c r="BN213" s="40">
        <f t="shared" si="362"/>
        <v>0</v>
      </c>
      <c r="BO213" s="40">
        <f t="shared" si="362"/>
        <v>0</v>
      </c>
      <c r="BP213" s="40">
        <f t="shared" si="362"/>
        <v>0</v>
      </c>
      <c r="BQ213" s="40">
        <f t="shared" si="362"/>
        <v>0</v>
      </c>
      <c r="BR213" s="40">
        <f t="shared" si="362"/>
        <v>0</v>
      </c>
      <c r="BS213" s="40">
        <f t="shared" si="362"/>
        <v>0</v>
      </c>
      <c r="BT213" s="40">
        <f t="shared" si="362"/>
        <v>0</v>
      </c>
      <c r="BU213" s="40">
        <f t="shared" si="362"/>
        <v>0</v>
      </c>
      <c r="BV213" s="40">
        <f t="shared" si="362"/>
        <v>0</v>
      </c>
      <c r="BW213" s="40">
        <f t="shared" si="362"/>
        <v>0</v>
      </c>
      <c r="BX213" s="40">
        <f t="shared" si="362"/>
        <v>0</v>
      </c>
      <c r="BY213" s="40">
        <f t="shared" si="362"/>
        <v>0</v>
      </c>
      <c r="BZ213" s="40">
        <f t="shared" si="362"/>
        <v>0</v>
      </c>
      <c r="CA213" s="40">
        <f t="shared" si="362"/>
        <v>0</v>
      </c>
      <c r="CB213" s="40">
        <f t="shared" si="362"/>
        <v>0</v>
      </c>
      <c r="CC213" s="40">
        <f t="shared" si="362"/>
        <v>0</v>
      </c>
      <c r="CD213" s="40">
        <f t="shared" si="362"/>
        <v>0</v>
      </c>
      <c r="CE213" s="40">
        <f t="shared" si="362"/>
        <v>0</v>
      </c>
      <c r="CF213" s="40">
        <f t="shared" ref="CF213:DK213" si="363">CF214-CF212</f>
        <v>0</v>
      </c>
      <c r="CG213" s="40">
        <f t="shared" si="363"/>
        <v>0</v>
      </c>
      <c r="CH213" s="40">
        <f t="shared" si="363"/>
        <v>0</v>
      </c>
      <c r="CI213" s="40">
        <f t="shared" si="363"/>
        <v>0</v>
      </c>
      <c r="CJ213" s="40">
        <f t="shared" si="363"/>
        <v>0</v>
      </c>
      <c r="CK213" s="40">
        <f t="shared" si="363"/>
        <v>0</v>
      </c>
      <c r="CL213" s="40">
        <f t="shared" si="363"/>
        <v>0</v>
      </c>
      <c r="CM213" s="40">
        <f t="shared" si="363"/>
        <v>0</v>
      </c>
      <c r="CN213" s="40">
        <f t="shared" si="363"/>
        <v>0</v>
      </c>
      <c r="CO213" s="40">
        <f t="shared" si="363"/>
        <v>0</v>
      </c>
      <c r="CP213" s="40">
        <f t="shared" si="363"/>
        <v>0</v>
      </c>
      <c r="CQ213" s="40">
        <f t="shared" si="363"/>
        <v>0</v>
      </c>
      <c r="CR213" s="40">
        <f t="shared" si="363"/>
        <v>0</v>
      </c>
      <c r="CS213" s="40">
        <f t="shared" si="363"/>
        <v>0</v>
      </c>
      <c r="CT213" s="40">
        <f t="shared" si="363"/>
        <v>0</v>
      </c>
      <c r="CU213" s="40">
        <f t="shared" si="363"/>
        <v>0</v>
      </c>
      <c r="CV213" s="40">
        <f t="shared" si="363"/>
        <v>0</v>
      </c>
      <c r="CW213" s="40">
        <f t="shared" si="363"/>
        <v>0</v>
      </c>
      <c r="CX213" s="40">
        <f t="shared" si="363"/>
        <v>0</v>
      </c>
      <c r="CY213" s="40">
        <f t="shared" si="363"/>
        <v>0</v>
      </c>
      <c r="CZ213" s="40">
        <f t="shared" si="363"/>
        <v>0</v>
      </c>
      <c r="DA213" s="40">
        <f t="shared" si="363"/>
        <v>0</v>
      </c>
      <c r="DB213" s="40">
        <f t="shared" si="363"/>
        <v>0</v>
      </c>
      <c r="DC213" s="40">
        <f t="shared" si="363"/>
        <v>0</v>
      </c>
      <c r="DD213" s="40">
        <f t="shared" si="363"/>
        <v>0</v>
      </c>
      <c r="DE213" s="40">
        <f t="shared" si="363"/>
        <v>0</v>
      </c>
      <c r="DF213" s="40">
        <f t="shared" si="363"/>
        <v>0</v>
      </c>
      <c r="DG213" s="40">
        <f t="shared" si="363"/>
        <v>0</v>
      </c>
      <c r="DH213" s="40">
        <f t="shared" si="363"/>
        <v>0</v>
      </c>
      <c r="DI213" s="40">
        <f t="shared" si="363"/>
        <v>0</v>
      </c>
      <c r="DJ213" s="40">
        <f t="shared" si="363"/>
        <v>0</v>
      </c>
      <c r="DK213" s="40">
        <f t="shared" si="363"/>
        <v>0</v>
      </c>
      <c r="DL213" s="40">
        <f t="shared" ref="DL213:EQ213" si="364">DL214-DL212</f>
        <v>0</v>
      </c>
      <c r="DM213" s="40">
        <f t="shared" si="364"/>
        <v>0</v>
      </c>
      <c r="DN213" s="40">
        <f t="shared" si="364"/>
        <v>0</v>
      </c>
      <c r="DO213" s="40">
        <f t="shared" si="364"/>
        <v>0</v>
      </c>
      <c r="DP213" s="40">
        <f t="shared" si="364"/>
        <v>0</v>
      </c>
      <c r="DQ213" s="40">
        <f t="shared" si="364"/>
        <v>0</v>
      </c>
      <c r="DR213" s="40">
        <f t="shared" si="364"/>
        <v>0</v>
      </c>
      <c r="DS213" s="40">
        <f t="shared" si="364"/>
        <v>0</v>
      </c>
      <c r="DT213" s="40">
        <f t="shared" si="364"/>
        <v>0</v>
      </c>
      <c r="DU213" s="40">
        <f t="shared" si="364"/>
        <v>0</v>
      </c>
      <c r="DV213" s="40">
        <f t="shared" si="364"/>
        <v>0</v>
      </c>
      <c r="DW213" s="40">
        <f t="shared" si="364"/>
        <v>0</v>
      </c>
      <c r="DX213" s="40">
        <f t="shared" si="364"/>
        <v>0</v>
      </c>
      <c r="DY213" s="40">
        <f t="shared" si="364"/>
        <v>0</v>
      </c>
      <c r="DZ213" s="40">
        <f t="shared" si="364"/>
        <v>0</v>
      </c>
      <c r="EA213" s="40">
        <f t="shared" si="364"/>
        <v>0</v>
      </c>
      <c r="EB213" s="40">
        <f t="shared" si="364"/>
        <v>0</v>
      </c>
      <c r="EC213" s="40">
        <f t="shared" si="364"/>
        <v>0</v>
      </c>
      <c r="ED213" s="40">
        <f t="shared" si="364"/>
        <v>0</v>
      </c>
      <c r="EE213" s="40">
        <f t="shared" si="364"/>
        <v>0</v>
      </c>
      <c r="EF213" s="40">
        <f t="shared" si="364"/>
        <v>0</v>
      </c>
      <c r="EG213" s="40">
        <f t="shared" si="364"/>
        <v>0</v>
      </c>
      <c r="EH213" s="40">
        <f t="shared" si="364"/>
        <v>0</v>
      </c>
      <c r="EI213" s="40">
        <f t="shared" si="364"/>
        <v>0</v>
      </c>
    </row>
    <row r="214" spans="2:139" ht="12.75" hidden="1" customHeight="1" collapsed="1">
      <c r="B214" s="46" t="s">
        <v>602</v>
      </c>
      <c r="C214" s="209"/>
      <c r="D214" s="78"/>
      <c r="E214" s="714">
        <f>IF(Input!$I$207=FixedInterest,E212,MIN(MAX(E212,Input!$V$207),Input!$V$208))*AND(Input!$I$195&lt;&gt;"",E$4&gt;Input!$I$194,E$205+E206&gt;0)</f>
        <v>0</v>
      </c>
      <c r="F214" s="714">
        <f>IF(Input!$I$207=FixedInterest,F212,MIN(MAX(F212,Input!$V$207),Input!$V$208))*AND(Input!$I$195&lt;&gt;"",F$4&gt;Input!$I$194,F$205+F206&gt;0)</f>
        <v>0</v>
      </c>
      <c r="G214" s="714">
        <f>IF(Input!$I$207=FixedInterest,G212,MIN(MAX(G212,Input!$V$207),Input!$V$208))*AND(Input!$I$195&lt;&gt;"",G$4&gt;Input!$I$194,G$205+G206&gt;0)</f>
        <v>0</v>
      </c>
      <c r="H214" s="714">
        <f>IF(Input!$I$207=FixedInterest,H212,MIN(MAX(H212,Input!$V$207),Input!$V$208))*AND(Input!$I$195&lt;&gt;"",H$4&gt;Input!$I$194,H$205+H206&gt;0)</f>
        <v>0</v>
      </c>
      <c r="I214" s="714">
        <f>IF(Input!$I$207=FixedInterest,I212,MIN(MAX(I212,Input!$V$207),Input!$V$208))*AND(Input!$I$195&lt;&gt;"",I$4&gt;Input!$I$194,I$205+I206&gt;0)</f>
        <v>0</v>
      </c>
      <c r="J214" s="714">
        <f>IF(Input!$I$207=FixedInterest,J212,MIN(MAX(J212,Input!$V$207),Input!$V$208))*AND(Input!$I$195&lt;&gt;"",J$4&gt;Input!$I$194,J$205+J206&gt;0)</f>
        <v>0</v>
      </c>
      <c r="K214" s="714">
        <f>IF(Input!$I$207=FixedInterest,K212,MIN(MAX(K212,Input!$V$207),Input!$V$208))*AND(Input!$I$195&lt;&gt;"",K$4&gt;Input!$I$194,K$205+K206&gt;0)</f>
        <v>0</v>
      </c>
      <c r="L214" s="714">
        <f>IF(Input!$I$207=FixedInterest,L212,MIN(MAX(L212,Input!$V$207),Input!$V$208))*AND(Input!$I$195&lt;&gt;"",L$4&gt;Input!$I$194,L$205+L206&gt;0)</f>
        <v>0</v>
      </c>
      <c r="M214" s="714">
        <f>IF(Input!$I$207=FixedInterest,M212,MIN(MAX(M212,Input!$V$207),Input!$V$208))*AND(Input!$I$195&lt;&gt;"",M$4&gt;Input!$I$194,M$205+M206&gt;0)</f>
        <v>0</v>
      </c>
      <c r="N214" s="714">
        <f>IF(Input!$I$207=FixedInterest,N212,MIN(MAX(N212,Input!$V$207),Input!$V$208))*AND(Input!$I$195&lt;&gt;"",N$4&gt;Input!$I$194,N$205+N206&gt;0)</f>
        <v>0</v>
      </c>
      <c r="O214" s="873"/>
      <c r="S214" s="78"/>
      <c r="T214" s="714">
        <f t="shared" ref="T214:AY214" si="365">SUMIF($D$5:$N$5,T$6,$D214:$N214)*(T205+T206&gt;0)</f>
        <v>0</v>
      </c>
      <c r="U214" s="714">
        <f t="shared" si="365"/>
        <v>0</v>
      </c>
      <c r="V214" s="714">
        <f t="shared" si="365"/>
        <v>0</v>
      </c>
      <c r="W214" s="714">
        <f t="shared" si="365"/>
        <v>0</v>
      </c>
      <c r="X214" s="714">
        <f t="shared" si="365"/>
        <v>0</v>
      </c>
      <c r="Y214" s="714">
        <f t="shared" si="365"/>
        <v>0</v>
      </c>
      <c r="Z214" s="714">
        <f t="shared" si="365"/>
        <v>0</v>
      </c>
      <c r="AA214" s="714">
        <f t="shared" si="365"/>
        <v>0</v>
      </c>
      <c r="AB214" s="714">
        <f t="shared" si="365"/>
        <v>0</v>
      </c>
      <c r="AC214" s="714">
        <f t="shared" si="365"/>
        <v>0</v>
      </c>
      <c r="AD214" s="714">
        <f t="shared" si="365"/>
        <v>0</v>
      </c>
      <c r="AE214" s="714">
        <f t="shared" si="365"/>
        <v>0</v>
      </c>
      <c r="AF214" s="714">
        <f t="shared" si="365"/>
        <v>0</v>
      </c>
      <c r="AG214" s="714">
        <f t="shared" si="365"/>
        <v>0</v>
      </c>
      <c r="AH214" s="714">
        <f t="shared" si="365"/>
        <v>0</v>
      </c>
      <c r="AI214" s="714">
        <f t="shared" si="365"/>
        <v>0</v>
      </c>
      <c r="AJ214" s="714">
        <f t="shared" si="365"/>
        <v>0</v>
      </c>
      <c r="AK214" s="714">
        <f t="shared" si="365"/>
        <v>0</v>
      </c>
      <c r="AL214" s="714">
        <f t="shared" si="365"/>
        <v>0</v>
      </c>
      <c r="AM214" s="714">
        <f t="shared" si="365"/>
        <v>0</v>
      </c>
      <c r="AN214" s="714">
        <f t="shared" si="365"/>
        <v>0</v>
      </c>
      <c r="AO214" s="714">
        <f t="shared" si="365"/>
        <v>0</v>
      </c>
      <c r="AP214" s="714">
        <f t="shared" si="365"/>
        <v>0</v>
      </c>
      <c r="AQ214" s="714">
        <f t="shared" si="365"/>
        <v>0</v>
      </c>
      <c r="AR214" s="714">
        <f t="shared" si="365"/>
        <v>0</v>
      </c>
      <c r="AS214" s="714">
        <f t="shared" si="365"/>
        <v>0</v>
      </c>
      <c r="AT214" s="714">
        <f t="shared" si="365"/>
        <v>0</v>
      </c>
      <c r="AU214" s="714">
        <f t="shared" si="365"/>
        <v>0</v>
      </c>
      <c r="AV214" s="714">
        <f t="shared" si="365"/>
        <v>0</v>
      </c>
      <c r="AW214" s="714">
        <f t="shared" si="365"/>
        <v>0</v>
      </c>
      <c r="AX214" s="714">
        <f t="shared" si="365"/>
        <v>0</v>
      </c>
      <c r="AY214" s="714">
        <f t="shared" si="365"/>
        <v>0</v>
      </c>
      <c r="AZ214" s="714">
        <f t="shared" ref="AZ214:CE214" si="366">SUMIF($D$5:$N$5,AZ$6,$D214:$N214)*(AZ205+AZ206&gt;0)</f>
        <v>0</v>
      </c>
      <c r="BA214" s="714">
        <f t="shared" si="366"/>
        <v>0</v>
      </c>
      <c r="BB214" s="714">
        <f t="shared" si="366"/>
        <v>0</v>
      </c>
      <c r="BC214" s="714">
        <f t="shared" si="366"/>
        <v>0</v>
      </c>
      <c r="BD214" s="714">
        <f t="shared" si="366"/>
        <v>0</v>
      </c>
      <c r="BE214" s="714">
        <f t="shared" si="366"/>
        <v>0</v>
      </c>
      <c r="BF214" s="714">
        <f t="shared" si="366"/>
        <v>0</v>
      </c>
      <c r="BG214" s="714">
        <f t="shared" si="366"/>
        <v>0</v>
      </c>
      <c r="BH214" s="714">
        <f t="shared" si="366"/>
        <v>0</v>
      </c>
      <c r="BI214" s="714">
        <f t="shared" si="366"/>
        <v>0</v>
      </c>
      <c r="BJ214" s="714">
        <f t="shared" si="366"/>
        <v>0</v>
      </c>
      <c r="BK214" s="714">
        <f t="shared" si="366"/>
        <v>0</v>
      </c>
      <c r="BL214" s="714">
        <f t="shared" si="366"/>
        <v>0</v>
      </c>
      <c r="BM214" s="714">
        <f t="shared" si="366"/>
        <v>0</v>
      </c>
      <c r="BN214" s="714">
        <f t="shared" si="366"/>
        <v>0</v>
      </c>
      <c r="BO214" s="714">
        <f t="shared" si="366"/>
        <v>0</v>
      </c>
      <c r="BP214" s="714">
        <f t="shared" si="366"/>
        <v>0</v>
      </c>
      <c r="BQ214" s="714">
        <f t="shared" si="366"/>
        <v>0</v>
      </c>
      <c r="BR214" s="714">
        <f t="shared" si="366"/>
        <v>0</v>
      </c>
      <c r="BS214" s="714">
        <f t="shared" si="366"/>
        <v>0</v>
      </c>
      <c r="BT214" s="714">
        <f t="shared" si="366"/>
        <v>0</v>
      </c>
      <c r="BU214" s="714">
        <f t="shared" si="366"/>
        <v>0</v>
      </c>
      <c r="BV214" s="714">
        <f t="shared" si="366"/>
        <v>0</v>
      </c>
      <c r="BW214" s="714">
        <f t="shared" si="366"/>
        <v>0</v>
      </c>
      <c r="BX214" s="714">
        <f t="shared" si="366"/>
        <v>0</v>
      </c>
      <c r="BY214" s="714">
        <f t="shared" si="366"/>
        <v>0</v>
      </c>
      <c r="BZ214" s="714">
        <f t="shared" si="366"/>
        <v>0</v>
      </c>
      <c r="CA214" s="714">
        <f t="shared" si="366"/>
        <v>0</v>
      </c>
      <c r="CB214" s="714">
        <f t="shared" si="366"/>
        <v>0</v>
      </c>
      <c r="CC214" s="714">
        <f t="shared" si="366"/>
        <v>0</v>
      </c>
      <c r="CD214" s="714">
        <f t="shared" si="366"/>
        <v>0</v>
      </c>
      <c r="CE214" s="714">
        <f t="shared" si="366"/>
        <v>0</v>
      </c>
      <c r="CF214" s="714">
        <f t="shared" ref="CF214:DK214" si="367">SUMIF($D$5:$N$5,CF$6,$D214:$N214)*(CF205+CF206&gt;0)</f>
        <v>0</v>
      </c>
      <c r="CG214" s="714">
        <f t="shared" si="367"/>
        <v>0</v>
      </c>
      <c r="CH214" s="714">
        <f t="shared" si="367"/>
        <v>0</v>
      </c>
      <c r="CI214" s="714">
        <f t="shared" si="367"/>
        <v>0</v>
      </c>
      <c r="CJ214" s="714">
        <f t="shared" si="367"/>
        <v>0</v>
      </c>
      <c r="CK214" s="714">
        <f t="shared" si="367"/>
        <v>0</v>
      </c>
      <c r="CL214" s="714">
        <f t="shared" si="367"/>
        <v>0</v>
      </c>
      <c r="CM214" s="714">
        <f t="shared" si="367"/>
        <v>0</v>
      </c>
      <c r="CN214" s="714">
        <f t="shared" si="367"/>
        <v>0</v>
      </c>
      <c r="CO214" s="714">
        <f t="shared" si="367"/>
        <v>0</v>
      </c>
      <c r="CP214" s="714">
        <f t="shared" si="367"/>
        <v>0</v>
      </c>
      <c r="CQ214" s="714">
        <f t="shared" si="367"/>
        <v>0</v>
      </c>
      <c r="CR214" s="714">
        <f t="shared" si="367"/>
        <v>0</v>
      </c>
      <c r="CS214" s="714">
        <f t="shared" si="367"/>
        <v>0</v>
      </c>
      <c r="CT214" s="714">
        <f t="shared" si="367"/>
        <v>0</v>
      </c>
      <c r="CU214" s="714">
        <f t="shared" si="367"/>
        <v>0</v>
      </c>
      <c r="CV214" s="714">
        <f t="shared" si="367"/>
        <v>0</v>
      </c>
      <c r="CW214" s="714">
        <f t="shared" si="367"/>
        <v>0</v>
      </c>
      <c r="CX214" s="714">
        <f t="shared" si="367"/>
        <v>0</v>
      </c>
      <c r="CY214" s="714">
        <f t="shared" si="367"/>
        <v>0</v>
      </c>
      <c r="CZ214" s="714">
        <f t="shared" si="367"/>
        <v>0</v>
      </c>
      <c r="DA214" s="714">
        <f t="shared" si="367"/>
        <v>0</v>
      </c>
      <c r="DB214" s="714">
        <f t="shared" si="367"/>
        <v>0</v>
      </c>
      <c r="DC214" s="714">
        <f t="shared" si="367"/>
        <v>0</v>
      </c>
      <c r="DD214" s="714">
        <f t="shared" si="367"/>
        <v>0</v>
      </c>
      <c r="DE214" s="714">
        <f t="shared" si="367"/>
        <v>0</v>
      </c>
      <c r="DF214" s="714">
        <f t="shared" si="367"/>
        <v>0</v>
      </c>
      <c r="DG214" s="714">
        <f t="shared" si="367"/>
        <v>0</v>
      </c>
      <c r="DH214" s="714">
        <f t="shared" si="367"/>
        <v>0</v>
      </c>
      <c r="DI214" s="714">
        <f t="shared" si="367"/>
        <v>0</v>
      </c>
      <c r="DJ214" s="714">
        <f t="shared" si="367"/>
        <v>0</v>
      </c>
      <c r="DK214" s="714">
        <f t="shared" si="367"/>
        <v>0</v>
      </c>
      <c r="DL214" s="714">
        <f t="shared" ref="DL214:EI214" si="368">SUMIF($D$5:$N$5,DL$6,$D214:$N214)*(DL205+DL206&gt;0)</f>
        <v>0</v>
      </c>
      <c r="DM214" s="714">
        <f t="shared" si="368"/>
        <v>0</v>
      </c>
      <c r="DN214" s="714">
        <f t="shared" si="368"/>
        <v>0</v>
      </c>
      <c r="DO214" s="714">
        <f t="shared" si="368"/>
        <v>0</v>
      </c>
      <c r="DP214" s="714">
        <f t="shared" si="368"/>
        <v>0</v>
      </c>
      <c r="DQ214" s="714">
        <f t="shared" si="368"/>
        <v>0</v>
      </c>
      <c r="DR214" s="714">
        <f t="shared" si="368"/>
        <v>0</v>
      </c>
      <c r="DS214" s="714">
        <f t="shared" si="368"/>
        <v>0</v>
      </c>
      <c r="DT214" s="714">
        <f t="shared" si="368"/>
        <v>0</v>
      </c>
      <c r="DU214" s="714">
        <f t="shared" si="368"/>
        <v>0</v>
      </c>
      <c r="DV214" s="714">
        <f t="shared" si="368"/>
        <v>0</v>
      </c>
      <c r="DW214" s="714">
        <f t="shared" si="368"/>
        <v>0</v>
      </c>
      <c r="DX214" s="714">
        <f t="shared" si="368"/>
        <v>0</v>
      </c>
      <c r="DY214" s="714">
        <f t="shared" si="368"/>
        <v>0</v>
      </c>
      <c r="DZ214" s="714">
        <f t="shared" si="368"/>
        <v>0</v>
      </c>
      <c r="EA214" s="714">
        <f t="shared" si="368"/>
        <v>0</v>
      </c>
      <c r="EB214" s="714">
        <f t="shared" si="368"/>
        <v>0</v>
      </c>
      <c r="EC214" s="714">
        <f t="shared" si="368"/>
        <v>0</v>
      </c>
      <c r="ED214" s="714">
        <f t="shared" si="368"/>
        <v>0</v>
      </c>
      <c r="EE214" s="714">
        <f t="shared" si="368"/>
        <v>0</v>
      </c>
      <c r="EF214" s="714">
        <f t="shared" si="368"/>
        <v>0</v>
      </c>
      <c r="EG214" s="714">
        <f t="shared" si="368"/>
        <v>0</v>
      </c>
      <c r="EH214" s="714">
        <f t="shared" si="368"/>
        <v>0</v>
      </c>
      <c r="EI214" s="714">
        <f t="shared" si="368"/>
        <v>0</v>
      </c>
    </row>
    <row r="215" spans="2:139" ht="12.75" customHeight="1">
      <c r="B215" s="46"/>
      <c r="C215" s="209"/>
      <c r="D215" s="169"/>
      <c r="E215" s="169"/>
      <c r="F215" s="169"/>
      <c r="G215" s="169"/>
      <c r="H215" s="169"/>
      <c r="I215" s="169"/>
      <c r="J215" s="169"/>
      <c r="K215" s="169"/>
      <c r="L215" s="169"/>
      <c r="M215" s="169"/>
      <c r="N215" s="169"/>
      <c r="O215" s="145"/>
      <c r="S215" s="169"/>
      <c r="T215" s="169"/>
      <c r="U215" s="169"/>
      <c r="V215" s="169"/>
      <c r="W215" s="169"/>
      <c r="X215" s="169"/>
      <c r="Y215" s="169"/>
      <c r="Z215" s="169"/>
      <c r="AA215" s="169"/>
      <c r="AB215" s="169"/>
      <c r="AC215" s="169"/>
      <c r="AD215" s="169"/>
      <c r="AE215" s="169"/>
      <c r="AF215" s="169"/>
      <c r="AG215" s="169"/>
      <c r="AH215" s="169"/>
      <c r="AI215" s="169"/>
      <c r="AJ215" s="169"/>
      <c r="AK215" s="169"/>
      <c r="AL215" s="169"/>
      <c r="AM215" s="169"/>
      <c r="AN215" s="169"/>
      <c r="AO215" s="169"/>
      <c r="AP215" s="169"/>
      <c r="AQ215" s="169"/>
      <c r="AR215" s="169"/>
      <c r="AS215" s="169"/>
      <c r="AT215" s="169"/>
      <c r="AU215" s="169"/>
      <c r="AV215" s="169"/>
      <c r="AW215" s="169"/>
      <c r="AX215" s="169"/>
      <c r="AY215" s="169"/>
      <c r="AZ215" s="169"/>
      <c r="BA215" s="169"/>
      <c r="BB215" s="169"/>
      <c r="BC215" s="169"/>
      <c r="BD215" s="169"/>
      <c r="BE215" s="169"/>
      <c r="BF215" s="169"/>
      <c r="BG215" s="169"/>
      <c r="BH215" s="169"/>
      <c r="BI215" s="169"/>
      <c r="BJ215" s="169"/>
      <c r="BK215" s="169"/>
      <c r="BL215" s="169"/>
      <c r="BM215" s="169"/>
      <c r="BN215" s="169"/>
      <c r="BO215" s="169"/>
      <c r="BP215" s="169"/>
      <c r="BQ215" s="169"/>
      <c r="BR215" s="169"/>
      <c r="BS215" s="169"/>
      <c r="BT215" s="169"/>
      <c r="BU215" s="169"/>
      <c r="BV215" s="169"/>
      <c r="BW215" s="169"/>
      <c r="BX215" s="169"/>
      <c r="BY215" s="169"/>
      <c r="BZ215" s="169"/>
      <c r="CA215" s="169"/>
      <c r="CB215" s="169"/>
      <c r="CC215" s="169"/>
      <c r="CD215" s="169"/>
      <c r="CE215" s="169"/>
      <c r="CF215" s="169"/>
      <c r="CG215" s="169"/>
      <c r="CH215" s="169"/>
      <c r="CI215" s="169"/>
      <c r="CJ215" s="169"/>
      <c r="CK215" s="169"/>
      <c r="CL215" s="169"/>
      <c r="CM215" s="169"/>
      <c r="CN215" s="169"/>
      <c r="CO215" s="169"/>
      <c r="CP215" s="169"/>
      <c r="CQ215" s="169"/>
      <c r="CR215" s="169"/>
      <c r="CS215" s="169"/>
      <c r="CT215" s="169"/>
      <c r="CU215" s="169"/>
      <c r="CV215" s="169"/>
      <c r="CW215" s="169"/>
      <c r="CX215" s="169"/>
      <c r="CY215" s="169"/>
      <c r="CZ215" s="169"/>
      <c r="DA215" s="169"/>
      <c r="DB215" s="169"/>
      <c r="DC215" s="169"/>
      <c r="DD215" s="169"/>
      <c r="DE215" s="169"/>
      <c r="DF215" s="169"/>
      <c r="DG215" s="169"/>
      <c r="DH215" s="169"/>
      <c r="DI215" s="169"/>
      <c r="DJ215" s="169"/>
      <c r="DK215" s="169"/>
      <c r="DL215" s="169"/>
      <c r="DM215" s="169"/>
      <c r="DN215" s="169"/>
      <c r="DO215" s="169"/>
      <c r="DP215" s="169"/>
      <c r="DQ215" s="169"/>
      <c r="DR215" s="169"/>
      <c r="DS215" s="169"/>
      <c r="DT215" s="169"/>
      <c r="DU215" s="169"/>
      <c r="DV215" s="169"/>
      <c r="DW215" s="169"/>
      <c r="DX215" s="169"/>
      <c r="DY215" s="169"/>
      <c r="DZ215" s="169"/>
      <c r="EA215" s="169"/>
      <c r="EB215" s="169"/>
      <c r="EC215" s="169"/>
      <c r="ED215" s="169"/>
      <c r="EE215" s="169"/>
      <c r="EF215" s="169"/>
      <c r="EG215" s="169"/>
      <c r="EH215" s="169"/>
      <c r="EI215" s="169"/>
    </row>
    <row r="216" spans="2:139" ht="12.75" customHeight="1">
      <c r="B216" s="32" t="s">
        <v>598</v>
      </c>
      <c r="C216" s="209"/>
      <c r="D216" s="84"/>
      <c r="E216" s="848">
        <f t="shared" ref="E216:N216" si="369">SUMPRODUCT($S$4:$EI$4*(E$5=$S$6:$EI$6)*($S216:$EI216=1))</f>
        <v>0</v>
      </c>
      <c r="F216" s="848">
        <f t="shared" si="369"/>
        <v>0</v>
      </c>
      <c r="G216" s="848">
        <f t="shared" si="369"/>
        <v>0</v>
      </c>
      <c r="H216" s="848">
        <f t="shared" si="369"/>
        <v>0</v>
      </c>
      <c r="I216" s="848">
        <f t="shared" si="369"/>
        <v>0</v>
      </c>
      <c r="J216" s="848">
        <f t="shared" si="369"/>
        <v>0</v>
      </c>
      <c r="K216" s="848">
        <f t="shared" si="369"/>
        <v>0</v>
      </c>
      <c r="L216" s="848">
        <f t="shared" si="369"/>
        <v>0</v>
      </c>
      <c r="M216" s="848">
        <f t="shared" si="369"/>
        <v>0</v>
      </c>
      <c r="N216" s="848">
        <f t="shared" si="369"/>
        <v>0</v>
      </c>
      <c r="O216" s="91"/>
      <c r="S216" s="32"/>
      <c r="T216" s="32">
        <f t="shared" ref="T216:AY216" si="370">AND(T208*1,OR(T270,T292))*1</f>
        <v>0</v>
      </c>
      <c r="U216" s="32">
        <f t="shared" si="370"/>
        <v>0</v>
      </c>
      <c r="V216" s="32">
        <f t="shared" si="370"/>
        <v>0</v>
      </c>
      <c r="W216" s="32">
        <f t="shared" si="370"/>
        <v>0</v>
      </c>
      <c r="X216" s="32">
        <f t="shared" si="370"/>
        <v>0</v>
      </c>
      <c r="Y216" s="32">
        <f t="shared" si="370"/>
        <v>0</v>
      </c>
      <c r="Z216" s="32">
        <f t="shared" si="370"/>
        <v>0</v>
      </c>
      <c r="AA216" s="32">
        <f t="shared" si="370"/>
        <v>0</v>
      </c>
      <c r="AB216" s="32">
        <f t="shared" si="370"/>
        <v>0</v>
      </c>
      <c r="AC216" s="32">
        <f t="shared" si="370"/>
        <v>0</v>
      </c>
      <c r="AD216" s="32">
        <f t="shared" si="370"/>
        <v>0</v>
      </c>
      <c r="AE216" s="32">
        <f t="shared" si="370"/>
        <v>0</v>
      </c>
      <c r="AF216" s="32">
        <f t="shared" si="370"/>
        <v>0</v>
      </c>
      <c r="AG216" s="32">
        <f t="shared" si="370"/>
        <v>0</v>
      </c>
      <c r="AH216" s="32">
        <f t="shared" si="370"/>
        <v>0</v>
      </c>
      <c r="AI216" s="32">
        <f t="shared" si="370"/>
        <v>0</v>
      </c>
      <c r="AJ216" s="32">
        <f t="shared" si="370"/>
        <v>0</v>
      </c>
      <c r="AK216" s="32">
        <f t="shared" si="370"/>
        <v>0</v>
      </c>
      <c r="AL216" s="32">
        <f t="shared" si="370"/>
        <v>0</v>
      </c>
      <c r="AM216" s="32">
        <f t="shared" si="370"/>
        <v>0</v>
      </c>
      <c r="AN216" s="32">
        <f t="shared" si="370"/>
        <v>0</v>
      </c>
      <c r="AO216" s="32">
        <f t="shared" si="370"/>
        <v>0</v>
      </c>
      <c r="AP216" s="32">
        <f t="shared" si="370"/>
        <v>0</v>
      </c>
      <c r="AQ216" s="32">
        <f t="shared" si="370"/>
        <v>0</v>
      </c>
      <c r="AR216" s="32">
        <f t="shared" si="370"/>
        <v>0</v>
      </c>
      <c r="AS216" s="32">
        <f t="shared" si="370"/>
        <v>0</v>
      </c>
      <c r="AT216" s="32">
        <f t="shared" si="370"/>
        <v>0</v>
      </c>
      <c r="AU216" s="32">
        <f t="shared" si="370"/>
        <v>0</v>
      </c>
      <c r="AV216" s="32">
        <f t="shared" si="370"/>
        <v>0</v>
      </c>
      <c r="AW216" s="32">
        <f t="shared" si="370"/>
        <v>0</v>
      </c>
      <c r="AX216" s="32">
        <f t="shared" si="370"/>
        <v>0</v>
      </c>
      <c r="AY216" s="32">
        <f t="shared" si="370"/>
        <v>0</v>
      </c>
      <c r="AZ216" s="32">
        <f t="shared" ref="AZ216:CE216" si="371">AND(AZ208*1,OR(AZ270,AZ292))*1</f>
        <v>0</v>
      </c>
      <c r="BA216" s="32">
        <f t="shared" si="371"/>
        <v>0</v>
      </c>
      <c r="BB216" s="32">
        <f t="shared" si="371"/>
        <v>0</v>
      </c>
      <c r="BC216" s="32">
        <f t="shared" si="371"/>
        <v>0</v>
      </c>
      <c r="BD216" s="32">
        <f t="shared" si="371"/>
        <v>0</v>
      </c>
      <c r="BE216" s="32">
        <f t="shared" si="371"/>
        <v>0</v>
      </c>
      <c r="BF216" s="32">
        <f t="shared" si="371"/>
        <v>0</v>
      </c>
      <c r="BG216" s="32">
        <f t="shared" si="371"/>
        <v>0</v>
      </c>
      <c r="BH216" s="32">
        <f t="shared" si="371"/>
        <v>0</v>
      </c>
      <c r="BI216" s="32">
        <f t="shared" si="371"/>
        <v>0</v>
      </c>
      <c r="BJ216" s="32">
        <f t="shared" si="371"/>
        <v>0</v>
      </c>
      <c r="BK216" s="32">
        <f t="shared" si="371"/>
        <v>0</v>
      </c>
      <c r="BL216" s="32">
        <f t="shared" si="371"/>
        <v>0</v>
      </c>
      <c r="BM216" s="32">
        <f t="shared" si="371"/>
        <v>0</v>
      </c>
      <c r="BN216" s="32">
        <f t="shared" si="371"/>
        <v>0</v>
      </c>
      <c r="BO216" s="32">
        <f t="shared" si="371"/>
        <v>0</v>
      </c>
      <c r="BP216" s="32">
        <f t="shared" si="371"/>
        <v>0</v>
      </c>
      <c r="BQ216" s="32">
        <f t="shared" si="371"/>
        <v>0</v>
      </c>
      <c r="BR216" s="32">
        <f t="shared" si="371"/>
        <v>0</v>
      </c>
      <c r="BS216" s="32">
        <f t="shared" si="371"/>
        <v>0</v>
      </c>
      <c r="BT216" s="32">
        <f t="shared" si="371"/>
        <v>0</v>
      </c>
      <c r="BU216" s="32">
        <f t="shared" si="371"/>
        <v>0</v>
      </c>
      <c r="BV216" s="32">
        <f t="shared" si="371"/>
        <v>0</v>
      </c>
      <c r="BW216" s="32">
        <f t="shared" si="371"/>
        <v>0</v>
      </c>
      <c r="BX216" s="32">
        <f t="shared" si="371"/>
        <v>0</v>
      </c>
      <c r="BY216" s="32">
        <f t="shared" si="371"/>
        <v>0</v>
      </c>
      <c r="BZ216" s="32">
        <f t="shared" si="371"/>
        <v>0</v>
      </c>
      <c r="CA216" s="32">
        <f t="shared" si="371"/>
        <v>0</v>
      </c>
      <c r="CB216" s="32">
        <f t="shared" si="371"/>
        <v>0</v>
      </c>
      <c r="CC216" s="32">
        <f t="shared" si="371"/>
        <v>0</v>
      </c>
      <c r="CD216" s="32">
        <f t="shared" si="371"/>
        <v>0</v>
      </c>
      <c r="CE216" s="32">
        <f t="shared" si="371"/>
        <v>0</v>
      </c>
      <c r="CF216" s="32">
        <f t="shared" ref="CF216:DK216" si="372">AND(CF208*1,OR(CF270,CF292))*1</f>
        <v>0</v>
      </c>
      <c r="CG216" s="32">
        <f t="shared" si="372"/>
        <v>0</v>
      </c>
      <c r="CH216" s="32">
        <f t="shared" si="372"/>
        <v>0</v>
      </c>
      <c r="CI216" s="32">
        <f t="shared" si="372"/>
        <v>0</v>
      </c>
      <c r="CJ216" s="32">
        <f t="shared" si="372"/>
        <v>0</v>
      </c>
      <c r="CK216" s="32">
        <f t="shared" si="372"/>
        <v>0</v>
      </c>
      <c r="CL216" s="32">
        <f t="shared" si="372"/>
        <v>0</v>
      </c>
      <c r="CM216" s="32">
        <f t="shared" si="372"/>
        <v>0</v>
      </c>
      <c r="CN216" s="32">
        <f t="shared" si="372"/>
        <v>0</v>
      </c>
      <c r="CO216" s="32">
        <f t="shared" si="372"/>
        <v>0</v>
      </c>
      <c r="CP216" s="32">
        <f t="shared" si="372"/>
        <v>0</v>
      </c>
      <c r="CQ216" s="32">
        <f t="shared" si="372"/>
        <v>0</v>
      </c>
      <c r="CR216" s="32">
        <f t="shared" si="372"/>
        <v>0</v>
      </c>
      <c r="CS216" s="32">
        <f t="shared" si="372"/>
        <v>0</v>
      </c>
      <c r="CT216" s="32">
        <f t="shared" si="372"/>
        <v>0</v>
      </c>
      <c r="CU216" s="32">
        <f t="shared" si="372"/>
        <v>0</v>
      </c>
      <c r="CV216" s="32">
        <f t="shared" si="372"/>
        <v>0</v>
      </c>
      <c r="CW216" s="32">
        <f t="shared" si="372"/>
        <v>0</v>
      </c>
      <c r="CX216" s="32">
        <f t="shared" si="372"/>
        <v>0</v>
      </c>
      <c r="CY216" s="32">
        <f t="shared" si="372"/>
        <v>0</v>
      </c>
      <c r="CZ216" s="32">
        <f t="shared" si="372"/>
        <v>0</v>
      </c>
      <c r="DA216" s="32">
        <f t="shared" si="372"/>
        <v>0</v>
      </c>
      <c r="DB216" s="32">
        <f t="shared" si="372"/>
        <v>0</v>
      </c>
      <c r="DC216" s="32">
        <f t="shared" si="372"/>
        <v>0</v>
      </c>
      <c r="DD216" s="32">
        <f t="shared" si="372"/>
        <v>0</v>
      </c>
      <c r="DE216" s="32">
        <f t="shared" si="372"/>
        <v>0</v>
      </c>
      <c r="DF216" s="32">
        <f t="shared" si="372"/>
        <v>0</v>
      </c>
      <c r="DG216" s="32">
        <f t="shared" si="372"/>
        <v>0</v>
      </c>
      <c r="DH216" s="32">
        <f t="shared" si="372"/>
        <v>0</v>
      </c>
      <c r="DI216" s="32">
        <f t="shared" si="372"/>
        <v>0</v>
      </c>
      <c r="DJ216" s="32">
        <f t="shared" si="372"/>
        <v>0</v>
      </c>
      <c r="DK216" s="32">
        <f t="shared" si="372"/>
        <v>0</v>
      </c>
      <c r="DL216" s="32">
        <f t="shared" ref="DL216:EI216" si="373">AND(DL208*1,OR(DL270,DL292))*1</f>
        <v>0</v>
      </c>
      <c r="DM216" s="32">
        <f t="shared" si="373"/>
        <v>0</v>
      </c>
      <c r="DN216" s="32">
        <f t="shared" si="373"/>
        <v>0</v>
      </c>
      <c r="DO216" s="32">
        <f t="shared" si="373"/>
        <v>0</v>
      </c>
      <c r="DP216" s="32">
        <f t="shared" si="373"/>
        <v>0</v>
      </c>
      <c r="DQ216" s="32">
        <f t="shared" si="373"/>
        <v>0</v>
      </c>
      <c r="DR216" s="32">
        <f t="shared" si="373"/>
        <v>0</v>
      </c>
      <c r="DS216" s="32">
        <f t="shared" si="373"/>
        <v>0</v>
      </c>
      <c r="DT216" s="32">
        <f t="shared" si="373"/>
        <v>0</v>
      </c>
      <c r="DU216" s="32">
        <f t="shared" si="373"/>
        <v>0</v>
      </c>
      <c r="DV216" s="32">
        <f t="shared" si="373"/>
        <v>0</v>
      </c>
      <c r="DW216" s="32">
        <f t="shared" si="373"/>
        <v>0</v>
      </c>
      <c r="DX216" s="32">
        <f t="shared" si="373"/>
        <v>0</v>
      </c>
      <c r="DY216" s="32">
        <f t="shared" si="373"/>
        <v>0</v>
      </c>
      <c r="DZ216" s="32">
        <f t="shared" si="373"/>
        <v>0</v>
      </c>
      <c r="EA216" s="32">
        <f t="shared" si="373"/>
        <v>0</v>
      </c>
      <c r="EB216" s="32">
        <f t="shared" si="373"/>
        <v>0</v>
      </c>
      <c r="EC216" s="32">
        <f t="shared" si="373"/>
        <v>0</v>
      </c>
      <c r="ED216" s="32">
        <f t="shared" si="373"/>
        <v>0</v>
      </c>
      <c r="EE216" s="32">
        <f t="shared" si="373"/>
        <v>0</v>
      </c>
      <c r="EF216" s="32">
        <f t="shared" si="373"/>
        <v>0</v>
      </c>
      <c r="EG216" s="32">
        <f t="shared" si="373"/>
        <v>0</v>
      </c>
      <c r="EH216" s="32">
        <f t="shared" si="373"/>
        <v>0</v>
      </c>
      <c r="EI216" s="32">
        <f t="shared" si="373"/>
        <v>0</v>
      </c>
    </row>
    <row r="217" spans="2:139" ht="12.75" customHeight="1">
      <c r="B217" s="46"/>
      <c r="C217" s="209"/>
      <c r="D217" s="169"/>
      <c r="E217" s="169"/>
      <c r="F217" s="169"/>
      <c r="G217" s="169"/>
      <c r="H217" s="169"/>
      <c r="I217" s="169"/>
      <c r="J217" s="169"/>
      <c r="K217" s="169"/>
      <c r="L217" s="169"/>
      <c r="M217" s="169"/>
      <c r="N217" s="169"/>
      <c r="O217" s="91"/>
      <c r="S217" s="169"/>
      <c r="T217" s="169"/>
      <c r="U217" s="169"/>
      <c r="V217" s="169"/>
      <c r="W217" s="169"/>
      <c r="X217" s="169"/>
      <c r="Y217" s="169"/>
      <c r="Z217" s="169"/>
      <c r="AA217" s="169"/>
      <c r="AB217" s="169"/>
      <c r="AC217" s="169"/>
      <c r="AD217" s="169"/>
      <c r="AE217" s="169"/>
      <c r="AF217" s="169"/>
      <c r="AG217" s="169"/>
      <c r="AH217" s="169"/>
      <c r="AI217" s="169"/>
      <c r="AJ217" s="169"/>
      <c r="AK217" s="169"/>
      <c r="AL217" s="169"/>
      <c r="AM217" s="169"/>
      <c r="AN217" s="169"/>
      <c r="AO217" s="169"/>
      <c r="AP217" s="169"/>
      <c r="AQ217" s="169"/>
      <c r="AR217" s="169"/>
      <c r="AS217" s="169"/>
      <c r="AT217" s="169"/>
      <c r="AU217" s="169"/>
      <c r="AV217" s="169"/>
      <c r="AW217" s="169"/>
      <c r="AX217" s="169"/>
      <c r="AY217" s="169"/>
      <c r="AZ217" s="169"/>
      <c r="BA217" s="169"/>
      <c r="BB217" s="169"/>
      <c r="BC217" s="169"/>
      <c r="BD217" s="169"/>
      <c r="BE217" s="169"/>
      <c r="BF217" s="169"/>
      <c r="BG217" s="169"/>
      <c r="BH217" s="169"/>
      <c r="BI217" s="169"/>
      <c r="BJ217" s="169"/>
      <c r="BK217" s="169"/>
      <c r="BL217" s="169"/>
      <c r="BM217" s="169"/>
      <c r="BN217" s="169"/>
      <c r="BO217" s="169"/>
      <c r="BP217" s="169"/>
      <c r="BQ217" s="169"/>
      <c r="BR217" s="169"/>
      <c r="BS217" s="169"/>
      <c r="BT217" s="169"/>
      <c r="BU217" s="169"/>
      <c r="BV217" s="169"/>
      <c r="BW217" s="169"/>
      <c r="BX217" s="169"/>
      <c r="BY217" s="169"/>
      <c r="BZ217" s="169"/>
      <c r="CA217" s="169"/>
      <c r="CB217" s="169"/>
      <c r="CC217" s="169"/>
      <c r="CD217" s="169"/>
      <c r="CE217" s="169"/>
      <c r="CF217" s="169"/>
      <c r="CG217" s="169"/>
      <c r="CH217" s="169"/>
      <c r="CI217" s="169"/>
      <c r="CJ217" s="169"/>
      <c r="CK217" s="169"/>
      <c r="CL217" s="169"/>
      <c r="CM217" s="169"/>
      <c r="CN217" s="169"/>
      <c r="CO217" s="169"/>
      <c r="CP217" s="169"/>
      <c r="CQ217" s="169"/>
      <c r="CR217" s="169"/>
      <c r="CS217" s="169"/>
      <c r="CT217" s="169"/>
      <c r="CU217" s="169"/>
      <c r="CV217" s="169"/>
      <c r="CW217" s="169"/>
      <c r="CX217" s="169"/>
      <c r="CY217" s="169"/>
      <c r="CZ217" s="169"/>
      <c r="DA217" s="169"/>
      <c r="DB217" s="169"/>
      <c r="DC217" s="169"/>
      <c r="DD217" s="169"/>
      <c r="DE217" s="169"/>
      <c r="DF217" s="169"/>
      <c r="DG217" s="169"/>
      <c r="DH217" s="169"/>
      <c r="DI217" s="169"/>
      <c r="DJ217" s="169"/>
      <c r="DK217" s="169"/>
      <c r="DL217" s="169"/>
      <c r="DM217" s="169"/>
      <c r="DN217" s="169"/>
      <c r="DO217" s="169"/>
      <c r="DP217" s="169"/>
      <c r="DQ217" s="169"/>
      <c r="DR217" s="169"/>
      <c r="DS217" s="169"/>
      <c r="DT217" s="169"/>
      <c r="DU217" s="169"/>
      <c r="DV217" s="169"/>
      <c r="DW217" s="169"/>
      <c r="DX217" s="169"/>
      <c r="DY217" s="169"/>
      <c r="DZ217" s="169"/>
      <c r="EA217" s="169"/>
      <c r="EB217" s="169"/>
      <c r="EC217" s="169"/>
      <c r="ED217" s="169"/>
      <c r="EE217" s="169"/>
      <c r="EF217" s="169"/>
      <c r="EG217" s="169"/>
      <c r="EH217" s="169"/>
      <c r="EI217" s="169"/>
    </row>
    <row r="218" spans="2:139" ht="12.75" customHeight="1">
      <c r="B218" s="1045" t="s">
        <v>603</v>
      </c>
      <c r="C218" s="209"/>
      <c r="D218" s="169"/>
      <c r="E218" s="169"/>
      <c r="F218" s="169"/>
      <c r="G218" s="169"/>
      <c r="H218" s="169"/>
      <c r="I218" s="169"/>
      <c r="J218" s="169"/>
      <c r="K218" s="169"/>
      <c r="L218" s="169"/>
      <c r="M218" s="169"/>
      <c r="N218" s="169"/>
      <c r="O218" s="91"/>
      <c r="S218" s="169"/>
      <c r="T218" s="169"/>
      <c r="U218" s="169"/>
      <c r="V218" s="169"/>
      <c r="W218" s="169"/>
      <c r="X218" s="169"/>
      <c r="Y218" s="169"/>
      <c r="Z218" s="169"/>
      <c r="AA218" s="169"/>
      <c r="AB218" s="169"/>
      <c r="AC218" s="169"/>
      <c r="AD218" s="169"/>
      <c r="AE218" s="169"/>
      <c r="AF218" s="169"/>
      <c r="AG218" s="169"/>
      <c r="AH218" s="169"/>
      <c r="AI218" s="169"/>
      <c r="AJ218" s="169"/>
      <c r="AK218" s="169"/>
      <c r="AL218" s="169"/>
      <c r="AM218" s="169"/>
      <c r="AN218" s="169"/>
      <c r="AO218" s="169"/>
      <c r="AP218" s="169"/>
      <c r="AQ218" s="169"/>
      <c r="AR218" s="169"/>
      <c r="AS218" s="169"/>
      <c r="AT218" s="169"/>
      <c r="AU218" s="169"/>
      <c r="AV218" s="169"/>
      <c r="AW218" s="169"/>
      <c r="AX218" s="169"/>
      <c r="AY218" s="169"/>
      <c r="AZ218" s="169"/>
      <c r="BA218" s="169"/>
      <c r="BB218" s="169"/>
      <c r="BC218" s="169"/>
      <c r="BD218" s="169"/>
      <c r="BE218" s="169"/>
      <c r="BF218" s="169"/>
      <c r="BG218" s="169"/>
      <c r="BH218" s="169"/>
      <c r="BI218" s="169"/>
      <c r="BJ218" s="169"/>
      <c r="BK218" s="169"/>
      <c r="BL218" s="169"/>
      <c r="BM218" s="169"/>
      <c r="BN218" s="169"/>
      <c r="BO218" s="169"/>
      <c r="BP218" s="169"/>
      <c r="BQ218" s="169"/>
      <c r="BR218" s="169"/>
      <c r="BS218" s="169"/>
      <c r="BT218" s="169"/>
      <c r="BU218" s="169"/>
      <c r="BV218" s="169"/>
      <c r="BW218" s="169"/>
      <c r="BX218" s="169"/>
      <c r="BY218" s="169"/>
      <c r="BZ218" s="169"/>
      <c r="CA218" s="169"/>
      <c r="CB218" s="169"/>
      <c r="CC218" s="169"/>
      <c r="CD218" s="169"/>
      <c r="CE218" s="169"/>
      <c r="CF218" s="169"/>
      <c r="CG218" s="169"/>
      <c r="CH218" s="169"/>
      <c r="CI218" s="169"/>
      <c r="CJ218" s="169"/>
      <c r="CK218" s="169"/>
      <c r="CL218" s="169"/>
      <c r="CM218" s="169"/>
      <c r="CN218" s="169"/>
      <c r="CO218" s="169"/>
      <c r="CP218" s="169"/>
      <c r="CQ218" s="169"/>
      <c r="CR218" s="169"/>
      <c r="CS218" s="169"/>
      <c r="CT218" s="169"/>
      <c r="CU218" s="169"/>
      <c r="CV218" s="169"/>
      <c r="CW218" s="169"/>
      <c r="CX218" s="169"/>
      <c r="CY218" s="169"/>
      <c r="CZ218" s="169"/>
      <c r="DA218" s="169"/>
      <c r="DB218" s="169"/>
      <c r="DC218" s="169"/>
      <c r="DD218" s="169"/>
      <c r="DE218" s="169"/>
      <c r="DF218" s="169"/>
      <c r="DG218" s="169"/>
      <c r="DH218" s="169"/>
      <c r="DI218" s="169"/>
      <c r="DJ218" s="169"/>
      <c r="DK218" s="169"/>
      <c r="DL218" s="169"/>
      <c r="DM218" s="169"/>
      <c r="DN218" s="169"/>
      <c r="DO218" s="169"/>
      <c r="DP218" s="169"/>
      <c r="DQ218" s="169"/>
      <c r="DR218" s="169"/>
      <c r="DS218" s="169"/>
      <c r="DT218" s="169"/>
      <c r="DU218" s="169"/>
      <c r="DV218" s="169"/>
      <c r="DW218" s="169"/>
      <c r="DX218" s="169"/>
      <c r="DY218" s="169"/>
      <c r="DZ218" s="169"/>
      <c r="EA218" s="169"/>
      <c r="EB218" s="169"/>
      <c r="EC218" s="169"/>
      <c r="ED218" s="169"/>
      <c r="EE218" s="169"/>
      <c r="EF218" s="169"/>
      <c r="EG218" s="169"/>
      <c r="EH218" s="169"/>
      <c r="EI218" s="169"/>
    </row>
    <row r="219" spans="2:139" ht="12.75" customHeight="1">
      <c r="B219" s="1045" t="str">
        <f>Input!Z196</f>
        <v>Real Estate Taxes</v>
      </c>
      <c r="C219" s="211"/>
      <c r="D219" s="78"/>
      <c r="E219" s="78"/>
      <c r="F219" s="78"/>
      <c r="G219" s="78"/>
      <c r="H219" s="78"/>
      <c r="I219" s="78"/>
      <c r="J219" s="78"/>
      <c r="K219" s="78"/>
      <c r="L219" s="78"/>
      <c r="M219" s="78"/>
      <c r="N219" s="78"/>
      <c r="O219" s="145"/>
      <c r="S219" s="78"/>
      <c r="T219" s="78"/>
      <c r="U219" s="78"/>
      <c r="V219" s="78"/>
      <c r="W219" s="78"/>
      <c r="X219" s="78"/>
      <c r="Y219" s="78"/>
      <c r="Z219" s="78"/>
      <c r="AA219" s="78"/>
      <c r="AB219" s="78"/>
      <c r="AC219" s="78"/>
      <c r="AD219" s="78"/>
      <c r="AE219" s="78"/>
      <c r="AF219" s="78"/>
      <c r="AG219" s="78"/>
      <c r="AH219" s="78"/>
      <c r="AI219" s="78"/>
      <c r="AJ219" s="78"/>
      <c r="AK219" s="78"/>
      <c r="AL219" s="78"/>
      <c r="AM219" s="78"/>
      <c r="AN219" s="78"/>
      <c r="AO219" s="78"/>
      <c r="AP219" s="78"/>
      <c r="AQ219" s="78"/>
      <c r="AR219" s="78"/>
      <c r="AS219" s="78"/>
      <c r="AT219" s="78"/>
      <c r="AU219" s="78"/>
      <c r="AV219" s="78"/>
      <c r="AW219" s="78"/>
      <c r="AX219" s="78"/>
      <c r="AY219" s="78"/>
      <c r="AZ219" s="78"/>
      <c r="BA219" s="78"/>
      <c r="BB219" s="78"/>
      <c r="BC219" s="78"/>
      <c r="BD219" s="78"/>
      <c r="BE219" s="78"/>
      <c r="BF219" s="78"/>
      <c r="BG219" s="78"/>
      <c r="BH219" s="78"/>
      <c r="BI219" s="78"/>
      <c r="BJ219" s="78"/>
      <c r="BK219" s="78"/>
      <c r="BL219" s="78"/>
      <c r="BM219" s="78"/>
      <c r="BN219" s="78"/>
      <c r="BO219" s="78"/>
      <c r="BP219" s="78"/>
      <c r="BQ219" s="78"/>
      <c r="BR219" s="78"/>
      <c r="BS219" s="78"/>
      <c r="BT219" s="78"/>
      <c r="BU219" s="78"/>
      <c r="BV219" s="78"/>
      <c r="BW219" s="78"/>
      <c r="BX219" s="78"/>
      <c r="BY219" s="78"/>
      <c r="BZ219" s="78"/>
      <c r="CA219" s="78"/>
      <c r="CB219" s="78"/>
      <c r="CC219" s="78"/>
      <c r="CD219" s="78"/>
      <c r="CE219" s="78"/>
      <c r="CF219" s="78"/>
      <c r="CG219" s="78"/>
      <c r="CH219" s="78"/>
      <c r="CI219" s="78"/>
      <c r="CJ219" s="78"/>
      <c r="CK219" s="78"/>
      <c r="CL219" s="78"/>
      <c r="CM219" s="78"/>
      <c r="CN219" s="78"/>
      <c r="CO219" s="78"/>
      <c r="CP219" s="78"/>
      <c r="CQ219" s="78"/>
      <c r="CR219" s="78"/>
      <c r="CS219" s="78"/>
      <c r="CT219" s="78"/>
      <c r="CU219" s="78"/>
      <c r="CV219" s="78"/>
      <c r="CW219" s="78"/>
      <c r="CX219" s="78"/>
      <c r="CY219" s="78"/>
      <c r="CZ219" s="78"/>
      <c r="DA219" s="78"/>
      <c r="DB219" s="78"/>
      <c r="DC219" s="78"/>
      <c r="DD219" s="78"/>
      <c r="DE219" s="78"/>
      <c r="DF219" s="78"/>
      <c r="DG219" s="78"/>
      <c r="DH219" s="78"/>
      <c r="DI219" s="78"/>
      <c r="DJ219" s="78"/>
      <c r="DK219" s="78"/>
      <c r="DL219" s="78"/>
      <c r="DM219" s="78"/>
      <c r="DN219" s="78"/>
      <c r="DO219" s="78"/>
      <c r="DP219" s="78"/>
      <c r="DQ219" s="78"/>
      <c r="DR219" s="78"/>
      <c r="DS219" s="78"/>
      <c r="DT219" s="78"/>
      <c r="DU219" s="78"/>
      <c r="DV219" s="78"/>
      <c r="DW219" s="78"/>
      <c r="DX219" s="78"/>
      <c r="DY219" s="78"/>
      <c r="DZ219" s="78"/>
      <c r="EA219" s="78"/>
      <c r="EB219" s="78"/>
      <c r="EC219" s="78"/>
      <c r="ED219" s="78"/>
      <c r="EE219" s="78"/>
      <c r="EF219" s="78"/>
      <c r="EG219" s="78"/>
      <c r="EH219" s="78"/>
      <c r="EI219" s="78"/>
    </row>
    <row r="220" spans="2:139" ht="12.75" customHeight="1">
      <c r="B220" s="41" t="s">
        <v>593</v>
      </c>
      <c r="C220" s="211"/>
      <c r="D220" s="78"/>
      <c r="E220" s="78">
        <f t="shared" ref="E220:N220" si="374">D224</f>
        <v>0</v>
      </c>
      <c r="F220" s="78">
        <f t="shared" si="374"/>
        <v>0</v>
      </c>
      <c r="G220" s="78">
        <f t="shared" si="374"/>
        <v>0</v>
      </c>
      <c r="H220" s="78">
        <f t="shared" si="374"/>
        <v>0</v>
      </c>
      <c r="I220" s="78">
        <f t="shared" si="374"/>
        <v>0</v>
      </c>
      <c r="J220" s="78">
        <f t="shared" si="374"/>
        <v>0</v>
      </c>
      <c r="K220" s="78">
        <f t="shared" si="374"/>
        <v>0</v>
      </c>
      <c r="L220" s="78">
        <f t="shared" si="374"/>
        <v>0</v>
      </c>
      <c r="M220" s="78">
        <f t="shared" si="374"/>
        <v>0</v>
      </c>
      <c r="N220" s="78">
        <f t="shared" si="374"/>
        <v>0</v>
      </c>
      <c r="O220" s="145"/>
      <c r="S220" s="78"/>
      <c r="T220" s="78">
        <f t="shared" ref="T220:AY220" si="375">S224</f>
        <v>0</v>
      </c>
      <c r="U220" s="78">
        <f t="shared" si="375"/>
        <v>0</v>
      </c>
      <c r="V220" s="78">
        <f t="shared" si="375"/>
        <v>0</v>
      </c>
      <c r="W220" s="78">
        <f t="shared" si="375"/>
        <v>0</v>
      </c>
      <c r="X220" s="78">
        <f t="shared" si="375"/>
        <v>0</v>
      </c>
      <c r="Y220" s="78">
        <f t="shared" si="375"/>
        <v>0</v>
      </c>
      <c r="Z220" s="78">
        <f t="shared" si="375"/>
        <v>0</v>
      </c>
      <c r="AA220" s="78">
        <f t="shared" si="375"/>
        <v>0</v>
      </c>
      <c r="AB220" s="78">
        <f t="shared" si="375"/>
        <v>0</v>
      </c>
      <c r="AC220" s="78">
        <f t="shared" si="375"/>
        <v>0</v>
      </c>
      <c r="AD220" s="78">
        <f t="shared" si="375"/>
        <v>0</v>
      </c>
      <c r="AE220" s="78">
        <f t="shared" si="375"/>
        <v>0</v>
      </c>
      <c r="AF220" s="78">
        <f t="shared" si="375"/>
        <v>0</v>
      </c>
      <c r="AG220" s="78">
        <f t="shared" si="375"/>
        <v>0</v>
      </c>
      <c r="AH220" s="78">
        <f t="shared" si="375"/>
        <v>0</v>
      </c>
      <c r="AI220" s="78">
        <f t="shared" si="375"/>
        <v>0</v>
      </c>
      <c r="AJ220" s="78">
        <f t="shared" si="375"/>
        <v>0</v>
      </c>
      <c r="AK220" s="78">
        <f t="shared" si="375"/>
        <v>0</v>
      </c>
      <c r="AL220" s="78">
        <f t="shared" si="375"/>
        <v>0</v>
      </c>
      <c r="AM220" s="78">
        <f t="shared" si="375"/>
        <v>0</v>
      </c>
      <c r="AN220" s="78">
        <f t="shared" si="375"/>
        <v>0</v>
      </c>
      <c r="AO220" s="78">
        <f t="shared" si="375"/>
        <v>0</v>
      </c>
      <c r="AP220" s="78">
        <f t="shared" si="375"/>
        <v>0</v>
      </c>
      <c r="AQ220" s="78">
        <f t="shared" si="375"/>
        <v>0</v>
      </c>
      <c r="AR220" s="78">
        <f t="shared" si="375"/>
        <v>0</v>
      </c>
      <c r="AS220" s="78">
        <f t="shared" si="375"/>
        <v>0</v>
      </c>
      <c r="AT220" s="78">
        <f t="shared" si="375"/>
        <v>0</v>
      </c>
      <c r="AU220" s="78">
        <f t="shared" si="375"/>
        <v>0</v>
      </c>
      <c r="AV220" s="78">
        <f t="shared" si="375"/>
        <v>0</v>
      </c>
      <c r="AW220" s="78">
        <f t="shared" si="375"/>
        <v>0</v>
      </c>
      <c r="AX220" s="78">
        <f t="shared" si="375"/>
        <v>0</v>
      </c>
      <c r="AY220" s="78">
        <f t="shared" si="375"/>
        <v>0</v>
      </c>
      <c r="AZ220" s="78">
        <f t="shared" ref="AZ220:CE220" si="376">AY224</f>
        <v>0</v>
      </c>
      <c r="BA220" s="78">
        <f t="shared" si="376"/>
        <v>0</v>
      </c>
      <c r="BB220" s="78">
        <f t="shared" si="376"/>
        <v>0</v>
      </c>
      <c r="BC220" s="78">
        <f t="shared" si="376"/>
        <v>0</v>
      </c>
      <c r="BD220" s="78">
        <f t="shared" si="376"/>
        <v>0</v>
      </c>
      <c r="BE220" s="78">
        <f t="shared" si="376"/>
        <v>0</v>
      </c>
      <c r="BF220" s="78">
        <f t="shared" si="376"/>
        <v>0</v>
      </c>
      <c r="BG220" s="78">
        <f t="shared" si="376"/>
        <v>0</v>
      </c>
      <c r="BH220" s="78">
        <f t="shared" si="376"/>
        <v>0</v>
      </c>
      <c r="BI220" s="78">
        <f t="shared" si="376"/>
        <v>0</v>
      </c>
      <c r="BJ220" s="78">
        <f t="shared" si="376"/>
        <v>0</v>
      </c>
      <c r="BK220" s="78">
        <f t="shared" si="376"/>
        <v>0</v>
      </c>
      <c r="BL220" s="78">
        <f t="shared" si="376"/>
        <v>0</v>
      </c>
      <c r="BM220" s="78">
        <f t="shared" si="376"/>
        <v>0</v>
      </c>
      <c r="BN220" s="78">
        <f t="shared" si="376"/>
        <v>0</v>
      </c>
      <c r="BO220" s="78">
        <f t="shared" si="376"/>
        <v>0</v>
      </c>
      <c r="BP220" s="78">
        <f t="shared" si="376"/>
        <v>0</v>
      </c>
      <c r="BQ220" s="78">
        <f t="shared" si="376"/>
        <v>0</v>
      </c>
      <c r="BR220" s="78">
        <f t="shared" si="376"/>
        <v>0</v>
      </c>
      <c r="BS220" s="78">
        <f t="shared" si="376"/>
        <v>0</v>
      </c>
      <c r="BT220" s="78">
        <f t="shared" si="376"/>
        <v>0</v>
      </c>
      <c r="BU220" s="78">
        <f t="shared" si="376"/>
        <v>0</v>
      </c>
      <c r="BV220" s="78">
        <f t="shared" si="376"/>
        <v>0</v>
      </c>
      <c r="BW220" s="78">
        <f t="shared" si="376"/>
        <v>0</v>
      </c>
      <c r="BX220" s="78">
        <f t="shared" si="376"/>
        <v>0</v>
      </c>
      <c r="BY220" s="78">
        <f t="shared" si="376"/>
        <v>0</v>
      </c>
      <c r="BZ220" s="78">
        <f t="shared" si="376"/>
        <v>0</v>
      </c>
      <c r="CA220" s="78">
        <f t="shared" si="376"/>
        <v>0</v>
      </c>
      <c r="CB220" s="78">
        <f t="shared" si="376"/>
        <v>0</v>
      </c>
      <c r="CC220" s="78">
        <f t="shared" si="376"/>
        <v>0</v>
      </c>
      <c r="CD220" s="78">
        <f t="shared" si="376"/>
        <v>0</v>
      </c>
      <c r="CE220" s="78">
        <f t="shared" si="376"/>
        <v>0</v>
      </c>
      <c r="CF220" s="78">
        <f t="shared" ref="CF220:DK220" si="377">CE224</f>
        <v>0</v>
      </c>
      <c r="CG220" s="78">
        <f t="shared" si="377"/>
        <v>0</v>
      </c>
      <c r="CH220" s="78">
        <f t="shared" si="377"/>
        <v>0</v>
      </c>
      <c r="CI220" s="78">
        <f t="shared" si="377"/>
        <v>0</v>
      </c>
      <c r="CJ220" s="78">
        <f t="shared" si="377"/>
        <v>0</v>
      </c>
      <c r="CK220" s="78">
        <f t="shared" si="377"/>
        <v>0</v>
      </c>
      <c r="CL220" s="78">
        <f t="shared" si="377"/>
        <v>0</v>
      </c>
      <c r="CM220" s="78">
        <f t="shared" si="377"/>
        <v>0</v>
      </c>
      <c r="CN220" s="78">
        <f t="shared" si="377"/>
        <v>0</v>
      </c>
      <c r="CO220" s="78">
        <f t="shared" si="377"/>
        <v>0</v>
      </c>
      <c r="CP220" s="78">
        <f t="shared" si="377"/>
        <v>0</v>
      </c>
      <c r="CQ220" s="78">
        <f t="shared" si="377"/>
        <v>0</v>
      </c>
      <c r="CR220" s="78">
        <f t="shared" si="377"/>
        <v>0</v>
      </c>
      <c r="CS220" s="78">
        <f t="shared" si="377"/>
        <v>0</v>
      </c>
      <c r="CT220" s="78">
        <f t="shared" si="377"/>
        <v>0</v>
      </c>
      <c r="CU220" s="78">
        <f t="shared" si="377"/>
        <v>0</v>
      </c>
      <c r="CV220" s="78">
        <f t="shared" si="377"/>
        <v>0</v>
      </c>
      <c r="CW220" s="78">
        <f t="shared" si="377"/>
        <v>0</v>
      </c>
      <c r="CX220" s="78">
        <f t="shared" si="377"/>
        <v>0</v>
      </c>
      <c r="CY220" s="78">
        <f t="shared" si="377"/>
        <v>0</v>
      </c>
      <c r="CZ220" s="78">
        <f t="shared" si="377"/>
        <v>0</v>
      </c>
      <c r="DA220" s="78">
        <f t="shared" si="377"/>
        <v>0</v>
      </c>
      <c r="DB220" s="78">
        <f t="shared" si="377"/>
        <v>0</v>
      </c>
      <c r="DC220" s="78">
        <f t="shared" si="377"/>
        <v>0</v>
      </c>
      <c r="DD220" s="78">
        <f t="shared" si="377"/>
        <v>0</v>
      </c>
      <c r="DE220" s="78">
        <f t="shared" si="377"/>
        <v>0</v>
      </c>
      <c r="DF220" s="78">
        <f t="shared" si="377"/>
        <v>0</v>
      </c>
      <c r="DG220" s="78">
        <f t="shared" si="377"/>
        <v>0</v>
      </c>
      <c r="DH220" s="78">
        <f t="shared" si="377"/>
        <v>0</v>
      </c>
      <c r="DI220" s="78">
        <f t="shared" si="377"/>
        <v>0</v>
      </c>
      <c r="DJ220" s="78">
        <f t="shared" si="377"/>
        <v>0</v>
      </c>
      <c r="DK220" s="78">
        <f t="shared" si="377"/>
        <v>0</v>
      </c>
      <c r="DL220" s="78">
        <f t="shared" ref="DL220:EI220" si="378">DK224</f>
        <v>0</v>
      </c>
      <c r="DM220" s="78">
        <f t="shared" si="378"/>
        <v>0</v>
      </c>
      <c r="DN220" s="78">
        <f t="shared" si="378"/>
        <v>0</v>
      </c>
      <c r="DO220" s="78">
        <f t="shared" si="378"/>
        <v>0</v>
      </c>
      <c r="DP220" s="78">
        <f t="shared" si="378"/>
        <v>0</v>
      </c>
      <c r="DQ220" s="78">
        <f t="shared" si="378"/>
        <v>0</v>
      </c>
      <c r="DR220" s="78">
        <f t="shared" si="378"/>
        <v>0</v>
      </c>
      <c r="DS220" s="78">
        <f t="shared" si="378"/>
        <v>0</v>
      </c>
      <c r="DT220" s="78">
        <f t="shared" si="378"/>
        <v>0</v>
      </c>
      <c r="DU220" s="78">
        <f t="shared" si="378"/>
        <v>0</v>
      </c>
      <c r="DV220" s="78">
        <f t="shared" si="378"/>
        <v>0</v>
      </c>
      <c r="DW220" s="78">
        <f t="shared" si="378"/>
        <v>0</v>
      </c>
      <c r="DX220" s="78">
        <f t="shared" si="378"/>
        <v>0</v>
      </c>
      <c r="DY220" s="78">
        <f t="shared" si="378"/>
        <v>0</v>
      </c>
      <c r="DZ220" s="78">
        <f t="shared" si="378"/>
        <v>0</v>
      </c>
      <c r="EA220" s="78">
        <f t="shared" si="378"/>
        <v>0</v>
      </c>
      <c r="EB220" s="78">
        <f t="shared" si="378"/>
        <v>0</v>
      </c>
      <c r="EC220" s="78">
        <f t="shared" si="378"/>
        <v>0</v>
      </c>
      <c r="ED220" s="78">
        <f t="shared" si="378"/>
        <v>0</v>
      </c>
      <c r="EE220" s="78">
        <f t="shared" si="378"/>
        <v>0</v>
      </c>
      <c r="EF220" s="78">
        <f t="shared" si="378"/>
        <v>0</v>
      </c>
      <c r="EG220" s="78">
        <f t="shared" si="378"/>
        <v>0</v>
      </c>
      <c r="EH220" s="78">
        <f t="shared" si="378"/>
        <v>0</v>
      </c>
      <c r="EI220" s="78">
        <f t="shared" si="378"/>
        <v>0</v>
      </c>
    </row>
    <row r="221" spans="2:139" ht="12.75" customHeight="1">
      <c r="B221" s="41" t="s">
        <v>604</v>
      </c>
      <c r="C221" s="211"/>
      <c r="D221" s="78">
        <f t="shared" ref="D221:N221" si="379">SUMIF($S$6:$EI$6,D$5,$S221:$EI221)</f>
        <v>0</v>
      </c>
      <c r="E221" s="78">
        <f t="shared" si="379"/>
        <v>0</v>
      </c>
      <c r="F221" s="78">
        <f t="shared" si="379"/>
        <v>0</v>
      </c>
      <c r="G221" s="78">
        <f t="shared" si="379"/>
        <v>0</v>
      </c>
      <c r="H221" s="78">
        <f t="shared" si="379"/>
        <v>0</v>
      </c>
      <c r="I221" s="78">
        <f t="shared" si="379"/>
        <v>0</v>
      </c>
      <c r="J221" s="78">
        <f t="shared" si="379"/>
        <v>0</v>
      </c>
      <c r="K221" s="78">
        <f t="shared" si="379"/>
        <v>0</v>
      </c>
      <c r="L221" s="78">
        <f t="shared" si="379"/>
        <v>0</v>
      </c>
      <c r="M221" s="78">
        <f t="shared" si="379"/>
        <v>0</v>
      </c>
      <c r="N221" s="78">
        <f t="shared" si="379"/>
        <v>0</v>
      </c>
      <c r="O221" s="145">
        <f>SUM(D221:N221)</f>
        <v>0</v>
      </c>
      <c r="S221" s="78">
        <f>Input!$AB$196*(S206&gt;0)</f>
        <v>0</v>
      </c>
      <c r="T221" s="78">
        <f>Input!$AB$196*(T206&gt;0)</f>
        <v>0</v>
      </c>
      <c r="U221" s="78">
        <f>Input!$AB$196*(U206&gt;0)</f>
        <v>0</v>
      </c>
      <c r="V221" s="78">
        <f>Input!$AB$196*(V206&gt;0)</f>
        <v>0</v>
      </c>
      <c r="W221" s="78">
        <f>Input!$AB$196*(W206&gt;0)</f>
        <v>0</v>
      </c>
      <c r="X221" s="78">
        <f>Input!$AB$196*(X206&gt;0)</f>
        <v>0</v>
      </c>
      <c r="Y221" s="78">
        <f>Input!$AB$196*(Y206&gt;0)</f>
        <v>0</v>
      </c>
      <c r="Z221" s="78">
        <f>Input!$AB$196*(Z206&gt;0)</f>
        <v>0</v>
      </c>
      <c r="AA221" s="78">
        <f>Input!$AB$196*(AA206&gt;0)</f>
        <v>0</v>
      </c>
      <c r="AB221" s="78">
        <f>Input!$AB$196*(AB206&gt;0)</f>
        <v>0</v>
      </c>
      <c r="AC221" s="78">
        <f>Input!$AB$196*(AC206&gt;0)</f>
        <v>0</v>
      </c>
      <c r="AD221" s="78">
        <f>Input!$AB$196*(AD206&gt;0)</f>
        <v>0</v>
      </c>
      <c r="AE221" s="78">
        <f>Input!$AB$196*(AE206&gt;0)</f>
        <v>0</v>
      </c>
      <c r="AF221" s="78">
        <f>Input!$AB$196*(AF206&gt;0)</f>
        <v>0</v>
      </c>
      <c r="AG221" s="78">
        <f>Input!$AB$196*(AG206&gt;0)</f>
        <v>0</v>
      </c>
      <c r="AH221" s="78">
        <f>Input!$AB$196*(AH206&gt;0)</f>
        <v>0</v>
      </c>
      <c r="AI221" s="78">
        <f>Input!$AB$196*(AI206&gt;0)</f>
        <v>0</v>
      </c>
      <c r="AJ221" s="78">
        <f>Input!$AB$196*(AJ206&gt;0)</f>
        <v>0</v>
      </c>
      <c r="AK221" s="78">
        <f>Input!$AB$196*(AK206&gt;0)</f>
        <v>0</v>
      </c>
      <c r="AL221" s="78">
        <f>Input!$AB$196*(AL206&gt;0)</f>
        <v>0</v>
      </c>
      <c r="AM221" s="78">
        <f>Input!$AB$196*(AM206&gt;0)</f>
        <v>0</v>
      </c>
      <c r="AN221" s="78">
        <f>Input!$AB$196*(AN206&gt;0)</f>
        <v>0</v>
      </c>
      <c r="AO221" s="78">
        <f>Input!$AB$196*(AO206&gt;0)</f>
        <v>0</v>
      </c>
      <c r="AP221" s="78">
        <f>Input!$AB$196*(AP206&gt;0)</f>
        <v>0</v>
      </c>
      <c r="AQ221" s="78">
        <f>Input!$AB$196*(AQ206&gt;0)</f>
        <v>0</v>
      </c>
      <c r="AR221" s="78">
        <f>Input!$AB$196*(AR206&gt;0)</f>
        <v>0</v>
      </c>
      <c r="AS221" s="78">
        <f>Input!$AB$196*(AS206&gt;0)</f>
        <v>0</v>
      </c>
      <c r="AT221" s="78">
        <f>Input!$AB$196*(AT206&gt;0)</f>
        <v>0</v>
      </c>
      <c r="AU221" s="78">
        <f>Input!$AB$196*(AU206&gt;0)</f>
        <v>0</v>
      </c>
      <c r="AV221" s="78">
        <f>Input!$AB$196*(AV206&gt;0)</f>
        <v>0</v>
      </c>
      <c r="AW221" s="78">
        <f>Input!$AB$196*(AW206&gt;0)</f>
        <v>0</v>
      </c>
      <c r="AX221" s="78">
        <f>Input!$AB$196*(AX206&gt;0)</f>
        <v>0</v>
      </c>
      <c r="AY221" s="78">
        <f>Input!$AB$196*(AY206&gt;0)</f>
        <v>0</v>
      </c>
      <c r="AZ221" s="78">
        <f>Input!$AB$196*(AZ206&gt;0)</f>
        <v>0</v>
      </c>
      <c r="BA221" s="78">
        <f>Input!$AB$196*(BA206&gt;0)</f>
        <v>0</v>
      </c>
      <c r="BB221" s="78">
        <f>Input!$AB$196*(BB206&gt;0)</f>
        <v>0</v>
      </c>
      <c r="BC221" s="78">
        <f>Input!$AB$196*(BC206&gt;0)</f>
        <v>0</v>
      </c>
      <c r="BD221" s="78">
        <f>Input!$AB$196*(BD206&gt;0)</f>
        <v>0</v>
      </c>
      <c r="BE221" s="78">
        <f>Input!$AB$196*(BE206&gt;0)</f>
        <v>0</v>
      </c>
      <c r="BF221" s="78">
        <f>Input!$AB$196*(BF206&gt;0)</f>
        <v>0</v>
      </c>
      <c r="BG221" s="78">
        <f>Input!$AB$196*(BG206&gt;0)</f>
        <v>0</v>
      </c>
      <c r="BH221" s="78">
        <f>Input!$AB$196*(BH206&gt;0)</f>
        <v>0</v>
      </c>
      <c r="BI221" s="78">
        <f>Input!$AB$196*(BI206&gt;0)</f>
        <v>0</v>
      </c>
      <c r="BJ221" s="78">
        <f>Input!$AB$196*(BJ206&gt;0)</f>
        <v>0</v>
      </c>
      <c r="BK221" s="78">
        <f>Input!$AB$196*(BK206&gt;0)</f>
        <v>0</v>
      </c>
      <c r="BL221" s="78">
        <f>Input!$AB$196*(BL206&gt;0)</f>
        <v>0</v>
      </c>
      <c r="BM221" s="78">
        <f>Input!$AB$196*(BM206&gt;0)</f>
        <v>0</v>
      </c>
      <c r="BN221" s="78">
        <f>Input!$AB$196*(BN206&gt;0)</f>
        <v>0</v>
      </c>
      <c r="BO221" s="78">
        <f>Input!$AB$196*(BO206&gt;0)</f>
        <v>0</v>
      </c>
      <c r="BP221" s="78">
        <f>Input!$AB$196*(BP206&gt;0)</f>
        <v>0</v>
      </c>
      <c r="BQ221" s="78">
        <f>Input!$AB$196*(BQ206&gt;0)</f>
        <v>0</v>
      </c>
      <c r="BR221" s="78">
        <f>Input!$AB$196*(BR206&gt;0)</f>
        <v>0</v>
      </c>
      <c r="BS221" s="78">
        <f>Input!$AB$196*(BS206&gt;0)</f>
        <v>0</v>
      </c>
      <c r="BT221" s="78">
        <f>Input!$AB$196*(BT206&gt;0)</f>
        <v>0</v>
      </c>
      <c r="BU221" s="78">
        <f>Input!$AB$196*(BU206&gt;0)</f>
        <v>0</v>
      </c>
      <c r="BV221" s="78">
        <f>Input!$AB$196*(BV206&gt;0)</f>
        <v>0</v>
      </c>
      <c r="BW221" s="78">
        <f>Input!$AB$196*(BW206&gt;0)</f>
        <v>0</v>
      </c>
      <c r="BX221" s="78">
        <f>Input!$AB$196*(BX206&gt;0)</f>
        <v>0</v>
      </c>
      <c r="BY221" s="78">
        <f>Input!$AB$196*(BY206&gt;0)</f>
        <v>0</v>
      </c>
      <c r="BZ221" s="78">
        <f>Input!$AB$196*(BZ206&gt;0)</f>
        <v>0</v>
      </c>
      <c r="CA221" s="78">
        <f>Input!$AB$196*(CA206&gt;0)</f>
        <v>0</v>
      </c>
      <c r="CB221" s="78">
        <f>Input!$AB$196*(CB206&gt;0)</f>
        <v>0</v>
      </c>
      <c r="CC221" s="78">
        <f>Input!$AB$196*(CC206&gt;0)</f>
        <v>0</v>
      </c>
      <c r="CD221" s="78">
        <f>Input!$AB$196*(CD206&gt;0)</f>
        <v>0</v>
      </c>
      <c r="CE221" s="78">
        <f>Input!$AB$196*(CE206&gt;0)</f>
        <v>0</v>
      </c>
      <c r="CF221" s="78">
        <f>Input!$AB$196*(CF206&gt;0)</f>
        <v>0</v>
      </c>
      <c r="CG221" s="78">
        <f>Input!$AB$196*(CG206&gt;0)</f>
        <v>0</v>
      </c>
      <c r="CH221" s="78">
        <f>Input!$AB$196*(CH206&gt;0)</f>
        <v>0</v>
      </c>
      <c r="CI221" s="78">
        <f>Input!$AB$196*(CI206&gt;0)</f>
        <v>0</v>
      </c>
      <c r="CJ221" s="78">
        <f>Input!$AB$196*(CJ206&gt;0)</f>
        <v>0</v>
      </c>
      <c r="CK221" s="78">
        <f>Input!$AB$196*(CK206&gt;0)</f>
        <v>0</v>
      </c>
      <c r="CL221" s="78">
        <f>Input!$AB$196*(CL206&gt;0)</f>
        <v>0</v>
      </c>
      <c r="CM221" s="78">
        <f>Input!$AB$196*(CM206&gt;0)</f>
        <v>0</v>
      </c>
      <c r="CN221" s="78">
        <f>Input!$AB$196*(CN206&gt;0)</f>
        <v>0</v>
      </c>
      <c r="CO221" s="78">
        <f>Input!$AB$196*(CO206&gt;0)</f>
        <v>0</v>
      </c>
      <c r="CP221" s="78">
        <f>Input!$AB$196*(CP206&gt;0)</f>
        <v>0</v>
      </c>
      <c r="CQ221" s="78">
        <f>Input!$AB$196*(CQ206&gt;0)</f>
        <v>0</v>
      </c>
      <c r="CR221" s="78">
        <f>Input!$AB$196*(CR206&gt;0)</f>
        <v>0</v>
      </c>
      <c r="CS221" s="78">
        <f>Input!$AB$196*(CS206&gt;0)</f>
        <v>0</v>
      </c>
      <c r="CT221" s="78">
        <f>Input!$AB$196*(CT206&gt;0)</f>
        <v>0</v>
      </c>
      <c r="CU221" s="78">
        <f>Input!$AB$196*(CU206&gt;0)</f>
        <v>0</v>
      </c>
      <c r="CV221" s="78">
        <f>Input!$AB$196*(CV206&gt;0)</f>
        <v>0</v>
      </c>
      <c r="CW221" s="78">
        <f>Input!$AB$196*(CW206&gt;0)</f>
        <v>0</v>
      </c>
      <c r="CX221" s="78">
        <f>Input!$AB$196*(CX206&gt;0)</f>
        <v>0</v>
      </c>
      <c r="CY221" s="78">
        <f>Input!$AB$196*(CY206&gt;0)</f>
        <v>0</v>
      </c>
      <c r="CZ221" s="78">
        <f>Input!$AB$196*(CZ206&gt;0)</f>
        <v>0</v>
      </c>
      <c r="DA221" s="78">
        <f>Input!$AB$196*(DA206&gt;0)</f>
        <v>0</v>
      </c>
      <c r="DB221" s="78">
        <f>Input!$AB$196*(DB206&gt;0)</f>
        <v>0</v>
      </c>
      <c r="DC221" s="78">
        <f>Input!$AB$196*(DC206&gt;0)</f>
        <v>0</v>
      </c>
      <c r="DD221" s="78">
        <f>Input!$AB$196*(DD206&gt;0)</f>
        <v>0</v>
      </c>
      <c r="DE221" s="78">
        <f>Input!$AB$196*(DE206&gt;0)</f>
        <v>0</v>
      </c>
      <c r="DF221" s="78">
        <f>Input!$AB$196*(DF206&gt;0)</f>
        <v>0</v>
      </c>
      <c r="DG221" s="78">
        <f>Input!$AB$196*(DG206&gt;0)</f>
        <v>0</v>
      </c>
      <c r="DH221" s="78">
        <f>Input!$AB$196*(DH206&gt;0)</f>
        <v>0</v>
      </c>
      <c r="DI221" s="78">
        <f>Input!$AB$196*(DI206&gt;0)</f>
        <v>0</v>
      </c>
      <c r="DJ221" s="78">
        <f>Input!$AB$196*(DJ206&gt;0)</f>
        <v>0</v>
      </c>
      <c r="DK221" s="78">
        <f>Input!$AB$196*(DK206&gt;0)</f>
        <v>0</v>
      </c>
      <c r="DL221" s="78">
        <f>Input!$AB$196*(DL206&gt;0)</f>
        <v>0</v>
      </c>
      <c r="DM221" s="78">
        <f>Input!$AB$196*(DM206&gt;0)</f>
        <v>0</v>
      </c>
      <c r="DN221" s="78">
        <f>Input!$AB$196*(DN206&gt;0)</f>
        <v>0</v>
      </c>
      <c r="DO221" s="78">
        <f>Input!$AB$196*(DO206&gt;0)</f>
        <v>0</v>
      </c>
      <c r="DP221" s="78">
        <f>Input!$AB$196*(DP206&gt;0)</f>
        <v>0</v>
      </c>
      <c r="DQ221" s="78">
        <f>Input!$AB$196*(DQ206&gt;0)</f>
        <v>0</v>
      </c>
      <c r="DR221" s="78">
        <f>Input!$AB$196*(DR206&gt;0)</f>
        <v>0</v>
      </c>
      <c r="DS221" s="78">
        <f>Input!$AB$196*(DS206&gt;0)</f>
        <v>0</v>
      </c>
      <c r="DT221" s="78">
        <f>Input!$AB$196*(DT206&gt;0)</f>
        <v>0</v>
      </c>
      <c r="DU221" s="78">
        <f>Input!$AB$196*(DU206&gt;0)</f>
        <v>0</v>
      </c>
      <c r="DV221" s="78">
        <f>Input!$AB$196*(DV206&gt;0)</f>
        <v>0</v>
      </c>
      <c r="DW221" s="78">
        <f>Input!$AB$196*(DW206&gt;0)</f>
        <v>0</v>
      </c>
      <c r="DX221" s="78">
        <f>Input!$AB$196*(DX206&gt;0)</f>
        <v>0</v>
      </c>
      <c r="DY221" s="78">
        <f>Input!$AB$196*(DY206&gt;0)</f>
        <v>0</v>
      </c>
      <c r="DZ221" s="78">
        <f>Input!$AB$196*(DZ206&gt;0)</f>
        <v>0</v>
      </c>
      <c r="EA221" s="78">
        <f>Input!$AB$196*(EA206&gt;0)</f>
        <v>0</v>
      </c>
      <c r="EB221" s="78">
        <f>Input!$AB$196*(EB206&gt;0)</f>
        <v>0</v>
      </c>
      <c r="EC221" s="78">
        <f>Input!$AB$196*(EC206&gt;0)</f>
        <v>0</v>
      </c>
      <c r="ED221" s="78">
        <f>Input!$AB$196*(ED206&gt;0)</f>
        <v>0</v>
      </c>
      <c r="EE221" s="78">
        <f>Input!$AB$196*(EE206&gt;0)</f>
        <v>0</v>
      </c>
      <c r="EF221" s="78">
        <f>Input!$AB$196*(EF206&gt;0)</f>
        <v>0</v>
      </c>
      <c r="EG221" s="78">
        <f>Input!$AB$196*(EG206&gt;0)</f>
        <v>0</v>
      </c>
      <c r="EH221" s="78">
        <f>Input!$AB$196*(EH206&gt;0)</f>
        <v>0</v>
      </c>
      <c r="EI221" s="78">
        <f>Input!$AB$196*(EI206&gt;0)</f>
        <v>0</v>
      </c>
    </row>
    <row r="222" spans="2:139" ht="12.75" customHeight="1">
      <c r="B222" s="41" t="s">
        <v>605</v>
      </c>
      <c r="C222" s="211"/>
      <c r="D222" s="78"/>
      <c r="E222" s="78">
        <f t="shared" ref="E222:N223" si="380">SUMIF($S$6:$EI$6,E$5,$S222:$EI222)</f>
        <v>0</v>
      </c>
      <c r="F222" s="78">
        <f t="shared" si="380"/>
        <v>0</v>
      </c>
      <c r="G222" s="78">
        <f t="shared" si="380"/>
        <v>0</v>
      </c>
      <c r="H222" s="78">
        <f t="shared" si="380"/>
        <v>0</v>
      </c>
      <c r="I222" s="78">
        <f t="shared" si="380"/>
        <v>0</v>
      </c>
      <c r="J222" s="78">
        <f t="shared" si="380"/>
        <v>0</v>
      </c>
      <c r="K222" s="78">
        <f t="shared" si="380"/>
        <v>0</v>
      </c>
      <c r="L222" s="78">
        <f t="shared" si="380"/>
        <v>0</v>
      </c>
      <c r="M222" s="78">
        <f t="shared" si="380"/>
        <v>0</v>
      </c>
      <c r="N222" s="78">
        <f t="shared" si="380"/>
        <v>0</v>
      </c>
      <c r="O222" s="145">
        <f>SUM(D222:N222)</f>
        <v>0</v>
      </c>
      <c r="S222" s="78"/>
      <c r="T222" s="78">
        <f>-MIN(MAX(-T49,),SUM(T220:T221))*(T$5&lt;=Input!$I$195+6)</f>
        <v>0</v>
      </c>
      <c r="U222" s="78">
        <f>-MIN(MAX(-U49,),SUM(U220:U221))*(U$5&lt;=Input!$I$195+6)</f>
        <v>0</v>
      </c>
      <c r="V222" s="78">
        <f>-MIN(MAX(-V49,),SUM(V220:V221))*(V$5&lt;=Input!$I$195+6)</f>
        <v>0</v>
      </c>
      <c r="W222" s="78">
        <f>-MIN(MAX(-W49,),SUM(W220:W221))*(W$5&lt;=Input!$I$195+6)</f>
        <v>0</v>
      </c>
      <c r="X222" s="78">
        <f>-MIN(MAX(-X49,),SUM(X220:X221))*(X$5&lt;=Input!$I$195+6)</f>
        <v>0</v>
      </c>
      <c r="Y222" s="78">
        <f>-MIN(MAX(-Y49,),SUM(Y220:Y221))*(Y$5&lt;=Input!$I$195+6)</f>
        <v>0</v>
      </c>
      <c r="Z222" s="78">
        <f>-MIN(MAX(-Z49,),SUM(Z220:Z221))*(Z$5&lt;=Input!$I$195+6)</f>
        <v>0</v>
      </c>
      <c r="AA222" s="78">
        <f>-MIN(MAX(-AA49,),SUM(AA220:AA221))*(AA$5&lt;=Input!$I$195+6)</f>
        <v>0</v>
      </c>
      <c r="AB222" s="78">
        <f>-MIN(MAX(-AB49,),SUM(AB220:AB221))*(AB$5&lt;=Input!$I$195+6)</f>
        <v>0</v>
      </c>
      <c r="AC222" s="78">
        <f>-MIN(MAX(-AC49,),SUM(AC220:AC221))*(AC$5&lt;=Input!$I$195+6)</f>
        <v>0</v>
      </c>
      <c r="AD222" s="78">
        <f>-MIN(MAX(-AD49,),SUM(AD220:AD221))*(AD$5&lt;=Input!$I$195+6)</f>
        <v>0</v>
      </c>
      <c r="AE222" s="78">
        <f>-MIN(MAX(-AE49,),SUM(AE220:AE221))*(AE$5&lt;=Input!$I$195+6)</f>
        <v>0</v>
      </c>
      <c r="AF222" s="78">
        <f>-MIN(MAX(-AF49,),SUM(AF220:AF221))*(AF$5&lt;=Input!$I$195+6)</f>
        <v>0</v>
      </c>
      <c r="AG222" s="78">
        <f>-MIN(MAX(-AG49,),SUM(AG220:AG221))*(AG$5&lt;=Input!$I$195+6)</f>
        <v>0</v>
      </c>
      <c r="AH222" s="78">
        <f>-MIN(MAX(-AH49,),SUM(AH220:AH221))*(AH$5&lt;=Input!$I$195+6)</f>
        <v>0</v>
      </c>
      <c r="AI222" s="78">
        <f>-MIN(MAX(-AI49,),SUM(AI220:AI221))*(AI$5&lt;=Input!$I$195+6)</f>
        <v>0</v>
      </c>
      <c r="AJ222" s="78">
        <f>-MIN(MAX(-AJ49,),SUM(AJ220:AJ221))*(AJ$5&lt;=Input!$I$195+6)</f>
        <v>0</v>
      </c>
      <c r="AK222" s="78">
        <f>-MIN(MAX(-AK49,),SUM(AK220:AK221))*(AK$5&lt;=Input!$I$195+6)</f>
        <v>0</v>
      </c>
      <c r="AL222" s="78">
        <f>-MIN(MAX(-AL49,),SUM(AL220:AL221))*(AL$5&lt;=Input!$I$195+6)</f>
        <v>0</v>
      </c>
      <c r="AM222" s="78">
        <f>-MIN(MAX(-AM49,),SUM(AM220:AM221))*(AM$5&lt;=Input!$I$195+6)</f>
        <v>0</v>
      </c>
      <c r="AN222" s="78">
        <f>-MIN(MAX(-AN49,),SUM(AN220:AN221))*(AN$5&lt;=Input!$I$195+6)</f>
        <v>0</v>
      </c>
      <c r="AO222" s="78">
        <f>-MIN(MAX(-AO49,),SUM(AO220:AO221))*(AO$5&lt;=Input!$I$195+6)</f>
        <v>0</v>
      </c>
      <c r="AP222" s="78">
        <f>-MIN(MAX(-AP49,),SUM(AP220:AP221))*(AP$5&lt;=Input!$I$195+6)</f>
        <v>0</v>
      </c>
      <c r="AQ222" s="78">
        <f>-MIN(MAX(-AQ49,),SUM(AQ220:AQ221))*(AQ$5&lt;=Input!$I$195+6)</f>
        <v>0</v>
      </c>
      <c r="AR222" s="78">
        <f>-MIN(MAX(-AR49,),SUM(AR220:AR221))*(AR$5&lt;=Input!$I$195+6)</f>
        <v>0</v>
      </c>
      <c r="AS222" s="78">
        <f>-MIN(MAX(-AS49,),SUM(AS220:AS221))*(AS$5&lt;=Input!$I$195+6)</f>
        <v>0</v>
      </c>
      <c r="AT222" s="78">
        <f>-MIN(MAX(-AT49,),SUM(AT220:AT221))*(AT$5&lt;=Input!$I$195+6)</f>
        <v>0</v>
      </c>
      <c r="AU222" s="78">
        <f>-MIN(MAX(-AU49,),SUM(AU220:AU221))*(AU$5&lt;=Input!$I$195+6)</f>
        <v>0</v>
      </c>
      <c r="AV222" s="78">
        <f>-MIN(MAX(-AV49,),SUM(AV220:AV221))*(AV$5&lt;=Input!$I$195+6)</f>
        <v>0</v>
      </c>
      <c r="AW222" s="78">
        <f>-MIN(MAX(-AW49,),SUM(AW220:AW221))*(AW$5&lt;=Input!$I$195+6)</f>
        <v>0</v>
      </c>
      <c r="AX222" s="78">
        <f>-MIN(MAX(-AX49,),SUM(AX220:AX221))*(AX$5&lt;=Input!$I$195+6)</f>
        <v>0</v>
      </c>
      <c r="AY222" s="78">
        <f>-MIN(MAX(-AY49,),SUM(AY220:AY221))*(AY$5&lt;=Input!$I$195+6)</f>
        <v>0</v>
      </c>
      <c r="AZ222" s="78">
        <f>-MIN(MAX(-AZ49,),SUM(AZ220:AZ221))*(AZ$5&lt;=Input!$I$195+6)</f>
        <v>0</v>
      </c>
      <c r="BA222" s="78">
        <f>-MIN(MAX(-BA49,),SUM(BA220:BA221))*(BA$5&lt;=Input!$I$195+6)</f>
        <v>0</v>
      </c>
      <c r="BB222" s="78">
        <f>-MIN(MAX(-BB49,),SUM(BB220:BB221))*(BB$5&lt;=Input!$I$195+6)</f>
        <v>0</v>
      </c>
      <c r="BC222" s="78">
        <f>-MIN(MAX(-BC49,),SUM(BC220:BC221))*(BC$5&lt;=Input!$I$195+6)</f>
        <v>0</v>
      </c>
      <c r="BD222" s="78">
        <f>-MIN(MAX(-BD49,),SUM(BD220:BD221))*(BD$5&lt;=Input!$I$195+6)</f>
        <v>0</v>
      </c>
      <c r="BE222" s="78">
        <f>-MIN(MAX(-BE49,),SUM(BE220:BE221))*(BE$5&lt;=Input!$I$195+6)</f>
        <v>0</v>
      </c>
      <c r="BF222" s="78">
        <f>-MIN(MAX(-BF49,),SUM(BF220:BF221))*(BF$5&lt;=Input!$I$195+6)</f>
        <v>0</v>
      </c>
      <c r="BG222" s="78">
        <f>-MIN(MAX(-BG49,),SUM(BG220:BG221))*(BG$5&lt;=Input!$I$195+6)</f>
        <v>0</v>
      </c>
      <c r="BH222" s="78">
        <f>-MIN(MAX(-BH49,),SUM(BH220:BH221))*(BH$5&lt;=Input!$I$195+6)</f>
        <v>0</v>
      </c>
      <c r="BI222" s="78">
        <f>-MIN(MAX(-BI49,),SUM(BI220:BI221))*(BI$5&lt;=Input!$I$195+6)</f>
        <v>0</v>
      </c>
      <c r="BJ222" s="78">
        <f>-MIN(MAX(-BJ49,),SUM(BJ220:BJ221))*(BJ$5&lt;=Input!$I$195+6)</f>
        <v>0</v>
      </c>
      <c r="BK222" s="78">
        <f>-MIN(MAX(-BK49,),SUM(BK220:BK221))*(BK$5&lt;=Input!$I$195+6)</f>
        <v>0</v>
      </c>
      <c r="BL222" s="78">
        <f>-MIN(MAX(-BL49,),SUM(BL220:BL221))*(BL$5&lt;=Input!$I$195+6)</f>
        <v>0</v>
      </c>
      <c r="BM222" s="78">
        <f>-MIN(MAX(-BM49,),SUM(BM220:BM221))*(BM$5&lt;=Input!$I$195+6)</f>
        <v>0</v>
      </c>
      <c r="BN222" s="78">
        <f>-MIN(MAX(-BN49,),SUM(BN220:BN221))*(BN$5&lt;=Input!$I$195+6)</f>
        <v>0</v>
      </c>
      <c r="BO222" s="78">
        <f>-MIN(MAX(-BO49,),SUM(BO220:BO221))*(BO$5&lt;=Input!$I$195+6)</f>
        <v>0</v>
      </c>
      <c r="BP222" s="78">
        <f>-MIN(MAX(-BP49,),SUM(BP220:BP221))*(BP$5&lt;=Input!$I$195+6)</f>
        <v>0</v>
      </c>
      <c r="BQ222" s="78">
        <f>-MIN(MAX(-BQ49,),SUM(BQ220:BQ221))*(BQ$5&lt;=Input!$I$195+6)</f>
        <v>0</v>
      </c>
      <c r="BR222" s="78">
        <f>-MIN(MAX(-BR49,),SUM(BR220:BR221))*(BR$5&lt;=Input!$I$195+6)</f>
        <v>0</v>
      </c>
      <c r="BS222" s="78">
        <f>-MIN(MAX(-BS49,),SUM(BS220:BS221))*(BS$5&lt;=Input!$I$195+6)</f>
        <v>0</v>
      </c>
      <c r="BT222" s="78">
        <f>-MIN(MAX(-BT49,),SUM(BT220:BT221))*(BT$5&lt;=Input!$I$195+6)</f>
        <v>0</v>
      </c>
      <c r="BU222" s="78">
        <f>-MIN(MAX(-BU49,),SUM(BU220:BU221))*(BU$5&lt;=Input!$I$195+6)</f>
        <v>0</v>
      </c>
      <c r="BV222" s="78">
        <f>-MIN(MAX(-BV49,),SUM(BV220:BV221))*(BV$5&lt;=Input!$I$195+6)</f>
        <v>0</v>
      </c>
      <c r="BW222" s="78">
        <f>-MIN(MAX(-BW49,),SUM(BW220:BW221))*(BW$5&lt;=Input!$I$195+6)</f>
        <v>0</v>
      </c>
      <c r="BX222" s="78">
        <f>-MIN(MAX(-BX49,),SUM(BX220:BX221))*(BX$5&lt;=Input!$I$195+6)</f>
        <v>0</v>
      </c>
      <c r="BY222" s="78">
        <f>-MIN(MAX(-BY49,),SUM(BY220:BY221))*(BY$5&lt;=Input!$I$195+6)</f>
        <v>0</v>
      </c>
      <c r="BZ222" s="78">
        <f>-MIN(MAX(-BZ49,),SUM(BZ220:BZ221))*(BZ$5&lt;=Input!$I$195+6)</f>
        <v>0</v>
      </c>
      <c r="CA222" s="78">
        <f>-MIN(MAX(-CA49,),SUM(CA220:CA221))*(CA$5&lt;=Input!$I$195+6)</f>
        <v>0</v>
      </c>
      <c r="CB222" s="78">
        <f>-MIN(MAX(-CB49,),SUM(CB220:CB221))*(CB$5&lt;=Input!$I$195+6)</f>
        <v>0</v>
      </c>
      <c r="CC222" s="78">
        <f>-MIN(MAX(-CC49,),SUM(CC220:CC221))*(CC$5&lt;=Input!$I$195+6)</f>
        <v>0</v>
      </c>
      <c r="CD222" s="78">
        <f>-MIN(MAX(-CD49,),SUM(CD220:CD221))*(CD$5&lt;=Input!$I$195+6)</f>
        <v>0</v>
      </c>
      <c r="CE222" s="78">
        <f>-MIN(MAX(-CE49,),SUM(CE220:CE221))*(CE$5&lt;=Input!$I$195+6)</f>
        <v>0</v>
      </c>
      <c r="CF222" s="78">
        <f>-MIN(MAX(-CF49,),SUM(CF220:CF221))*(CF$5&lt;=Input!$I$195+6)</f>
        <v>0</v>
      </c>
      <c r="CG222" s="78">
        <f>-MIN(MAX(-CG49,),SUM(CG220:CG221))*(CG$5&lt;=Input!$I$195+6)</f>
        <v>0</v>
      </c>
      <c r="CH222" s="78">
        <f>-MIN(MAX(-CH49,),SUM(CH220:CH221))*(CH$5&lt;=Input!$I$195+6)</f>
        <v>0</v>
      </c>
      <c r="CI222" s="78">
        <f>-MIN(MAX(-CI49,),SUM(CI220:CI221))*(CI$5&lt;=Input!$I$195+6)</f>
        <v>0</v>
      </c>
      <c r="CJ222" s="78">
        <f>-MIN(MAX(-CJ49,),SUM(CJ220:CJ221))*(CJ$5&lt;=Input!$I$195+6)</f>
        <v>0</v>
      </c>
      <c r="CK222" s="78">
        <f>-MIN(MAX(-CK49,),SUM(CK220:CK221))*(CK$5&lt;=Input!$I$195+6)</f>
        <v>0</v>
      </c>
      <c r="CL222" s="78">
        <f>-MIN(MAX(-CL49,),SUM(CL220:CL221))*(CL$5&lt;=Input!$I$195+6)</f>
        <v>0</v>
      </c>
      <c r="CM222" s="78">
        <f>-MIN(MAX(-CM49,),SUM(CM220:CM221))*(CM$5&lt;=Input!$I$195+6)</f>
        <v>0</v>
      </c>
      <c r="CN222" s="78">
        <f>-MIN(MAX(-CN49,),SUM(CN220:CN221))*(CN$5&lt;=Input!$I$195+6)</f>
        <v>0</v>
      </c>
      <c r="CO222" s="78">
        <f>-MIN(MAX(-CO49,),SUM(CO220:CO221))*(CO$5&lt;=Input!$I$195+6)</f>
        <v>0</v>
      </c>
      <c r="CP222" s="78">
        <f>-MIN(MAX(-CP49,),SUM(CP220:CP221))*(CP$5&lt;=Input!$I$195+6)</f>
        <v>0</v>
      </c>
      <c r="CQ222" s="78">
        <f>-MIN(MAX(-CQ49,),SUM(CQ220:CQ221))*(CQ$5&lt;=Input!$I$195+6)</f>
        <v>0</v>
      </c>
      <c r="CR222" s="78">
        <f>-MIN(MAX(-CR49,),SUM(CR220:CR221))*(CR$5&lt;=Input!$I$195+6)</f>
        <v>0</v>
      </c>
      <c r="CS222" s="78">
        <f>-MIN(MAX(-CS49,),SUM(CS220:CS221))*(CS$5&lt;=Input!$I$195+6)</f>
        <v>0</v>
      </c>
      <c r="CT222" s="78">
        <f>-MIN(MAX(-CT49,),SUM(CT220:CT221))*(CT$5&lt;=Input!$I$195+6)</f>
        <v>0</v>
      </c>
      <c r="CU222" s="78">
        <f>-MIN(MAX(-CU49,),SUM(CU220:CU221))*(CU$5&lt;=Input!$I$195+6)</f>
        <v>0</v>
      </c>
      <c r="CV222" s="78">
        <f>-MIN(MAX(-CV49,),SUM(CV220:CV221))*(CV$5&lt;=Input!$I$195+6)</f>
        <v>0</v>
      </c>
      <c r="CW222" s="78">
        <f>-MIN(MAX(-CW49,),SUM(CW220:CW221))*(CW$5&lt;=Input!$I$195+6)</f>
        <v>0</v>
      </c>
      <c r="CX222" s="78">
        <f>-MIN(MAX(-CX49,),SUM(CX220:CX221))*(CX$5&lt;=Input!$I$195+6)</f>
        <v>0</v>
      </c>
      <c r="CY222" s="78">
        <f>-MIN(MAX(-CY49,),SUM(CY220:CY221))*(CY$5&lt;=Input!$I$195+6)</f>
        <v>0</v>
      </c>
      <c r="CZ222" s="78">
        <f>-MIN(MAX(-CZ49,),SUM(CZ220:CZ221))*(CZ$5&lt;=Input!$I$195+6)</f>
        <v>0</v>
      </c>
      <c r="DA222" s="78">
        <f>-MIN(MAX(-DA49,),SUM(DA220:DA221))*(DA$5&lt;=Input!$I$195+6)</f>
        <v>0</v>
      </c>
      <c r="DB222" s="78">
        <f>-MIN(MAX(-DB49,),SUM(DB220:DB221))*(DB$5&lt;=Input!$I$195+6)</f>
        <v>0</v>
      </c>
      <c r="DC222" s="78">
        <f>-MIN(MAX(-DC49,),SUM(DC220:DC221))*(DC$5&lt;=Input!$I$195+6)</f>
        <v>0</v>
      </c>
      <c r="DD222" s="78">
        <f>-MIN(MAX(-DD49,),SUM(DD220:DD221))*(DD$5&lt;=Input!$I$195+6)</f>
        <v>0</v>
      </c>
      <c r="DE222" s="78">
        <f>-MIN(MAX(-DE49,),SUM(DE220:DE221))*(DE$5&lt;=Input!$I$195+6)</f>
        <v>0</v>
      </c>
      <c r="DF222" s="78">
        <f>-MIN(MAX(-DF49,),SUM(DF220:DF221))*(DF$5&lt;=Input!$I$195+6)</f>
        <v>0</v>
      </c>
      <c r="DG222" s="78">
        <f>-MIN(MAX(-DG49,),SUM(DG220:DG221))*(DG$5&lt;=Input!$I$195+6)</f>
        <v>0</v>
      </c>
      <c r="DH222" s="78">
        <f>-MIN(MAX(-DH49,),SUM(DH220:DH221))*(DH$5&lt;=Input!$I$195+6)</f>
        <v>0</v>
      </c>
      <c r="DI222" s="78">
        <f>-MIN(MAX(-DI49,),SUM(DI220:DI221))*(DI$5&lt;=Input!$I$195+6)</f>
        <v>0</v>
      </c>
      <c r="DJ222" s="78">
        <f>-MIN(MAX(-DJ49,),SUM(DJ220:DJ221))*(DJ$5&lt;=Input!$I$195+6)</f>
        <v>0</v>
      </c>
      <c r="DK222" s="78">
        <f>-MIN(MAX(-DK49,),SUM(DK220:DK221))*(DK$5&lt;=Input!$I$195+6)</f>
        <v>0</v>
      </c>
      <c r="DL222" s="78">
        <f>-MIN(MAX(-DL49,),SUM(DL220:DL221))*(DL$5&lt;=Input!$I$195+6)</f>
        <v>0</v>
      </c>
      <c r="DM222" s="78">
        <f>-MIN(MAX(-DM49,),SUM(DM220:DM221))*(DM$5&lt;=Input!$I$195+6)</f>
        <v>0</v>
      </c>
      <c r="DN222" s="78">
        <f>-MIN(MAX(-DN49,),SUM(DN220:DN221))*(DN$5&lt;=Input!$I$195+6)</f>
        <v>0</v>
      </c>
      <c r="DO222" s="78">
        <f>-MIN(MAX(-DO49,),SUM(DO220:DO221))*(DO$5&lt;=Input!$I$195+6)</f>
        <v>0</v>
      </c>
      <c r="DP222" s="78">
        <f>-MIN(MAX(-DP49,),SUM(DP220:DP221))*(DP$5&lt;=Input!$I$195+6)</f>
        <v>0</v>
      </c>
      <c r="DQ222" s="78">
        <f>-MIN(MAX(-DQ49,),SUM(DQ220:DQ221))*(DQ$5&lt;=Input!$I$195+6)</f>
        <v>0</v>
      </c>
      <c r="DR222" s="78">
        <f>-MIN(MAX(-DR49,),SUM(DR220:DR221))*(DR$5&lt;=Input!$I$195+6)</f>
        <v>0</v>
      </c>
      <c r="DS222" s="78">
        <f>-MIN(MAX(-DS49,),SUM(DS220:DS221))*(DS$5&lt;=Input!$I$195+6)</f>
        <v>0</v>
      </c>
      <c r="DT222" s="78">
        <f>-MIN(MAX(-DT49,),SUM(DT220:DT221))*(DT$5&lt;=Input!$I$195+6)</f>
        <v>0</v>
      </c>
      <c r="DU222" s="78">
        <f>-MIN(MAX(-DU49,),SUM(DU220:DU221))*(DU$5&lt;=Input!$I$195+6)</f>
        <v>0</v>
      </c>
      <c r="DV222" s="78">
        <f>-MIN(MAX(-DV49,),SUM(DV220:DV221))*(DV$5&lt;=Input!$I$195+6)</f>
        <v>0</v>
      </c>
      <c r="DW222" s="78">
        <f>-MIN(MAX(-DW49,),SUM(DW220:DW221))*(DW$5&lt;=Input!$I$195+6)</f>
        <v>0</v>
      </c>
      <c r="DX222" s="78">
        <f>-MIN(MAX(-DX49,),SUM(DX220:DX221))*(DX$5&lt;=Input!$I$195+6)</f>
        <v>0</v>
      </c>
      <c r="DY222" s="78">
        <f>-MIN(MAX(-DY49,),SUM(DY220:DY221))*(DY$5&lt;=Input!$I$195+6)</f>
        <v>0</v>
      </c>
      <c r="DZ222" s="78">
        <f>-MIN(MAX(-DZ49,),SUM(DZ220:DZ221))*(DZ$5&lt;=Input!$I$195+6)</f>
        <v>0</v>
      </c>
      <c r="EA222" s="78">
        <f>-MIN(MAX(-EA49,),SUM(EA220:EA221))*(EA$5&lt;=Input!$I$195+6)</f>
        <v>0</v>
      </c>
      <c r="EB222" s="78">
        <f>-MIN(MAX(-EB49,),SUM(EB220:EB221))*(EB$5&lt;=Input!$I$195+6)</f>
        <v>0</v>
      </c>
      <c r="EC222" s="78">
        <f>-MIN(MAX(-EC49,),SUM(EC220:EC221))*(EC$5&lt;=Input!$I$195+6)</f>
        <v>0</v>
      </c>
      <c r="ED222" s="78">
        <f>-MIN(MAX(-ED49,),SUM(ED220:ED221))*(ED$5&lt;=Input!$I$195+6)</f>
        <v>0</v>
      </c>
      <c r="EE222" s="78">
        <f>-MIN(MAX(-EE49,),SUM(EE220:EE221))*(EE$5&lt;=Input!$I$195+6)</f>
        <v>0</v>
      </c>
      <c r="EF222" s="78">
        <f>-MIN(MAX(-EF49,),SUM(EF220:EF221))*(EF$5&lt;=Input!$I$195+6)</f>
        <v>0</v>
      </c>
      <c r="EG222" s="78">
        <f>-MIN(MAX(-EG49,),SUM(EG220:EG221))*(EG$5&lt;=Input!$I$195+6)</f>
        <v>0</v>
      </c>
      <c r="EH222" s="78">
        <f>-MIN(MAX(-EH49,),SUM(EH220:EH221))*(EH$5&lt;=Input!$I$195+6)</f>
        <v>0</v>
      </c>
      <c r="EI222" s="78">
        <f>-MIN(MAX(-EI49,),SUM(EI220:EI221))*(EI$5&lt;=Input!$I$195+6)</f>
        <v>0</v>
      </c>
    </row>
    <row r="223" spans="2:139" ht="12.75" customHeight="1">
      <c r="B223" s="41" t="s">
        <v>606</v>
      </c>
      <c r="C223" s="211"/>
      <c r="D223" s="78">
        <f>SUMIF($S$6:$EI$6,D$5,$S223:$EI223)</f>
        <v>0</v>
      </c>
      <c r="E223" s="78">
        <f t="shared" si="380"/>
        <v>0</v>
      </c>
      <c r="F223" s="78">
        <f t="shared" si="380"/>
        <v>0</v>
      </c>
      <c r="G223" s="78">
        <f t="shared" si="380"/>
        <v>0</v>
      </c>
      <c r="H223" s="78">
        <f t="shared" si="380"/>
        <v>0</v>
      </c>
      <c r="I223" s="78">
        <f t="shared" si="380"/>
        <v>0</v>
      </c>
      <c r="J223" s="78">
        <f t="shared" si="380"/>
        <v>0</v>
      </c>
      <c r="K223" s="78">
        <f t="shared" si="380"/>
        <v>0</v>
      </c>
      <c r="L223" s="78">
        <f t="shared" si="380"/>
        <v>0</v>
      </c>
      <c r="M223" s="78">
        <f t="shared" si="380"/>
        <v>0</v>
      </c>
      <c r="N223" s="78">
        <f t="shared" si="380"/>
        <v>0</v>
      </c>
      <c r="O223" s="145">
        <f>SUM(D223:N223)</f>
        <v>0</v>
      </c>
      <c r="S223" s="78">
        <f t="shared" ref="S223:AX223" si="381">-SUM(S220:S222)*(ROUND(SUM(S205:S208),)=0)</f>
        <v>0</v>
      </c>
      <c r="T223" s="78">
        <f t="shared" si="381"/>
        <v>0</v>
      </c>
      <c r="U223" s="78">
        <f t="shared" si="381"/>
        <v>0</v>
      </c>
      <c r="V223" s="78">
        <f t="shared" si="381"/>
        <v>0</v>
      </c>
      <c r="W223" s="78">
        <f t="shared" si="381"/>
        <v>0</v>
      </c>
      <c r="X223" s="78">
        <f t="shared" si="381"/>
        <v>0</v>
      </c>
      <c r="Y223" s="78">
        <f t="shared" si="381"/>
        <v>0</v>
      </c>
      <c r="Z223" s="78">
        <f t="shared" si="381"/>
        <v>0</v>
      </c>
      <c r="AA223" s="78">
        <f t="shared" si="381"/>
        <v>0</v>
      </c>
      <c r="AB223" s="78">
        <f t="shared" si="381"/>
        <v>0</v>
      </c>
      <c r="AC223" s="78">
        <f t="shared" si="381"/>
        <v>0</v>
      </c>
      <c r="AD223" s="78">
        <f t="shared" si="381"/>
        <v>0</v>
      </c>
      <c r="AE223" s="78">
        <f t="shared" si="381"/>
        <v>0</v>
      </c>
      <c r="AF223" s="78">
        <f t="shared" si="381"/>
        <v>0</v>
      </c>
      <c r="AG223" s="78">
        <f t="shared" si="381"/>
        <v>0</v>
      </c>
      <c r="AH223" s="78">
        <f t="shared" si="381"/>
        <v>0</v>
      </c>
      <c r="AI223" s="78">
        <f t="shared" si="381"/>
        <v>0</v>
      </c>
      <c r="AJ223" s="78">
        <f t="shared" si="381"/>
        <v>0</v>
      </c>
      <c r="AK223" s="78">
        <f t="shared" si="381"/>
        <v>0</v>
      </c>
      <c r="AL223" s="78">
        <f t="shared" si="381"/>
        <v>0</v>
      </c>
      <c r="AM223" s="78">
        <f t="shared" si="381"/>
        <v>0</v>
      </c>
      <c r="AN223" s="78">
        <f t="shared" si="381"/>
        <v>0</v>
      </c>
      <c r="AO223" s="78">
        <f t="shared" si="381"/>
        <v>0</v>
      </c>
      <c r="AP223" s="78">
        <f t="shared" si="381"/>
        <v>0</v>
      </c>
      <c r="AQ223" s="78">
        <f t="shared" si="381"/>
        <v>0</v>
      </c>
      <c r="AR223" s="78">
        <f t="shared" si="381"/>
        <v>0</v>
      </c>
      <c r="AS223" s="78">
        <f t="shared" si="381"/>
        <v>0</v>
      </c>
      <c r="AT223" s="78">
        <f t="shared" si="381"/>
        <v>0</v>
      </c>
      <c r="AU223" s="78">
        <f t="shared" si="381"/>
        <v>0</v>
      </c>
      <c r="AV223" s="78">
        <f t="shared" si="381"/>
        <v>0</v>
      </c>
      <c r="AW223" s="78">
        <f t="shared" si="381"/>
        <v>0</v>
      </c>
      <c r="AX223" s="78">
        <f t="shared" si="381"/>
        <v>0</v>
      </c>
      <c r="AY223" s="78">
        <f t="shared" ref="AY223:CD223" si="382">-SUM(AY220:AY222)*(ROUND(SUM(AY205:AY208),)=0)</f>
        <v>0</v>
      </c>
      <c r="AZ223" s="78">
        <f t="shared" si="382"/>
        <v>0</v>
      </c>
      <c r="BA223" s="78">
        <f t="shared" si="382"/>
        <v>0</v>
      </c>
      <c r="BB223" s="78">
        <f t="shared" si="382"/>
        <v>0</v>
      </c>
      <c r="BC223" s="78">
        <f t="shared" si="382"/>
        <v>0</v>
      </c>
      <c r="BD223" s="78">
        <f t="shared" si="382"/>
        <v>0</v>
      </c>
      <c r="BE223" s="78">
        <f t="shared" si="382"/>
        <v>0</v>
      </c>
      <c r="BF223" s="78">
        <f t="shared" si="382"/>
        <v>0</v>
      </c>
      <c r="BG223" s="78">
        <f t="shared" si="382"/>
        <v>0</v>
      </c>
      <c r="BH223" s="78">
        <f t="shared" si="382"/>
        <v>0</v>
      </c>
      <c r="BI223" s="78">
        <f t="shared" si="382"/>
        <v>0</v>
      </c>
      <c r="BJ223" s="78">
        <f t="shared" si="382"/>
        <v>0</v>
      </c>
      <c r="BK223" s="78">
        <f t="shared" si="382"/>
        <v>0</v>
      </c>
      <c r="BL223" s="78">
        <f t="shared" si="382"/>
        <v>0</v>
      </c>
      <c r="BM223" s="78">
        <f t="shared" si="382"/>
        <v>0</v>
      </c>
      <c r="BN223" s="78">
        <f t="shared" si="382"/>
        <v>0</v>
      </c>
      <c r="BO223" s="78">
        <f t="shared" si="382"/>
        <v>0</v>
      </c>
      <c r="BP223" s="78">
        <f t="shared" si="382"/>
        <v>0</v>
      </c>
      <c r="BQ223" s="78">
        <f t="shared" si="382"/>
        <v>0</v>
      </c>
      <c r="BR223" s="78">
        <f t="shared" si="382"/>
        <v>0</v>
      </c>
      <c r="BS223" s="78">
        <f t="shared" si="382"/>
        <v>0</v>
      </c>
      <c r="BT223" s="78">
        <f t="shared" si="382"/>
        <v>0</v>
      </c>
      <c r="BU223" s="78">
        <f t="shared" si="382"/>
        <v>0</v>
      </c>
      <c r="BV223" s="78">
        <f t="shared" si="382"/>
        <v>0</v>
      </c>
      <c r="BW223" s="78">
        <f t="shared" si="382"/>
        <v>0</v>
      </c>
      <c r="BX223" s="78">
        <f t="shared" si="382"/>
        <v>0</v>
      </c>
      <c r="BY223" s="78">
        <f t="shared" si="382"/>
        <v>0</v>
      </c>
      <c r="BZ223" s="78">
        <f t="shared" si="382"/>
        <v>0</v>
      </c>
      <c r="CA223" s="78">
        <f t="shared" si="382"/>
        <v>0</v>
      </c>
      <c r="CB223" s="78">
        <f t="shared" si="382"/>
        <v>0</v>
      </c>
      <c r="CC223" s="78">
        <f t="shared" si="382"/>
        <v>0</v>
      </c>
      <c r="CD223" s="78">
        <f t="shared" si="382"/>
        <v>0</v>
      </c>
      <c r="CE223" s="78">
        <f t="shared" ref="CE223:DJ223" si="383">-SUM(CE220:CE222)*(ROUND(SUM(CE205:CE208),)=0)</f>
        <v>0</v>
      </c>
      <c r="CF223" s="78">
        <f t="shared" si="383"/>
        <v>0</v>
      </c>
      <c r="CG223" s="78">
        <f t="shared" si="383"/>
        <v>0</v>
      </c>
      <c r="CH223" s="78">
        <f t="shared" si="383"/>
        <v>0</v>
      </c>
      <c r="CI223" s="78">
        <f t="shared" si="383"/>
        <v>0</v>
      </c>
      <c r="CJ223" s="78">
        <f t="shared" si="383"/>
        <v>0</v>
      </c>
      <c r="CK223" s="78">
        <f t="shared" si="383"/>
        <v>0</v>
      </c>
      <c r="CL223" s="78">
        <f t="shared" si="383"/>
        <v>0</v>
      </c>
      <c r="CM223" s="78">
        <f t="shared" si="383"/>
        <v>0</v>
      </c>
      <c r="CN223" s="78">
        <f t="shared" si="383"/>
        <v>0</v>
      </c>
      <c r="CO223" s="78">
        <f t="shared" si="383"/>
        <v>0</v>
      </c>
      <c r="CP223" s="78">
        <f t="shared" si="383"/>
        <v>0</v>
      </c>
      <c r="CQ223" s="78">
        <f t="shared" si="383"/>
        <v>0</v>
      </c>
      <c r="CR223" s="78">
        <f t="shared" si="383"/>
        <v>0</v>
      </c>
      <c r="CS223" s="78">
        <f t="shared" si="383"/>
        <v>0</v>
      </c>
      <c r="CT223" s="78">
        <f t="shared" si="383"/>
        <v>0</v>
      </c>
      <c r="CU223" s="78">
        <f t="shared" si="383"/>
        <v>0</v>
      </c>
      <c r="CV223" s="78">
        <f t="shared" si="383"/>
        <v>0</v>
      </c>
      <c r="CW223" s="78">
        <f t="shared" si="383"/>
        <v>0</v>
      </c>
      <c r="CX223" s="78">
        <f t="shared" si="383"/>
        <v>0</v>
      </c>
      <c r="CY223" s="78">
        <f t="shared" si="383"/>
        <v>0</v>
      </c>
      <c r="CZ223" s="78">
        <f t="shared" si="383"/>
        <v>0</v>
      </c>
      <c r="DA223" s="78">
        <f t="shared" si="383"/>
        <v>0</v>
      </c>
      <c r="DB223" s="78">
        <f t="shared" si="383"/>
        <v>0</v>
      </c>
      <c r="DC223" s="78">
        <f t="shared" si="383"/>
        <v>0</v>
      </c>
      <c r="DD223" s="78">
        <f t="shared" si="383"/>
        <v>0</v>
      </c>
      <c r="DE223" s="78">
        <f t="shared" si="383"/>
        <v>0</v>
      </c>
      <c r="DF223" s="78">
        <f t="shared" si="383"/>
        <v>0</v>
      </c>
      <c r="DG223" s="78">
        <f t="shared" si="383"/>
        <v>0</v>
      </c>
      <c r="DH223" s="78">
        <f t="shared" si="383"/>
        <v>0</v>
      </c>
      <c r="DI223" s="78">
        <f t="shared" si="383"/>
        <v>0</v>
      </c>
      <c r="DJ223" s="78">
        <f t="shared" si="383"/>
        <v>0</v>
      </c>
      <c r="DK223" s="78">
        <f t="shared" ref="DK223:EP223" si="384">-SUM(DK220:DK222)*(ROUND(SUM(DK205:DK208),)=0)</f>
        <v>0</v>
      </c>
      <c r="DL223" s="78">
        <f t="shared" si="384"/>
        <v>0</v>
      </c>
      <c r="DM223" s="78">
        <f t="shared" si="384"/>
        <v>0</v>
      </c>
      <c r="DN223" s="78">
        <f t="shared" si="384"/>
        <v>0</v>
      </c>
      <c r="DO223" s="78">
        <f t="shared" si="384"/>
        <v>0</v>
      </c>
      <c r="DP223" s="78">
        <f t="shared" si="384"/>
        <v>0</v>
      </c>
      <c r="DQ223" s="78">
        <f t="shared" si="384"/>
        <v>0</v>
      </c>
      <c r="DR223" s="78">
        <f t="shared" si="384"/>
        <v>0</v>
      </c>
      <c r="DS223" s="78">
        <f t="shared" si="384"/>
        <v>0</v>
      </c>
      <c r="DT223" s="78">
        <f t="shared" si="384"/>
        <v>0</v>
      </c>
      <c r="DU223" s="78">
        <f t="shared" si="384"/>
        <v>0</v>
      </c>
      <c r="DV223" s="78">
        <f t="shared" si="384"/>
        <v>0</v>
      </c>
      <c r="DW223" s="78">
        <f t="shared" si="384"/>
        <v>0</v>
      </c>
      <c r="DX223" s="78">
        <f t="shared" si="384"/>
        <v>0</v>
      </c>
      <c r="DY223" s="78">
        <f t="shared" si="384"/>
        <v>0</v>
      </c>
      <c r="DZ223" s="78">
        <f t="shared" si="384"/>
        <v>0</v>
      </c>
      <c r="EA223" s="78">
        <f t="shared" si="384"/>
        <v>0</v>
      </c>
      <c r="EB223" s="78">
        <f t="shared" si="384"/>
        <v>0</v>
      </c>
      <c r="EC223" s="78">
        <f t="shared" si="384"/>
        <v>0</v>
      </c>
      <c r="ED223" s="78">
        <f t="shared" si="384"/>
        <v>0</v>
      </c>
      <c r="EE223" s="78">
        <f t="shared" si="384"/>
        <v>0</v>
      </c>
      <c r="EF223" s="78">
        <f t="shared" si="384"/>
        <v>0</v>
      </c>
      <c r="EG223" s="78">
        <f t="shared" si="384"/>
        <v>0</v>
      </c>
      <c r="EH223" s="78">
        <f t="shared" si="384"/>
        <v>0</v>
      </c>
      <c r="EI223" s="78">
        <f t="shared" si="384"/>
        <v>0</v>
      </c>
    </row>
    <row r="224" spans="2:139" ht="12.75" customHeight="1">
      <c r="B224" s="46" t="s">
        <v>595</v>
      </c>
      <c r="C224" s="209"/>
      <c r="D224" s="694">
        <f t="shared" ref="D224:O224" si="385">ROUND(SUBTOTAL(9,D220:D223),2)</f>
        <v>0</v>
      </c>
      <c r="E224" s="694">
        <f t="shared" si="385"/>
        <v>0</v>
      </c>
      <c r="F224" s="694">
        <f t="shared" si="385"/>
        <v>0</v>
      </c>
      <c r="G224" s="694">
        <f t="shared" si="385"/>
        <v>0</v>
      </c>
      <c r="H224" s="694">
        <f t="shared" si="385"/>
        <v>0</v>
      </c>
      <c r="I224" s="694">
        <f t="shared" si="385"/>
        <v>0</v>
      </c>
      <c r="J224" s="694">
        <f t="shared" si="385"/>
        <v>0</v>
      </c>
      <c r="K224" s="694">
        <f t="shared" si="385"/>
        <v>0</v>
      </c>
      <c r="L224" s="694">
        <f t="shared" si="385"/>
        <v>0</v>
      </c>
      <c r="M224" s="694">
        <f t="shared" si="385"/>
        <v>0</v>
      </c>
      <c r="N224" s="694">
        <f t="shared" si="385"/>
        <v>0</v>
      </c>
      <c r="O224" s="713">
        <f t="shared" si="385"/>
        <v>0</v>
      </c>
      <c r="S224" s="694">
        <f t="shared" ref="S224:AX224" si="386">IF(SUM(S220:S223)&gt;1,SUBTOTAL(9,S220:S223),)</f>
        <v>0</v>
      </c>
      <c r="T224" s="694">
        <f t="shared" si="386"/>
        <v>0</v>
      </c>
      <c r="U224" s="694">
        <f t="shared" si="386"/>
        <v>0</v>
      </c>
      <c r="V224" s="694">
        <f t="shared" si="386"/>
        <v>0</v>
      </c>
      <c r="W224" s="694">
        <f t="shared" si="386"/>
        <v>0</v>
      </c>
      <c r="X224" s="694">
        <f t="shared" si="386"/>
        <v>0</v>
      </c>
      <c r="Y224" s="694">
        <f t="shared" si="386"/>
        <v>0</v>
      </c>
      <c r="Z224" s="694">
        <f t="shared" si="386"/>
        <v>0</v>
      </c>
      <c r="AA224" s="694">
        <f t="shared" si="386"/>
        <v>0</v>
      </c>
      <c r="AB224" s="694">
        <f t="shared" si="386"/>
        <v>0</v>
      </c>
      <c r="AC224" s="694">
        <f t="shared" si="386"/>
        <v>0</v>
      </c>
      <c r="AD224" s="694">
        <f t="shared" si="386"/>
        <v>0</v>
      </c>
      <c r="AE224" s="694">
        <f t="shared" si="386"/>
        <v>0</v>
      </c>
      <c r="AF224" s="694">
        <f t="shared" si="386"/>
        <v>0</v>
      </c>
      <c r="AG224" s="694">
        <f t="shared" si="386"/>
        <v>0</v>
      </c>
      <c r="AH224" s="694">
        <f t="shared" si="386"/>
        <v>0</v>
      </c>
      <c r="AI224" s="694">
        <f t="shared" si="386"/>
        <v>0</v>
      </c>
      <c r="AJ224" s="694">
        <f t="shared" si="386"/>
        <v>0</v>
      </c>
      <c r="AK224" s="694">
        <f t="shared" si="386"/>
        <v>0</v>
      </c>
      <c r="AL224" s="694">
        <f t="shared" si="386"/>
        <v>0</v>
      </c>
      <c r="AM224" s="694">
        <f t="shared" si="386"/>
        <v>0</v>
      </c>
      <c r="AN224" s="694">
        <f t="shared" si="386"/>
        <v>0</v>
      </c>
      <c r="AO224" s="694">
        <f t="shared" si="386"/>
        <v>0</v>
      </c>
      <c r="AP224" s="694">
        <f t="shared" si="386"/>
        <v>0</v>
      </c>
      <c r="AQ224" s="694">
        <f t="shared" si="386"/>
        <v>0</v>
      </c>
      <c r="AR224" s="694">
        <f t="shared" si="386"/>
        <v>0</v>
      </c>
      <c r="AS224" s="694">
        <f t="shared" si="386"/>
        <v>0</v>
      </c>
      <c r="AT224" s="694">
        <f t="shared" si="386"/>
        <v>0</v>
      </c>
      <c r="AU224" s="694">
        <f t="shared" si="386"/>
        <v>0</v>
      </c>
      <c r="AV224" s="694">
        <f t="shared" si="386"/>
        <v>0</v>
      </c>
      <c r="AW224" s="694">
        <f t="shared" si="386"/>
        <v>0</v>
      </c>
      <c r="AX224" s="694">
        <f t="shared" si="386"/>
        <v>0</v>
      </c>
      <c r="AY224" s="694">
        <f t="shared" ref="AY224:CD224" si="387">IF(SUM(AY220:AY223)&gt;1,SUBTOTAL(9,AY220:AY223),)</f>
        <v>0</v>
      </c>
      <c r="AZ224" s="694">
        <f t="shared" si="387"/>
        <v>0</v>
      </c>
      <c r="BA224" s="694">
        <f t="shared" si="387"/>
        <v>0</v>
      </c>
      <c r="BB224" s="694">
        <f t="shared" si="387"/>
        <v>0</v>
      </c>
      <c r="BC224" s="694">
        <f t="shared" si="387"/>
        <v>0</v>
      </c>
      <c r="BD224" s="694">
        <f t="shared" si="387"/>
        <v>0</v>
      </c>
      <c r="BE224" s="694">
        <f t="shared" si="387"/>
        <v>0</v>
      </c>
      <c r="BF224" s="694">
        <f t="shared" si="387"/>
        <v>0</v>
      </c>
      <c r="BG224" s="694">
        <f t="shared" si="387"/>
        <v>0</v>
      </c>
      <c r="BH224" s="694">
        <f t="shared" si="387"/>
        <v>0</v>
      </c>
      <c r="BI224" s="694">
        <f t="shared" si="387"/>
        <v>0</v>
      </c>
      <c r="BJ224" s="694">
        <f t="shared" si="387"/>
        <v>0</v>
      </c>
      <c r="BK224" s="694">
        <f t="shared" si="387"/>
        <v>0</v>
      </c>
      <c r="BL224" s="694">
        <f t="shared" si="387"/>
        <v>0</v>
      </c>
      <c r="BM224" s="694">
        <f t="shared" si="387"/>
        <v>0</v>
      </c>
      <c r="BN224" s="694">
        <f t="shared" si="387"/>
        <v>0</v>
      </c>
      <c r="BO224" s="694">
        <f t="shared" si="387"/>
        <v>0</v>
      </c>
      <c r="BP224" s="694">
        <f t="shared" si="387"/>
        <v>0</v>
      </c>
      <c r="BQ224" s="694">
        <f t="shared" si="387"/>
        <v>0</v>
      </c>
      <c r="BR224" s="694">
        <f t="shared" si="387"/>
        <v>0</v>
      </c>
      <c r="BS224" s="694">
        <f t="shared" si="387"/>
        <v>0</v>
      </c>
      <c r="BT224" s="694">
        <f t="shared" si="387"/>
        <v>0</v>
      </c>
      <c r="BU224" s="694">
        <f t="shared" si="387"/>
        <v>0</v>
      </c>
      <c r="BV224" s="694">
        <f t="shared" si="387"/>
        <v>0</v>
      </c>
      <c r="BW224" s="694">
        <f t="shared" si="387"/>
        <v>0</v>
      </c>
      <c r="BX224" s="694">
        <f t="shared" si="387"/>
        <v>0</v>
      </c>
      <c r="BY224" s="694">
        <f t="shared" si="387"/>
        <v>0</v>
      </c>
      <c r="BZ224" s="694">
        <f t="shared" si="387"/>
        <v>0</v>
      </c>
      <c r="CA224" s="694">
        <f t="shared" si="387"/>
        <v>0</v>
      </c>
      <c r="CB224" s="694">
        <f t="shared" si="387"/>
        <v>0</v>
      </c>
      <c r="CC224" s="694">
        <f t="shared" si="387"/>
        <v>0</v>
      </c>
      <c r="CD224" s="694">
        <f t="shared" si="387"/>
        <v>0</v>
      </c>
      <c r="CE224" s="694">
        <f t="shared" ref="CE224:DJ224" si="388">IF(SUM(CE220:CE223)&gt;1,SUBTOTAL(9,CE220:CE223),)</f>
        <v>0</v>
      </c>
      <c r="CF224" s="694">
        <f t="shared" si="388"/>
        <v>0</v>
      </c>
      <c r="CG224" s="694">
        <f t="shared" si="388"/>
        <v>0</v>
      </c>
      <c r="CH224" s="694">
        <f t="shared" si="388"/>
        <v>0</v>
      </c>
      <c r="CI224" s="694">
        <f t="shared" si="388"/>
        <v>0</v>
      </c>
      <c r="CJ224" s="694">
        <f t="shared" si="388"/>
        <v>0</v>
      </c>
      <c r="CK224" s="694">
        <f t="shared" si="388"/>
        <v>0</v>
      </c>
      <c r="CL224" s="694">
        <f t="shared" si="388"/>
        <v>0</v>
      </c>
      <c r="CM224" s="694">
        <f t="shared" si="388"/>
        <v>0</v>
      </c>
      <c r="CN224" s="694">
        <f t="shared" si="388"/>
        <v>0</v>
      </c>
      <c r="CO224" s="694">
        <f t="shared" si="388"/>
        <v>0</v>
      </c>
      <c r="CP224" s="694">
        <f t="shared" si="388"/>
        <v>0</v>
      </c>
      <c r="CQ224" s="694">
        <f t="shared" si="388"/>
        <v>0</v>
      </c>
      <c r="CR224" s="694">
        <f t="shared" si="388"/>
        <v>0</v>
      </c>
      <c r="CS224" s="694">
        <f t="shared" si="388"/>
        <v>0</v>
      </c>
      <c r="CT224" s="694">
        <f t="shared" si="388"/>
        <v>0</v>
      </c>
      <c r="CU224" s="694">
        <f t="shared" si="388"/>
        <v>0</v>
      </c>
      <c r="CV224" s="694">
        <f t="shared" si="388"/>
        <v>0</v>
      </c>
      <c r="CW224" s="694">
        <f t="shared" si="388"/>
        <v>0</v>
      </c>
      <c r="CX224" s="694">
        <f t="shared" si="388"/>
        <v>0</v>
      </c>
      <c r="CY224" s="694">
        <f t="shared" si="388"/>
        <v>0</v>
      </c>
      <c r="CZ224" s="694">
        <f t="shared" si="388"/>
        <v>0</v>
      </c>
      <c r="DA224" s="694">
        <f t="shared" si="388"/>
        <v>0</v>
      </c>
      <c r="DB224" s="694">
        <f t="shared" si="388"/>
        <v>0</v>
      </c>
      <c r="DC224" s="694">
        <f t="shared" si="388"/>
        <v>0</v>
      </c>
      <c r="DD224" s="694">
        <f t="shared" si="388"/>
        <v>0</v>
      </c>
      <c r="DE224" s="694">
        <f t="shared" si="388"/>
        <v>0</v>
      </c>
      <c r="DF224" s="694">
        <f t="shared" si="388"/>
        <v>0</v>
      </c>
      <c r="DG224" s="694">
        <f t="shared" si="388"/>
        <v>0</v>
      </c>
      <c r="DH224" s="694">
        <f t="shared" si="388"/>
        <v>0</v>
      </c>
      <c r="DI224" s="694">
        <f t="shared" si="388"/>
        <v>0</v>
      </c>
      <c r="DJ224" s="694">
        <f t="shared" si="388"/>
        <v>0</v>
      </c>
      <c r="DK224" s="694">
        <f t="shared" ref="DK224:EP224" si="389">IF(SUM(DK220:DK223)&gt;1,SUBTOTAL(9,DK220:DK223),)</f>
        <v>0</v>
      </c>
      <c r="DL224" s="694">
        <f t="shared" si="389"/>
        <v>0</v>
      </c>
      <c r="DM224" s="694">
        <f t="shared" si="389"/>
        <v>0</v>
      </c>
      <c r="DN224" s="694">
        <f t="shared" si="389"/>
        <v>0</v>
      </c>
      <c r="DO224" s="694">
        <f t="shared" si="389"/>
        <v>0</v>
      </c>
      <c r="DP224" s="694">
        <f t="shared" si="389"/>
        <v>0</v>
      </c>
      <c r="DQ224" s="694">
        <f t="shared" si="389"/>
        <v>0</v>
      </c>
      <c r="DR224" s="694">
        <f t="shared" si="389"/>
        <v>0</v>
      </c>
      <c r="DS224" s="694">
        <f t="shared" si="389"/>
        <v>0</v>
      </c>
      <c r="DT224" s="694">
        <f t="shared" si="389"/>
        <v>0</v>
      </c>
      <c r="DU224" s="694">
        <f t="shared" si="389"/>
        <v>0</v>
      </c>
      <c r="DV224" s="694">
        <f t="shared" si="389"/>
        <v>0</v>
      </c>
      <c r="DW224" s="694">
        <f t="shared" si="389"/>
        <v>0</v>
      </c>
      <c r="DX224" s="694">
        <f t="shared" si="389"/>
        <v>0</v>
      </c>
      <c r="DY224" s="694">
        <f t="shared" si="389"/>
        <v>0</v>
      </c>
      <c r="DZ224" s="694">
        <f t="shared" si="389"/>
        <v>0</v>
      </c>
      <c r="EA224" s="694">
        <f t="shared" si="389"/>
        <v>0</v>
      </c>
      <c r="EB224" s="694">
        <f t="shared" si="389"/>
        <v>0</v>
      </c>
      <c r="EC224" s="694">
        <f t="shared" si="389"/>
        <v>0</v>
      </c>
      <c r="ED224" s="694">
        <f t="shared" si="389"/>
        <v>0</v>
      </c>
      <c r="EE224" s="694">
        <f t="shared" si="389"/>
        <v>0</v>
      </c>
      <c r="EF224" s="694">
        <f t="shared" si="389"/>
        <v>0</v>
      </c>
      <c r="EG224" s="694">
        <f t="shared" si="389"/>
        <v>0</v>
      </c>
      <c r="EH224" s="694">
        <f t="shared" si="389"/>
        <v>0</v>
      </c>
      <c r="EI224" s="694">
        <f t="shared" si="389"/>
        <v>0</v>
      </c>
    </row>
    <row r="225" spans="2:139" ht="12.75" customHeight="1">
      <c r="B225" s="46"/>
      <c r="C225" s="209"/>
      <c r="D225" s="169"/>
      <c r="E225" s="169"/>
      <c r="F225" s="169"/>
      <c r="G225" s="169"/>
      <c r="H225" s="169"/>
      <c r="I225" s="169"/>
      <c r="J225" s="169"/>
      <c r="K225" s="169"/>
      <c r="L225" s="169"/>
      <c r="M225" s="169"/>
      <c r="N225" s="169"/>
      <c r="O225" s="91"/>
      <c r="S225" s="169"/>
      <c r="T225" s="169"/>
      <c r="U225" s="169"/>
      <c r="V225" s="169"/>
      <c r="W225" s="169"/>
      <c r="X225" s="169"/>
      <c r="Y225" s="169"/>
      <c r="Z225" s="169"/>
      <c r="AA225" s="169"/>
      <c r="AB225" s="169"/>
      <c r="AC225" s="169"/>
      <c r="AD225" s="169"/>
      <c r="AE225" s="169"/>
      <c r="AF225" s="169"/>
      <c r="AG225" s="169"/>
      <c r="AH225" s="169"/>
      <c r="AI225" s="169"/>
      <c r="AJ225" s="169"/>
      <c r="AK225" s="169"/>
      <c r="AL225" s="169"/>
      <c r="AM225" s="169"/>
      <c r="AN225" s="169"/>
      <c r="AO225" s="169"/>
      <c r="AP225" s="169"/>
      <c r="AQ225" s="169"/>
      <c r="AR225" s="169"/>
      <c r="AS225" s="169"/>
      <c r="AT225" s="169"/>
      <c r="AU225" s="169"/>
      <c r="AV225" s="169"/>
      <c r="AW225" s="169"/>
      <c r="AX225" s="169"/>
      <c r="AY225" s="169"/>
      <c r="AZ225" s="169"/>
      <c r="BA225" s="169"/>
      <c r="BB225" s="169"/>
      <c r="BC225" s="169"/>
      <c r="BD225" s="169"/>
      <c r="BE225" s="169"/>
      <c r="BF225" s="169"/>
      <c r="BG225" s="169"/>
      <c r="BH225" s="169"/>
      <c r="BI225" s="169"/>
      <c r="BJ225" s="169"/>
      <c r="BK225" s="169"/>
      <c r="BL225" s="169"/>
      <c r="BM225" s="169"/>
      <c r="BN225" s="169"/>
      <c r="BO225" s="169"/>
      <c r="BP225" s="169"/>
      <c r="BQ225" s="169"/>
      <c r="BR225" s="169"/>
      <c r="BS225" s="169"/>
      <c r="BT225" s="169"/>
      <c r="BU225" s="169"/>
      <c r="BV225" s="169"/>
      <c r="BW225" s="169"/>
      <c r="BX225" s="169"/>
      <c r="BY225" s="169"/>
      <c r="BZ225" s="169"/>
      <c r="CA225" s="169"/>
      <c r="CB225" s="169"/>
      <c r="CC225" s="169"/>
      <c r="CD225" s="169"/>
      <c r="CE225" s="169"/>
      <c r="CF225" s="169"/>
      <c r="CG225" s="169"/>
      <c r="CH225" s="169"/>
      <c r="CI225" s="169"/>
      <c r="CJ225" s="169"/>
      <c r="CK225" s="169"/>
      <c r="CL225" s="169"/>
      <c r="CM225" s="169"/>
      <c r="CN225" s="169"/>
      <c r="CO225" s="169"/>
      <c r="CP225" s="169"/>
      <c r="CQ225" s="169"/>
      <c r="CR225" s="169"/>
      <c r="CS225" s="169"/>
      <c r="CT225" s="169"/>
      <c r="CU225" s="169"/>
      <c r="CV225" s="169"/>
      <c r="CW225" s="169"/>
      <c r="CX225" s="169"/>
      <c r="CY225" s="169"/>
      <c r="CZ225" s="169"/>
      <c r="DA225" s="169"/>
      <c r="DB225" s="169"/>
      <c r="DC225" s="169"/>
      <c r="DD225" s="169"/>
      <c r="DE225" s="169"/>
      <c r="DF225" s="169"/>
      <c r="DG225" s="169"/>
      <c r="DH225" s="169"/>
      <c r="DI225" s="169"/>
      <c r="DJ225" s="169"/>
      <c r="DK225" s="169"/>
      <c r="DL225" s="169"/>
      <c r="DM225" s="169"/>
      <c r="DN225" s="169"/>
      <c r="DO225" s="169"/>
      <c r="DP225" s="169"/>
      <c r="DQ225" s="169"/>
      <c r="DR225" s="169"/>
      <c r="DS225" s="169"/>
      <c r="DT225" s="169"/>
      <c r="DU225" s="169"/>
      <c r="DV225" s="169"/>
      <c r="DW225" s="169"/>
      <c r="DX225" s="169"/>
      <c r="DY225" s="169"/>
      <c r="DZ225" s="169"/>
      <c r="EA225" s="169"/>
      <c r="EB225" s="169"/>
      <c r="EC225" s="169"/>
      <c r="ED225" s="169"/>
      <c r="EE225" s="169"/>
      <c r="EF225" s="169"/>
      <c r="EG225" s="169"/>
      <c r="EH225" s="169"/>
      <c r="EI225" s="169"/>
    </row>
    <row r="226" spans="2:139" ht="12.75" customHeight="1">
      <c r="B226" s="1045" t="str">
        <f>Input!Z197</f>
        <v>Capital Expenditures</v>
      </c>
      <c r="C226" s="211"/>
      <c r="D226" s="78"/>
      <c r="E226" s="78"/>
      <c r="F226" s="78"/>
      <c r="G226" s="78"/>
      <c r="H226" s="78"/>
      <c r="I226" s="78"/>
      <c r="J226" s="78"/>
      <c r="K226" s="78"/>
      <c r="L226" s="78"/>
      <c r="M226" s="78"/>
      <c r="N226" s="78"/>
      <c r="O226" s="145"/>
      <c r="S226" s="78"/>
      <c r="T226" s="78"/>
      <c r="U226" s="78"/>
      <c r="V226" s="78"/>
      <c r="W226" s="78"/>
      <c r="X226" s="78"/>
      <c r="Y226" s="78"/>
      <c r="Z226" s="78"/>
      <c r="AA226" s="78"/>
      <c r="AB226" s="78"/>
      <c r="AC226" s="78"/>
      <c r="AD226" s="78"/>
      <c r="AE226" s="78"/>
      <c r="AF226" s="78"/>
      <c r="AG226" s="78"/>
      <c r="AH226" s="78"/>
      <c r="AI226" s="78"/>
      <c r="AJ226" s="78"/>
      <c r="AK226" s="78"/>
      <c r="AL226" s="78"/>
      <c r="AM226" s="78"/>
      <c r="AN226" s="78"/>
      <c r="AO226" s="78"/>
      <c r="AP226" s="78"/>
      <c r="AQ226" s="78"/>
      <c r="AR226" s="78"/>
      <c r="AS226" s="78"/>
      <c r="AT226" s="78"/>
      <c r="AU226" s="78"/>
      <c r="AV226" s="78"/>
      <c r="AW226" s="78"/>
      <c r="AX226" s="78"/>
      <c r="AY226" s="78"/>
      <c r="AZ226" s="78"/>
      <c r="BA226" s="78"/>
      <c r="BB226" s="78"/>
      <c r="BC226" s="78"/>
      <c r="BD226" s="78"/>
      <c r="BE226" s="78"/>
      <c r="BF226" s="78"/>
      <c r="BG226" s="78"/>
      <c r="BH226" s="78"/>
      <c r="BI226" s="78"/>
      <c r="BJ226" s="78"/>
      <c r="BK226" s="78"/>
      <c r="BL226" s="78"/>
      <c r="BM226" s="78"/>
      <c r="BN226" s="78"/>
      <c r="BO226" s="78"/>
      <c r="BP226" s="78"/>
      <c r="BQ226" s="78"/>
      <c r="BR226" s="78"/>
      <c r="BS226" s="78"/>
      <c r="BT226" s="78"/>
      <c r="BU226" s="78"/>
      <c r="BV226" s="78"/>
      <c r="BW226" s="78"/>
      <c r="BX226" s="78"/>
      <c r="BY226" s="78"/>
      <c r="BZ226" s="78"/>
      <c r="CA226" s="78"/>
      <c r="CB226" s="78"/>
      <c r="CC226" s="78"/>
      <c r="CD226" s="78"/>
      <c r="CE226" s="78"/>
      <c r="CF226" s="78"/>
      <c r="CG226" s="78"/>
      <c r="CH226" s="78"/>
      <c r="CI226" s="78"/>
      <c r="CJ226" s="78"/>
      <c r="CK226" s="78"/>
      <c r="CL226" s="78"/>
      <c r="CM226" s="78"/>
      <c r="CN226" s="78"/>
      <c r="CO226" s="78"/>
      <c r="CP226" s="78"/>
      <c r="CQ226" s="78"/>
      <c r="CR226" s="78"/>
      <c r="CS226" s="78"/>
      <c r="CT226" s="78"/>
      <c r="CU226" s="78"/>
      <c r="CV226" s="78"/>
      <c r="CW226" s="78"/>
      <c r="CX226" s="78"/>
      <c r="CY226" s="78"/>
      <c r="CZ226" s="78"/>
      <c r="DA226" s="78"/>
      <c r="DB226" s="78"/>
      <c r="DC226" s="78"/>
      <c r="DD226" s="78"/>
      <c r="DE226" s="78"/>
      <c r="DF226" s="78"/>
      <c r="DG226" s="78"/>
      <c r="DH226" s="78"/>
      <c r="DI226" s="78"/>
      <c r="DJ226" s="78"/>
      <c r="DK226" s="78"/>
      <c r="DL226" s="78"/>
      <c r="DM226" s="78"/>
      <c r="DN226" s="78"/>
      <c r="DO226" s="78"/>
      <c r="DP226" s="78"/>
      <c r="DQ226" s="78"/>
      <c r="DR226" s="78"/>
      <c r="DS226" s="78"/>
      <c r="DT226" s="78"/>
      <c r="DU226" s="78"/>
      <c r="DV226" s="78"/>
      <c r="DW226" s="78"/>
      <c r="DX226" s="78"/>
      <c r="DY226" s="78"/>
      <c r="DZ226" s="78"/>
      <c r="EA226" s="78"/>
      <c r="EB226" s="78"/>
      <c r="EC226" s="78"/>
      <c r="ED226" s="78"/>
      <c r="EE226" s="78"/>
      <c r="EF226" s="78"/>
      <c r="EG226" s="78"/>
      <c r="EH226" s="78"/>
      <c r="EI226" s="78"/>
    </row>
    <row r="227" spans="2:139" ht="12.75" customHeight="1">
      <c r="B227" s="41" t="s">
        <v>593</v>
      </c>
      <c r="C227" s="211"/>
      <c r="D227" s="78"/>
      <c r="E227" s="78">
        <f t="shared" ref="E227:N227" si="390">D231</f>
        <v>0</v>
      </c>
      <c r="F227" s="78">
        <f t="shared" si="390"/>
        <v>0</v>
      </c>
      <c r="G227" s="78">
        <f t="shared" si="390"/>
        <v>0</v>
      </c>
      <c r="H227" s="78">
        <f t="shared" si="390"/>
        <v>0</v>
      </c>
      <c r="I227" s="78">
        <f t="shared" si="390"/>
        <v>0</v>
      </c>
      <c r="J227" s="78">
        <f t="shared" si="390"/>
        <v>0</v>
      </c>
      <c r="K227" s="78">
        <f t="shared" si="390"/>
        <v>0</v>
      </c>
      <c r="L227" s="78">
        <f t="shared" si="390"/>
        <v>0</v>
      </c>
      <c r="M227" s="78">
        <f t="shared" si="390"/>
        <v>0</v>
      </c>
      <c r="N227" s="78">
        <f t="shared" si="390"/>
        <v>0</v>
      </c>
      <c r="O227" s="145"/>
      <c r="S227" s="78"/>
      <c r="T227" s="78">
        <f t="shared" ref="T227:AY227" si="391">S231</f>
        <v>0</v>
      </c>
      <c r="U227" s="78">
        <f t="shared" si="391"/>
        <v>0</v>
      </c>
      <c r="V227" s="78">
        <f t="shared" si="391"/>
        <v>0</v>
      </c>
      <c r="W227" s="78">
        <f t="shared" si="391"/>
        <v>0</v>
      </c>
      <c r="X227" s="78">
        <f t="shared" si="391"/>
        <v>0</v>
      </c>
      <c r="Y227" s="78">
        <f t="shared" si="391"/>
        <v>0</v>
      </c>
      <c r="Z227" s="78">
        <f t="shared" si="391"/>
        <v>0</v>
      </c>
      <c r="AA227" s="78">
        <f t="shared" si="391"/>
        <v>0</v>
      </c>
      <c r="AB227" s="78">
        <f t="shared" si="391"/>
        <v>0</v>
      </c>
      <c r="AC227" s="78">
        <f t="shared" si="391"/>
        <v>0</v>
      </c>
      <c r="AD227" s="78">
        <f t="shared" si="391"/>
        <v>0</v>
      </c>
      <c r="AE227" s="78">
        <f t="shared" si="391"/>
        <v>0</v>
      </c>
      <c r="AF227" s="78">
        <f t="shared" si="391"/>
        <v>0</v>
      </c>
      <c r="AG227" s="78">
        <f t="shared" si="391"/>
        <v>0</v>
      </c>
      <c r="AH227" s="78">
        <f t="shared" si="391"/>
        <v>0</v>
      </c>
      <c r="AI227" s="78">
        <f t="shared" si="391"/>
        <v>0</v>
      </c>
      <c r="AJ227" s="78">
        <f t="shared" si="391"/>
        <v>0</v>
      </c>
      <c r="AK227" s="78">
        <f t="shared" si="391"/>
        <v>0</v>
      </c>
      <c r="AL227" s="78">
        <f t="shared" si="391"/>
        <v>0</v>
      </c>
      <c r="AM227" s="78">
        <f t="shared" si="391"/>
        <v>0</v>
      </c>
      <c r="AN227" s="78">
        <f t="shared" si="391"/>
        <v>0</v>
      </c>
      <c r="AO227" s="78">
        <f t="shared" si="391"/>
        <v>0</v>
      </c>
      <c r="AP227" s="78">
        <f t="shared" si="391"/>
        <v>0</v>
      </c>
      <c r="AQ227" s="78">
        <f t="shared" si="391"/>
        <v>0</v>
      </c>
      <c r="AR227" s="78">
        <f t="shared" si="391"/>
        <v>0</v>
      </c>
      <c r="AS227" s="78">
        <f t="shared" si="391"/>
        <v>0</v>
      </c>
      <c r="AT227" s="78">
        <f t="shared" si="391"/>
        <v>0</v>
      </c>
      <c r="AU227" s="78">
        <f t="shared" si="391"/>
        <v>0</v>
      </c>
      <c r="AV227" s="78">
        <f t="shared" si="391"/>
        <v>0</v>
      </c>
      <c r="AW227" s="78">
        <f t="shared" si="391"/>
        <v>0</v>
      </c>
      <c r="AX227" s="78">
        <f t="shared" si="391"/>
        <v>0</v>
      </c>
      <c r="AY227" s="78">
        <f t="shared" si="391"/>
        <v>0</v>
      </c>
      <c r="AZ227" s="78">
        <f t="shared" ref="AZ227:CE227" si="392">AY231</f>
        <v>0</v>
      </c>
      <c r="BA227" s="78">
        <f t="shared" si="392"/>
        <v>0</v>
      </c>
      <c r="BB227" s="78">
        <f t="shared" si="392"/>
        <v>0</v>
      </c>
      <c r="BC227" s="78">
        <f t="shared" si="392"/>
        <v>0</v>
      </c>
      <c r="BD227" s="78">
        <f t="shared" si="392"/>
        <v>0</v>
      </c>
      <c r="BE227" s="78">
        <f t="shared" si="392"/>
        <v>0</v>
      </c>
      <c r="BF227" s="78">
        <f t="shared" si="392"/>
        <v>0</v>
      </c>
      <c r="BG227" s="78">
        <f t="shared" si="392"/>
        <v>0</v>
      </c>
      <c r="BH227" s="78">
        <f t="shared" si="392"/>
        <v>0</v>
      </c>
      <c r="BI227" s="78">
        <f t="shared" si="392"/>
        <v>0</v>
      </c>
      <c r="BJ227" s="78">
        <f t="shared" si="392"/>
        <v>0</v>
      </c>
      <c r="BK227" s="78">
        <f t="shared" si="392"/>
        <v>0</v>
      </c>
      <c r="BL227" s="78">
        <f t="shared" si="392"/>
        <v>0</v>
      </c>
      <c r="BM227" s="78">
        <f t="shared" si="392"/>
        <v>0</v>
      </c>
      <c r="BN227" s="78">
        <f t="shared" si="392"/>
        <v>0</v>
      </c>
      <c r="BO227" s="78">
        <f t="shared" si="392"/>
        <v>0</v>
      </c>
      <c r="BP227" s="78">
        <f t="shared" si="392"/>
        <v>0</v>
      </c>
      <c r="BQ227" s="78">
        <f t="shared" si="392"/>
        <v>0</v>
      </c>
      <c r="BR227" s="78">
        <f t="shared" si="392"/>
        <v>0</v>
      </c>
      <c r="BS227" s="78">
        <f t="shared" si="392"/>
        <v>0</v>
      </c>
      <c r="BT227" s="78">
        <f t="shared" si="392"/>
        <v>0</v>
      </c>
      <c r="BU227" s="78">
        <f t="shared" si="392"/>
        <v>0</v>
      </c>
      <c r="BV227" s="78">
        <f t="shared" si="392"/>
        <v>0</v>
      </c>
      <c r="BW227" s="78">
        <f t="shared" si="392"/>
        <v>0</v>
      </c>
      <c r="BX227" s="78">
        <f t="shared" si="392"/>
        <v>0</v>
      </c>
      <c r="BY227" s="78">
        <f t="shared" si="392"/>
        <v>0</v>
      </c>
      <c r="BZ227" s="78">
        <f t="shared" si="392"/>
        <v>0</v>
      </c>
      <c r="CA227" s="78">
        <f t="shared" si="392"/>
        <v>0</v>
      </c>
      <c r="CB227" s="78">
        <f t="shared" si="392"/>
        <v>0</v>
      </c>
      <c r="CC227" s="78">
        <f t="shared" si="392"/>
        <v>0</v>
      </c>
      <c r="CD227" s="78">
        <f t="shared" si="392"/>
        <v>0</v>
      </c>
      <c r="CE227" s="78">
        <f t="shared" si="392"/>
        <v>0</v>
      </c>
      <c r="CF227" s="78">
        <f t="shared" ref="CF227:DK227" si="393">CE231</f>
        <v>0</v>
      </c>
      <c r="CG227" s="78">
        <f t="shared" si="393"/>
        <v>0</v>
      </c>
      <c r="CH227" s="78">
        <f t="shared" si="393"/>
        <v>0</v>
      </c>
      <c r="CI227" s="78">
        <f t="shared" si="393"/>
        <v>0</v>
      </c>
      <c r="CJ227" s="78">
        <f t="shared" si="393"/>
        <v>0</v>
      </c>
      <c r="CK227" s="78">
        <f t="shared" si="393"/>
        <v>0</v>
      </c>
      <c r="CL227" s="78">
        <f t="shared" si="393"/>
        <v>0</v>
      </c>
      <c r="CM227" s="78">
        <f t="shared" si="393"/>
        <v>0</v>
      </c>
      <c r="CN227" s="78">
        <f t="shared" si="393"/>
        <v>0</v>
      </c>
      <c r="CO227" s="78">
        <f t="shared" si="393"/>
        <v>0</v>
      </c>
      <c r="CP227" s="78">
        <f t="shared" si="393"/>
        <v>0</v>
      </c>
      <c r="CQ227" s="78">
        <f t="shared" si="393"/>
        <v>0</v>
      </c>
      <c r="CR227" s="78">
        <f t="shared" si="393"/>
        <v>0</v>
      </c>
      <c r="CS227" s="78">
        <f t="shared" si="393"/>
        <v>0</v>
      </c>
      <c r="CT227" s="78">
        <f t="shared" si="393"/>
        <v>0</v>
      </c>
      <c r="CU227" s="78">
        <f t="shared" si="393"/>
        <v>0</v>
      </c>
      <c r="CV227" s="78">
        <f t="shared" si="393"/>
        <v>0</v>
      </c>
      <c r="CW227" s="78">
        <f t="shared" si="393"/>
        <v>0</v>
      </c>
      <c r="CX227" s="78">
        <f t="shared" si="393"/>
        <v>0</v>
      </c>
      <c r="CY227" s="78">
        <f t="shared" si="393"/>
        <v>0</v>
      </c>
      <c r="CZ227" s="78">
        <f t="shared" si="393"/>
        <v>0</v>
      </c>
      <c r="DA227" s="78">
        <f t="shared" si="393"/>
        <v>0</v>
      </c>
      <c r="DB227" s="78">
        <f t="shared" si="393"/>
        <v>0</v>
      </c>
      <c r="DC227" s="78">
        <f t="shared" si="393"/>
        <v>0</v>
      </c>
      <c r="DD227" s="78">
        <f t="shared" si="393"/>
        <v>0</v>
      </c>
      <c r="DE227" s="78">
        <f t="shared" si="393"/>
        <v>0</v>
      </c>
      <c r="DF227" s="78">
        <f t="shared" si="393"/>
        <v>0</v>
      </c>
      <c r="DG227" s="78">
        <f t="shared" si="393"/>
        <v>0</v>
      </c>
      <c r="DH227" s="78">
        <f t="shared" si="393"/>
        <v>0</v>
      </c>
      <c r="DI227" s="78">
        <f t="shared" si="393"/>
        <v>0</v>
      </c>
      <c r="DJ227" s="78">
        <f t="shared" si="393"/>
        <v>0</v>
      </c>
      <c r="DK227" s="78">
        <f t="shared" si="393"/>
        <v>0</v>
      </c>
      <c r="DL227" s="78">
        <f t="shared" ref="DL227:EI227" si="394">DK231</f>
        <v>0</v>
      </c>
      <c r="DM227" s="78">
        <f t="shared" si="394"/>
        <v>0</v>
      </c>
      <c r="DN227" s="78">
        <f t="shared" si="394"/>
        <v>0</v>
      </c>
      <c r="DO227" s="78">
        <f t="shared" si="394"/>
        <v>0</v>
      </c>
      <c r="DP227" s="78">
        <f t="shared" si="394"/>
        <v>0</v>
      </c>
      <c r="DQ227" s="78">
        <f t="shared" si="394"/>
        <v>0</v>
      </c>
      <c r="DR227" s="78">
        <f t="shared" si="394"/>
        <v>0</v>
      </c>
      <c r="DS227" s="78">
        <f t="shared" si="394"/>
        <v>0</v>
      </c>
      <c r="DT227" s="78">
        <f t="shared" si="394"/>
        <v>0</v>
      </c>
      <c r="DU227" s="78">
        <f t="shared" si="394"/>
        <v>0</v>
      </c>
      <c r="DV227" s="78">
        <f t="shared" si="394"/>
        <v>0</v>
      </c>
      <c r="DW227" s="78">
        <f t="shared" si="394"/>
        <v>0</v>
      </c>
      <c r="DX227" s="78">
        <f t="shared" si="394"/>
        <v>0</v>
      </c>
      <c r="DY227" s="78">
        <f t="shared" si="394"/>
        <v>0</v>
      </c>
      <c r="DZ227" s="78">
        <f t="shared" si="394"/>
        <v>0</v>
      </c>
      <c r="EA227" s="78">
        <f t="shared" si="394"/>
        <v>0</v>
      </c>
      <c r="EB227" s="78">
        <f t="shared" si="394"/>
        <v>0</v>
      </c>
      <c r="EC227" s="78">
        <f t="shared" si="394"/>
        <v>0</v>
      </c>
      <c r="ED227" s="78">
        <f t="shared" si="394"/>
        <v>0</v>
      </c>
      <c r="EE227" s="78">
        <f t="shared" si="394"/>
        <v>0</v>
      </c>
      <c r="EF227" s="78">
        <f t="shared" si="394"/>
        <v>0</v>
      </c>
      <c r="EG227" s="78">
        <f t="shared" si="394"/>
        <v>0</v>
      </c>
      <c r="EH227" s="78">
        <f t="shared" si="394"/>
        <v>0</v>
      </c>
      <c r="EI227" s="78">
        <f t="shared" si="394"/>
        <v>0</v>
      </c>
    </row>
    <row r="228" spans="2:139" ht="12.75" customHeight="1">
      <c r="B228" s="41" t="s">
        <v>604</v>
      </c>
      <c r="C228" s="211"/>
      <c r="D228" s="78">
        <f t="shared" ref="D228:N228" si="395">SUMIF($S$6:$EI$6,D$5,$S228:$EI228)</f>
        <v>0</v>
      </c>
      <c r="E228" s="78">
        <f t="shared" si="395"/>
        <v>0</v>
      </c>
      <c r="F228" s="78">
        <f t="shared" si="395"/>
        <v>0</v>
      </c>
      <c r="G228" s="78">
        <f t="shared" si="395"/>
        <v>0</v>
      </c>
      <c r="H228" s="78">
        <f t="shared" si="395"/>
        <v>0</v>
      </c>
      <c r="I228" s="78">
        <f t="shared" si="395"/>
        <v>0</v>
      </c>
      <c r="J228" s="78">
        <f t="shared" si="395"/>
        <v>0</v>
      </c>
      <c r="K228" s="78">
        <f t="shared" si="395"/>
        <v>0</v>
      </c>
      <c r="L228" s="78">
        <f t="shared" si="395"/>
        <v>0</v>
      </c>
      <c r="M228" s="78">
        <f t="shared" si="395"/>
        <v>0</v>
      </c>
      <c r="N228" s="78">
        <f t="shared" si="395"/>
        <v>0</v>
      </c>
      <c r="O228" s="145">
        <f>SUM(D228:N228)</f>
        <v>0</v>
      </c>
      <c r="S228" s="78">
        <f>MAX(Input!$AB$197+$S$12+SUM($S$72:S72),0)*(S206&gt;0)</f>
        <v>0</v>
      </c>
      <c r="T228" s="78">
        <f>MAX(Input!$AB$197+$S$12+SUM($S$72:T72),0)*(T206&gt;0)</f>
        <v>0</v>
      </c>
      <c r="U228" s="78">
        <f>MAX(Input!$AB$197+$S$12+SUM($S$72:U72),0)*(U206&gt;0)</f>
        <v>0</v>
      </c>
      <c r="V228" s="78">
        <f>MAX(Input!$AB$197+$S$12+SUM($S$72:V72),0)*(V206&gt;0)</f>
        <v>0</v>
      </c>
      <c r="W228" s="78">
        <f>MAX(Input!$AB$197+$S$12+SUM($S$72:W72),0)*(W206&gt;0)</f>
        <v>0</v>
      </c>
      <c r="X228" s="78">
        <f>MAX(Input!$AB$197+$S$12+SUM($S$72:X72),0)*(X206&gt;0)</f>
        <v>0</v>
      </c>
      <c r="Y228" s="78">
        <f>MAX(Input!$AB$197+$S$12+SUM($S$72:Y72),0)*(Y206&gt;0)</f>
        <v>0</v>
      </c>
      <c r="Z228" s="78">
        <f>MAX(Input!$AB$197+$S$12+SUM($S$72:Z72),0)*(Z206&gt;0)</f>
        <v>0</v>
      </c>
      <c r="AA228" s="78">
        <f>MAX(Input!$AB$197+$S$12+SUM($S$72:AA72),0)*(AA206&gt;0)</f>
        <v>0</v>
      </c>
      <c r="AB228" s="78">
        <f>MAX(Input!$AB$197+$S$12+SUM($S$72:AB72),0)*(AB206&gt;0)</f>
        <v>0</v>
      </c>
      <c r="AC228" s="78">
        <f>MAX(Input!$AB$197+$S$12+SUM($S$72:AC72),0)*(AC206&gt;0)</f>
        <v>0</v>
      </c>
      <c r="AD228" s="78">
        <f>MAX(Input!$AB$197+$S$12+SUM($S$72:AD72),0)*(AD206&gt;0)</f>
        <v>0</v>
      </c>
      <c r="AE228" s="78">
        <f>MAX(Input!$AB$197+$S$12+SUM($S$72:AE72),0)*(AE206&gt;0)</f>
        <v>0</v>
      </c>
      <c r="AF228" s="78">
        <f>MAX(Input!$AB$197+$S$12+SUM($S$72:AF72),0)*(AF206&gt;0)</f>
        <v>0</v>
      </c>
      <c r="AG228" s="78">
        <f>MAX(Input!$AB$197+$S$12+SUM($S$72:AG72),0)*(AG206&gt;0)</f>
        <v>0</v>
      </c>
      <c r="AH228" s="78">
        <f>MAX(Input!$AB$197+$S$12+SUM($S$72:AH72),0)*(AH206&gt;0)</f>
        <v>0</v>
      </c>
      <c r="AI228" s="78">
        <f>MAX(Input!$AB$197+$S$12+SUM($S$72:AI72),0)*(AI206&gt;0)</f>
        <v>0</v>
      </c>
      <c r="AJ228" s="78">
        <f>MAX(Input!$AB$197+$S$12+SUM($S$72:AJ72),0)*(AJ206&gt;0)</f>
        <v>0</v>
      </c>
      <c r="AK228" s="78">
        <f>MAX(Input!$AB$197+$S$12+SUM($S$72:AK72),0)*(AK206&gt;0)</f>
        <v>0</v>
      </c>
      <c r="AL228" s="78">
        <f>MAX(Input!$AB$197+$S$12+SUM($S$72:AL72),0)*(AL206&gt;0)</f>
        <v>0</v>
      </c>
      <c r="AM228" s="78">
        <f>MAX(Input!$AB$197+$S$12+SUM($S$72:AM72),0)*(AM206&gt;0)</f>
        <v>0</v>
      </c>
      <c r="AN228" s="78">
        <f>MAX(Input!$AB$197+$S$12+SUM($S$72:AN72),0)*(AN206&gt;0)</f>
        <v>0</v>
      </c>
      <c r="AO228" s="78">
        <f>MAX(Input!$AB$197+$S$12+SUM($S$72:AO72),0)*(AO206&gt;0)</f>
        <v>0</v>
      </c>
      <c r="AP228" s="78">
        <f>MAX(Input!$AB$197+$S$12+SUM($S$72:AP72),0)*(AP206&gt;0)</f>
        <v>0</v>
      </c>
      <c r="AQ228" s="78">
        <f>MAX(Input!$AB$197+$S$12+SUM($S$72:AQ72),0)*(AQ206&gt;0)</f>
        <v>0</v>
      </c>
      <c r="AR228" s="78">
        <f>MAX(Input!$AB$197+$S$12+SUM($S$72:AR72),0)*(AR206&gt;0)</f>
        <v>0</v>
      </c>
      <c r="AS228" s="78">
        <f>MAX(Input!$AB$197+$S$12+SUM($S$72:AS72),0)*(AS206&gt;0)</f>
        <v>0</v>
      </c>
      <c r="AT228" s="78">
        <f>MAX(Input!$AB$197+$S$12+SUM($S$72:AT72),0)*(AT206&gt;0)</f>
        <v>0</v>
      </c>
      <c r="AU228" s="78">
        <f>MAX(Input!$AB$197+$S$12+SUM($S$72:AU72),0)*(AU206&gt;0)</f>
        <v>0</v>
      </c>
      <c r="AV228" s="78">
        <f>MAX(Input!$AB$197+$S$12+SUM($S$72:AV72),0)*(AV206&gt;0)</f>
        <v>0</v>
      </c>
      <c r="AW228" s="78">
        <f>MAX(Input!$AB$197+$S$12+SUM($S$72:AW72),0)*(AW206&gt;0)</f>
        <v>0</v>
      </c>
      <c r="AX228" s="78">
        <f>MAX(Input!$AB$197+$S$12+SUM($S$72:AX72),0)*(AX206&gt;0)</f>
        <v>0</v>
      </c>
      <c r="AY228" s="78">
        <f>MAX(Input!$AB$197+$S$12+SUM($S$72:AY72),0)*(AY206&gt;0)</f>
        <v>0</v>
      </c>
      <c r="AZ228" s="78">
        <f>MAX(Input!$AB$197+$S$12+SUM($S$72:AZ72),0)*(AZ206&gt;0)</f>
        <v>0</v>
      </c>
      <c r="BA228" s="78">
        <f>MAX(Input!$AB$197+$S$12+SUM($S$72:BA72),0)*(BA206&gt;0)</f>
        <v>0</v>
      </c>
      <c r="BB228" s="78">
        <f>MAX(Input!$AB$197+$S$12+SUM($S$72:BB72),0)*(BB206&gt;0)</f>
        <v>0</v>
      </c>
      <c r="BC228" s="78">
        <f>MAX(Input!$AB$197+$S$12+SUM($S$72:BC72),0)*(BC206&gt;0)</f>
        <v>0</v>
      </c>
      <c r="BD228" s="78">
        <f>MAX(Input!$AB$197+$S$12+SUM($S$72:BD72),0)*(BD206&gt;0)</f>
        <v>0</v>
      </c>
      <c r="BE228" s="78">
        <f>MAX(Input!$AB$197+$S$12+SUM($S$72:BE72),0)*(BE206&gt;0)</f>
        <v>0</v>
      </c>
      <c r="BF228" s="78">
        <f>MAX(Input!$AB$197+$S$12+SUM($S$72:BF72),0)*(BF206&gt;0)</f>
        <v>0</v>
      </c>
      <c r="BG228" s="78">
        <f>MAX(Input!$AB$197+$S$12+SUM($S$72:BG72),0)*(BG206&gt;0)</f>
        <v>0</v>
      </c>
      <c r="BH228" s="78">
        <f>MAX(Input!$AB$197+$S$12+SUM($S$72:BH72),0)*(BH206&gt;0)</f>
        <v>0</v>
      </c>
      <c r="BI228" s="78">
        <f>MAX(Input!$AB$197+$S$12+SUM($S$72:BI72),0)*(BI206&gt;0)</f>
        <v>0</v>
      </c>
      <c r="BJ228" s="78">
        <f>MAX(Input!$AB$197+$S$12+SUM($S$72:BJ72),0)*(BJ206&gt;0)</f>
        <v>0</v>
      </c>
      <c r="BK228" s="78">
        <f>MAX(Input!$AB$197+$S$12+SUM($S$72:BK72),0)*(BK206&gt;0)</f>
        <v>0</v>
      </c>
      <c r="BL228" s="78">
        <f>MAX(Input!$AB$197+$S$12+SUM($S$72:BL72),0)*(BL206&gt;0)</f>
        <v>0</v>
      </c>
      <c r="BM228" s="78">
        <f>MAX(Input!$AB$197+$S$12+SUM($S$72:BM72),0)*(BM206&gt;0)</f>
        <v>0</v>
      </c>
      <c r="BN228" s="78">
        <f>MAX(Input!$AB$197+$S$12+SUM($S$72:BN72),0)*(BN206&gt;0)</f>
        <v>0</v>
      </c>
      <c r="BO228" s="78">
        <f>MAX(Input!$AB$197+$S$12+SUM($S$72:BO72),0)*(BO206&gt;0)</f>
        <v>0</v>
      </c>
      <c r="BP228" s="78">
        <f>MAX(Input!$AB$197+$S$12+SUM($S$72:BP72),0)*(BP206&gt;0)</f>
        <v>0</v>
      </c>
      <c r="BQ228" s="78">
        <f>MAX(Input!$AB$197+$S$12+SUM($S$72:BQ72),0)*(BQ206&gt;0)</f>
        <v>0</v>
      </c>
      <c r="BR228" s="78">
        <f>MAX(Input!$AB$197+$S$12+SUM($S$72:BR72),0)*(BR206&gt;0)</f>
        <v>0</v>
      </c>
      <c r="BS228" s="78">
        <f>MAX(Input!$AB$197+$S$12+SUM($S$72:BS72),0)*(BS206&gt;0)</f>
        <v>0</v>
      </c>
      <c r="BT228" s="78">
        <f>MAX(Input!$AB$197+$S$12+SUM($S$72:BT72),0)*(BT206&gt;0)</f>
        <v>0</v>
      </c>
      <c r="BU228" s="78">
        <f>MAX(Input!$AB$197+$S$12+SUM($S$72:BU72),0)*(BU206&gt;0)</f>
        <v>0</v>
      </c>
      <c r="BV228" s="78">
        <f>MAX(Input!$AB$197+$S$12+SUM($S$72:BV72),0)*(BV206&gt;0)</f>
        <v>0</v>
      </c>
      <c r="BW228" s="78">
        <f>MAX(Input!$AB$197+$S$12+SUM($S$72:BW72),0)*(BW206&gt;0)</f>
        <v>0</v>
      </c>
      <c r="BX228" s="78">
        <f>MAX(Input!$AB$197+$S$12+SUM($S$72:BX72),0)*(BX206&gt;0)</f>
        <v>0</v>
      </c>
      <c r="BY228" s="78">
        <f>MAX(Input!$AB$197+$S$12+SUM($S$72:BY72),0)*(BY206&gt;0)</f>
        <v>0</v>
      </c>
      <c r="BZ228" s="78">
        <f>MAX(Input!$AB$197+$S$12+SUM($S$72:BZ72),0)*(BZ206&gt;0)</f>
        <v>0</v>
      </c>
      <c r="CA228" s="78">
        <f>MAX(Input!$AB$197+$S$12+SUM($S$72:CA72),0)*(CA206&gt;0)</f>
        <v>0</v>
      </c>
      <c r="CB228" s="78">
        <f>MAX(Input!$AB$197+$S$12+SUM($S$72:CB72),0)*(CB206&gt;0)</f>
        <v>0</v>
      </c>
      <c r="CC228" s="78">
        <f>MAX(Input!$AB$197+$S$12+SUM($S$72:CC72),0)*(CC206&gt;0)</f>
        <v>0</v>
      </c>
      <c r="CD228" s="78">
        <f>MAX(Input!$AB$197+$S$12+SUM($S$72:CD72),0)*(CD206&gt;0)</f>
        <v>0</v>
      </c>
      <c r="CE228" s="78">
        <f>MAX(Input!$AB$197+$S$12+SUM($S$72:CE72),0)*(CE206&gt;0)</f>
        <v>0</v>
      </c>
      <c r="CF228" s="78">
        <f>MAX(Input!$AB$197+$S$12+SUM($S$72:CF72),0)*(CF206&gt;0)</f>
        <v>0</v>
      </c>
      <c r="CG228" s="78">
        <f>MAX(Input!$AB$197+$S$12+SUM($S$72:CG72),0)*(CG206&gt;0)</f>
        <v>0</v>
      </c>
      <c r="CH228" s="78">
        <f>MAX(Input!$AB$197+$S$12+SUM($S$72:CH72),0)*(CH206&gt;0)</f>
        <v>0</v>
      </c>
      <c r="CI228" s="78">
        <f>MAX(Input!$AB$197+$S$12+SUM($S$72:CI72),0)*(CI206&gt;0)</f>
        <v>0</v>
      </c>
      <c r="CJ228" s="78">
        <f>MAX(Input!$AB$197+$S$12+SUM($S$72:CJ72),0)*(CJ206&gt;0)</f>
        <v>0</v>
      </c>
      <c r="CK228" s="78">
        <f>MAX(Input!$AB$197+$S$12+SUM($S$72:CK72),0)*(CK206&gt;0)</f>
        <v>0</v>
      </c>
      <c r="CL228" s="78">
        <f>MAX(Input!$AB$197+$S$12+SUM($S$72:CL72),0)*(CL206&gt;0)</f>
        <v>0</v>
      </c>
      <c r="CM228" s="78">
        <f>MAX(Input!$AB$197+$S$12+SUM($S$72:CM72),0)*(CM206&gt;0)</f>
        <v>0</v>
      </c>
      <c r="CN228" s="78">
        <f>MAX(Input!$AB$197+$S$12+SUM($S$72:CN72),0)*(CN206&gt;0)</f>
        <v>0</v>
      </c>
      <c r="CO228" s="78">
        <f>MAX(Input!$AB$197+$S$12+SUM($S$72:CO72),0)*(CO206&gt;0)</f>
        <v>0</v>
      </c>
      <c r="CP228" s="78">
        <f>MAX(Input!$AB$197+$S$12+SUM($S$72:CP72),0)*(CP206&gt;0)</f>
        <v>0</v>
      </c>
      <c r="CQ228" s="78">
        <f>MAX(Input!$AB$197+$S$12+SUM($S$72:CQ72),0)*(CQ206&gt;0)</f>
        <v>0</v>
      </c>
      <c r="CR228" s="78">
        <f>MAX(Input!$AB$197+$S$12+SUM($S$72:CR72),0)*(CR206&gt;0)</f>
        <v>0</v>
      </c>
      <c r="CS228" s="78">
        <f>MAX(Input!$AB$197+$S$12+SUM($S$72:CS72),0)*(CS206&gt;0)</f>
        <v>0</v>
      </c>
      <c r="CT228" s="78">
        <f>MAX(Input!$AB$197+$S$12+SUM($S$72:CT72),0)*(CT206&gt;0)</f>
        <v>0</v>
      </c>
      <c r="CU228" s="78">
        <f>MAX(Input!$AB$197+$S$12+SUM($S$72:CU72),0)*(CU206&gt;0)</f>
        <v>0</v>
      </c>
      <c r="CV228" s="78">
        <f>MAX(Input!$AB$197+$S$12+SUM($S$72:CV72),0)*(CV206&gt;0)</f>
        <v>0</v>
      </c>
      <c r="CW228" s="78">
        <f>MAX(Input!$AB$197+$S$12+SUM($S$72:CW72),0)*(CW206&gt;0)</f>
        <v>0</v>
      </c>
      <c r="CX228" s="78">
        <f>MAX(Input!$AB$197+$S$12+SUM($S$72:CX72),0)*(CX206&gt;0)</f>
        <v>0</v>
      </c>
      <c r="CY228" s="78">
        <f>MAX(Input!$AB$197+$S$12+SUM($S$72:CY72),0)*(CY206&gt;0)</f>
        <v>0</v>
      </c>
      <c r="CZ228" s="78">
        <f>MAX(Input!$AB$197+$S$12+SUM($S$72:CZ72),0)*(CZ206&gt;0)</f>
        <v>0</v>
      </c>
      <c r="DA228" s="78">
        <f>MAX(Input!$AB$197+$S$12+SUM($S$72:DA72),0)*(DA206&gt;0)</f>
        <v>0</v>
      </c>
      <c r="DB228" s="78">
        <f>MAX(Input!$AB$197+$S$12+SUM($S$72:DB72),0)*(DB206&gt;0)</f>
        <v>0</v>
      </c>
      <c r="DC228" s="78">
        <f>MAX(Input!$AB$197+$S$12+SUM($S$72:DC72),0)*(DC206&gt;0)</f>
        <v>0</v>
      </c>
      <c r="DD228" s="78">
        <f>MAX(Input!$AB$197+$S$12+SUM($S$72:DD72),0)*(DD206&gt;0)</f>
        <v>0</v>
      </c>
      <c r="DE228" s="78">
        <f>MAX(Input!$AB$197+$S$12+SUM($S$72:DE72),0)*(DE206&gt;0)</f>
        <v>0</v>
      </c>
      <c r="DF228" s="78">
        <f>MAX(Input!$AB$197+$S$12+SUM($S$72:DF72),0)*(DF206&gt;0)</f>
        <v>0</v>
      </c>
      <c r="DG228" s="78">
        <f>MAX(Input!$AB$197+$S$12+SUM($S$72:DG72),0)*(DG206&gt;0)</f>
        <v>0</v>
      </c>
      <c r="DH228" s="78">
        <f>MAX(Input!$AB$197+$S$12+SUM($S$72:DH72),0)*(DH206&gt;0)</f>
        <v>0</v>
      </c>
      <c r="DI228" s="78">
        <f>MAX(Input!$AB$197+$S$12+SUM($S$72:DI72),0)*(DI206&gt;0)</f>
        <v>0</v>
      </c>
      <c r="DJ228" s="78">
        <f>MAX(Input!$AB$197+$S$12+SUM($S$72:DJ72),0)*(DJ206&gt;0)</f>
        <v>0</v>
      </c>
      <c r="DK228" s="78">
        <f>MAX(Input!$AB$197+$S$12+SUM($S$72:DK72),0)*(DK206&gt;0)</f>
        <v>0</v>
      </c>
      <c r="DL228" s="78">
        <f>MAX(Input!$AB$197+$S$12+SUM($S$72:DL72),0)*(DL206&gt;0)</f>
        <v>0</v>
      </c>
      <c r="DM228" s="78">
        <f>MAX(Input!$AB$197+$S$12+SUM($S$72:DM72),0)*(DM206&gt;0)</f>
        <v>0</v>
      </c>
      <c r="DN228" s="78">
        <f>MAX(Input!$AB$197+$S$12+SUM($S$72:DN72),0)*(DN206&gt;0)</f>
        <v>0</v>
      </c>
      <c r="DO228" s="78">
        <f>MAX(Input!$AB$197+$S$12+SUM($S$72:DO72),0)*(DO206&gt;0)</f>
        <v>0</v>
      </c>
      <c r="DP228" s="78">
        <f>MAX(Input!$AB$197+$S$12+SUM($S$72:DP72),0)*(DP206&gt;0)</f>
        <v>0</v>
      </c>
      <c r="DQ228" s="78">
        <f>MAX(Input!$AB$197+$S$12+SUM($S$72:DQ72),0)*(DQ206&gt;0)</f>
        <v>0</v>
      </c>
      <c r="DR228" s="78">
        <f>MAX(Input!$AB$197+$S$12+SUM($S$72:DR72),0)*(DR206&gt;0)</f>
        <v>0</v>
      </c>
      <c r="DS228" s="78">
        <f>MAX(Input!$AB$197+$S$12+SUM($S$72:DS72),0)*(DS206&gt;0)</f>
        <v>0</v>
      </c>
      <c r="DT228" s="78">
        <f>MAX(Input!$AB$197+$S$12+SUM($S$72:DT72),0)*(DT206&gt;0)</f>
        <v>0</v>
      </c>
      <c r="DU228" s="78">
        <f>MAX(Input!$AB$197+$S$12+SUM($S$72:DU72),0)*(DU206&gt;0)</f>
        <v>0</v>
      </c>
      <c r="DV228" s="78">
        <f>MAX(Input!$AB$197+$S$12+SUM($S$72:DV72),0)*(DV206&gt;0)</f>
        <v>0</v>
      </c>
      <c r="DW228" s="78">
        <f>MAX(Input!$AB$197+$S$12+SUM($S$72:DW72),0)*(DW206&gt;0)</f>
        <v>0</v>
      </c>
      <c r="DX228" s="78">
        <f>MAX(Input!$AB$197+$S$12+SUM($S$72:DX72),0)*(DX206&gt;0)</f>
        <v>0</v>
      </c>
      <c r="DY228" s="78">
        <f>MAX(Input!$AB$197+$S$12+SUM($S$72:DY72),0)*(DY206&gt;0)</f>
        <v>0</v>
      </c>
      <c r="DZ228" s="78">
        <f>MAX(Input!$AB$197+$S$12+SUM($S$72:DZ72),0)*(DZ206&gt;0)</f>
        <v>0</v>
      </c>
      <c r="EA228" s="78">
        <f>MAX(Input!$AB$197+$S$12+SUM($S$72:EA72),0)*(EA206&gt;0)</f>
        <v>0</v>
      </c>
      <c r="EB228" s="78">
        <f>MAX(Input!$AB$197+$S$12+SUM($S$72:EB72),0)*(EB206&gt;0)</f>
        <v>0</v>
      </c>
      <c r="EC228" s="78">
        <f>MAX(Input!$AB$197+$S$12+SUM($S$72:EC72),0)*(EC206&gt;0)</f>
        <v>0</v>
      </c>
      <c r="ED228" s="78">
        <f>MAX(Input!$AB$197+$S$12+SUM($S$72:ED72),0)*(ED206&gt;0)</f>
        <v>0</v>
      </c>
      <c r="EE228" s="78">
        <f>MAX(Input!$AB$197+$S$12+SUM($S$72:EE72),0)*(EE206&gt;0)</f>
        <v>0</v>
      </c>
      <c r="EF228" s="78">
        <f>MAX(Input!$AB$197+$S$12+SUM($S$72:EF72),0)*(EF206&gt;0)</f>
        <v>0</v>
      </c>
      <c r="EG228" s="78">
        <f>MAX(Input!$AB$197+$S$12+SUM($S$72:EG72),0)*(EG206&gt;0)</f>
        <v>0</v>
      </c>
      <c r="EH228" s="78">
        <f>MAX(Input!$AB$197+$S$12+SUM($S$72:EH72),0)*(EH206&gt;0)</f>
        <v>0</v>
      </c>
      <c r="EI228" s="78">
        <f>MAX(Input!$AB$197+$S$12+SUM($S$72:EI72),0)*(EI206&gt;0)</f>
        <v>0</v>
      </c>
    </row>
    <row r="229" spans="2:139" ht="12.75" customHeight="1">
      <c r="B229" s="41" t="s">
        <v>607</v>
      </c>
      <c r="C229" s="211"/>
      <c r="D229" s="78"/>
      <c r="E229" s="78">
        <f t="shared" ref="E229:N230" si="396">SUMIF($S$6:$EI$6,E$5,$S229:$EI229)</f>
        <v>0</v>
      </c>
      <c r="F229" s="78">
        <f t="shared" si="396"/>
        <v>0</v>
      </c>
      <c r="G229" s="78">
        <f t="shared" si="396"/>
        <v>0</v>
      </c>
      <c r="H229" s="78">
        <f t="shared" si="396"/>
        <v>0</v>
      </c>
      <c r="I229" s="78">
        <f t="shared" si="396"/>
        <v>0</v>
      </c>
      <c r="J229" s="78">
        <f t="shared" si="396"/>
        <v>0</v>
      </c>
      <c r="K229" s="78">
        <f t="shared" si="396"/>
        <v>0</v>
      </c>
      <c r="L229" s="78">
        <f t="shared" si="396"/>
        <v>0</v>
      </c>
      <c r="M229" s="78">
        <f t="shared" si="396"/>
        <v>0</v>
      </c>
      <c r="N229" s="78">
        <f t="shared" si="396"/>
        <v>0</v>
      </c>
      <c r="O229" s="145">
        <f>SUM(D229:N229)</f>
        <v>0</v>
      </c>
      <c r="S229" s="78"/>
      <c r="T229" s="78">
        <f t="shared" ref="T229:AY229" si="397">-MIN(MAX(-(T71+T72),),SUM(T227:T228))</f>
        <v>0</v>
      </c>
      <c r="U229" s="78">
        <f t="shared" si="397"/>
        <v>0</v>
      </c>
      <c r="V229" s="78">
        <f t="shared" si="397"/>
        <v>0</v>
      </c>
      <c r="W229" s="78">
        <f t="shared" si="397"/>
        <v>0</v>
      </c>
      <c r="X229" s="78">
        <f t="shared" si="397"/>
        <v>0</v>
      </c>
      <c r="Y229" s="78">
        <f t="shared" si="397"/>
        <v>0</v>
      </c>
      <c r="Z229" s="78">
        <f t="shared" si="397"/>
        <v>0</v>
      </c>
      <c r="AA229" s="78">
        <f t="shared" si="397"/>
        <v>0</v>
      </c>
      <c r="AB229" s="78">
        <f t="shared" si="397"/>
        <v>0</v>
      </c>
      <c r="AC229" s="78">
        <f t="shared" si="397"/>
        <v>0</v>
      </c>
      <c r="AD229" s="78">
        <f t="shared" si="397"/>
        <v>0</v>
      </c>
      <c r="AE229" s="78">
        <f t="shared" si="397"/>
        <v>0</v>
      </c>
      <c r="AF229" s="78">
        <f t="shared" si="397"/>
        <v>0</v>
      </c>
      <c r="AG229" s="78">
        <f t="shared" si="397"/>
        <v>0</v>
      </c>
      <c r="AH229" s="78">
        <f t="shared" si="397"/>
        <v>0</v>
      </c>
      <c r="AI229" s="78">
        <f t="shared" si="397"/>
        <v>0</v>
      </c>
      <c r="AJ229" s="78">
        <f t="shared" si="397"/>
        <v>0</v>
      </c>
      <c r="AK229" s="78">
        <f t="shared" si="397"/>
        <v>0</v>
      </c>
      <c r="AL229" s="78">
        <f t="shared" si="397"/>
        <v>0</v>
      </c>
      <c r="AM229" s="78">
        <f t="shared" si="397"/>
        <v>0</v>
      </c>
      <c r="AN229" s="78">
        <f t="shared" si="397"/>
        <v>0</v>
      </c>
      <c r="AO229" s="78">
        <f t="shared" si="397"/>
        <v>0</v>
      </c>
      <c r="AP229" s="78">
        <f t="shared" si="397"/>
        <v>0</v>
      </c>
      <c r="AQ229" s="78">
        <f t="shared" si="397"/>
        <v>0</v>
      </c>
      <c r="AR229" s="78">
        <f t="shared" si="397"/>
        <v>0</v>
      </c>
      <c r="AS229" s="78">
        <f t="shared" si="397"/>
        <v>0</v>
      </c>
      <c r="AT229" s="78">
        <f t="shared" si="397"/>
        <v>0</v>
      </c>
      <c r="AU229" s="78">
        <f t="shared" si="397"/>
        <v>0</v>
      </c>
      <c r="AV229" s="78">
        <f t="shared" si="397"/>
        <v>0</v>
      </c>
      <c r="AW229" s="78">
        <f t="shared" si="397"/>
        <v>0</v>
      </c>
      <c r="AX229" s="78">
        <f t="shared" si="397"/>
        <v>0</v>
      </c>
      <c r="AY229" s="78">
        <f t="shared" si="397"/>
        <v>0</v>
      </c>
      <c r="AZ229" s="78">
        <f t="shared" ref="AZ229:CE229" si="398">-MIN(MAX(-(AZ71+AZ72),),SUM(AZ227:AZ228))</f>
        <v>0</v>
      </c>
      <c r="BA229" s="78">
        <f t="shared" si="398"/>
        <v>0</v>
      </c>
      <c r="BB229" s="78">
        <f t="shared" si="398"/>
        <v>0</v>
      </c>
      <c r="BC229" s="78">
        <f t="shared" si="398"/>
        <v>0</v>
      </c>
      <c r="BD229" s="78">
        <f t="shared" si="398"/>
        <v>0</v>
      </c>
      <c r="BE229" s="78">
        <f t="shared" si="398"/>
        <v>0</v>
      </c>
      <c r="BF229" s="78">
        <f t="shared" si="398"/>
        <v>0</v>
      </c>
      <c r="BG229" s="78">
        <f t="shared" si="398"/>
        <v>0</v>
      </c>
      <c r="BH229" s="78">
        <f t="shared" si="398"/>
        <v>0</v>
      </c>
      <c r="BI229" s="78">
        <f t="shared" si="398"/>
        <v>0</v>
      </c>
      <c r="BJ229" s="78">
        <f t="shared" si="398"/>
        <v>0</v>
      </c>
      <c r="BK229" s="78">
        <f t="shared" si="398"/>
        <v>0</v>
      </c>
      <c r="BL229" s="78">
        <f t="shared" si="398"/>
        <v>0</v>
      </c>
      <c r="BM229" s="78">
        <f t="shared" si="398"/>
        <v>0</v>
      </c>
      <c r="BN229" s="78">
        <f t="shared" si="398"/>
        <v>0</v>
      </c>
      <c r="BO229" s="78">
        <f t="shared" si="398"/>
        <v>0</v>
      </c>
      <c r="BP229" s="78">
        <f t="shared" si="398"/>
        <v>0</v>
      </c>
      <c r="BQ229" s="78">
        <f t="shared" si="398"/>
        <v>0</v>
      </c>
      <c r="BR229" s="78">
        <f t="shared" si="398"/>
        <v>0</v>
      </c>
      <c r="BS229" s="78">
        <f t="shared" si="398"/>
        <v>0</v>
      </c>
      <c r="BT229" s="78">
        <f t="shared" si="398"/>
        <v>0</v>
      </c>
      <c r="BU229" s="78">
        <f t="shared" si="398"/>
        <v>0</v>
      </c>
      <c r="BV229" s="78">
        <f t="shared" si="398"/>
        <v>0</v>
      </c>
      <c r="BW229" s="78">
        <f t="shared" si="398"/>
        <v>0</v>
      </c>
      <c r="BX229" s="78">
        <f t="shared" si="398"/>
        <v>0</v>
      </c>
      <c r="BY229" s="78">
        <f t="shared" si="398"/>
        <v>0</v>
      </c>
      <c r="BZ229" s="78">
        <f t="shared" si="398"/>
        <v>0</v>
      </c>
      <c r="CA229" s="78">
        <f t="shared" si="398"/>
        <v>0</v>
      </c>
      <c r="CB229" s="78">
        <f t="shared" si="398"/>
        <v>0</v>
      </c>
      <c r="CC229" s="78">
        <f t="shared" si="398"/>
        <v>0</v>
      </c>
      <c r="CD229" s="78">
        <f t="shared" si="398"/>
        <v>0</v>
      </c>
      <c r="CE229" s="78">
        <f t="shared" si="398"/>
        <v>0</v>
      </c>
      <c r="CF229" s="78">
        <f t="shared" ref="CF229:DK229" si="399">-MIN(MAX(-(CF71+CF72),),SUM(CF227:CF228))</f>
        <v>0</v>
      </c>
      <c r="CG229" s="78">
        <f t="shared" si="399"/>
        <v>0</v>
      </c>
      <c r="CH229" s="78">
        <f t="shared" si="399"/>
        <v>0</v>
      </c>
      <c r="CI229" s="78">
        <f t="shared" si="399"/>
        <v>0</v>
      </c>
      <c r="CJ229" s="78">
        <f t="shared" si="399"/>
        <v>0</v>
      </c>
      <c r="CK229" s="78">
        <f t="shared" si="399"/>
        <v>0</v>
      </c>
      <c r="CL229" s="78">
        <f t="shared" si="399"/>
        <v>0</v>
      </c>
      <c r="CM229" s="78">
        <f t="shared" si="399"/>
        <v>0</v>
      </c>
      <c r="CN229" s="78">
        <f t="shared" si="399"/>
        <v>0</v>
      </c>
      <c r="CO229" s="78">
        <f t="shared" si="399"/>
        <v>0</v>
      </c>
      <c r="CP229" s="78">
        <f t="shared" si="399"/>
        <v>0</v>
      </c>
      <c r="CQ229" s="78">
        <f t="shared" si="399"/>
        <v>0</v>
      </c>
      <c r="CR229" s="78">
        <f t="shared" si="399"/>
        <v>0</v>
      </c>
      <c r="CS229" s="78">
        <f t="shared" si="399"/>
        <v>0</v>
      </c>
      <c r="CT229" s="78">
        <f t="shared" si="399"/>
        <v>0</v>
      </c>
      <c r="CU229" s="78">
        <f t="shared" si="399"/>
        <v>0</v>
      </c>
      <c r="CV229" s="78">
        <f t="shared" si="399"/>
        <v>0</v>
      </c>
      <c r="CW229" s="78">
        <f t="shared" si="399"/>
        <v>0</v>
      </c>
      <c r="CX229" s="78">
        <f t="shared" si="399"/>
        <v>0</v>
      </c>
      <c r="CY229" s="78">
        <f t="shared" si="399"/>
        <v>0</v>
      </c>
      <c r="CZ229" s="78">
        <f t="shared" si="399"/>
        <v>0</v>
      </c>
      <c r="DA229" s="78">
        <f t="shared" si="399"/>
        <v>0</v>
      </c>
      <c r="DB229" s="78">
        <f t="shared" si="399"/>
        <v>0</v>
      </c>
      <c r="DC229" s="78">
        <f t="shared" si="399"/>
        <v>0</v>
      </c>
      <c r="DD229" s="78">
        <f t="shared" si="399"/>
        <v>0</v>
      </c>
      <c r="DE229" s="78">
        <f t="shared" si="399"/>
        <v>0</v>
      </c>
      <c r="DF229" s="78">
        <f t="shared" si="399"/>
        <v>0</v>
      </c>
      <c r="DG229" s="78">
        <f t="shared" si="399"/>
        <v>0</v>
      </c>
      <c r="DH229" s="78">
        <f t="shared" si="399"/>
        <v>0</v>
      </c>
      <c r="DI229" s="78">
        <f t="shared" si="399"/>
        <v>0</v>
      </c>
      <c r="DJ229" s="78">
        <f t="shared" si="399"/>
        <v>0</v>
      </c>
      <c r="DK229" s="78">
        <f t="shared" si="399"/>
        <v>0</v>
      </c>
      <c r="DL229" s="78">
        <f t="shared" ref="DL229:EQ229" si="400">-MIN(MAX(-(DL71+DL72),),SUM(DL227:DL228))</f>
        <v>0</v>
      </c>
      <c r="DM229" s="78">
        <f t="shared" si="400"/>
        <v>0</v>
      </c>
      <c r="DN229" s="78">
        <f t="shared" si="400"/>
        <v>0</v>
      </c>
      <c r="DO229" s="78">
        <f t="shared" si="400"/>
        <v>0</v>
      </c>
      <c r="DP229" s="78">
        <f t="shared" si="400"/>
        <v>0</v>
      </c>
      <c r="DQ229" s="78">
        <f t="shared" si="400"/>
        <v>0</v>
      </c>
      <c r="DR229" s="78">
        <f t="shared" si="400"/>
        <v>0</v>
      </c>
      <c r="DS229" s="78">
        <f t="shared" si="400"/>
        <v>0</v>
      </c>
      <c r="DT229" s="78">
        <f t="shared" si="400"/>
        <v>0</v>
      </c>
      <c r="DU229" s="78">
        <f t="shared" si="400"/>
        <v>0</v>
      </c>
      <c r="DV229" s="78">
        <f t="shared" si="400"/>
        <v>0</v>
      </c>
      <c r="DW229" s="78">
        <f t="shared" si="400"/>
        <v>0</v>
      </c>
      <c r="DX229" s="78">
        <f t="shared" si="400"/>
        <v>0</v>
      </c>
      <c r="DY229" s="78">
        <f t="shared" si="400"/>
        <v>0</v>
      </c>
      <c r="DZ229" s="78">
        <f t="shared" si="400"/>
        <v>0</v>
      </c>
      <c r="EA229" s="78">
        <f t="shared" si="400"/>
        <v>0</v>
      </c>
      <c r="EB229" s="78">
        <f t="shared" si="400"/>
        <v>0</v>
      </c>
      <c r="EC229" s="78">
        <f t="shared" si="400"/>
        <v>0</v>
      </c>
      <c r="ED229" s="78">
        <f t="shared" si="400"/>
        <v>0</v>
      </c>
      <c r="EE229" s="78">
        <f t="shared" si="400"/>
        <v>0</v>
      </c>
      <c r="EF229" s="78">
        <f t="shared" si="400"/>
        <v>0</v>
      </c>
      <c r="EG229" s="78">
        <f t="shared" si="400"/>
        <v>0</v>
      </c>
      <c r="EH229" s="78">
        <f t="shared" si="400"/>
        <v>0</v>
      </c>
      <c r="EI229" s="78">
        <f t="shared" si="400"/>
        <v>0</v>
      </c>
    </row>
    <row r="230" spans="2:139" ht="12.75" customHeight="1">
      <c r="B230" s="41" t="s">
        <v>606</v>
      </c>
      <c r="C230" s="211"/>
      <c r="D230" s="78">
        <f>SUMIF($S$6:$EI$6,D$5,$S230:$EI230)</f>
        <v>0</v>
      </c>
      <c r="E230" s="78">
        <f t="shared" si="396"/>
        <v>0</v>
      </c>
      <c r="F230" s="78">
        <f t="shared" si="396"/>
        <v>0</v>
      </c>
      <c r="G230" s="78">
        <f t="shared" si="396"/>
        <v>0</v>
      </c>
      <c r="H230" s="78">
        <f t="shared" si="396"/>
        <v>0</v>
      </c>
      <c r="I230" s="78">
        <f t="shared" si="396"/>
        <v>0</v>
      </c>
      <c r="J230" s="78">
        <f t="shared" si="396"/>
        <v>0</v>
      </c>
      <c r="K230" s="78">
        <f t="shared" si="396"/>
        <v>0</v>
      </c>
      <c r="L230" s="78">
        <f t="shared" si="396"/>
        <v>0</v>
      </c>
      <c r="M230" s="78">
        <f t="shared" si="396"/>
        <v>0</v>
      </c>
      <c r="N230" s="78">
        <f t="shared" si="396"/>
        <v>0</v>
      </c>
      <c r="O230" s="145">
        <f>SUM(D230:N230)</f>
        <v>0</v>
      </c>
      <c r="S230" s="78">
        <f t="shared" ref="S230:AX230" si="401">-SUM(S227:S229)*(ROUND(SUM(S205:S208),)=0)</f>
        <v>0</v>
      </c>
      <c r="T230" s="78">
        <f t="shared" si="401"/>
        <v>0</v>
      </c>
      <c r="U230" s="78">
        <f t="shared" si="401"/>
        <v>0</v>
      </c>
      <c r="V230" s="78">
        <f t="shared" si="401"/>
        <v>0</v>
      </c>
      <c r="W230" s="78">
        <f t="shared" si="401"/>
        <v>0</v>
      </c>
      <c r="X230" s="78">
        <f t="shared" si="401"/>
        <v>0</v>
      </c>
      <c r="Y230" s="78">
        <f t="shared" si="401"/>
        <v>0</v>
      </c>
      <c r="Z230" s="78">
        <f t="shared" si="401"/>
        <v>0</v>
      </c>
      <c r="AA230" s="78">
        <f t="shared" si="401"/>
        <v>0</v>
      </c>
      <c r="AB230" s="78">
        <f t="shared" si="401"/>
        <v>0</v>
      </c>
      <c r="AC230" s="78">
        <f t="shared" si="401"/>
        <v>0</v>
      </c>
      <c r="AD230" s="78">
        <f t="shared" si="401"/>
        <v>0</v>
      </c>
      <c r="AE230" s="78">
        <f t="shared" si="401"/>
        <v>0</v>
      </c>
      <c r="AF230" s="78">
        <f t="shared" si="401"/>
        <v>0</v>
      </c>
      <c r="AG230" s="78">
        <f t="shared" si="401"/>
        <v>0</v>
      </c>
      <c r="AH230" s="78">
        <f t="shared" si="401"/>
        <v>0</v>
      </c>
      <c r="AI230" s="78">
        <f t="shared" si="401"/>
        <v>0</v>
      </c>
      <c r="AJ230" s="78">
        <f t="shared" si="401"/>
        <v>0</v>
      </c>
      <c r="AK230" s="78">
        <f t="shared" si="401"/>
        <v>0</v>
      </c>
      <c r="AL230" s="78">
        <f t="shared" si="401"/>
        <v>0</v>
      </c>
      <c r="AM230" s="78">
        <f t="shared" si="401"/>
        <v>0</v>
      </c>
      <c r="AN230" s="78">
        <f t="shared" si="401"/>
        <v>0</v>
      </c>
      <c r="AO230" s="78">
        <f t="shared" si="401"/>
        <v>0</v>
      </c>
      <c r="AP230" s="78">
        <f t="shared" si="401"/>
        <v>0</v>
      </c>
      <c r="AQ230" s="78">
        <f t="shared" si="401"/>
        <v>0</v>
      </c>
      <c r="AR230" s="78">
        <f t="shared" si="401"/>
        <v>0</v>
      </c>
      <c r="AS230" s="78">
        <f t="shared" si="401"/>
        <v>0</v>
      </c>
      <c r="AT230" s="78">
        <f t="shared" si="401"/>
        <v>0</v>
      </c>
      <c r="AU230" s="78">
        <f t="shared" si="401"/>
        <v>0</v>
      </c>
      <c r="AV230" s="78">
        <f t="shared" si="401"/>
        <v>0</v>
      </c>
      <c r="AW230" s="78">
        <f t="shared" si="401"/>
        <v>0</v>
      </c>
      <c r="AX230" s="78">
        <f t="shared" si="401"/>
        <v>0</v>
      </c>
      <c r="AY230" s="78">
        <f t="shared" ref="AY230:CD230" si="402">-SUM(AY227:AY229)*(ROUND(SUM(AY205:AY208),)=0)</f>
        <v>0</v>
      </c>
      <c r="AZ230" s="78">
        <f t="shared" si="402"/>
        <v>0</v>
      </c>
      <c r="BA230" s="78">
        <f t="shared" si="402"/>
        <v>0</v>
      </c>
      <c r="BB230" s="78">
        <f t="shared" si="402"/>
        <v>0</v>
      </c>
      <c r="BC230" s="78">
        <f t="shared" si="402"/>
        <v>0</v>
      </c>
      <c r="BD230" s="78">
        <f t="shared" si="402"/>
        <v>0</v>
      </c>
      <c r="BE230" s="78">
        <f t="shared" si="402"/>
        <v>0</v>
      </c>
      <c r="BF230" s="78">
        <f t="shared" si="402"/>
        <v>0</v>
      </c>
      <c r="BG230" s="78">
        <f t="shared" si="402"/>
        <v>0</v>
      </c>
      <c r="BH230" s="78">
        <f t="shared" si="402"/>
        <v>0</v>
      </c>
      <c r="BI230" s="78">
        <f t="shared" si="402"/>
        <v>0</v>
      </c>
      <c r="BJ230" s="78">
        <f t="shared" si="402"/>
        <v>0</v>
      </c>
      <c r="BK230" s="78">
        <f t="shared" si="402"/>
        <v>0</v>
      </c>
      <c r="BL230" s="78">
        <f t="shared" si="402"/>
        <v>0</v>
      </c>
      <c r="BM230" s="78">
        <f t="shared" si="402"/>
        <v>0</v>
      </c>
      <c r="BN230" s="78">
        <f t="shared" si="402"/>
        <v>0</v>
      </c>
      <c r="BO230" s="78">
        <f t="shared" si="402"/>
        <v>0</v>
      </c>
      <c r="BP230" s="78">
        <f t="shared" si="402"/>
        <v>0</v>
      </c>
      <c r="BQ230" s="78">
        <f t="shared" si="402"/>
        <v>0</v>
      </c>
      <c r="BR230" s="78">
        <f t="shared" si="402"/>
        <v>0</v>
      </c>
      <c r="BS230" s="78">
        <f t="shared" si="402"/>
        <v>0</v>
      </c>
      <c r="BT230" s="78">
        <f t="shared" si="402"/>
        <v>0</v>
      </c>
      <c r="BU230" s="78">
        <f t="shared" si="402"/>
        <v>0</v>
      </c>
      <c r="BV230" s="78">
        <f t="shared" si="402"/>
        <v>0</v>
      </c>
      <c r="BW230" s="78">
        <f t="shared" si="402"/>
        <v>0</v>
      </c>
      <c r="BX230" s="78">
        <f t="shared" si="402"/>
        <v>0</v>
      </c>
      <c r="BY230" s="78">
        <f t="shared" si="402"/>
        <v>0</v>
      </c>
      <c r="BZ230" s="78">
        <f t="shared" si="402"/>
        <v>0</v>
      </c>
      <c r="CA230" s="78">
        <f t="shared" si="402"/>
        <v>0</v>
      </c>
      <c r="CB230" s="78">
        <f t="shared" si="402"/>
        <v>0</v>
      </c>
      <c r="CC230" s="78">
        <f t="shared" si="402"/>
        <v>0</v>
      </c>
      <c r="CD230" s="78">
        <f t="shared" si="402"/>
        <v>0</v>
      </c>
      <c r="CE230" s="78">
        <f t="shared" ref="CE230:DJ230" si="403">-SUM(CE227:CE229)*(ROUND(SUM(CE205:CE208),)=0)</f>
        <v>0</v>
      </c>
      <c r="CF230" s="78">
        <f t="shared" si="403"/>
        <v>0</v>
      </c>
      <c r="CG230" s="78">
        <f t="shared" si="403"/>
        <v>0</v>
      </c>
      <c r="CH230" s="78">
        <f t="shared" si="403"/>
        <v>0</v>
      </c>
      <c r="CI230" s="78">
        <f t="shared" si="403"/>
        <v>0</v>
      </c>
      <c r="CJ230" s="78">
        <f t="shared" si="403"/>
        <v>0</v>
      </c>
      <c r="CK230" s="78">
        <f t="shared" si="403"/>
        <v>0</v>
      </c>
      <c r="CL230" s="78">
        <f t="shared" si="403"/>
        <v>0</v>
      </c>
      <c r="CM230" s="78">
        <f t="shared" si="403"/>
        <v>0</v>
      </c>
      <c r="CN230" s="78">
        <f t="shared" si="403"/>
        <v>0</v>
      </c>
      <c r="CO230" s="78">
        <f t="shared" si="403"/>
        <v>0</v>
      </c>
      <c r="CP230" s="78">
        <f t="shared" si="403"/>
        <v>0</v>
      </c>
      <c r="CQ230" s="78">
        <f t="shared" si="403"/>
        <v>0</v>
      </c>
      <c r="CR230" s="78">
        <f t="shared" si="403"/>
        <v>0</v>
      </c>
      <c r="CS230" s="78">
        <f t="shared" si="403"/>
        <v>0</v>
      </c>
      <c r="CT230" s="78">
        <f t="shared" si="403"/>
        <v>0</v>
      </c>
      <c r="CU230" s="78">
        <f t="shared" si="403"/>
        <v>0</v>
      </c>
      <c r="CV230" s="78">
        <f t="shared" si="403"/>
        <v>0</v>
      </c>
      <c r="CW230" s="78">
        <f t="shared" si="403"/>
        <v>0</v>
      </c>
      <c r="CX230" s="78">
        <f t="shared" si="403"/>
        <v>0</v>
      </c>
      <c r="CY230" s="78">
        <f t="shared" si="403"/>
        <v>0</v>
      </c>
      <c r="CZ230" s="78">
        <f t="shared" si="403"/>
        <v>0</v>
      </c>
      <c r="DA230" s="78">
        <f t="shared" si="403"/>
        <v>0</v>
      </c>
      <c r="DB230" s="78">
        <f t="shared" si="403"/>
        <v>0</v>
      </c>
      <c r="DC230" s="78">
        <f t="shared" si="403"/>
        <v>0</v>
      </c>
      <c r="DD230" s="78">
        <f t="shared" si="403"/>
        <v>0</v>
      </c>
      <c r="DE230" s="78">
        <f t="shared" si="403"/>
        <v>0</v>
      </c>
      <c r="DF230" s="78">
        <f t="shared" si="403"/>
        <v>0</v>
      </c>
      <c r="DG230" s="78">
        <f t="shared" si="403"/>
        <v>0</v>
      </c>
      <c r="DH230" s="78">
        <f t="shared" si="403"/>
        <v>0</v>
      </c>
      <c r="DI230" s="78">
        <f t="shared" si="403"/>
        <v>0</v>
      </c>
      <c r="DJ230" s="78">
        <f t="shared" si="403"/>
        <v>0</v>
      </c>
      <c r="DK230" s="78">
        <f t="shared" ref="DK230:EP230" si="404">-SUM(DK227:DK229)*(ROUND(SUM(DK205:DK208),)=0)</f>
        <v>0</v>
      </c>
      <c r="DL230" s="78">
        <f t="shared" si="404"/>
        <v>0</v>
      </c>
      <c r="DM230" s="78">
        <f t="shared" si="404"/>
        <v>0</v>
      </c>
      <c r="DN230" s="78">
        <f t="shared" si="404"/>
        <v>0</v>
      </c>
      <c r="DO230" s="78">
        <f t="shared" si="404"/>
        <v>0</v>
      </c>
      <c r="DP230" s="78">
        <f t="shared" si="404"/>
        <v>0</v>
      </c>
      <c r="DQ230" s="78">
        <f t="shared" si="404"/>
        <v>0</v>
      </c>
      <c r="DR230" s="78">
        <f t="shared" si="404"/>
        <v>0</v>
      </c>
      <c r="DS230" s="78">
        <f t="shared" si="404"/>
        <v>0</v>
      </c>
      <c r="DT230" s="78">
        <f t="shared" si="404"/>
        <v>0</v>
      </c>
      <c r="DU230" s="78">
        <f t="shared" si="404"/>
        <v>0</v>
      </c>
      <c r="DV230" s="78">
        <f t="shared" si="404"/>
        <v>0</v>
      </c>
      <c r="DW230" s="78">
        <f t="shared" si="404"/>
        <v>0</v>
      </c>
      <c r="DX230" s="78">
        <f t="shared" si="404"/>
        <v>0</v>
      </c>
      <c r="DY230" s="78">
        <f t="shared" si="404"/>
        <v>0</v>
      </c>
      <c r="DZ230" s="78">
        <f t="shared" si="404"/>
        <v>0</v>
      </c>
      <c r="EA230" s="78">
        <f t="shared" si="404"/>
        <v>0</v>
      </c>
      <c r="EB230" s="78">
        <f t="shared" si="404"/>
        <v>0</v>
      </c>
      <c r="EC230" s="78">
        <f t="shared" si="404"/>
        <v>0</v>
      </c>
      <c r="ED230" s="78">
        <f t="shared" si="404"/>
        <v>0</v>
      </c>
      <c r="EE230" s="78">
        <f t="shared" si="404"/>
        <v>0</v>
      </c>
      <c r="EF230" s="78">
        <f t="shared" si="404"/>
        <v>0</v>
      </c>
      <c r="EG230" s="78">
        <f t="shared" si="404"/>
        <v>0</v>
      </c>
      <c r="EH230" s="78">
        <f t="shared" si="404"/>
        <v>0</v>
      </c>
      <c r="EI230" s="78">
        <f t="shared" si="404"/>
        <v>0</v>
      </c>
    </row>
    <row r="231" spans="2:139" ht="12.75" customHeight="1">
      <c r="B231" s="46" t="s">
        <v>595</v>
      </c>
      <c r="C231" s="209"/>
      <c r="D231" s="694">
        <f t="shared" ref="D231:O231" si="405">ROUND(SUBTOTAL(9,D227:D230),2)</f>
        <v>0</v>
      </c>
      <c r="E231" s="694">
        <f t="shared" si="405"/>
        <v>0</v>
      </c>
      <c r="F231" s="694">
        <f t="shared" si="405"/>
        <v>0</v>
      </c>
      <c r="G231" s="694">
        <f t="shared" si="405"/>
        <v>0</v>
      </c>
      <c r="H231" s="694">
        <f t="shared" si="405"/>
        <v>0</v>
      </c>
      <c r="I231" s="694">
        <f t="shared" si="405"/>
        <v>0</v>
      </c>
      <c r="J231" s="694">
        <f t="shared" si="405"/>
        <v>0</v>
      </c>
      <c r="K231" s="694">
        <f t="shared" si="405"/>
        <v>0</v>
      </c>
      <c r="L231" s="694">
        <f t="shared" si="405"/>
        <v>0</v>
      </c>
      <c r="M231" s="694">
        <f t="shared" si="405"/>
        <v>0</v>
      </c>
      <c r="N231" s="694">
        <f t="shared" si="405"/>
        <v>0</v>
      </c>
      <c r="O231" s="713">
        <f t="shared" si="405"/>
        <v>0</v>
      </c>
      <c r="S231" s="694">
        <f t="shared" ref="S231:AX231" si="406">IF(SUM(S227:S230)&gt;1,SUBTOTAL(9,S227:S230),)</f>
        <v>0</v>
      </c>
      <c r="T231" s="694">
        <f t="shared" si="406"/>
        <v>0</v>
      </c>
      <c r="U231" s="694">
        <f t="shared" si="406"/>
        <v>0</v>
      </c>
      <c r="V231" s="694">
        <f t="shared" si="406"/>
        <v>0</v>
      </c>
      <c r="W231" s="694">
        <f t="shared" si="406"/>
        <v>0</v>
      </c>
      <c r="X231" s="694">
        <f t="shared" si="406"/>
        <v>0</v>
      </c>
      <c r="Y231" s="694">
        <f t="shared" si="406"/>
        <v>0</v>
      </c>
      <c r="Z231" s="694">
        <f t="shared" si="406"/>
        <v>0</v>
      </c>
      <c r="AA231" s="694">
        <f t="shared" si="406"/>
        <v>0</v>
      </c>
      <c r="AB231" s="694">
        <f t="shared" si="406"/>
        <v>0</v>
      </c>
      <c r="AC231" s="694">
        <f t="shared" si="406"/>
        <v>0</v>
      </c>
      <c r="AD231" s="694">
        <f t="shared" si="406"/>
        <v>0</v>
      </c>
      <c r="AE231" s="694">
        <f t="shared" si="406"/>
        <v>0</v>
      </c>
      <c r="AF231" s="694">
        <f t="shared" si="406"/>
        <v>0</v>
      </c>
      <c r="AG231" s="694">
        <f t="shared" si="406"/>
        <v>0</v>
      </c>
      <c r="AH231" s="694">
        <f t="shared" si="406"/>
        <v>0</v>
      </c>
      <c r="AI231" s="694">
        <f t="shared" si="406"/>
        <v>0</v>
      </c>
      <c r="AJ231" s="694">
        <f t="shared" si="406"/>
        <v>0</v>
      </c>
      <c r="AK231" s="694">
        <f t="shared" si="406"/>
        <v>0</v>
      </c>
      <c r="AL231" s="694">
        <f t="shared" si="406"/>
        <v>0</v>
      </c>
      <c r="AM231" s="694">
        <f t="shared" si="406"/>
        <v>0</v>
      </c>
      <c r="AN231" s="694">
        <f t="shared" si="406"/>
        <v>0</v>
      </c>
      <c r="AO231" s="694">
        <f t="shared" si="406"/>
        <v>0</v>
      </c>
      <c r="AP231" s="694">
        <f t="shared" si="406"/>
        <v>0</v>
      </c>
      <c r="AQ231" s="694">
        <f t="shared" si="406"/>
        <v>0</v>
      </c>
      <c r="AR231" s="694">
        <f t="shared" si="406"/>
        <v>0</v>
      </c>
      <c r="AS231" s="694">
        <f t="shared" si="406"/>
        <v>0</v>
      </c>
      <c r="AT231" s="694">
        <f t="shared" si="406"/>
        <v>0</v>
      </c>
      <c r="AU231" s="694">
        <f t="shared" si="406"/>
        <v>0</v>
      </c>
      <c r="AV231" s="694">
        <f t="shared" si="406"/>
        <v>0</v>
      </c>
      <c r="AW231" s="694">
        <f t="shared" si="406"/>
        <v>0</v>
      </c>
      <c r="AX231" s="694">
        <f t="shared" si="406"/>
        <v>0</v>
      </c>
      <c r="AY231" s="694">
        <f t="shared" ref="AY231:CD231" si="407">IF(SUM(AY227:AY230)&gt;1,SUBTOTAL(9,AY227:AY230),)</f>
        <v>0</v>
      </c>
      <c r="AZ231" s="694">
        <f t="shared" si="407"/>
        <v>0</v>
      </c>
      <c r="BA231" s="694">
        <f t="shared" si="407"/>
        <v>0</v>
      </c>
      <c r="BB231" s="694">
        <f t="shared" si="407"/>
        <v>0</v>
      </c>
      <c r="BC231" s="694">
        <f t="shared" si="407"/>
        <v>0</v>
      </c>
      <c r="BD231" s="694">
        <f t="shared" si="407"/>
        <v>0</v>
      </c>
      <c r="BE231" s="694">
        <f t="shared" si="407"/>
        <v>0</v>
      </c>
      <c r="BF231" s="694">
        <f t="shared" si="407"/>
        <v>0</v>
      </c>
      <c r="BG231" s="694">
        <f t="shared" si="407"/>
        <v>0</v>
      </c>
      <c r="BH231" s="694">
        <f t="shared" si="407"/>
        <v>0</v>
      </c>
      <c r="BI231" s="694">
        <f t="shared" si="407"/>
        <v>0</v>
      </c>
      <c r="BJ231" s="694">
        <f t="shared" si="407"/>
        <v>0</v>
      </c>
      <c r="BK231" s="694">
        <f t="shared" si="407"/>
        <v>0</v>
      </c>
      <c r="BL231" s="694">
        <f t="shared" si="407"/>
        <v>0</v>
      </c>
      <c r="BM231" s="694">
        <f t="shared" si="407"/>
        <v>0</v>
      </c>
      <c r="BN231" s="694">
        <f t="shared" si="407"/>
        <v>0</v>
      </c>
      <c r="BO231" s="694">
        <f t="shared" si="407"/>
        <v>0</v>
      </c>
      <c r="BP231" s="694">
        <f t="shared" si="407"/>
        <v>0</v>
      </c>
      <c r="BQ231" s="694">
        <f t="shared" si="407"/>
        <v>0</v>
      </c>
      <c r="BR231" s="694">
        <f t="shared" si="407"/>
        <v>0</v>
      </c>
      <c r="BS231" s="694">
        <f t="shared" si="407"/>
        <v>0</v>
      </c>
      <c r="BT231" s="694">
        <f t="shared" si="407"/>
        <v>0</v>
      </c>
      <c r="BU231" s="694">
        <f t="shared" si="407"/>
        <v>0</v>
      </c>
      <c r="BV231" s="694">
        <f t="shared" si="407"/>
        <v>0</v>
      </c>
      <c r="BW231" s="694">
        <f t="shared" si="407"/>
        <v>0</v>
      </c>
      <c r="BX231" s="694">
        <f t="shared" si="407"/>
        <v>0</v>
      </c>
      <c r="BY231" s="694">
        <f t="shared" si="407"/>
        <v>0</v>
      </c>
      <c r="BZ231" s="694">
        <f t="shared" si="407"/>
        <v>0</v>
      </c>
      <c r="CA231" s="694">
        <f t="shared" si="407"/>
        <v>0</v>
      </c>
      <c r="CB231" s="694">
        <f t="shared" si="407"/>
        <v>0</v>
      </c>
      <c r="CC231" s="694">
        <f t="shared" si="407"/>
        <v>0</v>
      </c>
      <c r="CD231" s="694">
        <f t="shared" si="407"/>
        <v>0</v>
      </c>
      <c r="CE231" s="694">
        <f t="shared" ref="CE231:DJ231" si="408">IF(SUM(CE227:CE230)&gt;1,SUBTOTAL(9,CE227:CE230),)</f>
        <v>0</v>
      </c>
      <c r="CF231" s="694">
        <f t="shared" si="408"/>
        <v>0</v>
      </c>
      <c r="CG231" s="694">
        <f t="shared" si="408"/>
        <v>0</v>
      </c>
      <c r="CH231" s="694">
        <f t="shared" si="408"/>
        <v>0</v>
      </c>
      <c r="CI231" s="694">
        <f t="shared" si="408"/>
        <v>0</v>
      </c>
      <c r="CJ231" s="694">
        <f t="shared" si="408"/>
        <v>0</v>
      </c>
      <c r="CK231" s="694">
        <f t="shared" si="408"/>
        <v>0</v>
      </c>
      <c r="CL231" s="694">
        <f t="shared" si="408"/>
        <v>0</v>
      </c>
      <c r="CM231" s="694">
        <f t="shared" si="408"/>
        <v>0</v>
      </c>
      <c r="CN231" s="694">
        <f t="shared" si="408"/>
        <v>0</v>
      </c>
      <c r="CO231" s="694">
        <f t="shared" si="408"/>
        <v>0</v>
      </c>
      <c r="CP231" s="694">
        <f t="shared" si="408"/>
        <v>0</v>
      </c>
      <c r="CQ231" s="694">
        <f t="shared" si="408"/>
        <v>0</v>
      </c>
      <c r="CR231" s="694">
        <f t="shared" si="408"/>
        <v>0</v>
      </c>
      <c r="CS231" s="694">
        <f t="shared" si="408"/>
        <v>0</v>
      </c>
      <c r="CT231" s="694">
        <f t="shared" si="408"/>
        <v>0</v>
      </c>
      <c r="CU231" s="694">
        <f t="shared" si="408"/>
        <v>0</v>
      </c>
      <c r="CV231" s="694">
        <f t="shared" si="408"/>
        <v>0</v>
      </c>
      <c r="CW231" s="694">
        <f t="shared" si="408"/>
        <v>0</v>
      </c>
      <c r="CX231" s="694">
        <f t="shared" si="408"/>
        <v>0</v>
      </c>
      <c r="CY231" s="694">
        <f t="shared" si="408"/>
        <v>0</v>
      </c>
      <c r="CZ231" s="694">
        <f t="shared" si="408"/>
        <v>0</v>
      </c>
      <c r="DA231" s="694">
        <f t="shared" si="408"/>
        <v>0</v>
      </c>
      <c r="DB231" s="694">
        <f t="shared" si="408"/>
        <v>0</v>
      </c>
      <c r="DC231" s="694">
        <f t="shared" si="408"/>
        <v>0</v>
      </c>
      <c r="DD231" s="694">
        <f t="shared" si="408"/>
        <v>0</v>
      </c>
      <c r="DE231" s="694">
        <f t="shared" si="408"/>
        <v>0</v>
      </c>
      <c r="DF231" s="694">
        <f t="shared" si="408"/>
        <v>0</v>
      </c>
      <c r="DG231" s="694">
        <f t="shared" si="408"/>
        <v>0</v>
      </c>
      <c r="DH231" s="694">
        <f t="shared" si="408"/>
        <v>0</v>
      </c>
      <c r="DI231" s="694">
        <f t="shared" si="408"/>
        <v>0</v>
      </c>
      <c r="DJ231" s="694">
        <f t="shared" si="408"/>
        <v>0</v>
      </c>
      <c r="DK231" s="694">
        <f t="shared" ref="DK231:EP231" si="409">IF(SUM(DK227:DK230)&gt;1,SUBTOTAL(9,DK227:DK230),)</f>
        <v>0</v>
      </c>
      <c r="DL231" s="694">
        <f t="shared" si="409"/>
        <v>0</v>
      </c>
      <c r="DM231" s="694">
        <f t="shared" si="409"/>
        <v>0</v>
      </c>
      <c r="DN231" s="694">
        <f t="shared" si="409"/>
        <v>0</v>
      </c>
      <c r="DO231" s="694">
        <f t="shared" si="409"/>
        <v>0</v>
      </c>
      <c r="DP231" s="694">
        <f t="shared" si="409"/>
        <v>0</v>
      </c>
      <c r="DQ231" s="694">
        <f t="shared" si="409"/>
        <v>0</v>
      </c>
      <c r="DR231" s="694">
        <f t="shared" si="409"/>
        <v>0</v>
      </c>
      <c r="DS231" s="694">
        <f t="shared" si="409"/>
        <v>0</v>
      </c>
      <c r="DT231" s="694">
        <f t="shared" si="409"/>
        <v>0</v>
      </c>
      <c r="DU231" s="694">
        <f t="shared" si="409"/>
        <v>0</v>
      </c>
      <c r="DV231" s="694">
        <f t="shared" si="409"/>
        <v>0</v>
      </c>
      <c r="DW231" s="694">
        <f t="shared" si="409"/>
        <v>0</v>
      </c>
      <c r="DX231" s="694">
        <f t="shared" si="409"/>
        <v>0</v>
      </c>
      <c r="DY231" s="694">
        <f t="shared" si="409"/>
        <v>0</v>
      </c>
      <c r="DZ231" s="694">
        <f t="shared" si="409"/>
        <v>0</v>
      </c>
      <c r="EA231" s="694">
        <f t="shared" si="409"/>
        <v>0</v>
      </c>
      <c r="EB231" s="694">
        <f t="shared" si="409"/>
        <v>0</v>
      </c>
      <c r="EC231" s="694">
        <f t="shared" si="409"/>
        <v>0</v>
      </c>
      <c r="ED231" s="694">
        <f t="shared" si="409"/>
        <v>0</v>
      </c>
      <c r="EE231" s="694">
        <f t="shared" si="409"/>
        <v>0</v>
      </c>
      <c r="EF231" s="694">
        <f t="shared" si="409"/>
        <v>0</v>
      </c>
      <c r="EG231" s="694">
        <f t="shared" si="409"/>
        <v>0</v>
      </c>
      <c r="EH231" s="694">
        <f t="shared" si="409"/>
        <v>0</v>
      </c>
      <c r="EI231" s="694">
        <f t="shared" si="409"/>
        <v>0</v>
      </c>
    </row>
    <row r="232" spans="2:139" ht="12.75" customHeight="1">
      <c r="B232" s="46"/>
      <c r="C232" s="209"/>
      <c r="D232" s="169"/>
      <c r="E232" s="169"/>
      <c r="F232" s="169"/>
      <c r="G232" s="169"/>
      <c r="H232" s="169"/>
      <c r="I232" s="169"/>
      <c r="J232" s="169"/>
      <c r="K232" s="169"/>
      <c r="L232" s="169"/>
      <c r="M232" s="169"/>
      <c r="N232" s="169"/>
      <c r="O232" s="91"/>
      <c r="S232" s="169"/>
      <c r="T232" s="169"/>
      <c r="U232" s="169"/>
      <c r="V232" s="169"/>
      <c r="W232" s="169"/>
      <c r="X232" s="169"/>
      <c r="Y232" s="169"/>
      <c r="Z232" s="169"/>
      <c r="AA232" s="169"/>
      <c r="AB232" s="169"/>
      <c r="AC232" s="169"/>
      <c r="AD232" s="169"/>
      <c r="AE232" s="169"/>
      <c r="AF232" s="169"/>
      <c r="AG232" s="169"/>
      <c r="AH232" s="169"/>
      <c r="AI232" s="169"/>
      <c r="AJ232" s="169"/>
      <c r="AK232" s="169"/>
      <c r="AL232" s="169"/>
      <c r="AM232" s="169"/>
      <c r="AN232" s="169"/>
      <c r="AO232" s="169"/>
      <c r="AP232" s="169"/>
      <c r="AQ232" s="169"/>
      <c r="AR232" s="169"/>
      <c r="AS232" s="169"/>
      <c r="AT232" s="169"/>
      <c r="AU232" s="169"/>
      <c r="AV232" s="169"/>
      <c r="AW232" s="169"/>
      <c r="AX232" s="169"/>
      <c r="AY232" s="169"/>
      <c r="AZ232" s="169"/>
      <c r="BA232" s="169"/>
      <c r="BB232" s="169"/>
      <c r="BC232" s="169"/>
      <c r="BD232" s="169"/>
      <c r="BE232" s="169"/>
      <c r="BF232" s="169"/>
      <c r="BG232" s="169"/>
      <c r="BH232" s="169"/>
      <c r="BI232" s="169"/>
      <c r="BJ232" s="169"/>
      <c r="BK232" s="169"/>
      <c r="BL232" s="169"/>
      <c r="BM232" s="169"/>
      <c r="BN232" s="169"/>
      <c r="BO232" s="169"/>
      <c r="BP232" s="169"/>
      <c r="BQ232" s="169"/>
      <c r="BR232" s="169"/>
      <c r="BS232" s="169"/>
      <c r="BT232" s="169"/>
      <c r="BU232" s="169"/>
      <c r="BV232" s="169"/>
      <c r="BW232" s="169"/>
      <c r="BX232" s="169"/>
      <c r="BY232" s="169"/>
      <c r="BZ232" s="169"/>
      <c r="CA232" s="169"/>
      <c r="CB232" s="169"/>
      <c r="CC232" s="169"/>
      <c r="CD232" s="169"/>
      <c r="CE232" s="169"/>
      <c r="CF232" s="169"/>
      <c r="CG232" s="169"/>
      <c r="CH232" s="169"/>
      <c r="CI232" s="169"/>
      <c r="CJ232" s="169"/>
      <c r="CK232" s="169"/>
      <c r="CL232" s="169"/>
      <c r="CM232" s="169"/>
      <c r="CN232" s="169"/>
      <c r="CO232" s="169"/>
      <c r="CP232" s="169"/>
      <c r="CQ232" s="169"/>
      <c r="CR232" s="169"/>
      <c r="CS232" s="169"/>
      <c r="CT232" s="169"/>
      <c r="CU232" s="169"/>
      <c r="CV232" s="169"/>
      <c r="CW232" s="169"/>
      <c r="CX232" s="169"/>
      <c r="CY232" s="169"/>
      <c r="CZ232" s="169"/>
      <c r="DA232" s="169"/>
      <c r="DB232" s="169"/>
      <c r="DC232" s="169"/>
      <c r="DD232" s="169"/>
      <c r="DE232" s="169"/>
      <c r="DF232" s="169"/>
      <c r="DG232" s="169"/>
      <c r="DH232" s="169"/>
      <c r="DI232" s="169"/>
      <c r="DJ232" s="169"/>
      <c r="DK232" s="169"/>
      <c r="DL232" s="169"/>
      <c r="DM232" s="169"/>
      <c r="DN232" s="169"/>
      <c r="DO232" s="169"/>
      <c r="DP232" s="169"/>
      <c r="DQ232" s="169"/>
      <c r="DR232" s="169"/>
      <c r="DS232" s="169"/>
      <c r="DT232" s="169"/>
      <c r="DU232" s="169"/>
      <c r="DV232" s="169"/>
      <c r="DW232" s="169"/>
      <c r="DX232" s="169"/>
      <c r="DY232" s="169"/>
      <c r="DZ232" s="169"/>
      <c r="EA232" s="169"/>
      <c r="EB232" s="169"/>
      <c r="EC232" s="169"/>
      <c r="ED232" s="169"/>
      <c r="EE232" s="169"/>
      <c r="EF232" s="169"/>
      <c r="EG232" s="169"/>
      <c r="EH232" s="169"/>
      <c r="EI232" s="169"/>
    </row>
    <row r="233" spans="2:139" ht="12.75" customHeight="1">
      <c r="B233" s="1045" t="str">
        <f>Input!Z198</f>
        <v>Debt Service</v>
      </c>
      <c r="C233" s="211"/>
      <c r="D233" s="78"/>
      <c r="E233" s="78"/>
      <c r="F233" s="78"/>
      <c r="G233" s="78"/>
      <c r="H233" s="78"/>
      <c r="I233" s="78"/>
      <c r="J233" s="78"/>
      <c r="K233" s="78"/>
      <c r="L233" s="78"/>
      <c r="M233" s="78"/>
      <c r="N233" s="78"/>
      <c r="O233" s="145"/>
      <c r="S233" s="78"/>
      <c r="T233" s="78"/>
      <c r="U233" s="78"/>
      <c r="V233" s="78"/>
      <c r="W233" s="78"/>
      <c r="X233" s="78"/>
      <c r="Y233" s="78"/>
      <c r="Z233" s="78"/>
      <c r="AA233" s="78"/>
      <c r="AB233" s="78"/>
      <c r="AC233" s="78"/>
      <c r="AD233" s="78"/>
      <c r="AE233" s="78"/>
      <c r="AF233" s="78"/>
      <c r="AG233" s="78"/>
      <c r="AH233" s="78"/>
      <c r="AI233" s="78"/>
      <c r="AJ233" s="78"/>
      <c r="AK233" s="78"/>
      <c r="AL233" s="78"/>
      <c r="AM233" s="78"/>
      <c r="AN233" s="78"/>
      <c r="AO233" s="78"/>
      <c r="AP233" s="78"/>
      <c r="AQ233" s="78"/>
      <c r="AR233" s="78"/>
      <c r="AS233" s="78"/>
      <c r="AT233" s="78"/>
      <c r="AU233" s="78"/>
      <c r="AV233" s="78"/>
      <c r="AW233" s="78"/>
      <c r="AX233" s="78"/>
      <c r="AY233" s="78"/>
      <c r="AZ233" s="78"/>
      <c r="BA233" s="78"/>
      <c r="BB233" s="78"/>
      <c r="BC233" s="78"/>
      <c r="BD233" s="78"/>
      <c r="BE233" s="78"/>
      <c r="BF233" s="78"/>
      <c r="BG233" s="78"/>
      <c r="BH233" s="78"/>
      <c r="BI233" s="78"/>
      <c r="BJ233" s="78"/>
      <c r="BK233" s="78"/>
      <c r="BL233" s="78"/>
      <c r="BM233" s="78"/>
      <c r="BN233" s="78"/>
      <c r="BO233" s="78"/>
      <c r="BP233" s="78"/>
      <c r="BQ233" s="78"/>
      <c r="BR233" s="78"/>
      <c r="BS233" s="78"/>
      <c r="BT233" s="78"/>
      <c r="BU233" s="78"/>
      <c r="BV233" s="78"/>
      <c r="BW233" s="78"/>
      <c r="BX233" s="78"/>
      <c r="BY233" s="78"/>
      <c r="BZ233" s="78"/>
      <c r="CA233" s="78"/>
      <c r="CB233" s="78"/>
      <c r="CC233" s="78"/>
      <c r="CD233" s="78"/>
      <c r="CE233" s="78"/>
      <c r="CF233" s="78"/>
      <c r="CG233" s="78"/>
      <c r="CH233" s="78"/>
      <c r="CI233" s="78"/>
      <c r="CJ233" s="78"/>
      <c r="CK233" s="78"/>
      <c r="CL233" s="78"/>
      <c r="CM233" s="78"/>
      <c r="CN233" s="78"/>
      <c r="CO233" s="78"/>
      <c r="CP233" s="78"/>
      <c r="CQ233" s="78"/>
      <c r="CR233" s="78"/>
      <c r="CS233" s="78"/>
      <c r="CT233" s="78"/>
      <c r="CU233" s="78"/>
      <c r="CV233" s="78"/>
      <c r="CW233" s="78"/>
      <c r="CX233" s="78"/>
      <c r="CY233" s="78"/>
      <c r="CZ233" s="78"/>
      <c r="DA233" s="78"/>
      <c r="DB233" s="78"/>
      <c r="DC233" s="78"/>
      <c r="DD233" s="78"/>
      <c r="DE233" s="78"/>
      <c r="DF233" s="78"/>
      <c r="DG233" s="78"/>
      <c r="DH233" s="78"/>
      <c r="DI233" s="78"/>
      <c r="DJ233" s="78"/>
      <c r="DK233" s="78"/>
      <c r="DL233" s="78"/>
      <c r="DM233" s="78"/>
      <c r="DN233" s="78"/>
      <c r="DO233" s="78"/>
      <c r="DP233" s="78"/>
      <c r="DQ233" s="78"/>
      <c r="DR233" s="78"/>
      <c r="DS233" s="78"/>
      <c r="DT233" s="78"/>
      <c r="DU233" s="78"/>
      <c r="DV233" s="78"/>
      <c r="DW233" s="78"/>
      <c r="DX233" s="78"/>
      <c r="DY233" s="78"/>
      <c r="DZ233" s="78"/>
      <c r="EA233" s="78"/>
      <c r="EB233" s="78"/>
      <c r="EC233" s="78"/>
      <c r="ED233" s="78"/>
      <c r="EE233" s="78"/>
      <c r="EF233" s="78"/>
      <c r="EG233" s="78"/>
      <c r="EH233" s="78"/>
      <c r="EI233" s="78"/>
    </row>
    <row r="234" spans="2:139" ht="12.75" customHeight="1">
      <c r="B234" s="41" t="s">
        <v>593</v>
      </c>
      <c r="C234" s="211"/>
      <c r="D234" s="78"/>
      <c r="E234" s="78">
        <f t="shared" ref="E234:N234" si="410">D238</f>
        <v>0</v>
      </c>
      <c r="F234" s="78">
        <f t="shared" si="410"/>
        <v>0</v>
      </c>
      <c r="G234" s="78">
        <f t="shared" si="410"/>
        <v>0</v>
      </c>
      <c r="H234" s="78">
        <f t="shared" si="410"/>
        <v>0</v>
      </c>
      <c r="I234" s="78">
        <f t="shared" si="410"/>
        <v>0</v>
      </c>
      <c r="J234" s="78">
        <f t="shared" si="410"/>
        <v>0</v>
      </c>
      <c r="K234" s="78">
        <f t="shared" si="410"/>
        <v>0</v>
      </c>
      <c r="L234" s="78">
        <f t="shared" si="410"/>
        <v>0</v>
      </c>
      <c r="M234" s="78">
        <f t="shared" si="410"/>
        <v>0</v>
      </c>
      <c r="N234" s="78">
        <f t="shared" si="410"/>
        <v>0</v>
      </c>
      <c r="O234" s="145"/>
      <c r="S234" s="78"/>
      <c r="T234" s="78">
        <f t="shared" ref="T234:AY234" si="411">S238</f>
        <v>0</v>
      </c>
      <c r="U234" s="78">
        <f t="shared" si="411"/>
        <v>0</v>
      </c>
      <c r="V234" s="78">
        <f t="shared" si="411"/>
        <v>0</v>
      </c>
      <c r="W234" s="78">
        <f t="shared" si="411"/>
        <v>0</v>
      </c>
      <c r="X234" s="78">
        <f t="shared" si="411"/>
        <v>0</v>
      </c>
      <c r="Y234" s="78">
        <f t="shared" si="411"/>
        <v>0</v>
      </c>
      <c r="Z234" s="78">
        <f t="shared" si="411"/>
        <v>0</v>
      </c>
      <c r="AA234" s="78">
        <f t="shared" si="411"/>
        <v>0</v>
      </c>
      <c r="AB234" s="78">
        <f t="shared" si="411"/>
        <v>0</v>
      </c>
      <c r="AC234" s="78">
        <f t="shared" si="411"/>
        <v>0</v>
      </c>
      <c r="AD234" s="78">
        <f t="shared" si="411"/>
        <v>0</v>
      </c>
      <c r="AE234" s="78">
        <f t="shared" si="411"/>
        <v>0</v>
      </c>
      <c r="AF234" s="78">
        <f t="shared" si="411"/>
        <v>0</v>
      </c>
      <c r="AG234" s="78">
        <f t="shared" si="411"/>
        <v>0</v>
      </c>
      <c r="AH234" s="78">
        <f t="shared" si="411"/>
        <v>0</v>
      </c>
      <c r="AI234" s="78">
        <f t="shared" si="411"/>
        <v>0</v>
      </c>
      <c r="AJ234" s="78">
        <f t="shared" si="411"/>
        <v>0</v>
      </c>
      <c r="AK234" s="78">
        <f t="shared" si="411"/>
        <v>0</v>
      </c>
      <c r="AL234" s="78">
        <f t="shared" si="411"/>
        <v>0</v>
      </c>
      <c r="AM234" s="78">
        <f t="shared" si="411"/>
        <v>0</v>
      </c>
      <c r="AN234" s="78">
        <f t="shared" si="411"/>
        <v>0</v>
      </c>
      <c r="AO234" s="78">
        <f t="shared" si="411"/>
        <v>0</v>
      </c>
      <c r="AP234" s="78">
        <f t="shared" si="411"/>
        <v>0</v>
      </c>
      <c r="AQ234" s="78">
        <f t="shared" si="411"/>
        <v>0</v>
      </c>
      <c r="AR234" s="78">
        <f t="shared" si="411"/>
        <v>0</v>
      </c>
      <c r="AS234" s="78">
        <f t="shared" si="411"/>
        <v>0</v>
      </c>
      <c r="AT234" s="78">
        <f t="shared" si="411"/>
        <v>0</v>
      </c>
      <c r="AU234" s="78">
        <f t="shared" si="411"/>
        <v>0</v>
      </c>
      <c r="AV234" s="78">
        <f t="shared" si="411"/>
        <v>0</v>
      </c>
      <c r="AW234" s="78">
        <f t="shared" si="411"/>
        <v>0</v>
      </c>
      <c r="AX234" s="78">
        <f t="shared" si="411"/>
        <v>0</v>
      </c>
      <c r="AY234" s="78">
        <f t="shared" si="411"/>
        <v>0</v>
      </c>
      <c r="AZ234" s="78">
        <f t="shared" ref="AZ234:CE234" si="412">AY238</f>
        <v>0</v>
      </c>
      <c r="BA234" s="78">
        <f t="shared" si="412"/>
        <v>0</v>
      </c>
      <c r="BB234" s="78">
        <f t="shared" si="412"/>
        <v>0</v>
      </c>
      <c r="BC234" s="78">
        <f t="shared" si="412"/>
        <v>0</v>
      </c>
      <c r="BD234" s="78">
        <f t="shared" si="412"/>
        <v>0</v>
      </c>
      <c r="BE234" s="78">
        <f t="shared" si="412"/>
        <v>0</v>
      </c>
      <c r="BF234" s="78">
        <f t="shared" si="412"/>
        <v>0</v>
      </c>
      <c r="BG234" s="78">
        <f t="shared" si="412"/>
        <v>0</v>
      </c>
      <c r="BH234" s="78">
        <f t="shared" si="412"/>
        <v>0</v>
      </c>
      <c r="BI234" s="78">
        <f t="shared" si="412"/>
        <v>0</v>
      </c>
      <c r="BJ234" s="78">
        <f t="shared" si="412"/>
        <v>0</v>
      </c>
      <c r="BK234" s="78">
        <f t="shared" si="412"/>
        <v>0</v>
      </c>
      <c r="BL234" s="78">
        <f t="shared" si="412"/>
        <v>0</v>
      </c>
      <c r="BM234" s="78">
        <f t="shared" si="412"/>
        <v>0</v>
      </c>
      <c r="BN234" s="78">
        <f t="shared" si="412"/>
        <v>0</v>
      </c>
      <c r="BO234" s="78">
        <f t="shared" si="412"/>
        <v>0</v>
      </c>
      <c r="BP234" s="78">
        <f t="shared" si="412"/>
        <v>0</v>
      </c>
      <c r="BQ234" s="78">
        <f t="shared" si="412"/>
        <v>0</v>
      </c>
      <c r="BR234" s="78">
        <f t="shared" si="412"/>
        <v>0</v>
      </c>
      <c r="BS234" s="78">
        <f t="shared" si="412"/>
        <v>0</v>
      </c>
      <c r="BT234" s="78">
        <f t="shared" si="412"/>
        <v>0</v>
      </c>
      <c r="BU234" s="78">
        <f t="shared" si="412"/>
        <v>0</v>
      </c>
      <c r="BV234" s="78">
        <f t="shared" si="412"/>
        <v>0</v>
      </c>
      <c r="BW234" s="78">
        <f t="shared" si="412"/>
        <v>0</v>
      </c>
      <c r="BX234" s="78">
        <f t="shared" si="412"/>
        <v>0</v>
      </c>
      <c r="BY234" s="78">
        <f t="shared" si="412"/>
        <v>0</v>
      </c>
      <c r="BZ234" s="78">
        <f t="shared" si="412"/>
        <v>0</v>
      </c>
      <c r="CA234" s="78">
        <f t="shared" si="412"/>
        <v>0</v>
      </c>
      <c r="CB234" s="78">
        <f t="shared" si="412"/>
        <v>0</v>
      </c>
      <c r="CC234" s="78">
        <f t="shared" si="412"/>
        <v>0</v>
      </c>
      <c r="CD234" s="78">
        <f t="shared" si="412"/>
        <v>0</v>
      </c>
      <c r="CE234" s="78">
        <f t="shared" si="412"/>
        <v>0</v>
      </c>
      <c r="CF234" s="78">
        <f t="shared" ref="CF234:DK234" si="413">CE238</f>
        <v>0</v>
      </c>
      <c r="CG234" s="78">
        <f t="shared" si="413"/>
        <v>0</v>
      </c>
      <c r="CH234" s="78">
        <f t="shared" si="413"/>
        <v>0</v>
      </c>
      <c r="CI234" s="78">
        <f t="shared" si="413"/>
        <v>0</v>
      </c>
      <c r="CJ234" s="78">
        <f t="shared" si="413"/>
        <v>0</v>
      </c>
      <c r="CK234" s="78">
        <f t="shared" si="413"/>
        <v>0</v>
      </c>
      <c r="CL234" s="78">
        <f t="shared" si="413"/>
        <v>0</v>
      </c>
      <c r="CM234" s="78">
        <f t="shared" si="413"/>
        <v>0</v>
      </c>
      <c r="CN234" s="78">
        <f t="shared" si="413"/>
        <v>0</v>
      </c>
      <c r="CO234" s="78">
        <f t="shared" si="413"/>
        <v>0</v>
      </c>
      <c r="CP234" s="78">
        <f t="shared" si="413"/>
        <v>0</v>
      </c>
      <c r="CQ234" s="78">
        <f t="shared" si="413"/>
        <v>0</v>
      </c>
      <c r="CR234" s="78">
        <f t="shared" si="413"/>
        <v>0</v>
      </c>
      <c r="CS234" s="78">
        <f t="shared" si="413"/>
        <v>0</v>
      </c>
      <c r="CT234" s="78">
        <f t="shared" si="413"/>
        <v>0</v>
      </c>
      <c r="CU234" s="78">
        <f t="shared" si="413"/>
        <v>0</v>
      </c>
      <c r="CV234" s="78">
        <f t="shared" si="413"/>
        <v>0</v>
      </c>
      <c r="CW234" s="78">
        <f t="shared" si="413"/>
        <v>0</v>
      </c>
      <c r="CX234" s="78">
        <f t="shared" si="413"/>
        <v>0</v>
      </c>
      <c r="CY234" s="78">
        <f t="shared" si="413"/>
        <v>0</v>
      </c>
      <c r="CZ234" s="78">
        <f t="shared" si="413"/>
        <v>0</v>
      </c>
      <c r="DA234" s="78">
        <f t="shared" si="413"/>
        <v>0</v>
      </c>
      <c r="DB234" s="78">
        <f t="shared" si="413"/>
        <v>0</v>
      </c>
      <c r="DC234" s="78">
        <f t="shared" si="413"/>
        <v>0</v>
      </c>
      <c r="DD234" s="78">
        <f t="shared" si="413"/>
        <v>0</v>
      </c>
      <c r="DE234" s="78">
        <f t="shared" si="413"/>
        <v>0</v>
      </c>
      <c r="DF234" s="78">
        <f t="shared" si="413"/>
        <v>0</v>
      </c>
      <c r="DG234" s="78">
        <f t="shared" si="413"/>
        <v>0</v>
      </c>
      <c r="DH234" s="78">
        <f t="shared" si="413"/>
        <v>0</v>
      </c>
      <c r="DI234" s="78">
        <f t="shared" si="413"/>
        <v>0</v>
      </c>
      <c r="DJ234" s="78">
        <f t="shared" si="413"/>
        <v>0</v>
      </c>
      <c r="DK234" s="78">
        <f t="shared" si="413"/>
        <v>0</v>
      </c>
      <c r="DL234" s="78">
        <f t="shared" ref="DL234:EI234" si="414">DK238</f>
        <v>0</v>
      </c>
      <c r="DM234" s="78">
        <f t="shared" si="414"/>
        <v>0</v>
      </c>
      <c r="DN234" s="78">
        <f t="shared" si="414"/>
        <v>0</v>
      </c>
      <c r="DO234" s="78">
        <f t="shared" si="414"/>
        <v>0</v>
      </c>
      <c r="DP234" s="78">
        <f t="shared" si="414"/>
        <v>0</v>
      </c>
      <c r="DQ234" s="78">
        <f t="shared" si="414"/>
        <v>0</v>
      </c>
      <c r="DR234" s="78">
        <f t="shared" si="414"/>
        <v>0</v>
      </c>
      <c r="DS234" s="78">
        <f t="shared" si="414"/>
        <v>0</v>
      </c>
      <c r="DT234" s="78">
        <f t="shared" si="414"/>
        <v>0</v>
      </c>
      <c r="DU234" s="78">
        <f t="shared" si="414"/>
        <v>0</v>
      </c>
      <c r="DV234" s="78">
        <f t="shared" si="414"/>
        <v>0</v>
      </c>
      <c r="DW234" s="78">
        <f t="shared" si="414"/>
        <v>0</v>
      </c>
      <c r="DX234" s="78">
        <f t="shared" si="414"/>
        <v>0</v>
      </c>
      <c r="DY234" s="78">
        <f t="shared" si="414"/>
        <v>0</v>
      </c>
      <c r="DZ234" s="78">
        <f t="shared" si="414"/>
        <v>0</v>
      </c>
      <c r="EA234" s="78">
        <f t="shared" si="414"/>
        <v>0</v>
      </c>
      <c r="EB234" s="78">
        <f t="shared" si="414"/>
        <v>0</v>
      </c>
      <c r="EC234" s="78">
        <f t="shared" si="414"/>
        <v>0</v>
      </c>
      <c r="ED234" s="78">
        <f t="shared" si="414"/>
        <v>0</v>
      </c>
      <c r="EE234" s="78">
        <f t="shared" si="414"/>
        <v>0</v>
      </c>
      <c r="EF234" s="78">
        <f t="shared" si="414"/>
        <v>0</v>
      </c>
      <c r="EG234" s="78">
        <f t="shared" si="414"/>
        <v>0</v>
      </c>
      <c r="EH234" s="78">
        <f t="shared" si="414"/>
        <v>0</v>
      </c>
      <c r="EI234" s="78">
        <f t="shared" si="414"/>
        <v>0</v>
      </c>
    </row>
    <row r="235" spans="2:139" ht="12.75" customHeight="1">
      <c r="B235" s="41" t="s">
        <v>604</v>
      </c>
      <c r="C235" s="211"/>
      <c r="D235" s="78">
        <f t="shared" ref="D235:N235" si="415">SUMIF($S$6:$EI$6,D$5,$S235:$EI235)</f>
        <v>0</v>
      </c>
      <c r="E235" s="78">
        <f t="shared" si="415"/>
        <v>0</v>
      </c>
      <c r="F235" s="78">
        <f t="shared" si="415"/>
        <v>0</v>
      </c>
      <c r="G235" s="78">
        <f t="shared" si="415"/>
        <v>0</v>
      </c>
      <c r="H235" s="78">
        <f t="shared" si="415"/>
        <v>0</v>
      </c>
      <c r="I235" s="78">
        <f t="shared" si="415"/>
        <v>0</v>
      </c>
      <c r="J235" s="78">
        <f t="shared" si="415"/>
        <v>0</v>
      </c>
      <c r="K235" s="78">
        <f t="shared" si="415"/>
        <v>0</v>
      </c>
      <c r="L235" s="78">
        <f t="shared" si="415"/>
        <v>0</v>
      </c>
      <c r="M235" s="78">
        <f t="shared" si="415"/>
        <v>0</v>
      </c>
      <c r="N235" s="78">
        <f t="shared" si="415"/>
        <v>0</v>
      </c>
      <c r="O235" s="145">
        <f>SUM(D235:N235)</f>
        <v>0</v>
      </c>
      <c r="S235" s="78">
        <f>Input!$AB$198*(S206&gt;0)</f>
        <v>0</v>
      </c>
      <c r="T235" s="78">
        <f>Input!$AB$198*(T206&gt;0)</f>
        <v>0</v>
      </c>
      <c r="U235" s="78">
        <f>Input!$AB$198*(U206&gt;0)</f>
        <v>0</v>
      </c>
      <c r="V235" s="78">
        <f>Input!$AB$198*(V206&gt;0)</f>
        <v>0</v>
      </c>
      <c r="W235" s="78">
        <f>Input!$AB$198*(W206&gt;0)</f>
        <v>0</v>
      </c>
      <c r="X235" s="78">
        <f>Input!$AB$198*(X206&gt;0)</f>
        <v>0</v>
      </c>
      <c r="Y235" s="78">
        <f>Input!$AB$198*(Y206&gt;0)</f>
        <v>0</v>
      </c>
      <c r="Z235" s="78">
        <f>Input!$AB$198*(Z206&gt;0)</f>
        <v>0</v>
      </c>
      <c r="AA235" s="78">
        <f>Input!$AB$198*(AA206&gt;0)</f>
        <v>0</v>
      </c>
      <c r="AB235" s="78">
        <f>Input!$AB$198*(AB206&gt;0)</f>
        <v>0</v>
      </c>
      <c r="AC235" s="78">
        <f>Input!$AB$198*(AC206&gt;0)</f>
        <v>0</v>
      </c>
      <c r="AD235" s="78">
        <f>Input!$AB$198*(AD206&gt;0)</f>
        <v>0</v>
      </c>
      <c r="AE235" s="78">
        <f>Input!$AB$198*(AE206&gt;0)</f>
        <v>0</v>
      </c>
      <c r="AF235" s="78">
        <f>Input!$AB$198*(AF206&gt;0)</f>
        <v>0</v>
      </c>
      <c r="AG235" s="78">
        <f>Input!$AB$198*(AG206&gt;0)</f>
        <v>0</v>
      </c>
      <c r="AH235" s="78">
        <f>Input!$AB$198*(AH206&gt;0)</f>
        <v>0</v>
      </c>
      <c r="AI235" s="78">
        <f>Input!$AB$198*(AI206&gt;0)</f>
        <v>0</v>
      </c>
      <c r="AJ235" s="78">
        <f>Input!$AB$198*(AJ206&gt;0)</f>
        <v>0</v>
      </c>
      <c r="AK235" s="78">
        <f>Input!$AB$198*(AK206&gt;0)</f>
        <v>0</v>
      </c>
      <c r="AL235" s="78">
        <f>Input!$AB$198*(AL206&gt;0)</f>
        <v>0</v>
      </c>
      <c r="AM235" s="78">
        <f>Input!$AB$198*(AM206&gt;0)</f>
        <v>0</v>
      </c>
      <c r="AN235" s="78">
        <f>Input!$AB$198*(AN206&gt;0)</f>
        <v>0</v>
      </c>
      <c r="AO235" s="78">
        <f>Input!$AB$198*(AO206&gt;0)</f>
        <v>0</v>
      </c>
      <c r="AP235" s="78">
        <f>Input!$AB$198*(AP206&gt;0)</f>
        <v>0</v>
      </c>
      <c r="AQ235" s="78">
        <f>Input!$AB$198*(AQ206&gt;0)</f>
        <v>0</v>
      </c>
      <c r="AR235" s="78">
        <f>Input!$AB$198*(AR206&gt;0)</f>
        <v>0</v>
      </c>
      <c r="AS235" s="78">
        <f>Input!$AB$198*(AS206&gt;0)</f>
        <v>0</v>
      </c>
      <c r="AT235" s="78">
        <f>Input!$AB$198*(AT206&gt;0)</f>
        <v>0</v>
      </c>
      <c r="AU235" s="78">
        <f>Input!$AB$198*(AU206&gt;0)</f>
        <v>0</v>
      </c>
      <c r="AV235" s="78">
        <f>Input!$AB$198*(AV206&gt;0)</f>
        <v>0</v>
      </c>
      <c r="AW235" s="78">
        <f>Input!$AB$198*(AW206&gt;0)</f>
        <v>0</v>
      </c>
      <c r="AX235" s="78">
        <f>Input!$AB$198*(AX206&gt;0)</f>
        <v>0</v>
      </c>
      <c r="AY235" s="78">
        <f>Input!$AB$198*(AY206&gt;0)</f>
        <v>0</v>
      </c>
      <c r="AZ235" s="78">
        <f>Input!$AB$198*(AZ206&gt;0)</f>
        <v>0</v>
      </c>
      <c r="BA235" s="78">
        <f>Input!$AB$198*(BA206&gt;0)</f>
        <v>0</v>
      </c>
      <c r="BB235" s="78">
        <f>Input!$AB$198*(BB206&gt;0)</f>
        <v>0</v>
      </c>
      <c r="BC235" s="78">
        <f>Input!$AB$198*(BC206&gt;0)</f>
        <v>0</v>
      </c>
      <c r="BD235" s="78">
        <f>Input!$AB$198*(BD206&gt;0)</f>
        <v>0</v>
      </c>
      <c r="BE235" s="78">
        <f>Input!$AB$198*(BE206&gt;0)</f>
        <v>0</v>
      </c>
      <c r="BF235" s="78">
        <f>Input!$AB$198*(BF206&gt;0)</f>
        <v>0</v>
      </c>
      <c r="BG235" s="78">
        <f>Input!$AB$198*(BG206&gt;0)</f>
        <v>0</v>
      </c>
      <c r="BH235" s="78">
        <f>Input!$AB$198*(BH206&gt;0)</f>
        <v>0</v>
      </c>
      <c r="BI235" s="78">
        <f>Input!$AB$198*(BI206&gt;0)</f>
        <v>0</v>
      </c>
      <c r="BJ235" s="78">
        <f>Input!$AB$198*(BJ206&gt;0)</f>
        <v>0</v>
      </c>
      <c r="BK235" s="78">
        <f>Input!$AB$198*(BK206&gt;0)</f>
        <v>0</v>
      </c>
      <c r="BL235" s="78">
        <f>Input!$AB$198*(BL206&gt;0)</f>
        <v>0</v>
      </c>
      <c r="BM235" s="78">
        <f>Input!$AB$198*(BM206&gt;0)</f>
        <v>0</v>
      </c>
      <c r="BN235" s="78">
        <f>Input!$AB$198*(BN206&gt;0)</f>
        <v>0</v>
      </c>
      <c r="BO235" s="78">
        <f>Input!$AB$198*(BO206&gt;0)</f>
        <v>0</v>
      </c>
      <c r="BP235" s="78">
        <f>Input!$AB$198*(BP206&gt;0)</f>
        <v>0</v>
      </c>
      <c r="BQ235" s="78">
        <f>Input!$AB$198*(BQ206&gt;0)</f>
        <v>0</v>
      </c>
      <c r="BR235" s="78">
        <f>Input!$AB$198*(BR206&gt;0)</f>
        <v>0</v>
      </c>
      <c r="BS235" s="78">
        <f>Input!$AB$198*(BS206&gt;0)</f>
        <v>0</v>
      </c>
      <c r="BT235" s="78">
        <f>Input!$AB$198*(BT206&gt;0)</f>
        <v>0</v>
      </c>
      <c r="BU235" s="78">
        <f>Input!$AB$198*(BU206&gt;0)</f>
        <v>0</v>
      </c>
      <c r="BV235" s="78">
        <f>Input!$AB$198*(BV206&gt;0)</f>
        <v>0</v>
      </c>
      <c r="BW235" s="78">
        <f>Input!$AB$198*(BW206&gt;0)</f>
        <v>0</v>
      </c>
      <c r="BX235" s="78">
        <f>Input!$AB$198*(BX206&gt;0)</f>
        <v>0</v>
      </c>
      <c r="BY235" s="78">
        <f>Input!$AB$198*(BY206&gt;0)</f>
        <v>0</v>
      </c>
      <c r="BZ235" s="78">
        <f>Input!$AB$198*(BZ206&gt;0)</f>
        <v>0</v>
      </c>
      <c r="CA235" s="78">
        <f>Input!$AB$198*(CA206&gt;0)</f>
        <v>0</v>
      </c>
      <c r="CB235" s="78">
        <f>Input!$AB$198*(CB206&gt;0)</f>
        <v>0</v>
      </c>
      <c r="CC235" s="78">
        <f>Input!$AB$198*(CC206&gt;0)</f>
        <v>0</v>
      </c>
      <c r="CD235" s="78">
        <f>Input!$AB$198*(CD206&gt;0)</f>
        <v>0</v>
      </c>
      <c r="CE235" s="78">
        <f>Input!$AB$198*(CE206&gt;0)</f>
        <v>0</v>
      </c>
      <c r="CF235" s="78">
        <f>Input!$AB$198*(CF206&gt;0)</f>
        <v>0</v>
      </c>
      <c r="CG235" s="78">
        <f>Input!$AB$198*(CG206&gt;0)</f>
        <v>0</v>
      </c>
      <c r="CH235" s="78">
        <f>Input!$AB$198*(CH206&gt;0)</f>
        <v>0</v>
      </c>
      <c r="CI235" s="78">
        <f>Input!$AB$198*(CI206&gt;0)</f>
        <v>0</v>
      </c>
      <c r="CJ235" s="78">
        <f>Input!$AB$198*(CJ206&gt;0)</f>
        <v>0</v>
      </c>
      <c r="CK235" s="78">
        <f>Input!$AB$198*(CK206&gt;0)</f>
        <v>0</v>
      </c>
      <c r="CL235" s="78">
        <f>Input!$AB$198*(CL206&gt;0)</f>
        <v>0</v>
      </c>
      <c r="CM235" s="78">
        <f>Input!$AB$198*(CM206&gt;0)</f>
        <v>0</v>
      </c>
      <c r="CN235" s="78">
        <f>Input!$AB$198*(CN206&gt;0)</f>
        <v>0</v>
      </c>
      <c r="CO235" s="78">
        <f>Input!$AB$198*(CO206&gt;0)</f>
        <v>0</v>
      </c>
      <c r="CP235" s="78">
        <f>Input!$AB$198*(CP206&gt;0)</f>
        <v>0</v>
      </c>
      <c r="CQ235" s="78">
        <f>Input!$AB$198*(CQ206&gt;0)</f>
        <v>0</v>
      </c>
      <c r="CR235" s="78">
        <f>Input!$AB$198*(CR206&gt;0)</f>
        <v>0</v>
      </c>
      <c r="CS235" s="78">
        <f>Input!$AB$198*(CS206&gt;0)</f>
        <v>0</v>
      </c>
      <c r="CT235" s="78">
        <f>Input!$AB$198*(CT206&gt;0)</f>
        <v>0</v>
      </c>
      <c r="CU235" s="78">
        <f>Input!$AB$198*(CU206&gt;0)</f>
        <v>0</v>
      </c>
      <c r="CV235" s="78">
        <f>Input!$AB$198*(CV206&gt;0)</f>
        <v>0</v>
      </c>
      <c r="CW235" s="78">
        <f>Input!$AB$198*(CW206&gt;0)</f>
        <v>0</v>
      </c>
      <c r="CX235" s="78">
        <f>Input!$AB$198*(CX206&gt;0)</f>
        <v>0</v>
      </c>
      <c r="CY235" s="78">
        <f>Input!$AB$198*(CY206&gt;0)</f>
        <v>0</v>
      </c>
      <c r="CZ235" s="78">
        <f>Input!$AB$198*(CZ206&gt;0)</f>
        <v>0</v>
      </c>
      <c r="DA235" s="78">
        <f>Input!$AB$198*(DA206&gt;0)</f>
        <v>0</v>
      </c>
      <c r="DB235" s="78">
        <f>Input!$AB$198*(DB206&gt;0)</f>
        <v>0</v>
      </c>
      <c r="DC235" s="78">
        <f>Input!$AB$198*(DC206&gt;0)</f>
        <v>0</v>
      </c>
      <c r="DD235" s="78">
        <f>Input!$AB$198*(DD206&gt;0)</f>
        <v>0</v>
      </c>
      <c r="DE235" s="78">
        <f>Input!$AB$198*(DE206&gt;0)</f>
        <v>0</v>
      </c>
      <c r="DF235" s="78">
        <f>Input!$AB$198*(DF206&gt;0)</f>
        <v>0</v>
      </c>
      <c r="DG235" s="78">
        <f>Input!$AB$198*(DG206&gt;0)</f>
        <v>0</v>
      </c>
      <c r="DH235" s="78">
        <f>Input!$AB$198*(DH206&gt;0)</f>
        <v>0</v>
      </c>
      <c r="DI235" s="78">
        <f>Input!$AB$198*(DI206&gt;0)</f>
        <v>0</v>
      </c>
      <c r="DJ235" s="78">
        <f>Input!$AB$198*(DJ206&gt;0)</f>
        <v>0</v>
      </c>
      <c r="DK235" s="78">
        <f>Input!$AB$198*(DK206&gt;0)</f>
        <v>0</v>
      </c>
      <c r="DL235" s="78">
        <f>Input!$AB$198*(DL206&gt;0)</f>
        <v>0</v>
      </c>
      <c r="DM235" s="78">
        <f>Input!$AB$198*(DM206&gt;0)</f>
        <v>0</v>
      </c>
      <c r="DN235" s="78">
        <f>Input!$AB$198*(DN206&gt;0)</f>
        <v>0</v>
      </c>
      <c r="DO235" s="78">
        <f>Input!$AB$198*(DO206&gt;0)</f>
        <v>0</v>
      </c>
      <c r="DP235" s="78">
        <f>Input!$AB$198*(DP206&gt;0)</f>
        <v>0</v>
      </c>
      <c r="DQ235" s="78">
        <f>Input!$AB$198*(DQ206&gt;0)</f>
        <v>0</v>
      </c>
      <c r="DR235" s="78">
        <f>Input!$AB$198*(DR206&gt;0)</f>
        <v>0</v>
      </c>
      <c r="DS235" s="78">
        <f>Input!$AB$198*(DS206&gt;0)</f>
        <v>0</v>
      </c>
      <c r="DT235" s="78">
        <f>Input!$AB$198*(DT206&gt;0)</f>
        <v>0</v>
      </c>
      <c r="DU235" s="78">
        <f>Input!$AB$198*(DU206&gt;0)</f>
        <v>0</v>
      </c>
      <c r="DV235" s="78">
        <f>Input!$AB$198*(DV206&gt;0)</f>
        <v>0</v>
      </c>
      <c r="DW235" s="78">
        <f>Input!$AB$198*(DW206&gt;0)</f>
        <v>0</v>
      </c>
      <c r="DX235" s="78">
        <f>Input!$AB$198*(DX206&gt;0)</f>
        <v>0</v>
      </c>
      <c r="DY235" s="78">
        <f>Input!$AB$198*(DY206&gt;0)</f>
        <v>0</v>
      </c>
      <c r="DZ235" s="78">
        <f>Input!$AB$198*(DZ206&gt;0)</f>
        <v>0</v>
      </c>
      <c r="EA235" s="78">
        <f>Input!$AB$198*(EA206&gt;0)</f>
        <v>0</v>
      </c>
      <c r="EB235" s="78">
        <f>Input!$AB$198*(EB206&gt;0)</f>
        <v>0</v>
      </c>
      <c r="EC235" s="78">
        <f>Input!$AB$198*(EC206&gt;0)</f>
        <v>0</v>
      </c>
      <c r="ED235" s="78">
        <f>Input!$AB$198*(ED206&gt;0)</f>
        <v>0</v>
      </c>
      <c r="EE235" s="78">
        <f>Input!$AB$198*(EE206&gt;0)</f>
        <v>0</v>
      </c>
      <c r="EF235" s="78">
        <f>Input!$AB$198*(EF206&gt;0)</f>
        <v>0</v>
      </c>
      <c r="EG235" s="78">
        <f>Input!$AB$198*(EG206&gt;0)</f>
        <v>0</v>
      </c>
      <c r="EH235" s="78">
        <f>Input!$AB$198*(EH206&gt;0)</f>
        <v>0</v>
      </c>
      <c r="EI235" s="78">
        <f>Input!$AB$198*(EI206&gt;0)</f>
        <v>0</v>
      </c>
    </row>
    <row r="236" spans="2:139" ht="12.75" customHeight="1">
      <c r="B236" s="41" t="s">
        <v>607</v>
      </c>
      <c r="C236" s="211"/>
      <c r="D236" s="78"/>
      <c r="E236" s="78">
        <f t="shared" ref="E236:N237" si="416">SUMIF($S$6:$EI$6,E$5,$S236:$EI236)</f>
        <v>0</v>
      </c>
      <c r="F236" s="78">
        <f t="shared" si="416"/>
        <v>0</v>
      </c>
      <c r="G236" s="78">
        <f t="shared" si="416"/>
        <v>0</v>
      </c>
      <c r="H236" s="78">
        <f t="shared" si="416"/>
        <v>0</v>
      </c>
      <c r="I236" s="78">
        <f t="shared" si="416"/>
        <v>0</v>
      </c>
      <c r="J236" s="78">
        <f t="shared" si="416"/>
        <v>0</v>
      </c>
      <c r="K236" s="78">
        <f t="shared" si="416"/>
        <v>0</v>
      </c>
      <c r="L236" s="78">
        <f t="shared" si="416"/>
        <v>0</v>
      </c>
      <c r="M236" s="78">
        <f t="shared" si="416"/>
        <v>0</v>
      </c>
      <c r="N236" s="78">
        <f t="shared" si="416"/>
        <v>0</v>
      </c>
      <c r="O236" s="145">
        <f>SUM(D236:N236)</f>
        <v>0</v>
      </c>
      <c r="S236" s="78"/>
      <c r="T236" s="78">
        <f t="shared" ref="T236:AY236" si="417">-MIN(MAX(-(T201+T207),),SUM(T234:T235))</f>
        <v>0</v>
      </c>
      <c r="U236" s="78">
        <f t="shared" si="417"/>
        <v>0</v>
      </c>
      <c r="V236" s="78">
        <f t="shared" si="417"/>
        <v>0</v>
      </c>
      <c r="W236" s="78">
        <f t="shared" si="417"/>
        <v>0</v>
      </c>
      <c r="X236" s="78">
        <f t="shared" si="417"/>
        <v>0</v>
      </c>
      <c r="Y236" s="78">
        <f t="shared" si="417"/>
        <v>0</v>
      </c>
      <c r="Z236" s="78">
        <f t="shared" si="417"/>
        <v>0</v>
      </c>
      <c r="AA236" s="78">
        <f t="shared" si="417"/>
        <v>0</v>
      </c>
      <c r="AB236" s="78">
        <f t="shared" si="417"/>
        <v>0</v>
      </c>
      <c r="AC236" s="78">
        <f t="shared" si="417"/>
        <v>0</v>
      </c>
      <c r="AD236" s="78">
        <f t="shared" si="417"/>
        <v>0</v>
      </c>
      <c r="AE236" s="78">
        <f t="shared" si="417"/>
        <v>0</v>
      </c>
      <c r="AF236" s="78">
        <f t="shared" si="417"/>
        <v>0</v>
      </c>
      <c r="AG236" s="78">
        <f t="shared" si="417"/>
        <v>0</v>
      </c>
      <c r="AH236" s="78">
        <f t="shared" si="417"/>
        <v>0</v>
      </c>
      <c r="AI236" s="78">
        <f t="shared" si="417"/>
        <v>0</v>
      </c>
      <c r="AJ236" s="78">
        <f t="shared" si="417"/>
        <v>0</v>
      </c>
      <c r="AK236" s="78">
        <f t="shared" si="417"/>
        <v>0</v>
      </c>
      <c r="AL236" s="78">
        <f t="shared" si="417"/>
        <v>0</v>
      </c>
      <c r="AM236" s="78">
        <f t="shared" si="417"/>
        <v>0</v>
      </c>
      <c r="AN236" s="78">
        <f t="shared" si="417"/>
        <v>0</v>
      </c>
      <c r="AO236" s="78">
        <f t="shared" si="417"/>
        <v>0</v>
      </c>
      <c r="AP236" s="78">
        <f t="shared" si="417"/>
        <v>0</v>
      </c>
      <c r="AQ236" s="78">
        <f t="shared" si="417"/>
        <v>0</v>
      </c>
      <c r="AR236" s="78">
        <f t="shared" si="417"/>
        <v>0</v>
      </c>
      <c r="AS236" s="78">
        <f t="shared" si="417"/>
        <v>0</v>
      </c>
      <c r="AT236" s="78">
        <f t="shared" si="417"/>
        <v>0</v>
      </c>
      <c r="AU236" s="78">
        <f t="shared" si="417"/>
        <v>0</v>
      </c>
      <c r="AV236" s="78">
        <f t="shared" si="417"/>
        <v>0</v>
      </c>
      <c r="AW236" s="78">
        <f t="shared" si="417"/>
        <v>0</v>
      </c>
      <c r="AX236" s="78">
        <f t="shared" si="417"/>
        <v>0</v>
      </c>
      <c r="AY236" s="78">
        <f t="shared" si="417"/>
        <v>0</v>
      </c>
      <c r="AZ236" s="78">
        <f t="shared" ref="AZ236:CE236" si="418">-MIN(MAX(-(AZ201+AZ207),),SUM(AZ234:AZ235))</f>
        <v>0</v>
      </c>
      <c r="BA236" s="78">
        <f t="shared" si="418"/>
        <v>0</v>
      </c>
      <c r="BB236" s="78">
        <f t="shared" si="418"/>
        <v>0</v>
      </c>
      <c r="BC236" s="78">
        <f t="shared" si="418"/>
        <v>0</v>
      </c>
      <c r="BD236" s="78">
        <f t="shared" si="418"/>
        <v>0</v>
      </c>
      <c r="BE236" s="78">
        <f t="shared" si="418"/>
        <v>0</v>
      </c>
      <c r="BF236" s="78">
        <f t="shared" si="418"/>
        <v>0</v>
      </c>
      <c r="BG236" s="78">
        <f t="shared" si="418"/>
        <v>0</v>
      </c>
      <c r="BH236" s="78">
        <f t="shared" si="418"/>
        <v>0</v>
      </c>
      <c r="BI236" s="78">
        <f t="shared" si="418"/>
        <v>0</v>
      </c>
      <c r="BJ236" s="78">
        <f t="shared" si="418"/>
        <v>0</v>
      </c>
      <c r="BK236" s="78">
        <f t="shared" si="418"/>
        <v>0</v>
      </c>
      <c r="BL236" s="78">
        <f t="shared" si="418"/>
        <v>0</v>
      </c>
      <c r="BM236" s="78">
        <f t="shared" si="418"/>
        <v>0</v>
      </c>
      <c r="BN236" s="78">
        <f t="shared" si="418"/>
        <v>0</v>
      </c>
      <c r="BO236" s="78">
        <f t="shared" si="418"/>
        <v>0</v>
      </c>
      <c r="BP236" s="78">
        <f t="shared" si="418"/>
        <v>0</v>
      </c>
      <c r="BQ236" s="78">
        <f t="shared" si="418"/>
        <v>0</v>
      </c>
      <c r="BR236" s="78">
        <f t="shared" si="418"/>
        <v>0</v>
      </c>
      <c r="BS236" s="78">
        <f t="shared" si="418"/>
        <v>0</v>
      </c>
      <c r="BT236" s="78">
        <f t="shared" si="418"/>
        <v>0</v>
      </c>
      <c r="BU236" s="78">
        <f t="shared" si="418"/>
        <v>0</v>
      </c>
      <c r="BV236" s="78">
        <f t="shared" si="418"/>
        <v>0</v>
      </c>
      <c r="BW236" s="78">
        <f t="shared" si="418"/>
        <v>0</v>
      </c>
      <c r="BX236" s="78">
        <f t="shared" si="418"/>
        <v>0</v>
      </c>
      <c r="BY236" s="78">
        <f t="shared" si="418"/>
        <v>0</v>
      </c>
      <c r="BZ236" s="78">
        <f t="shared" si="418"/>
        <v>0</v>
      </c>
      <c r="CA236" s="78">
        <f t="shared" si="418"/>
        <v>0</v>
      </c>
      <c r="CB236" s="78">
        <f t="shared" si="418"/>
        <v>0</v>
      </c>
      <c r="CC236" s="78">
        <f t="shared" si="418"/>
        <v>0</v>
      </c>
      <c r="CD236" s="78">
        <f t="shared" si="418"/>
        <v>0</v>
      </c>
      <c r="CE236" s="78">
        <f t="shared" si="418"/>
        <v>0</v>
      </c>
      <c r="CF236" s="78">
        <f t="shared" ref="CF236:DK236" si="419">-MIN(MAX(-(CF201+CF207),),SUM(CF234:CF235))</f>
        <v>0</v>
      </c>
      <c r="CG236" s="78">
        <f t="shared" si="419"/>
        <v>0</v>
      </c>
      <c r="CH236" s="78">
        <f t="shared" si="419"/>
        <v>0</v>
      </c>
      <c r="CI236" s="78">
        <f t="shared" si="419"/>
        <v>0</v>
      </c>
      <c r="CJ236" s="78">
        <f t="shared" si="419"/>
        <v>0</v>
      </c>
      <c r="CK236" s="78">
        <f t="shared" si="419"/>
        <v>0</v>
      </c>
      <c r="CL236" s="78">
        <f t="shared" si="419"/>
        <v>0</v>
      </c>
      <c r="CM236" s="78">
        <f t="shared" si="419"/>
        <v>0</v>
      </c>
      <c r="CN236" s="78">
        <f t="shared" si="419"/>
        <v>0</v>
      </c>
      <c r="CO236" s="78">
        <f t="shared" si="419"/>
        <v>0</v>
      </c>
      <c r="CP236" s="78">
        <f t="shared" si="419"/>
        <v>0</v>
      </c>
      <c r="CQ236" s="78">
        <f t="shared" si="419"/>
        <v>0</v>
      </c>
      <c r="CR236" s="78">
        <f t="shared" si="419"/>
        <v>0</v>
      </c>
      <c r="CS236" s="78">
        <f t="shared" si="419"/>
        <v>0</v>
      </c>
      <c r="CT236" s="78">
        <f t="shared" si="419"/>
        <v>0</v>
      </c>
      <c r="CU236" s="78">
        <f t="shared" si="419"/>
        <v>0</v>
      </c>
      <c r="CV236" s="78">
        <f t="shared" si="419"/>
        <v>0</v>
      </c>
      <c r="CW236" s="78">
        <f t="shared" si="419"/>
        <v>0</v>
      </c>
      <c r="CX236" s="78">
        <f t="shared" si="419"/>
        <v>0</v>
      </c>
      <c r="CY236" s="78">
        <f t="shared" si="419"/>
        <v>0</v>
      </c>
      <c r="CZ236" s="78">
        <f t="shared" si="419"/>
        <v>0</v>
      </c>
      <c r="DA236" s="78">
        <f t="shared" si="419"/>
        <v>0</v>
      </c>
      <c r="DB236" s="78">
        <f t="shared" si="419"/>
        <v>0</v>
      </c>
      <c r="DC236" s="78">
        <f t="shared" si="419"/>
        <v>0</v>
      </c>
      <c r="DD236" s="78">
        <f t="shared" si="419"/>
        <v>0</v>
      </c>
      <c r="DE236" s="78">
        <f t="shared" si="419"/>
        <v>0</v>
      </c>
      <c r="DF236" s="78">
        <f t="shared" si="419"/>
        <v>0</v>
      </c>
      <c r="DG236" s="78">
        <f t="shared" si="419"/>
        <v>0</v>
      </c>
      <c r="DH236" s="78">
        <f t="shared" si="419"/>
        <v>0</v>
      </c>
      <c r="DI236" s="78">
        <f t="shared" si="419"/>
        <v>0</v>
      </c>
      <c r="DJ236" s="78">
        <f t="shared" si="419"/>
        <v>0</v>
      </c>
      <c r="DK236" s="78">
        <f t="shared" si="419"/>
        <v>0</v>
      </c>
      <c r="DL236" s="78">
        <f t="shared" ref="DL236:EQ236" si="420">-MIN(MAX(-(DL201+DL207),),SUM(DL234:DL235))</f>
        <v>0</v>
      </c>
      <c r="DM236" s="78">
        <f t="shared" si="420"/>
        <v>0</v>
      </c>
      <c r="DN236" s="78">
        <f t="shared" si="420"/>
        <v>0</v>
      </c>
      <c r="DO236" s="78">
        <f t="shared" si="420"/>
        <v>0</v>
      </c>
      <c r="DP236" s="78">
        <f t="shared" si="420"/>
        <v>0</v>
      </c>
      <c r="DQ236" s="78">
        <f t="shared" si="420"/>
        <v>0</v>
      </c>
      <c r="DR236" s="78">
        <f t="shared" si="420"/>
        <v>0</v>
      </c>
      <c r="DS236" s="78">
        <f t="shared" si="420"/>
        <v>0</v>
      </c>
      <c r="DT236" s="78">
        <f t="shared" si="420"/>
        <v>0</v>
      </c>
      <c r="DU236" s="78">
        <f t="shared" si="420"/>
        <v>0</v>
      </c>
      <c r="DV236" s="78">
        <f t="shared" si="420"/>
        <v>0</v>
      </c>
      <c r="DW236" s="78">
        <f t="shared" si="420"/>
        <v>0</v>
      </c>
      <c r="DX236" s="78">
        <f t="shared" si="420"/>
        <v>0</v>
      </c>
      <c r="DY236" s="78">
        <f t="shared" si="420"/>
        <v>0</v>
      </c>
      <c r="DZ236" s="78">
        <f t="shared" si="420"/>
        <v>0</v>
      </c>
      <c r="EA236" s="78">
        <f t="shared" si="420"/>
        <v>0</v>
      </c>
      <c r="EB236" s="78">
        <f t="shared" si="420"/>
        <v>0</v>
      </c>
      <c r="EC236" s="78">
        <f t="shared" si="420"/>
        <v>0</v>
      </c>
      <c r="ED236" s="78">
        <f t="shared" si="420"/>
        <v>0</v>
      </c>
      <c r="EE236" s="78">
        <f t="shared" si="420"/>
        <v>0</v>
      </c>
      <c r="EF236" s="78">
        <f t="shared" si="420"/>
        <v>0</v>
      </c>
      <c r="EG236" s="78">
        <f t="shared" si="420"/>
        <v>0</v>
      </c>
      <c r="EH236" s="78">
        <f t="shared" si="420"/>
        <v>0</v>
      </c>
      <c r="EI236" s="78">
        <f t="shared" si="420"/>
        <v>0</v>
      </c>
    </row>
    <row r="237" spans="2:139" ht="12.75" customHeight="1">
      <c r="B237" s="41" t="s">
        <v>606</v>
      </c>
      <c r="C237" s="211"/>
      <c r="D237" s="78">
        <f>SUMIF($S$6:$EI$6,D$5,$S237:$EI237)</f>
        <v>0</v>
      </c>
      <c r="E237" s="78">
        <f t="shared" si="416"/>
        <v>0</v>
      </c>
      <c r="F237" s="78">
        <f t="shared" si="416"/>
        <v>0</v>
      </c>
      <c r="G237" s="78">
        <f t="shared" si="416"/>
        <v>0</v>
      </c>
      <c r="H237" s="78">
        <f t="shared" si="416"/>
        <v>0</v>
      </c>
      <c r="I237" s="78">
        <f t="shared" si="416"/>
        <v>0</v>
      </c>
      <c r="J237" s="78">
        <f t="shared" si="416"/>
        <v>0</v>
      </c>
      <c r="K237" s="78">
        <f t="shared" si="416"/>
        <v>0</v>
      </c>
      <c r="L237" s="78">
        <f t="shared" si="416"/>
        <v>0</v>
      </c>
      <c r="M237" s="78">
        <f t="shared" si="416"/>
        <v>0</v>
      </c>
      <c r="N237" s="78">
        <f t="shared" si="416"/>
        <v>0</v>
      </c>
      <c r="O237" s="145">
        <f>SUM(D237:N237)</f>
        <v>0</v>
      </c>
      <c r="S237" s="78">
        <f t="shared" ref="S237:AX237" si="421">-SUM(S234:S236)*S258</f>
        <v>0</v>
      </c>
      <c r="T237" s="78">
        <f t="shared" si="421"/>
        <v>0</v>
      </c>
      <c r="U237" s="78">
        <f t="shared" si="421"/>
        <v>0</v>
      </c>
      <c r="V237" s="78">
        <f t="shared" si="421"/>
        <v>0</v>
      </c>
      <c r="W237" s="78">
        <f t="shared" si="421"/>
        <v>0</v>
      </c>
      <c r="X237" s="78">
        <f t="shared" si="421"/>
        <v>0</v>
      </c>
      <c r="Y237" s="78">
        <f t="shared" si="421"/>
        <v>0</v>
      </c>
      <c r="Z237" s="78">
        <f t="shared" si="421"/>
        <v>0</v>
      </c>
      <c r="AA237" s="78">
        <f t="shared" si="421"/>
        <v>0</v>
      </c>
      <c r="AB237" s="78">
        <f t="shared" si="421"/>
        <v>0</v>
      </c>
      <c r="AC237" s="78">
        <f t="shared" si="421"/>
        <v>0</v>
      </c>
      <c r="AD237" s="78">
        <f t="shared" si="421"/>
        <v>0</v>
      </c>
      <c r="AE237" s="78">
        <f t="shared" si="421"/>
        <v>0</v>
      </c>
      <c r="AF237" s="78">
        <f t="shared" si="421"/>
        <v>0</v>
      </c>
      <c r="AG237" s="78">
        <f t="shared" si="421"/>
        <v>0</v>
      </c>
      <c r="AH237" s="78">
        <f t="shared" si="421"/>
        <v>0</v>
      </c>
      <c r="AI237" s="78">
        <f t="shared" si="421"/>
        <v>0</v>
      </c>
      <c r="AJ237" s="78">
        <f t="shared" si="421"/>
        <v>0</v>
      </c>
      <c r="AK237" s="78">
        <f t="shared" si="421"/>
        <v>0</v>
      </c>
      <c r="AL237" s="78">
        <f t="shared" si="421"/>
        <v>0</v>
      </c>
      <c r="AM237" s="78">
        <f t="shared" si="421"/>
        <v>0</v>
      </c>
      <c r="AN237" s="78">
        <f t="shared" si="421"/>
        <v>0</v>
      </c>
      <c r="AO237" s="78">
        <f t="shared" si="421"/>
        <v>0</v>
      </c>
      <c r="AP237" s="78">
        <f t="shared" si="421"/>
        <v>0</v>
      </c>
      <c r="AQ237" s="78">
        <f t="shared" si="421"/>
        <v>0</v>
      </c>
      <c r="AR237" s="78">
        <f t="shared" si="421"/>
        <v>0</v>
      </c>
      <c r="AS237" s="78">
        <f t="shared" si="421"/>
        <v>0</v>
      </c>
      <c r="AT237" s="78">
        <f t="shared" si="421"/>
        <v>0</v>
      </c>
      <c r="AU237" s="78">
        <f t="shared" si="421"/>
        <v>0</v>
      </c>
      <c r="AV237" s="78">
        <f t="shared" si="421"/>
        <v>0</v>
      </c>
      <c r="AW237" s="78">
        <f t="shared" si="421"/>
        <v>0</v>
      </c>
      <c r="AX237" s="78">
        <f t="shared" si="421"/>
        <v>0</v>
      </c>
      <c r="AY237" s="78">
        <f t="shared" ref="AY237:CD237" si="422">-SUM(AY234:AY236)*AY258</f>
        <v>0</v>
      </c>
      <c r="AZ237" s="78">
        <f t="shared" si="422"/>
        <v>0</v>
      </c>
      <c r="BA237" s="78">
        <f t="shared" si="422"/>
        <v>0</v>
      </c>
      <c r="BB237" s="78">
        <f t="shared" si="422"/>
        <v>0</v>
      </c>
      <c r="BC237" s="78">
        <f t="shared" si="422"/>
        <v>0</v>
      </c>
      <c r="BD237" s="78">
        <f t="shared" si="422"/>
        <v>0</v>
      </c>
      <c r="BE237" s="78">
        <f t="shared" si="422"/>
        <v>0</v>
      </c>
      <c r="BF237" s="78">
        <f t="shared" si="422"/>
        <v>0</v>
      </c>
      <c r="BG237" s="78">
        <f t="shared" si="422"/>
        <v>0</v>
      </c>
      <c r="BH237" s="78">
        <f t="shared" si="422"/>
        <v>0</v>
      </c>
      <c r="BI237" s="78">
        <f t="shared" si="422"/>
        <v>0</v>
      </c>
      <c r="BJ237" s="78">
        <f t="shared" si="422"/>
        <v>0</v>
      </c>
      <c r="BK237" s="78">
        <f t="shared" si="422"/>
        <v>0</v>
      </c>
      <c r="BL237" s="78">
        <f t="shared" si="422"/>
        <v>0</v>
      </c>
      <c r="BM237" s="78">
        <f t="shared" si="422"/>
        <v>0</v>
      </c>
      <c r="BN237" s="78">
        <f t="shared" si="422"/>
        <v>0</v>
      </c>
      <c r="BO237" s="78">
        <f t="shared" si="422"/>
        <v>0</v>
      </c>
      <c r="BP237" s="78">
        <f t="shared" si="422"/>
        <v>0</v>
      </c>
      <c r="BQ237" s="78">
        <f t="shared" si="422"/>
        <v>0</v>
      </c>
      <c r="BR237" s="78">
        <f t="shared" si="422"/>
        <v>0</v>
      </c>
      <c r="BS237" s="78">
        <f t="shared" si="422"/>
        <v>0</v>
      </c>
      <c r="BT237" s="78">
        <f t="shared" si="422"/>
        <v>0</v>
      </c>
      <c r="BU237" s="78">
        <f t="shared" si="422"/>
        <v>0</v>
      </c>
      <c r="BV237" s="78">
        <f t="shared" si="422"/>
        <v>0</v>
      </c>
      <c r="BW237" s="78">
        <f t="shared" si="422"/>
        <v>0</v>
      </c>
      <c r="BX237" s="78">
        <f t="shared" si="422"/>
        <v>0</v>
      </c>
      <c r="BY237" s="78">
        <f t="shared" si="422"/>
        <v>0</v>
      </c>
      <c r="BZ237" s="78">
        <f t="shared" si="422"/>
        <v>0</v>
      </c>
      <c r="CA237" s="78">
        <f t="shared" si="422"/>
        <v>0</v>
      </c>
      <c r="CB237" s="78">
        <f t="shared" si="422"/>
        <v>0</v>
      </c>
      <c r="CC237" s="78">
        <f t="shared" si="422"/>
        <v>0</v>
      </c>
      <c r="CD237" s="78">
        <f t="shared" si="422"/>
        <v>0</v>
      </c>
      <c r="CE237" s="78">
        <f t="shared" ref="CE237:DJ237" si="423">-SUM(CE234:CE236)*CE258</f>
        <v>0</v>
      </c>
      <c r="CF237" s="78">
        <f t="shared" si="423"/>
        <v>0</v>
      </c>
      <c r="CG237" s="78">
        <f t="shared" si="423"/>
        <v>0</v>
      </c>
      <c r="CH237" s="78">
        <f t="shared" si="423"/>
        <v>0</v>
      </c>
      <c r="CI237" s="78">
        <f t="shared" si="423"/>
        <v>0</v>
      </c>
      <c r="CJ237" s="78">
        <f t="shared" si="423"/>
        <v>0</v>
      </c>
      <c r="CK237" s="78">
        <f t="shared" si="423"/>
        <v>0</v>
      </c>
      <c r="CL237" s="78">
        <f t="shared" si="423"/>
        <v>0</v>
      </c>
      <c r="CM237" s="78">
        <f t="shared" si="423"/>
        <v>0</v>
      </c>
      <c r="CN237" s="78">
        <f t="shared" si="423"/>
        <v>0</v>
      </c>
      <c r="CO237" s="78">
        <f t="shared" si="423"/>
        <v>0</v>
      </c>
      <c r="CP237" s="78">
        <f t="shared" si="423"/>
        <v>0</v>
      </c>
      <c r="CQ237" s="78">
        <f t="shared" si="423"/>
        <v>0</v>
      </c>
      <c r="CR237" s="78">
        <f t="shared" si="423"/>
        <v>0</v>
      </c>
      <c r="CS237" s="78">
        <f t="shared" si="423"/>
        <v>0</v>
      </c>
      <c r="CT237" s="78">
        <f t="shared" si="423"/>
        <v>0</v>
      </c>
      <c r="CU237" s="78">
        <f t="shared" si="423"/>
        <v>0</v>
      </c>
      <c r="CV237" s="78">
        <f t="shared" si="423"/>
        <v>0</v>
      </c>
      <c r="CW237" s="78">
        <f t="shared" si="423"/>
        <v>0</v>
      </c>
      <c r="CX237" s="78">
        <f t="shared" si="423"/>
        <v>0</v>
      </c>
      <c r="CY237" s="78">
        <f t="shared" si="423"/>
        <v>0</v>
      </c>
      <c r="CZ237" s="78">
        <f t="shared" si="423"/>
        <v>0</v>
      </c>
      <c r="DA237" s="78">
        <f t="shared" si="423"/>
        <v>0</v>
      </c>
      <c r="DB237" s="78">
        <f t="shared" si="423"/>
        <v>0</v>
      </c>
      <c r="DC237" s="78">
        <f t="shared" si="423"/>
        <v>0</v>
      </c>
      <c r="DD237" s="78">
        <f t="shared" si="423"/>
        <v>0</v>
      </c>
      <c r="DE237" s="78">
        <f t="shared" si="423"/>
        <v>0</v>
      </c>
      <c r="DF237" s="78">
        <f t="shared" si="423"/>
        <v>0</v>
      </c>
      <c r="DG237" s="78">
        <f t="shared" si="423"/>
        <v>0</v>
      </c>
      <c r="DH237" s="78">
        <f t="shared" si="423"/>
        <v>0</v>
      </c>
      <c r="DI237" s="78">
        <f t="shared" si="423"/>
        <v>0</v>
      </c>
      <c r="DJ237" s="78">
        <f t="shared" si="423"/>
        <v>0</v>
      </c>
      <c r="DK237" s="78">
        <f t="shared" ref="DK237:EP237" si="424">-SUM(DK234:DK236)*DK258</f>
        <v>0</v>
      </c>
      <c r="DL237" s="78">
        <f t="shared" si="424"/>
        <v>0</v>
      </c>
      <c r="DM237" s="78">
        <f t="shared" si="424"/>
        <v>0</v>
      </c>
      <c r="DN237" s="78">
        <f t="shared" si="424"/>
        <v>0</v>
      </c>
      <c r="DO237" s="78">
        <f t="shared" si="424"/>
        <v>0</v>
      </c>
      <c r="DP237" s="78">
        <f t="shared" si="424"/>
        <v>0</v>
      </c>
      <c r="DQ237" s="78">
        <f t="shared" si="424"/>
        <v>0</v>
      </c>
      <c r="DR237" s="78">
        <f t="shared" si="424"/>
        <v>0</v>
      </c>
      <c r="DS237" s="78">
        <f t="shared" si="424"/>
        <v>0</v>
      </c>
      <c r="DT237" s="78">
        <f t="shared" si="424"/>
        <v>0</v>
      </c>
      <c r="DU237" s="78">
        <f t="shared" si="424"/>
        <v>0</v>
      </c>
      <c r="DV237" s="78">
        <f t="shared" si="424"/>
        <v>0</v>
      </c>
      <c r="DW237" s="78">
        <f t="shared" si="424"/>
        <v>0</v>
      </c>
      <c r="DX237" s="78">
        <f t="shared" si="424"/>
        <v>0</v>
      </c>
      <c r="DY237" s="78">
        <f t="shared" si="424"/>
        <v>0</v>
      </c>
      <c r="DZ237" s="78">
        <f t="shared" si="424"/>
        <v>0</v>
      </c>
      <c r="EA237" s="78">
        <f t="shared" si="424"/>
        <v>0</v>
      </c>
      <c r="EB237" s="78">
        <f t="shared" si="424"/>
        <v>0</v>
      </c>
      <c r="EC237" s="78">
        <f t="shared" si="424"/>
        <v>0</v>
      </c>
      <c r="ED237" s="78">
        <f t="shared" si="424"/>
        <v>0</v>
      </c>
      <c r="EE237" s="78">
        <f t="shared" si="424"/>
        <v>0</v>
      </c>
      <c r="EF237" s="78">
        <f t="shared" si="424"/>
        <v>0</v>
      </c>
      <c r="EG237" s="78">
        <f t="shared" si="424"/>
        <v>0</v>
      </c>
      <c r="EH237" s="78">
        <f t="shared" si="424"/>
        <v>0</v>
      </c>
      <c r="EI237" s="78">
        <f t="shared" si="424"/>
        <v>0</v>
      </c>
    </row>
    <row r="238" spans="2:139" ht="12.75" customHeight="1">
      <c r="B238" s="46" t="s">
        <v>595</v>
      </c>
      <c r="C238" s="209"/>
      <c r="D238" s="694">
        <f t="shared" ref="D238:O238" si="425">ROUND(SUBTOTAL(9,D234:D237),2)</f>
        <v>0</v>
      </c>
      <c r="E238" s="694">
        <f t="shared" si="425"/>
        <v>0</v>
      </c>
      <c r="F238" s="694">
        <f t="shared" si="425"/>
        <v>0</v>
      </c>
      <c r="G238" s="694">
        <f t="shared" si="425"/>
        <v>0</v>
      </c>
      <c r="H238" s="694">
        <f t="shared" si="425"/>
        <v>0</v>
      </c>
      <c r="I238" s="694">
        <f t="shared" si="425"/>
        <v>0</v>
      </c>
      <c r="J238" s="694">
        <f t="shared" si="425"/>
        <v>0</v>
      </c>
      <c r="K238" s="694">
        <f t="shared" si="425"/>
        <v>0</v>
      </c>
      <c r="L238" s="694">
        <f t="shared" si="425"/>
        <v>0</v>
      </c>
      <c r="M238" s="694">
        <f t="shared" si="425"/>
        <v>0</v>
      </c>
      <c r="N238" s="694">
        <f t="shared" si="425"/>
        <v>0</v>
      </c>
      <c r="O238" s="713">
        <f t="shared" si="425"/>
        <v>0</v>
      </c>
      <c r="S238" s="694">
        <f t="shared" ref="S238:AX238" si="426">IF(SUM(S234:S237)&gt;1,SUBTOTAL(9,S234:S237),)</f>
        <v>0</v>
      </c>
      <c r="T238" s="694">
        <f t="shared" si="426"/>
        <v>0</v>
      </c>
      <c r="U238" s="694">
        <f t="shared" si="426"/>
        <v>0</v>
      </c>
      <c r="V238" s="694">
        <f t="shared" si="426"/>
        <v>0</v>
      </c>
      <c r="W238" s="694">
        <f t="shared" si="426"/>
        <v>0</v>
      </c>
      <c r="X238" s="694">
        <f t="shared" si="426"/>
        <v>0</v>
      </c>
      <c r="Y238" s="694">
        <f t="shared" si="426"/>
        <v>0</v>
      </c>
      <c r="Z238" s="694">
        <f t="shared" si="426"/>
        <v>0</v>
      </c>
      <c r="AA238" s="694">
        <f t="shared" si="426"/>
        <v>0</v>
      </c>
      <c r="AB238" s="694">
        <f t="shared" si="426"/>
        <v>0</v>
      </c>
      <c r="AC238" s="694">
        <f t="shared" si="426"/>
        <v>0</v>
      </c>
      <c r="AD238" s="694">
        <f t="shared" si="426"/>
        <v>0</v>
      </c>
      <c r="AE238" s="694">
        <f t="shared" si="426"/>
        <v>0</v>
      </c>
      <c r="AF238" s="694">
        <f t="shared" si="426"/>
        <v>0</v>
      </c>
      <c r="AG238" s="694">
        <f t="shared" si="426"/>
        <v>0</v>
      </c>
      <c r="AH238" s="694">
        <f t="shared" si="426"/>
        <v>0</v>
      </c>
      <c r="AI238" s="694">
        <f t="shared" si="426"/>
        <v>0</v>
      </c>
      <c r="AJ238" s="694">
        <f t="shared" si="426"/>
        <v>0</v>
      </c>
      <c r="AK238" s="694">
        <f t="shared" si="426"/>
        <v>0</v>
      </c>
      <c r="AL238" s="694">
        <f t="shared" si="426"/>
        <v>0</v>
      </c>
      <c r="AM238" s="694">
        <f t="shared" si="426"/>
        <v>0</v>
      </c>
      <c r="AN238" s="694">
        <f t="shared" si="426"/>
        <v>0</v>
      </c>
      <c r="AO238" s="694">
        <f t="shared" si="426"/>
        <v>0</v>
      </c>
      <c r="AP238" s="694">
        <f t="shared" si="426"/>
        <v>0</v>
      </c>
      <c r="AQ238" s="694">
        <f t="shared" si="426"/>
        <v>0</v>
      </c>
      <c r="AR238" s="694">
        <f t="shared" si="426"/>
        <v>0</v>
      </c>
      <c r="AS238" s="694">
        <f t="shared" si="426"/>
        <v>0</v>
      </c>
      <c r="AT238" s="694">
        <f t="shared" si="426"/>
        <v>0</v>
      </c>
      <c r="AU238" s="694">
        <f t="shared" si="426"/>
        <v>0</v>
      </c>
      <c r="AV238" s="694">
        <f t="shared" si="426"/>
        <v>0</v>
      </c>
      <c r="AW238" s="694">
        <f t="shared" si="426"/>
        <v>0</v>
      </c>
      <c r="AX238" s="694">
        <f t="shared" si="426"/>
        <v>0</v>
      </c>
      <c r="AY238" s="694">
        <f t="shared" ref="AY238:CD238" si="427">IF(SUM(AY234:AY237)&gt;1,SUBTOTAL(9,AY234:AY237),)</f>
        <v>0</v>
      </c>
      <c r="AZ238" s="694">
        <f t="shared" si="427"/>
        <v>0</v>
      </c>
      <c r="BA238" s="694">
        <f t="shared" si="427"/>
        <v>0</v>
      </c>
      <c r="BB238" s="694">
        <f t="shared" si="427"/>
        <v>0</v>
      </c>
      <c r="BC238" s="694">
        <f t="shared" si="427"/>
        <v>0</v>
      </c>
      <c r="BD238" s="694">
        <f t="shared" si="427"/>
        <v>0</v>
      </c>
      <c r="BE238" s="694">
        <f t="shared" si="427"/>
        <v>0</v>
      </c>
      <c r="BF238" s="694">
        <f t="shared" si="427"/>
        <v>0</v>
      </c>
      <c r="BG238" s="694">
        <f t="shared" si="427"/>
        <v>0</v>
      </c>
      <c r="BH238" s="694">
        <f t="shared" si="427"/>
        <v>0</v>
      </c>
      <c r="BI238" s="694">
        <f t="shared" si="427"/>
        <v>0</v>
      </c>
      <c r="BJ238" s="694">
        <f t="shared" si="427"/>
        <v>0</v>
      </c>
      <c r="BK238" s="694">
        <f t="shared" si="427"/>
        <v>0</v>
      </c>
      <c r="BL238" s="694">
        <f t="shared" si="427"/>
        <v>0</v>
      </c>
      <c r="BM238" s="694">
        <f t="shared" si="427"/>
        <v>0</v>
      </c>
      <c r="BN238" s="694">
        <f t="shared" si="427"/>
        <v>0</v>
      </c>
      <c r="BO238" s="694">
        <f t="shared" si="427"/>
        <v>0</v>
      </c>
      <c r="BP238" s="694">
        <f t="shared" si="427"/>
        <v>0</v>
      </c>
      <c r="BQ238" s="694">
        <f t="shared" si="427"/>
        <v>0</v>
      </c>
      <c r="BR238" s="694">
        <f t="shared" si="427"/>
        <v>0</v>
      </c>
      <c r="BS238" s="694">
        <f t="shared" si="427"/>
        <v>0</v>
      </c>
      <c r="BT238" s="694">
        <f t="shared" si="427"/>
        <v>0</v>
      </c>
      <c r="BU238" s="694">
        <f t="shared" si="427"/>
        <v>0</v>
      </c>
      <c r="BV238" s="694">
        <f t="shared" si="427"/>
        <v>0</v>
      </c>
      <c r="BW238" s="694">
        <f t="shared" si="427"/>
        <v>0</v>
      </c>
      <c r="BX238" s="694">
        <f t="shared" si="427"/>
        <v>0</v>
      </c>
      <c r="BY238" s="694">
        <f t="shared" si="427"/>
        <v>0</v>
      </c>
      <c r="BZ238" s="694">
        <f t="shared" si="427"/>
        <v>0</v>
      </c>
      <c r="CA238" s="694">
        <f t="shared" si="427"/>
        <v>0</v>
      </c>
      <c r="CB238" s="694">
        <f t="shared" si="427"/>
        <v>0</v>
      </c>
      <c r="CC238" s="694">
        <f t="shared" si="427"/>
        <v>0</v>
      </c>
      <c r="CD238" s="694">
        <f t="shared" si="427"/>
        <v>0</v>
      </c>
      <c r="CE238" s="694">
        <f t="shared" ref="CE238:DJ238" si="428">IF(SUM(CE234:CE237)&gt;1,SUBTOTAL(9,CE234:CE237),)</f>
        <v>0</v>
      </c>
      <c r="CF238" s="694">
        <f t="shared" si="428"/>
        <v>0</v>
      </c>
      <c r="CG238" s="694">
        <f t="shared" si="428"/>
        <v>0</v>
      </c>
      <c r="CH238" s="694">
        <f t="shared" si="428"/>
        <v>0</v>
      </c>
      <c r="CI238" s="694">
        <f t="shared" si="428"/>
        <v>0</v>
      </c>
      <c r="CJ238" s="694">
        <f t="shared" si="428"/>
        <v>0</v>
      </c>
      <c r="CK238" s="694">
        <f t="shared" si="428"/>
        <v>0</v>
      </c>
      <c r="CL238" s="694">
        <f t="shared" si="428"/>
        <v>0</v>
      </c>
      <c r="CM238" s="694">
        <f t="shared" si="428"/>
        <v>0</v>
      </c>
      <c r="CN238" s="694">
        <f t="shared" si="428"/>
        <v>0</v>
      </c>
      <c r="CO238" s="694">
        <f t="shared" si="428"/>
        <v>0</v>
      </c>
      <c r="CP238" s="694">
        <f t="shared" si="428"/>
        <v>0</v>
      </c>
      <c r="CQ238" s="694">
        <f t="shared" si="428"/>
        <v>0</v>
      </c>
      <c r="CR238" s="694">
        <f t="shared" si="428"/>
        <v>0</v>
      </c>
      <c r="CS238" s="694">
        <f t="shared" si="428"/>
        <v>0</v>
      </c>
      <c r="CT238" s="694">
        <f t="shared" si="428"/>
        <v>0</v>
      </c>
      <c r="CU238" s="694">
        <f t="shared" si="428"/>
        <v>0</v>
      </c>
      <c r="CV238" s="694">
        <f t="shared" si="428"/>
        <v>0</v>
      </c>
      <c r="CW238" s="694">
        <f t="shared" si="428"/>
        <v>0</v>
      </c>
      <c r="CX238" s="694">
        <f t="shared" si="428"/>
        <v>0</v>
      </c>
      <c r="CY238" s="694">
        <f t="shared" si="428"/>
        <v>0</v>
      </c>
      <c r="CZ238" s="694">
        <f t="shared" si="428"/>
        <v>0</v>
      </c>
      <c r="DA238" s="694">
        <f t="shared" si="428"/>
        <v>0</v>
      </c>
      <c r="DB238" s="694">
        <f t="shared" si="428"/>
        <v>0</v>
      </c>
      <c r="DC238" s="694">
        <f t="shared" si="428"/>
        <v>0</v>
      </c>
      <c r="DD238" s="694">
        <f t="shared" si="428"/>
        <v>0</v>
      </c>
      <c r="DE238" s="694">
        <f t="shared" si="428"/>
        <v>0</v>
      </c>
      <c r="DF238" s="694">
        <f t="shared" si="428"/>
        <v>0</v>
      </c>
      <c r="DG238" s="694">
        <f t="shared" si="428"/>
        <v>0</v>
      </c>
      <c r="DH238" s="694">
        <f t="shared" si="428"/>
        <v>0</v>
      </c>
      <c r="DI238" s="694">
        <f t="shared" si="428"/>
        <v>0</v>
      </c>
      <c r="DJ238" s="694">
        <f t="shared" si="428"/>
        <v>0</v>
      </c>
      <c r="DK238" s="694">
        <f t="shared" ref="DK238:EP238" si="429">IF(SUM(DK234:DK237)&gt;1,SUBTOTAL(9,DK234:DK237),)</f>
        <v>0</v>
      </c>
      <c r="DL238" s="694">
        <f t="shared" si="429"/>
        <v>0</v>
      </c>
      <c r="DM238" s="694">
        <f t="shared" si="429"/>
        <v>0</v>
      </c>
      <c r="DN238" s="694">
        <f t="shared" si="429"/>
        <v>0</v>
      </c>
      <c r="DO238" s="694">
        <f t="shared" si="429"/>
        <v>0</v>
      </c>
      <c r="DP238" s="694">
        <f t="shared" si="429"/>
        <v>0</v>
      </c>
      <c r="DQ238" s="694">
        <f t="shared" si="429"/>
        <v>0</v>
      </c>
      <c r="DR238" s="694">
        <f t="shared" si="429"/>
        <v>0</v>
      </c>
      <c r="DS238" s="694">
        <f t="shared" si="429"/>
        <v>0</v>
      </c>
      <c r="DT238" s="694">
        <f t="shared" si="429"/>
        <v>0</v>
      </c>
      <c r="DU238" s="694">
        <f t="shared" si="429"/>
        <v>0</v>
      </c>
      <c r="DV238" s="694">
        <f t="shared" si="429"/>
        <v>0</v>
      </c>
      <c r="DW238" s="694">
        <f t="shared" si="429"/>
        <v>0</v>
      </c>
      <c r="DX238" s="694">
        <f t="shared" si="429"/>
        <v>0</v>
      </c>
      <c r="DY238" s="694">
        <f t="shared" si="429"/>
        <v>0</v>
      </c>
      <c r="DZ238" s="694">
        <f t="shared" si="429"/>
        <v>0</v>
      </c>
      <c r="EA238" s="694">
        <f t="shared" si="429"/>
        <v>0</v>
      </c>
      <c r="EB238" s="694">
        <f t="shared" si="429"/>
        <v>0</v>
      </c>
      <c r="EC238" s="694">
        <f t="shared" si="429"/>
        <v>0</v>
      </c>
      <c r="ED238" s="694">
        <f t="shared" si="429"/>
        <v>0</v>
      </c>
      <c r="EE238" s="694">
        <f t="shared" si="429"/>
        <v>0</v>
      </c>
      <c r="EF238" s="694">
        <f t="shared" si="429"/>
        <v>0</v>
      </c>
      <c r="EG238" s="694">
        <f t="shared" si="429"/>
        <v>0</v>
      </c>
      <c r="EH238" s="694">
        <f t="shared" si="429"/>
        <v>0</v>
      </c>
      <c r="EI238" s="694">
        <f t="shared" si="429"/>
        <v>0</v>
      </c>
    </row>
    <row r="239" spans="2:139" ht="12.75" customHeight="1">
      <c r="B239" s="46"/>
      <c r="C239" s="209"/>
      <c r="D239" s="169"/>
      <c r="E239" s="169"/>
      <c r="F239" s="169"/>
      <c r="G239" s="169"/>
      <c r="H239" s="169"/>
      <c r="I239" s="169"/>
      <c r="J239" s="169"/>
      <c r="K239" s="169"/>
      <c r="L239" s="169"/>
      <c r="M239" s="169"/>
      <c r="N239" s="169"/>
      <c r="O239" s="91"/>
      <c r="S239" s="169"/>
      <c r="T239" s="169"/>
      <c r="U239" s="169"/>
      <c r="V239" s="169"/>
      <c r="W239" s="169"/>
      <c r="X239" s="169"/>
      <c r="Y239" s="169"/>
      <c r="Z239" s="169"/>
      <c r="AA239" s="169"/>
      <c r="AB239" s="169"/>
      <c r="AC239" s="169"/>
      <c r="AD239" s="169"/>
      <c r="AE239" s="169"/>
      <c r="AF239" s="169"/>
      <c r="AG239" s="169"/>
      <c r="AH239" s="169"/>
      <c r="AI239" s="169"/>
      <c r="AJ239" s="169"/>
      <c r="AK239" s="169"/>
      <c r="AL239" s="169"/>
      <c r="AM239" s="169"/>
      <c r="AN239" s="169"/>
      <c r="AO239" s="169"/>
      <c r="AP239" s="169"/>
      <c r="AQ239" s="169"/>
      <c r="AR239" s="169"/>
      <c r="AS239" s="169"/>
      <c r="AT239" s="169"/>
      <c r="AU239" s="169"/>
      <c r="AV239" s="169"/>
      <c r="AW239" s="169"/>
      <c r="AX239" s="169"/>
      <c r="AY239" s="169"/>
      <c r="AZ239" s="169"/>
      <c r="BA239" s="169"/>
      <c r="BB239" s="169"/>
      <c r="BC239" s="169"/>
      <c r="BD239" s="169"/>
      <c r="BE239" s="169"/>
      <c r="BF239" s="169"/>
      <c r="BG239" s="169"/>
      <c r="BH239" s="169"/>
      <c r="BI239" s="169"/>
      <c r="BJ239" s="169"/>
      <c r="BK239" s="169"/>
      <c r="BL239" s="169"/>
      <c r="BM239" s="169"/>
      <c r="BN239" s="169"/>
      <c r="BO239" s="169"/>
      <c r="BP239" s="169"/>
      <c r="BQ239" s="169"/>
      <c r="BR239" s="169"/>
      <c r="BS239" s="169"/>
      <c r="BT239" s="169"/>
      <c r="BU239" s="169"/>
      <c r="BV239" s="169"/>
      <c r="BW239" s="169"/>
      <c r="BX239" s="169"/>
      <c r="BY239" s="169"/>
      <c r="BZ239" s="169"/>
      <c r="CA239" s="169"/>
      <c r="CB239" s="169"/>
      <c r="CC239" s="169"/>
      <c r="CD239" s="169"/>
      <c r="CE239" s="169"/>
      <c r="CF239" s="169"/>
      <c r="CG239" s="169"/>
      <c r="CH239" s="169"/>
      <c r="CI239" s="169"/>
      <c r="CJ239" s="169"/>
      <c r="CK239" s="169"/>
      <c r="CL239" s="169"/>
      <c r="CM239" s="169"/>
      <c r="CN239" s="169"/>
      <c r="CO239" s="169"/>
      <c r="CP239" s="169"/>
      <c r="CQ239" s="169"/>
      <c r="CR239" s="169"/>
      <c r="CS239" s="169"/>
      <c r="CT239" s="169"/>
      <c r="CU239" s="169"/>
      <c r="CV239" s="169"/>
      <c r="CW239" s="169"/>
      <c r="CX239" s="169"/>
      <c r="CY239" s="169"/>
      <c r="CZ239" s="169"/>
      <c r="DA239" s="169"/>
      <c r="DB239" s="169"/>
      <c r="DC239" s="169"/>
      <c r="DD239" s="169"/>
      <c r="DE239" s="169"/>
      <c r="DF239" s="169"/>
      <c r="DG239" s="169"/>
      <c r="DH239" s="169"/>
      <c r="DI239" s="169"/>
      <c r="DJ239" s="169"/>
      <c r="DK239" s="169"/>
      <c r="DL239" s="169"/>
      <c r="DM239" s="169"/>
      <c r="DN239" s="169"/>
      <c r="DO239" s="169"/>
      <c r="DP239" s="169"/>
      <c r="DQ239" s="169"/>
      <c r="DR239" s="169"/>
      <c r="DS239" s="169"/>
      <c r="DT239" s="169"/>
      <c r="DU239" s="169"/>
      <c r="DV239" s="169"/>
      <c r="DW239" s="169"/>
      <c r="DX239" s="169"/>
      <c r="DY239" s="169"/>
      <c r="DZ239" s="169"/>
      <c r="EA239" s="169"/>
      <c r="EB239" s="169"/>
      <c r="EC239" s="169"/>
      <c r="ED239" s="169"/>
      <c r="EE239" s="169"/>
      <c r="EF239" s="169"/>
      <c r="EG239" s="169"/>
      <c r="EH239" s="169"/>
      <c r="EI239" s="169"/>
    </row>
    <row r="240" spans="2:139" ht="12.75" customHeight="1">
      <c r="B240" s="1045" t="str">
        <f>Input!Z199</f>
        <v>Operating Deficits</v>
      </c>
      <c r="C240" s="211"/>
      <c r="D240" s="78"/>
      <c r="E240" s="78"/>
      <c r="F240" s="78"/>
      <c r="G240" s="78"/>
      <c r="H240" s="78"/>
      <c r="I240" s="78"/>
      <c r="J240" s="78"/>
      <c r="K240" s="78"/>
      <c r="L240" s="78"/>
      <c r="M240" s="78"/>
      <c r="N240" s="78"/>
      <c r="O240" s="145"/>
      <c r="S240" s="78"/>
      <c r="T240" s="78"/>
      <c r="U240" s="78"/>
      <c r="V240" s="78"/>
      <c r="W240" s="78"/>
      <c r="X240" s="78"/>
      <c r="Y240" s="78"/>
      <c r="Z240" s="78"/>
      <c r="AA240" s="78"/>
      <c r="AB240" s="78"/>
      <c r="AC240" s="78"/>
      <c r="AD240" s="78"/>
      <c r="AE240" s="78"/>
      <c r="AF240" s="78"/>
      <c r="AG240" s="78"/>
      <c r="AH240" s="78"/>
      <c r="AI240" s="78"/>
      <c r="AJ240" s="78"/>
      <c r="AK240" s="78"/>
      <c r="AL240" s="78"/>
      <c r="AM240" s="78"/>
      <c r="AN240" s="78"/>
      <c r="AO240" s="78"/>
      <c r="AP240" s="78"/>
      <c r="AQ240" s="78"/>
      <c r="AR240" s="78"/>
      <c r="AS240" s="78"/>
      <c r="AT240" s="78"/>
      <c r="AU240" s="78"/>
      <c r="AV240" s="78"/>
      <c r="AW240" s="78"/>
      <c r="AX240" s="78"/>
      <c r="AY240" s="78"/>
      <c r="AZ240" s="78"/>
      <c r="BA240" s="78"/>
      <c r="BB240" s="78"/>
      <c r="BC240" s="78"/>
      <c r="BD240" s="78"/>
      <c r="BE240" s="78"/>
      <c r="BF240" s="78"/>
      <c r="BG240" s="78"/>
      <c r="BH240" s="78"/>
      <c r="BI240" s="78"/>
      <c r="BJ240" s="78"/>
      <c r="BK240" s="78"/>
      <c r="BL240" s="78"/>
      <c r="BM240" s="78"/>
      <c r="BN240" s="78"/>
      <c r="BO240" s="78"/>
      <c r="BP240" s="78"/>
      <c r="BQ240" s="78"/>
      <c r="BR240" s="78"/>
      <c r="BS240" s="78"/>
      <c r="BT240" s="78"/>
      <c r="BU240" s="78"/>
      <c r="BV240" s="78"/>
      <c r="BW240" s="78"/>
      <c r="BX240" s="78"/>
      <c r="BY240" s="78"/>
      <c r="BZ240" s="78"/>
      <c r="CA240" s="78"/>
      <c r="CB240" s="78"/>
      <c r="CC240" s="78"/>
      <c r="CD240" s="78"/>
      <c r="CE240" s="78"/>
      <c r="CF240" s="78"/>
      <c r="CG240" s="78"/>
      <c r="CH240" s="78"/>
      <c r="CI240" s="78"/>
      <c r="CJ240" s="78"/>
      <c r="CK240" s="78"/>
      <c r="CL240" s="78"/>
      <c r="CM240" s="78"/>
      <c r="CN240" s="78"/>
      <c r="CO240" s="78"/>
      <c r="CP240" s="78"/>
      <c r="CQ240" s="78"/>
      <c r="CR240" s="78"/>
      <c r="CS240" s="78"/>
      <c r="CT240" s="78"/>
      <c r="CU240" s="78"/>
      <c r="CV240" s="78"/>
      <c r="CW240" s="78"/>
      <c r="CX240" s="78"/>
      <c r="CY240" s="78"/>
      <c r="CZ240" s="78"/>
      <c r="DA240" s="78"/>
      <c r="DB240" s="78"/>
      <c r="DC240" s="78"/>
      <c r="DD240" s="78"/>
      <c r="DE240" s="78"/>
      <c r="DF240" s="78"/>
      <c r="DG240" s="78"/>
      <c r="DH240" s="78"/>
      <c r="DI240" s="78"/>
      <c r="DJ240" s="78"/>
      <c r="DK240" s="78"/>
      <c r="DL240" s="78"/>
      <c r="DM240" s="78"/>
      <c r="DN240" s="78"/>
      <c r="DO240" s="78"/>
      <c r="DP240" s="78"/>
      <c r="DQ240" s="78"/>
      <c r="DR240" s="78"/>
      <c r="DS240" s="78"/>
      <c r="DT240" s="78"/>
      <c r="DU240" s="78"/>
      <c r="DV240" s="78"/>
      <c r="DW240" s="78"/>
      <c r="DX240" s="78"/>
      <c r="DY240" s="78"/>
      <c r="DZ240" s="78"/>
      <c r="EA240" s="78"/>
      <c r="EB240" s="78"/>
      <c r="EC240" s="78"/>
      <c r="ED240" s="78"/>
      <c r="EE240" s="78"/>
      <c r="EF240" s="78"/>
      <c r="EG240" s="78"/>
      <c r="EH240" s="78"/>
      <c r="EI240" s="78"/>
    </row>
    <row r="241" spans="2:139" ht="12.75" customHeight="1">
      <c r="B241" s="41" t="s">
        <v>593</v>
      </c>
      <c r="C241" s="211"/>
      <c r="D241" s="78"/>
      <c r="E241" s="78">
        <f t="shared" ref="E241:N241" si="430">D247</f>
        <v>0</v>
      </c>
      <c r="F241" s="78">
        <f t="shared" si="430"/>
        <v>0</v>
      </c>
      <c r="G241" s="78">
        <f t="shared" si="430"/>
        <v>0</v>
      </c>
      <c r="H241" s="78">
        <f t="shared" si="430"/>
        <v>0</v>
      </c>
      <c r="I241" s="78">
        <f t="shared" si="430"/>
        <v>0</v>
      </c>
      <c r="J241" s="78">
        <f t="shared" si="430"/>
        <v>0</v>
      </c>
      <c r="K241" s="78">
        <f t="shared" si="430"/>
        <v>0</v>
      </c>
      <c r="L241" s="78">
        <f t="shared" si="430"/>
        <v>0</v>
      </c>
      <c r="M241" s="78">
        <f t="shared" si="430"/>
        <v>0</v>
      </c>
      <c r="N241" s="78">
        <f t="shared" si="430"/>
        <v>0</v>
      </c>
      <c r="O241" s="145"/>
      <c r="S241" s="78"/>
      <c r="T241" s="78">
        <f t="shared" ref="T241:AY241" si="431">S247</f>
        <v>0</v>
      </c>
      <c r="U241" s="78">
        <f t="shared" si="431"/>
        <v>0</v>
      </c>
      <c r="V241" s="78">
        <f t="shared" si="431"/>
        <v>0</v>
      </c>
      <c r="W241" s="78">
        <f t="shared" si="431"/>
        <v>0</v>
      </c>
      <c r="X241" s="78">
        <f t="shared" si="431"/>
        <v>0</v>
      </c>
      <c r="Y241" s="78">
        <f t="shared" si="431"/>
        <v>0</v>
      </c>
      <c r="Z241" s="78">
        <f t="shared" si="431"/>
        <v>0</v>
      </c>
      <c r="AA241" s="78">
        <f t="shared" si="431"/>
        <v>0</v>
      </c>
      <c r="AB241" s="78">
        <f t="shared" si="431"/>
        <v>0</v>
      </c>
      <c r="AC241" s="78">
        <f t="shared" si="431"/>
        <v>0</v>
      </c>
      <c r="AD241" s="78">
        <f t="shared" si="431"/>
        <v>0</v>
      </c>
      <c r="AE241" s="78">
        <f t="shared" si="431"/>
        <v>0</v>
      </c>
      <c r="AF241" s="78">
        <f t="shared" si="431"/>
        <v>0</v>
      </c>
      <c r="AG241" s="78">
        <f t="shared" si="431"/>
        <v>0</v>
      </c>
      <c r="AH241" s="78">
        <f t="shared" si="431"/>
        <v>0</v>
      </c>
      <c r="AI241" s="78">
        <f t="shared" si="431"/>
        <v>0</v>
      </c>
      <c r="AJ241" s="78">
        <f t="shared" si="431"/>
        <v>0</v>
      </c>
      <c r="AK241" s="78">
        <f t="shared" si="431"/>
        <v>0</v>
      </c>
      <c r="AL241" s="78">
        <f t="shared" si="431"/>
        <v>0</v>
      </c>
      <c r="AM241" s="78">
        <f t="shared" si="431"/>
        <v>0</v>
      </c>
      <c r="AN241" s="78">
        <f t="shared" si="431"/>
        <v>0</v>
      </c>
      <c r="AO241" s="78">
        <f t="shared" si="431"/>
        <v>0</v>
      </c>
      <c r="AP241" s="78">
        <f t="shared" si="431"/>
        <v>0</v>
      </c>
      <c r="AQ241" s="78">
        <f t="shared" si="431"/>
        <v>0</v>
      </c>
      <c r="AR241" s="78">
        <f t="shared" si="431"/>
        <v>0</v>
      </c>
      <c r="AS241" s="78">
        <f t="shared" si="431"/>
        <v>0</v>
      </c>
      <c r="AT241" s="78">
        <f t="shared" si="431"/>
        <v>0</v>
      </c>
      <c r="AU241" s="78">
        <f t="shared" si="431"/>
        <v>0</v>
      </c>
      <c r="AV241" s="78">
        <f t="shared" si="431"/>
        <v>0</v>
      </c>
      <c r="AW241" s="78">
        <f t="shared" si="431"/>
        <v>0</v>
      </c>
      <c r="AX241" s="78">
        <f t="shared" si="431"/>
        <v>0</v>
      </c>
      <c r="AY241" s="78">
        <f t="shared" si="431"/>
        <v>0</v>
      </c>
      <c r="AZ241" s="78">
        <f t="shared" ref="AZ241:CE241" si="432">AY247</f>
        <v>0</v>
      </c>
      <c r="BA241" s="78">
        <f t="shared" si="432"/>
        <v>0</v>
      </c>
      <c r="BB241" s="78">
        <f t="shared" si="432"/>
        <v>0</v>
      </c>
      <c r="BC241" s="78">
        <f t="shared" si="432"/>
        <v>0</v>
      </c>
      <c r="BD241" s="78">
        <f t="shared" si="432"/>
        <v>0</v>
      </c>
      <c r="BE241" s="78">
        <f t="shared" si="432"/>
        <v>0</v>
      </c>
      <c r="BF241" s="78">
        <f t="shared" si="432"/>
        <v>0</v>
      </c>
      <c r="BG241" s="78">
        <f t="shared" si="432"/>
        <v>0</v>
      </c>
      <c r="BH241" s="78">
        <f t="shared" si="432"/>
        <v>0</v>
      </c>
      <c r="BI241" s="78">
        <f t="shared" si="432"/>
        <v>0</v>
      </c>
      <c r="BJ241" s="78">
        <f t="shared" si="432"/>
        <v>0</v>
      </c>
      <c r="BK241" s="78">
        <f t="shared" si="432"/>
        <v>0</v>
      </c>
      <c r="BL241" s="78">
        <f t="shared" si="432"/>
        <v>0</v>
      </c>
      <c r="BM241" s="78">
        <f t="shared" si="432"/>
        <v>0</v>
      </c>
      <c r="BN241" s="78">
        <f t="shared" si="432"/>
        <v>0</v>
      </c>
      <c r="BO241" s="78">
        <f t="shared" si="432"/>
        <v>0</v>
      </c>
      <c r="BP241" s="78">
        <f t="shared" si="432"/>
        <v>0</v>
      </c>
      <c r="BQ241" s="78">
        <f t="shared" si="432"/>
        <v>0</v>
      </c>
      <c r="BR241" s="78">
        <f t="shared" si="432"/>
        <v>0</v>
      </c>
      <c r="BS241" s="78">
        <f t="shared" si="432"/>
        <v>0</v>
      </c>
      <c r="BT241" s="78">
        <f t="shared" si="432"/>
        <v>0</v>
      </c>
      <c r="BU241" s="78">
        <f t="shared" si="432"/>
        <v>0</v>
      </c>
      <c r="BV241" s="78">
        <f t="shared" si="432"/>
        <v>0</v>
      </c>
      <c r="BW241" s="78">
        <f t="shared" si="432"/>
        <v>0</v>
      </c>
      <c r="BX241" s="78">
        <f t="shared" si="432"/>
        <v>0</v>
      </c>
      <c r="BY241" s="78">
        <f t="shared" si="432"/>
        <v>0</v>
      </c>
      <c r="BZ241" s="78">
        <f t="shared" si="432"/>
        <v>0</v>
      </c>
      <c r="CA241" s="78">
        <f t="shared" si="432"/>
        <v>0</v>
      </c>
      <c r="CB241" s="78">
        <f t="shared" si="432"/>
        <v>0</v>
      </c>
      <c r="CC241" s="78">
        <f t="shared" si="432"/>
        <v>0</v>
      </c>
      <c r="CD241" s="78">
        <f t="shared" si="432"/>
        <v>0</v>
      </c>
      <c r="CE241" s="78">
        <f t="shared" si="432"/>
        <v>0</v>
      </c>
      <c r="CF241" s="78">
        <f t="shared" ref="CF241:DK241" si="433">CE247</f>
        <v>0</v>
      </c>
      <c r="CG241" s="78">
        <f t="shared" si="433"/>
        <v>0</v>
      </c>
      <c r="CH241" s="78">
        <f t="shared" si="433"/>
        <v>0</v>
      </c>
      <c r="CI241" s="78">
        <f t="shared" si="433"/>
        <v>0</v>
      </c>
      <c r="CJ241" s="78">
        <f t="shared" si="433"/>
        <v>0</v>
      </c>
      <c r="CK241" s="78">
        <f t="shared" si="433"/>
        <v>0</v>
      </c>
      <c r="CL241" s="78">
        <f t="shared" si="433"/>
        <v>0</v>
      </c>
      <c r="CM241" s="78">
        <f t="shared" si="433"/>
        <v>0</v>
      </c>
      <c r="CN241" s="78">
        <f t="shared" si="433"/>
        <v>0</v>
      </c>
      <c r="CO241" s="78">
        <f t="shared" si="433"/>
        <v>0</v>
      </c>
      <c r="CP241" s="78">
        <f t="shared" si="433"/>
        <v>0</v>
      </c>
      <c r="CQ241" s="78">
        <f t="shared" si="433"/>
        <v>0</v>
      </c>
      <c r="CR241" s="78">
        <f t="shared" si="433"/>
        <v>0</v>
      </c>
      <c r="CS241" s="78">
        <f t="shared" si="433"/>
        <v>0</v>
      </c>
      <c r="CT241" s="78">
        <f t="shared" si="433"/>
        <v>0</v>
      </c>
      <c r="CU241" s="78">
        <f t="shared" si="433"/>
        <v>0</v>
      </c>
      <c r="CV241" s="78">
        <f t="shared" si="433"/>
        <v>0</v>
      </c>
      <c r="CW241" s="78">
        <f t="shared" si="433"/>
        <v>0</v>
      </c>
      <c r="CX241" s="78">
        <f t="shared" si="433"/>
        <v>0</v>
      </c>
      <c r="CY241" s="78">
        <f t="shared" si="433"/>
        <v>0</v>
      </c>
      <c r="CZ241" s="78">
        <f t="shared" si="433"/>
        <v>0</v>
      </c>
      <c r="DA241" s="78">
        <f t="shared" si="433"/>
        <v>0</v>
      </c>
      <c r="DB241" s="78">
        <f t="shared" si="433"/>
        <v>0</v>
      </c>
      <c r="DC241" s="78">
        <f t="shared" si="433"/>
        <v>0</v>
      </c>
      <c r="DD241" s="78">
        <f t="shared" si="433"/>
        <v>0</v>
      </c>
      <c r="DE241" s="78">
        <f t="shared" si="433"/>
        <v>0</v>
      </c>
      <c r="DF241" s="78">
        <f t="shared" si="433"/>
        <v>0</v>
      </c>
      <c r="DG241" s="78">
        <f t="shared" si="433"/>
        <v>0</v>
      </c>
      <c r="DH241" s="78">
        <f t="shared" si="433"/>
        <v>0</v>
      </c>
      <c r="DI241" s="78">
        <f t="shared" si="433"/>
        <v>0</v>
      </c>
      <c r="DJ241" s="78">
        <f t="shared" si="433"/>
        <v>0</v>
      </c>
      <c r="DK241" s="78">
        <f t="shared" si="433"/>
        <v>0</v>
      </c>
      <c r="DL241" s="78">
        <f t="shared" ref="DL241:EI241" si="434">DK247</f>
        <v>0</v>
      </c>
      <c r="DM241" s="78">
        <f t="shared" si="434"/>
        <v>0</v>
      </c>
      <c r="DN241" s="78">
        <f t="shared" si="434"/>
        <v>0</v>
      </c>
      <c r="DO241" s="78">
        <f t="shared" si="434"/>
        <v>0</v>
      </c>
      <c r="DP241" s="78">
        <f t="shared" si="434"/>
        <v>0</v>
      </c>
      <c r="DQ241" s="78">
        <f t="shared" si="434"/>
        <v>0</v>
      </c>
      <c r="DR241" s="78">
        <f t="shared" si="434"/>
        <v>0</v>
      </c>
      <c r="DS241" s="78">
        <f t="shared" si="434"/>
        <v>0</v>
      </c>
      <c r="DT241" s="78">
        <f t="shared" si="434"/>
        <v>0</v>
      </c>
      <c r="DU241" s="78">
        <f t="shared" si="434"/>
        <v>0</v>
      </c>
      <c r="DV241" s="78">
        <f t="shared" si="434"/>
        <v>0</v>
      </c>
      <c r="DW241" s="78">
        <f t="shared" si="434"/>
        <v>0</v>
      </c>
      <c r="DX241" s="78">
        <f t="shared" si="434"/>
        <v>0</v>
      </c>
      <c r="DY241" s="78">
        <f t="shared" si="434"/>
        <v>0</v>
      </c>
      <c r="DZ241" s="78">
        <f t="shared" si="434"/>
        <v>0</v>
      </c>
      <c r="EA241" s="78">
        <f t="shared" si="434"/>
        <v>0</v>
      </c>
      <c r="EB241" s="78">
        <f t="shared" si="434"/>
        <v>0</v>
      </c>
      <c r="EC241" s="78">
        <f t="shared" si="434"/>
        <v>0</v>
      </c>
      <c r="ED241" s="78">
        <f t="shared" si="434"/>
        <v>0</v>
      </c>
      <c r="EE241" s="78">
        <f t="shared" si="434"/>
        <v>0</v>
      </c>
      <c r="EF241" s="78">
        <f t="shared" si="434"/>
        <v>0</v>
      </c>
      <c r="EG241" s="78">
        <f t="shared" si="434"/>
        <v>0</v>
      </c>
      <c r="EH241" s="78">
        <f t="shared" si="434"/>
        <v>0</v>
      </c>
      <c r="EI241" s="78">
        <f t="shared" si="434"/>
        <v>0</v>
      </c>
    </row>
    <row r="242" spans="2:139" ht="12.75" customHeight="1">
      <c r="B242" s="41" t="s">
        <v>608</v>
      </c>
      <c r="C242" s="211"/>
      <c r="D242" s="78">
        <f t="shared" ref="D242:N242" si="435">SUMIF($S$6:$EI$6,D$5,$S242:$EI242)</f>
        <v>0</v>
      </c>
      <c r="E242" s="78">
        <f t="shared" si="435"/>
        <v>0</v>
      </c>
      <c r="F242" s="78">
        <f t="shared" si="435"/>
        <v>0</v>
      </c>
      <c r="G242" s="78">
        <f t="shared" si="435"/>
        <v>0</v>
      </c>
      <c r="H242" s="78">
        <f t="shared" si="435"/>
        <v>0</v>
      </c>
      <c r="I242" s="78">
        <f t="shared" si="435"/>
        <v>0</v>
      </c>
      <c r="J242" s="78">
        <f t="shared" si="435"/>
        <v>0</v>
      </c>
      <c r="K242" s="78">
        <f t="shared" si="435"/>
        <v>0</v>
      </c>
      <c r="L242" s="78">
        <f t="shared" si="435"/>
        <v>0</v>
      </c>
      <c r="M242" s="78">
        <f t="shared" si="435"/>
        <v>0</v>
      </c>
      <c r="N242" s="78">
        <f t="shared" si="435"/>
        <v>0</v>
      </c>
      <c r="O242" s="145">
        <f>SUM(D242:N242)</f>
        <v>0</v>
      </c>
      <c r="S242" s="78">
        <f>Input!$AB$199*(S206&gt;0)+MIN(Input!$AB$199-S241,MAX(S86+S95,0))*AND(S205*1,SUM($S$258:S258)=0)</f>
        <v>0</v>
      </c>
      <c r="T242" s="78">
        <f>Input!$AB$199*(T206&gt;0)+MIN(Input!$AB$199-T241,MAX(T86+T95,0))*AND(T205*1,SUM($S$258:T258)=0)</f>
        <v>0</v>
      </c>
      <c r="U242" s="78">
        <f>Input!$AB$199*(U206&gt;0)+MIN(Input!$AB$199-U241,MAX(U86+U95,0))*AND(U205*1,SUM($S$258:U258)=0)</f>
        <v>0</v>
      </c>
      <c r="V242" s="78">
        <f>Input!$AB$199*(V206&gt;0)+MIN(Input!$AB$199-V241,MAX(V86+V95,0))*AND(V205*1,SUM($S$258:V258)=0)</f>
        <v>0</v>
      </c>
      <c r="W242" s="78">
        <f>Input!$AB$199*(W206&gt;0)+MIN(Input!$AB$199-W241,MAX(W86+W95,0))*AND(W205*1,SUM($S$258:W258)=0)</f>
        <v>0</v>
      </c>
      <c r="X242" s="78">
        <f>Input!$AB$199*(X206&gt;0)+MIN(Input!$AB$199-X241,MAX(X86+X95,0))*AND(X205*1,SUM($S$258:X258)=0)</f>
        <v>0</v>
      </c>
      <c r="Y242" s="78">
        <f>Input!$AB$199*(Y206&gt;0)+MIN(Input!$AB$199-Y241,MAX(Y86+Y95,0))*AND(Y205*1,SUM($S$258:Y258)=0)</f>
        <v>0</v>
      </c>
      <c r="Z242" s="78">
        <f>Input!$AB$199*(Z206&gt;0)+MIN(Input!$AB$199-Z241,MAX(Z86+Z95,0))*AND(Z205*1,SUM($S$258:Z258)=0)</f>
        <v>0</v>
      </c>
      <c r="AA242" s="78">
        <f>Input!$AB$199*(AA206&gt;0)+MIN(Input!$AB$199-AA241,MAX(AA86+AA95,0))*AND(AA205*1,SUM($S$258:AA258)=0)</f>
        <v>0</v>
      </c>
      <c r="AB242" s="78">
        <f>Input!$AB$199*(AB206&gt;0)+MIN(Input!$AB$199-AB241,MAX(AB86+AB95,0))*AND(AB205*1,SUM($S$258:AB258)=0)</f>
        <v>0</v>
      </c>
      <c r="AC242" s="78">
        <f>Input!$AB$199*(AC206&gt;0)+MIN(Input!$AB$199-AC241,MAX(AC86+AC95,0))*AND(AC205*1,SUM($S$258:AC258)=0)</f>
        <v>0</v>
      </c>
      <c r="AD242" s="78">
        <f>Input!$AB$199*(AD206&gt;0)+MIN(Input!$AB$199-AD241,MAX(AD86+AD95,0))*AND(AD205*1,SUM($S$258:AD258)=0)</f>
        <v>0</v>
      </c>
      <c r="AE242" s="78">
        <f>Input!$AB$199*(AE206&gt;0)+MIN(Input!$AB$199-AE241,MAX(AE86+AE95,0))*AND(AE205*1,SUM($S$258:AE258)=0)</f>
        <v>0</v>
      </c>
      <c r="AF242" s="78">
        <f>Input!$AB$199*(AF206&gt;0)+MIN(Input!$AB$199-AF241,MAX(AF86+AF95,0))*AND(AF205*1,SUM($S$258:AF258)=0)</f>
        <v>0</v>
      </c>
      <c r="AG242" s="78">
        <f>Input!$AB$199*(AG206&gt;0)+MIN(Input!$AB$199-AG241,MAX(AG86+AG95,0))*AND(AG205*1,SUM($S$258:AG258)=0)</f>
        <v>0</v>
      </c>
      <c r="AH242" s="78">
        <f>Input!$AB$199*(AH206&gt;0)+MIN(Input!$AB$199-AH241,MAX(AH86+AH95,0))*AND(AH205*1,SUM($S$258:AH258)=0)</f>
        <v>0</v>
      </c>
      <c r="AI242" s="78">
        <f>Input!$AB$199*(AI206&gt;0)+MIN(Input!$AB$199-AI241,MAX(AI86+AI95,0))*AND(AI205*1,SUM($S$258:AI258)=0)</f>
        <v>0</v>
      </c>
      <c r="AJ242" s="78">
        <f>Input!$AB$199*(AJ206&gt;0)+MIN(Input!$AB$199-AJ241,MAX(AJ86+AJ95,0))*AND(AJ205*1,SUM($S$258:AJ258)=0)</f>
        <v>0</v>
      </c>
      <c r="AK242" s="78">
        <f>Input!$AB$199*(AK206&gt;0)+MIN(Input!$AB$199-AK241,MAX(AK86+AK95,0))*AND(AK205*1,SUM($S$258:AK258)=0)</f>
        <v>0</v>
      </c>
      <c r="AL242" s="78">
        <f>Input!$AB$199*(AL206&gt;0)+MIN(Input!$AB$199-AL241,MAX(AL86+AL95,0))*AND(AL205*1,SUM($S$258:AL258)=0)</f>
        <v>0</v>
      </c>
      <c r="AM242" s="78">
        <f>Input!$AB$199*(AM206&gt;0)+MIN(Input!$AB$199-AM241,MAX(AM86+AM95,0))*AND(AM205*1,SUM($S$258:AM258)=0)</f>
        <v>0</v>
      </c>
      <c r="AN242" s="78">
        <f>Input!$AB$199*(AN206&gt;0)+MIN(Input!$AB$199-AN241,MAX(AN86+AN95,0))*AND(AN205*1,SUM($S$258:AN258)=0)</f>
        <v>0</v>
      </c>
      <c r="AO242" s="78">
        <f>Input!$AB$199*(AO206&gt;0)+MIN(Input!$AB$199-AO241,MAX(AO86+AO95,0))*AND(AO205*1,SUM($S$258:AO258)=0)</f>
        <v>0</v>
      </c>
      <c r="AP242" s="78">
        <f>Input!$AB$199*(AP206&gt;0)+MIN(Input!$AB$199-AP241,MAX(AP86+AP95,0))*AND(AP205*1,SUM($S$258:AP258)=0)</f>
        <v>0</v>
      </c>
      <c r="AQ242" s="78">
        <f>Input!$AB$199*(AQ206&gt;0)+MIN(Input!$AB$199-AQ241,MAX(AQ86+AQ95,0))*AND(AQ205*1,SUM($S$258:AQ258)=0)</f>
        <v>0</v>
      </c>
      <c r="AR242" s="78">
        <f>Input!$AB$199*(AR206&gt;0)+MIN(Input!$AB$199-AR241,MAX(AR86+AR95,0))*AND(AR205*1,SUM($S$258:AR258)=0)</f>
        <v>0</v>
      </c>
      <c r="AS242" s="78">
        <f>Input!$AB$199*(AS206&gt;0)+MIN(Input!$AB$199-AS241,MAX(AS86+AS95,0))*AND(AS205*1,SUM($S$258:AS258)=0)</f>
        <v>0</v>
      </c>
      <c r="AT242" s="78">
        <f>Input!$AB$199*(AT206&gt;0)+MIN(Input!$AB$199-AT241,MAX(AT86+AT95,0))*AND(AT205*1,SUM($S$258:AT258)=0)</f>
        <v>0</v>
      </c>
      <c r="AU242" s="78">
        <f>Input!$AB$199*(AU206&gt;0)+MIN(Input!$AB$199-AU241,MAX(AU86+AU95,0))*AND(AU205*1,SUM($S$258:AU258)=0)</f>
        <v>0</v>
      </c>
      <c r="AV242" s="78">
        <f>Input!$AB$199*(AV206&gt;0)+MIN(Input!$AB$199-AV241,MAX(AV86+AV95,0))*AND(AV205*1,SUM($S$258:AV258)=0)</f>
        <v>0</v>
      </c>
      <c r="AW242" s="78">
        <f>Input!$AB$199*(AW206&gt;0)+MIN(Input!$AB$199-AW241,MAX(AW86+AW95,0))*AND(AW205*1,SUM($S$258:AW258)=0)</f>
        <v>0</v>
      </c>
      <c r="AX242" s="78">
        <f>Input!$AB$199*(AX206&gt;0)+MIN(Input!$AB$199-AX241,MAX(AX86+AX95,0))*AND(AX205*1,SUM($S$258:AX258)=0)</f>
        <v>0</v>
      </c>
      <c r="AY242" s="78">
        <f>Input!$AB$199*(AY206&gt;0)+MIN(Input!$AB$199-AY241,MAX(AY86+AY95,0))*AND(AY205*1,SUM($S$258:AY258)=0)</f>
        <v>0</v>
      </c>
      <c r="AZ242" s="78">
        <f>Input!$AB$199*(AZ206&gt;0)+MIN(Input!$AB$199-AZ241,MAX(AZ86+AZ95,0))*AND(AZ205*1,SUM($S$258:AZ258)=0)</f>
        <v>0</v>
      </c>
      <c r="BA242" s="78">
        <f>Input!$AB$199*(BA206&gt;0)+MIN(Input!$AB$199-BA241,MAX(BA86+BA95,0))*AND(BA205*1,SUM($S$258:BA258)=0)</f>
        <v>0</v>
      </c>
      <c r="BB242" s="78">
        <f>Input!$AB$199*(BB206&gt;0)+MIN(Input!$AB$199-BB241,MAX(BB86+BB95,0))*AND(BB205*1,SUM($S$258:BB258)=0)</f>
        <v>0</v>
      </c>
      <c r="BC242" s="78">
        <f>Input!$AB$199*(BC206&gt;0)+MIN(Input!$AB$199-BC241,MAX(BC86+BC95,0))*AND(BC205*1,SUM($S$258:BC258)=0)</f>
        <v>0</v>
      </c>
      <c r="BD242" s="78">
        <f>Input!$AB$199*(BD206&gt;0)+MIN(Input!$AB$199-BD241,MAX(BD86+BD95,0))*AND(BD205*1,SUM($S$258:BD258)=0)</f>
        <v>0</v>
      </c>
      <c r="BE242" s="78">
        <f>Input!$AB$199*(BE206&gt;0)+MIN(Input!$AB$199-BE241,MAX(BE86+BE95,0))*AND(BE205*1,SUM($S$258:BE258)=0)</f>
        <v>0</v>
      </c>
      <c r="BF242" s="78">
        <f>Input!$AB$199*(BF206&gt;0)+MIN(Input!$AB$199-BF241,MAX(BF86+BF95,0))*AND(BF205*1,SUM($S$258:BF258)=0)</f>
        <v>0</v>
      </c>
      <c r="BG242" s="78">
        <f>Input!$AB$199*(BG206&gt;0)+MIN(Input!$AB$199-BG241,MAX(BG86+BG95,0))*AND(BG205*1,SUM($S$258:BG258)=0)</f>
        <v>0</v>
      </c>
      <c r="BH242" s="78">
        <f>Input!$AB$199*(BH206&gt;0)+MIN(Input!$AB$199-BH241,MAX(BH86+BH95,0))*AND(BH205*1,SUM($S$258:BH258)=0)</f>
        <v>0</v>
      </c>
      <c r="BI242" s="78">
        <f>Input!$AB$199*(BI206&gt;0)+MIN(Input!$AB$199-BI241,MAX(BI86+BI95,0))*AND(BI205*1,SUM($S$258:BI258)=0)</f>
        <v>0</v>
      </c>
      <c r="BJ242" s="78">
        <f>Input!$AB$199*(BJ206&gt;0)+MIN(Input!$AB$199-BJ241,MAX(BJ86+BJ95,0))*AND(BJ205*1,SUM($S$258:BJ258)=0)</f>
        <v>0</v>
      </c>
      <c r="BK242" s="78">
        <f>Input!$AB$199*(BK206&gt;0)+MIN(Input!$AB$199-BK241,MAX(BK86+BK95,0))*AND(BK205*1,SUM($S$258:BK258)=0)</f>
        <v>0</v>
      </c>
      <c r="BL242" s="78">
        <f>Input!$AB$199*(BL206&gt;0)+MIN(Input!$AB$199-BL241,MAX(BL86+BL95,0))*AND(BL205*1,SUM($S$258:BL258)=0)</f>
        <v>0</v>
      </c>
      <c r="BM242" s="78">
        <f>Input!$AB$199*(BM206&gt;0)+MIN(Input!$AB$199-BM241,MAX(BM86+BM95,0))*AND(BM205*1,SUM($S$258:BM258)=0)</f>
        <v>0</v>
      </c>
      <c r="BN242" s="78">
        <f>Input!$AB$199*(BN206&gt;0)+MIN(Input!$AB$199-BN241,MAX(BN86+BN95,0))*AND(BN205*1,SUM($S$258:BN258)=0)</f>
        <v>0</v>
      </c>
      <c r="BO242" s="78">
        <f>Input!$AB$199*(BO206&gt;0)+MIN(Input!$AB$199-BO241,MAX(BO86+BO95,0))*AND(BO205*1,SUM($S$258:BO258)=0)</f>
        <v>0</v>
      </c>
      <c r="BP242" s="78">
        <f>Input!$AB$199*(BP206&gt;0)+MIN(Input!$AB$199-BP241,MAX(BP86+BP95,0))*AND(BP205*1,SUM($S$258:BP258)=0)</f>
        <v>0</v>
      </c>
      <c r="BQ242" s="78">
        <f>Input!$AB$199*(BQ206&gt;0)+MIN(Input!$AB$199-BQ241,MAX(BQ86+BQ95,0))*AND(BQ205*1,SUM($S$258:BQ258)=0)</f>
        <v>0</v>
      </c>
      <c r="BR242" s="78">
        <f>Input!$AB$199*(BR206&gt;0)+MIN(Input!$AB$199-BR241,MAX(BR86+BR95,0))*AND(BR205*1,SUM($S$258:BR258)=0)</f>
        <v>0</v>
      </c>
      <c r="BS242" s="78">
        <f>Input!$AB$199*(BS206&gt;0)+MIN(Input!$AB$199-BS241,MAX(BS86+BS95,0))*AND(BS205*1,SUM($S$258:BS258)=0)</f>
        <v>0</v>
      </c>
      <c r="BT242" s="78">
        <f>Input!$AB$199*(BT206&gt;0)+MIN(Input!$AB$199-BT241,MAX(BT86+BT95,0))*AND(BT205*1,SUM($S$258:BT258)=0)</f>
        <v>0</v>
      </c>
      <c r="BU242" s="78">
        <f>Input!$AB$199*(BU206&gt;0)+MIN(Input!$AB$199-BU241,MAX(BU86+BU95,0))*AND(BU205*1,SUM($S$258:BU258)=0)</f>
        <v>0</v>
      </c>
      <c r="BV242" s="78">
        <f>Input!$AB$199*(BV206&gt;0)+MIN(Input!$AB$199-BV241,MAX(BV86+BV95,0))*AND(BV205*1,SUM($S$258:BV258)=0)</f>
        <v>0</v>
      </c>
      <c r="BW242" s="78">
        <f>Input!$AB$199*(BW206&gt;0)+MIN(Input!$AB$199-BW241,MAX(BW86+BW95,0))*AND(BW205*1,SUM($S$258:BW258)=0)</f>
        <v>0</v>
      </c>
      <c r="BX242" s="78">
        <f>Input!$AB$199*(BX206&gt;0)+MIN(Input!$AB$199-BX241,MAX(BX86+BX95,0))*AND(BX205*1,SUM($S$258:BX258)=0)</f>
        <v>0</v>
      </c>
      <c r="BY242" s="78">
        <f>Input!$AB$199*(BY206&gt;0)+MIN(Input!$AB$199-BY241,MAX(BY86+BY95,0))*AND(BY205*1,SUM($S$258:BY258)=0)</f>
        <v>0</v>
      </c>
      <c r="BZ242" s="78">
        <f>Input!$AB$199*(BZ206&gt;0)+MIN(Input!$AB$199-BZ241,MAX(BZ86+BZ95,0))*AND(BZ205*1,SUM($S$258:BZ258)=0)</f>
        <v>0</v>
      </c>
      <c r="CA242" s="78">
        <f>Input!$AB$199*(CA206&gt;0)+MIN(Input!$AB$199-CA241,MAX(CA86+CA95,0))*AND(CA205*1,SUM($S$258:CA258)=0)</f>
        <v>0</v>
      </c>
      <c r="CB242" s="78">
        <f>Input!$AB$199*(CB206&gt;0)+MIN(Input!$AB$199-CB241,MAX(CB86+CB95,0))*AND(CB205*1,SUM($S$258:CB258)=0)</f>
        <v>0</v>
      </c>
      <c r="CC242" s="78">
        <f>Input!$AB$199*(CC206&gt;0)+MIN(Input!$AB$199-CC241,MAX(CC86+CC95,0))*AND(CC205*1,SUM($S$258:CC258)=0)</f>
        <v>0</v>
      </c>
      <c r="CD242" s="78">
        <f>Input!$AB$199*(CD206&gt;0)+MIN(Input!$AB$199-CD241,MAX(CD86+CD95,0))*AND(CD205*1,SUM($S$258:CD258)=0)</f>
        <v>0</v>
      </c>
      <c r="CE242" s="78">
        <f>Input!$AB$199*(CE206&gt;0)+MIN(Input!$AB$199-CE241,MAX(CE86+CE95,0))*AND(CE205*1,SUM($S$258:CE258)=0)</f>
        <v>0</v>
      </c>
      <c r="CF242" s="78">
        <f>Input!$AB$199*(CF206&gt;0)+MIN(Input!$AB$199-CF241,MAX(CF86+CF95,0))*AND(CF205*1,SUM($S$258:CF258)=0)</f>
        <v>0</v>
      </c>
      <c r="CG242" s="78">
        <f>Input!$AB$199*(CG206&gt;0)+MIN(Input!$AB$199-CG241,MAX(CG86+CG95,0))*AND(CG205*1,SUM($S$258:CG258)=0)</f>
        <v>0</v>
      </c>
      <c r="CH242" s="78">
        <f>Input!$AB$199*(CH206&gt;0)+MIN(Input!$AB$199-CH241,MAX(CH86+CH95,0))*AND(CH205*1,SUM($S$258:CH258)=0)</f>
        <v>0</v>
      </c>
      <c r="CI242" s="78">
        <f>Input!$AB$199*(CI206&gt;0)+MIN(Input!$AB$199-CI241,MAX(CI86+CI95,0))*AND(CI205*1,SUM($S$258:CI258)=0)</f>
        <v>0</v>
      </c>
      <c r="CJ242" s="78">
        <f>Input!$AB$199*(CJ206&gt;0)+MIN(Input!$AB$199-CJ241,MAX(CJ86+CJ95,0))*AND(CJ205*1,SUM($S$258:CJ258)=0)</f>
        <v>0</v>
      </c>
      <c r="CK242" s="78">
        <f>Input!$AB$199*(CK206&gt;0)+MIN(Input!$AB$199-CK241,MAX(CK86+CK95,0))*AND(CK205*1,SUM($S$258:CK258)=0)</f>
        <v>0</v>
      </c>
      <c r="CL242" s="78">
        <f>Input!$AB$199*(CL206&gt;0)+MIN(Input!$AB$199-CL241,MAX(CL86+CL95,0))*AND(CL205*1,SUM($S$258:CL258)=0)</f>
        <v>0</v>
      </c>
      <c r="CM242" s="78">
        <f>Input!$AB$199*(CM206&gt;0)+MIN(Input!$AB$199-CM241,MAX(CM86+CM95,0))*AND(CM205*1,SUM($S$258:CM258)=0)</f>
        <v>0</v>
      </c>
      <c r="CN242" s="78">
        <f>Input!$AB$199*(CN206&gt;0)+MIN(Input!$AB$199-CN241,MAX(CN86+CN95,0))*AND(CN205*1,SUM($S$258:CN258)=0)</f>
        <v>0</v>
      </c>
      <c r="CO242" s="78">
        <f>Input!$AB$199*(CO206&gt;0)+MIN(Input!$AB$199-CO241,MAX(CO86+CO95,0))*AND(CO205*1,SUM($S$258:CO258)=0)</f>
        <v>0</v>
      </c>
      <c r="CP242" s="78">
        <f>Input!$AB$199*(CP206&gt;0)+MIN(Input!$AB$199-CP241,MAX(CP86+CP95,0))*AND(CP205*1,SUM($S$258:CP258)=0)</f>
        <v>0</v>
      </c>
      <c r="CQ242" s="78">
        <f>Input!$AB$199*(CQ206&gt;0)+MIN(Input!$AB$199-CQ241,MAX(CQ86+CQ95,0))*AND(CQ205*1,SUM($S$258:CQ258)=0)</f>
        <v>0</v>
      </c>
      <c r="CR242" s="78">
        <f>Input!$AB$199*(CR206&gt;0)+MIN(Input!$AB$199-CR241,MAX(CR86+CR95,0))*AND(CR205*1,SUM($S$258:CR258)=0)</f>
        <v>0</v>
      </c>
      <c r="CS242" s="78">
        <f>Input!$AB$199*(CS206&gt;0)+MIN(Input!$AB$199-CS241,MAX(CS86+CS95,0))*AND(CS205*1,SUM($S$258:CS258)=0)</f>
        <v>0</v>
      </c>
      <c r="CT242" s="78">
        <f>Input!$AB$199*(CT206&gt;0)+MIN(Input!$AB$199-CT241,MAX(CT86+CT95,0))*AND(CT205*1,SUM($S$258:CT258)=0)</f>
        <v>0</v>
      </c>
      <c r="CU242" s="78">
        <f>Input!$AB$199*(CU206&gt;0)+MIN(Input!$AB$199-CU241,MAX(CU86+CU95,0))*AND(CU205*1,SUM($S$258:CU258)=0)</f>
        <v>0</v>
      </c>
      <c r="CV242" s="78">
        <f>Input!$AB$199*(CV206&gt;0)+MIN(Input!$AB$199-CV241,MAX(CV86+CV95,0))*AND(CV205*1,SUM($S$258:CV258)=0)</f>
        <v>0</v>
      </c>
      <c r="CW242" s="78">
        <f>Input!$AB$199*(CW206&gt;0)+MIN(Input!$AB$199-CW241,MAX(CW86+CW95,0))*AND(CW205*1,SUM($S$258:CW258)=0)</f>
        <v>0</v>
      </c>
      <c r="CX242" s="78">
        <f>Input!$AB$199*(CX206&gt;0)+MIN(Input!$AB$199-CX241,MAX(CX86+CX95,0))*AND(CX205*1,SUM($S$258:CX258)=0)</f>
        <v>0</v>
      </c>
      <c r="CY242" s="78">
        <f>Input!$AB$199*(CY206&gt;0)+MIN(Input!$AB$199-CY241,MAX(CY86+CY95,0))*AND(CY205*1,SUM($S$258:CY258)=0)</f>
        <v>0</v>
      </c>
      <c r="CZ242" s="78">
        <f>Input!$AB$199*(CZ206&gt;0)+MIN(Input!$AB$199-CZ241,MAX(CZ86+CZ95,0))*AND(CZ205*1,SUM($S$258:CZ258)=0)</f>
        <v>0</v>
      </c>
      <c r="DA242" s="78">
        <f>Input!$AB$199*(DA206&gt;0)+MIN(Input!$AB$199-DA241,MAX(DA86+DA95,0))*AND(DA205*1,SUM($S$258:DA258)=0)</f>
        <v>0</v>
      </c>
      <c r="DB242" s="78">
        <f>Input!$AB$199*(DB206&gt;0)+MIN(Input!$AB$199-DB241,MAX(DB86+DB95,0))*AND(DB205*1,SUM($S$258:DB258)=0)</f>
        <v>0</v>
      </c>
      <c r="DC242" s="78">
        <f>Input!$AB$199*(DC206&gt;0)+MIN(Input!$AB$199-DC241,MAX(DC86+DC95,0))*AND(DC205*1,SUM($S$258:DC258)=0)</f>
        <v>0</v>
      </c>
      <c r="DD242" s="78">
        <f>Input!$AB$199*(DD206&gt;0)+MIN(Input!$AB$199-DD241,MAX(DD86+DD95,0))*AND(DD205*1,SUM($S$258:DD258)=0)</f>
        <v>0</v>
      </c>
      <c r="DE242" s="78">
        <f>Input!$AB$199*(DE206&gt;0)+MIN(Input!$AB$199-DE241,MAX(DE86+DE95,0))*AND(DE205*1,SUM($S$258:DE258)=0)</f>
        <v>0</v>
      </c>
      <c r="DF242" s="78">
        <f>Input!$AB$199*(DF206&gt;0)+MIN(Input!$AB$199-DF241,MAX(DF86+DF95,0))*AND(DF205*1,SUM($S$258:DF258)=0)</f>
        <v>0</v>
      </c>
      <c r="DG242" s="78">
        <f>Input!$AB$199*(DG206&gt;0)+MIN(Input!$AB$199-DG241,MAX(DG86+DG95,0))*AND(DG205*1,SUM($S$258:DG258)=0)</f>
        <v>0</v>
      </c>
      <c r="DH242" s="78">
        <f>Input!$AB$199*(DH206&gt;0)+MIN(Input!$AB$199-DH241,MAX(DH86+DH95,0))*AND(DH205*1,SUM($S$258:DH258)=0)</f>
        <v>0</v>
      </c>
      <c r="DI242" s="78">
        <f>Input!$AB$199*(DI206&gt;0)+MIN(Input!$AB$199-DI241,MAX(DI86+DI95,0))*AND(DI205*1,SUM($S$258:DI258)=0)</f>
        <v>0</v>
      </c>
      <c r="DJ242" s="78">
        <f>Input!$AB$199*(DJ206&gt;0)+MIN(Input!$AB$199-DJ241,MAX(DJ86+DJ95,0))*AND(DJ205*1,SUM($S$258:DJ258)=0)</f>
        <v>0</v>
      </c>
      <c r="DK242" s="78">
        <f>Input!$AB$199*(DK206&gt;0)+MIN(Input!$AB$199-DK241,MAX(DK86+DK95,0))*AND(DK205*1,SUM($S$258:DK258)=0)</f>
        <v>0</v>
      </c>
      <c r="DL242" s="78">
        <f>Input!$AB$199*(DL206&gt;0)+MIN(Input!$AB$199-DL241,MAX(DL86+DL95,0))*AND(DL205*1,SUM($S$258:DL258)=0)</f>
        <v>0</v>
      </c>
      <c r="DM242" s="78">
        <f>Input!$AB$199*(DM206&gt;0)+MIN(Input!$AB$199-DM241,MAX(DM86+DM95,0))*AND(DM205*1,SUM($S$258:DM258)=0)</f>
        <v>0</v>
      </c>
      <c r="DN242" s="78">
        <f>Input!$AB$199*(DN206&gt;0)+MIN(Input!$AB$199-DN241,MAX(DN86+DN95,0))*AND(DN205*1,SUM($S$258:DN258)=0)</f>
        <v>0</v>
      </c>
      <c r="DO242" s="78">
        <f>Input!$AB$199*(DO206&gt;0)+MIN(Input!$AB$199-DO241,MAX(DO86+DO95,0))*AND(DO205*1,SUM($S$258:DO258)=0)</f>
        <v>0</v>
      </c>
      <c r="DP242" s="78">
        <f>Input!$AB$199*(DP206&gt;0)+MIN(Input!$AB$199-DP241,MAX(DP86+DP95,0))*AND(DP205*1,SUM($S$258:DP258)=0)</f>
        <v>0</v>
      </c>
      <c r="DQ242" s="78">
        <f>Input!$AB$199*(DQ206&gt;0)+MIN(Input!$AB$199-DQ241,MAX(DQ86+DQ95,0))*AND(DQ205*1,SUM($S$258:DQ258)=0)</f>
        <v>0</v>
      </c>
      <c r="DR242" s="78">
        <f>Input!$AB$199*(DR206&gt;0)+MIN(Input!$AB$199-DR241,MAX(DR86+DR95,0))*AND(DR205*1,SUM($S$258:DR258)=0)</f>
        <v>0</v>
      </c>
      <c r="DS242" s="78">
        <f>Input!$AB$199*(DS206&gt;0)+MIN(Input!$AB$199-DS241,MAX(DS86+DS95,0))*AND(DS205*1,SUM($S$258:DS258)=0)</f>
        <v>0</v>
      </c>
      <c r="DT242" s="78">
        <f>Input!$AB$199*(DT206&gt;0)+MIN(Input!$AB$199-DT241,MAX(DT86+DT95,0))*AND(DT205*1,SUM($S$258:DT258)=0)</f>
        <v>0</v>
      </c>
      <c r="DU242" s="78">
        <f>Input!$AB$199*(DU206&gt;0)+MIN(Input!$AB$199-DU241,MAX(DU86+DU95,0))*AND(DU205*1,SUM($S$258:DU258)=0)</f>
        <v>0</v>
      </c>
      <c r="DV242" s="78">
        <f>Input!$AB$199*(DV206&gt;0)+MIN(Input!$AB$199-DV241,MAX(DV86+DV95,0))*AND(DV205*1,SUM($S$258:DV258)=0)</f>
        <v>0</v>
      </c>
      <c r="DW242" s="78">
        <f>Input!$AB$199*(DW206&gt;0)+MIN(Input!$AB$199-DW241,MAX(DW86+DW95,0))*AND(DW205*1,SUM($S$258:DW258)=0)</f>
        <v>0</v>
      </c>
      <c r="DX242" s="78">
        <f>Input!$AB$199*(DX206&gt;0)+MIN(Input!$AB$199-DX241,MAX(DX86+DX95,0))*AND(DX205*1,SUM($S$258:DX258)=0)</f>
        <v>0</v>
      </c>
      <c r="DY242" s="78">
        <f>Input!$AB$199*(DY206&gt;0)+MIN(Input!$AB$199-DY241,MAX(DY86+DY95,0))*AND(DY205*1,SUM($S$258:DY258)=0)</f>
        <v>0</v>
      </c>
      <c r="DZ242" s="78">
        <f>Input!$AB$199*(DZ206&gt;0)+MIN(Input!$AB$199-DZ241,MAX(DZ86+DZ95,0))*AND(DZ205*1,SUM($S$258:DZ258)=0)</f>
        <v>0</v>
      </c>
      <c r="EA242" s="78">
        <f>Input!$AB$199*(EA206&gt;0)+MIN(Input!$AB$199-EA241,MAX(EA86+EA95,0))*AND(EA205*1,SUM($S$258:EA258)=0)</f>
        <v>0</v>
      </c>
      <c r="EB242" s="78">
        <f>Input!$AB$199*(EB206&gt;0)+MIN(Input!$AB$199-EB241,MAX(EB86+EB95,0))*AND(EB205*1,SUM($S$258:EB258)=0)</f>
        <v>0</v>
      </c>
      <c r="EC242" s="78">
        <f>Input!$AB$199*(EC206&gt;0)+MIN(Input!$AB$199-EC241,MAX(EC86+EC95,0))*AND(EC205*1,SUM($S$258:EC258)=0)</f>
        <v>0</v>
      </c>
      <c r="ED242" s="78">
        <f>Input!$AB$199*(ED206&gt;0)+MIN(Input!$AB$199-ED241,MAX(ED86+ED95,0))*AND(ED205*1,SUM($S$258:ED258)=0)</f>
        <v>0</v>
      </c>
      <c r="EE242" s="78">
        <f>Input!$AB$199*(EE206&gt;0)+MIN(Input!$AB$199-EE241,MAX(EE86+EE95,0))*AND(EE205*1,SUM($S$258:EE258)=0)</f>
        <v>0</v>
      </c>
      <c r="EF242" s="78">
        <f>Input!$AB$199*(EF206&gt;0)+MIN(Input!$AB$199-EF241,MAX(EF86+EF95,0))*AND(EF205*1,SUM($S$258:EF258)=0)</f>
        <v>0</v>
      </c>
      <c r="EG242" s="78">
        <f>Input!$AB$199*(EG206&gt;0)+MIN(Input!$AB$199-EG241,MAX(EG86+EG95,0))*AND(EG205*1,SUM($S$258:EG258)=0)</f>
        <v>0</v>
      </c>
      <c r="EH242" s="78">
        <f>Input!$AB$199*(EH206&gt;0)+MIN(Input!$AB$199-EH241,MAX(EH86+EH95,0))*AND(EH205*1,SUM($S$258:EH258)=0)</f>
        <v>0</v>
      </c>
      <c r="EI242" s="78">
        <f>Input!$AB$199*(EI206&gt;0)+MIN(Input!$AB$199-EI241,MAX(EI86+EI95,0))*AND(EI205*1,SUM($S$258:EI258)=0)</f>
        <v>0</v>
      </c>
    </row>
    <row r="243" spans="2:139" ht="12.75" customHeight="1">
      <c r="B243" s="41" t="s">
        <v>607</v>
      </c>
      <c r="C243" s="211"/>
      <c r="D243" s="78"/>
      <c r="E243" s="78">
        <f t="shared" ref="E243:O243" si="436">SUBTOTAL(9,E244:E245)</f>
        <v>0</v>
      </c>
      <c r="F243" s="78">
        <f t="shared" si="436"/>
        <v>0</v>
      </c>
      <c r="G243" s="78">
        <f t="shared" si="436"/>
        <v>0</v>
      </c>
      <c r="H243" s="78">
        <f t="shared" si="436"/>
        <v>0</v>
      </c>
      <c r="I243" s="78">
        <f t="shared" si="436"/>
        <v>0</v>
      </c>
      <c r="J243" s="78">
        <f t="shared" si="436"/>
        <v>0</v>
      </c>
      <c r="K243" s="78">
        <f t="shared" si="436"/>
        <v>0</v>
      </c>
      <c r="L243" s="78">
        <f t="shared" si="436"/>
        <v>0</v>
      </c>
      <c r="M243" s="78">
        <f t="shared" si="436"/>
        <v>0</v>
      </c>
      <c r="N243" s="78">
        <f t="shared" si="436"/>
        <v>0</v>
      </c>
      <c r="O243" s="145">
        <f t="shared" si="436"/>
        <v>0</v>
      </c>
      <c r="S243" s="78"/>
      <c r="T243" s="78">
        <f t="shared" ref="T243:AY243" si="437">SUBTOTAL(9,T244:T245)</f>
        <v>0</v>
      </c>
      <c r="U243" s="78">
        <f t="shared" si="437"/>
        <v>0</v>
      </c>
      <c r="V243" s="78">
        <f t="shared" si="437"/>
        <v>0</v>
      </c>
      <c r="W243" s="78">
        <f t="shared" si="437"/>
        <v>0</v>
      </c>
      <c r="X243" s="78">
        <f t="shared" si="437"/>
        <v>0</v>
      </c>
      <c r="Y243" s="78">
        <f t="shared" si="437"/>
        <v>0</v>
      </c>
      <c r="Z243" s="78">
        <f t="shared" si="437"/>
        <v>0</v>
      </c>
      <c r="AA243" s="78">
        <f t="shared" si="437"/>
        <v>0</v>
      </c>
      <c r="AB243" s="78">
        <f t="shared" si="437"/>
        <v>0</v>
      </c>
      <c r="AC243" s="78">
        <f t="shared" si="437"/>
        <v>0</v>
      </c>
      <c r="AD243" s="78">
        <f t="shared" si="437"/>
        <v>0</v>
      </c>
      <c r="AE243" s="78">
        <f t="shared" si="437"/>
        <v>0</v>
      </c>
      <c r="AF243" s="78">
        <f t="shared" si="437"/>
        <v>0</v>
      </c>
      <c r="AG243" s="78">
        <f t="shared" si="437"/>
        <v>0</v>
      </c>
      <c r="AH243" s="78">
        <f t="shared" si="437"/>
        <v>0</v>
      </c>
      <c r="AI243" s="78">
        <f t="shared" si="437"/>
        <v>0</v>
      </c>
      <c r="AJ243" s="78">
        <f t="shared" si="437"/>
        <v>0</v>
      </c>
      <c r="AK243" s="78">
        <f t="shared" si="437"/>
        <v>0</v>
      </c>
      <c r="AL243" s="78">
        <f t="shared" si="437"/>
        <v>0</v>
      </c>
      <c r="AM243" s="78">
        <f t="shared" si="437"/>
        <v>0</v>
      </c>
      <c r="AN243" s="78">
        <f t="shared" si="437"/>
        <v>0</v>
      </c>
      <c r="AO243" s="78">
        <f t="shared" si="437"/>
        <v>0</v>
      </c>
      <c r="AP243" s="78">
        <f t="shared" si="437"/>
        <v>0</v>
      </c>
      <c r="AQ243" s="78">
        <f t="shared" si="437"/>
        <v>0</v>
      </c>
      <c r="AR243" s="78">
        <f t="shared" si="437"/>
        <v>0</v>
      </c>
      <c r="AS243" s="78">
        <f t="shared" si="437"/>
        <v>0</v>
      </c>
      <c r="AT243" s="78">
        <f t="shared" si="437"/>
        <v>0</v>
      </c>
      <c r="AU243" s="78">
        <f t="shared" si="437"/>
        <v>0</v>
      </c>
      <c r="AV243" s="78">
        <f t="shared" si="437"/>
        <v>0</v>
      </c>
      <c r="AW243" s="78">
        <f t="shared" si="437"/>
        <v>0</v>
      </c>
      <c r="AX243" s="78">
        <f t="shared" si="437"/>
        <v>0</v>
      </c>
      <c r="AY243" s="78">
        <f t="shared" si="437"/>
        <v>0</v>
      </c>
      <c r="AZ243" s="78">
        <f t="shared" ref="AZ243:CE243" si="438">SUBTOTAL(9,AZ244:AZ245)</f>
        <v>0</v>
      </c>
      <c r="BA243" s="78">
        <f t="shared" si="438"/>
        <v>0</v>
      </c>
      <c r="BB243" s="78">
        <f t="shared" si="438"/>
        <v>0</v>
      </c>
      <c r="BC243" s="78">
        <f t="shared" si="438"/>
        <v>0</v>
      </c>
      <c r="BD243" s="78">
        <f t="shared" si="438"/>
        <v>0</v>
      </c>
      <c r="BE243" s="78">
        <f t="shared" si="438"/>
        <v>0</v>
      </c>
      <c r="BF243" s="78">
        <f t="shared" si="438"/>
        <v>0</v>
      </c>
      <c r="BG243" s="78">
        <f t="shared" si="438"/>
        <v>0</v>
      </c>
      <c r="BH243" s="78">
        <f t="shared" si="438"/>
        <v>0</v>
      </c>
      <c r="BI243" s="78">
        <f t="shared" si="438"/>
        <v>0</v>
      </c>
      <c r="BJ243" s="78">
        <f t="shared" si="438"/>
        <v>0</v>
      </c>
      <c r="BK243" s="78">
        <f t="shared" si="438"/>
        <v>0</v>
      </c>
      <c r="BL243" s="78">
        <f t="shared" si="438"/>
        <v>0</v>
      </c>
      <c r="BM243" s="78">
        <f t="shared" si="438"/>
        <v>0</v>
      </c>
      <c r="BN243" s="78">
        <f t="shared" si="438"/>
        <v>0</v>
      </c>
      <c r="BO243" s="78">
        <f t="shared" si="438"/>
        <v>0</v>
      </c>
      <c r="BP243" s="78">
        <f t="shared" si="438"/>
        <v>0</v>
      </c>
      <c r="BQ243" s="78">
        <f t="shared" si="438"/>
        <v>0</v>
      </c>
      <c r="BR243" s="78">
        <f t="shared" si="438"/>
        <v>0</v>
      </c>
      <c r="BS243" s="78">
        <f t="shared" si="438"/>
        <v>0</v>
      </c>
      <c r="BT243" s="78">
        <f t="shared" si="438"/>
        <v>0</v>
      </c>
      <c r="BU243" s="78">
        <f t="shared" si="438"/>
        <v>0</v>
      </c>
      <c r="BV243" s="78">
        <f t="shared" si="438"/>
        <v>0</v>
      </c>
      <c r="BW243" s="78">
        <f t="shared" si="438"/>
        <v>0</v>
      </c>
      <c r="BX243" s="78">
        <f t="shared" si="438"/>
        <v>0</v>
      </c>
      <c r="BY243" s="78">
        <f t="shared" si="438"/>
        <v>0</v>
      </c>
      <c r="BZ243" s="78">
        <f t="shared" si="438"/>
        <v>0</v>
      </c>
      <c r="CA243" s="78">
        <f t="shared" si="438"/>
        <v>0</v>
      </c>
      <c r="CB243" s="78">
        <f t="shared" si="438"/>
        <v>0</v>
      </c>
      <c r="CC243" s="78">
        <f t="shared" si="438"/>
        <v>0</v>
      </c>
      <c r="CD243" s="78">
        <f t="shared" si="438"/>
        <v>0</v>
      </c>
      <c r="CE243" s="78">
        <f t="shared" si="438"/>
        <v>0</v>
      </c>
      <c r="CF243" s="78">
        <f t="shared" ref="CF243:DK243" si="439">SUBTOTAL(9,CF244:CF245)</f>
        <v>0</v>
      </c>
      <c r="CG243" s="78">
        <f t="shared" si="439"/>
        <v>0</v>
      </c>
      <c r="CH243" s="78">
        <f t="shared" si="439"/>
        <v>0</v>
      </c>
      <c r="CI243" s="78">
        <f t="shared" si="439"/>
        <v>0</v>
      </c>
      <c r="CJ243" s="78">
        <f t="shared" si="439"/>
        <v>0</v>
      </c>
      <c r="CK243" s="78">
        <f t="shared" si="439"/>
        <v>0</v>
      </c>
      <c r="CL243" s="78">
        <f t="shared" si="439"/>
        <v>0</v>
      </c>
      <c r="CM243" s="78">
        <f t="shared" si="439"/>
        <v>0</v>
      </c>
      <c r="CN243" s="78">
        <f t="shared" si="439"/>
        <v>0</v>
      </c>
      <c r="CO243" s="78">
        <f t="shared" si="439"/>
        <v>0</v>
      </c>
      <c r="CP243" s="78">
        <f t="shared" si="439"/>
        <v>0</v>
      </c>
      <c r="CQ243" s="78">
        <f t="shared" si="439"/>
        <v>0</v>
      </c>
      <c r="CR243" s="78">
        <f t="shared" si="439"/>
        <v>0</v>
      </c>
      <c r="CS243" s="78">
        <f t="shared" si="439"/>
        <v>0</v>
      </c>
      <c r="CT243" s="78">
        <f t="shared" si="439"/>
        <v>0</v>
      </c>
      <c r="CU243" s="78">
        <f t="shared" si="439"/>
        <v>0</v>
      </c>
      <c r="CV243" s="78">
        <f t="shared" si="439"/>
        <v>0</v>
      </c>
      <c r="CW243" s="78">
        <f t="shared" si="439"/>
        <v>0</v>
      </c>
      <c r="CX243" s="78">
        <f t="shared" si="439"/>
        <v>0</v>
      </c>
      <c r="CY243" s="78">
        <f t="shared" si="439"/>
        <v>0</v>
      </c>
      <c r="CZ243" s="78">
        <f t="shared" si="439"/>
        <v>0</v>
      </c>
      <c r="DA243" s="78">
        <f t="shared" si="439"/>
        <v>0</v>
      </c>
      <c r="DB243" s="78">
        <f t="shared" si="439"/>
        <v>0</v>
      </c>
      <c r="DC243" s="78">
        <f t="shared" si="439"/>
        <v>0</v>
      </c>
      <c r="DD243" s="78">
        <f t="shared" si="439"/>
        <v>0</v>
      </c>
      <c r="DE243" s="78">
        <f t="shared" si="439"/>
        <v>0</v>
      </c>
      <c r="DF243" s="78">
        <f t="shared" si="439"/>
        <v>0</v>
      </c>
      <c r="DG243" s="78">
        <f t="shared" si="439"/>
        <v>0</v>
      </c>
      <c r="DH243" s="78">
        <f t="shared" si="439"/>
        <v>0</v>
      </c>
      <c r="DI243" s="78">
        <f t="shared" si="439"/>
        <v>0</v>
      </c>
      <c r="DJ243" s="78">
        <f t="shared" si="439"/>
        <v>0</v>
      </c>
      <c r="DK243" s="78">
        <f t="shared" si="439"/>
        <v>0</v>
      </c>
      <c r="DL243" s="78">
        <f t="shared" ref="DL243:EQ243" si="440">SUBTOTAL(9,DL244:DL245)</f>
        <v>0</v>
      </c>
      <c r="DM243" s="78">
        <f t="shared" si="440"/>
        <v>0</v>
      </c>
      <c r="DN243" s="78">
        <f t="shared" si="440"/>
        <v>0</v>
      </c>
      <c r="DO243" s="78">
        <f t="shared" si="440"/>
        <v>0</v>
      </c>
      <c r="DP243" s="78">
        <f t="shared" si="440"/>
        <v>0</v>
      </c>
      <c r="DQ243" s="78">
        <f t="shared" si="440"/>
        <v>0</v>
      </c>
      <c r="DR243" s="78">
        <f t="shared" si="440"/>
        <v>0</v>
      </c>
      <c r="DS243" s="78">
        <f t="shared" si="440"/>
        <v>0</v>
      </c>
      <c r="DT243" s="78">
        <f t="shared" si="440"/>
        <v>0</v>
      </c>
      <c r="DU243" s="78">
        <f t="shared" si="440"/>
        <v>0</v>
      </c>
      <c r="DV243" s="78">
        <f t="shared" si="440"/>
        <v>0</v>
      </c>
      <c r="DW243" s="78">
        <f t="shared" si="440"/>
        <v>0</v>
      </c>
      <c r="DX243" s="78">
        <f t="shared" si="440"/>
        <v>0</v>
      </c>
      <c r="DY243" s="78">
        <f t="shared" si="440"/>
        <v>0</v>
      </c>
      <c r="DZ243" s="78">
        <f t="shared" si="440"/>
        <v>0</v>
      </c>
      <c r="EA243" s="78">
        <f t="shared" si="440"/>
        <v>0</v>
      </c>
      <c r="EB243" s="78">
        <f t="shared" si="440"/>
        <v>0</v>
      </c>
      <c r="EC243" s="78">
        <f t="shared" si="440"/>
        <v>0</v>
      </c>
      <c r="ED243" s="78">
        <f t="shared" si="440"/>
        <v>0</v>
      </c>
      <c r="EE243" s="78">
        <f t="shared" si="440"/>
        <v>0</v>
      </c>
      <c r="EF243" s="78">
        <f t="shared" si="440"/>
        <v>0</v>
      </c>
      <c r="EG243" s="78">
        <f t="shared" si="440"/>
        <v>0</v>
      </c>
      <c r="EH243" s="78">
        <f t="shared" si="440"/>
        <v>0</v>
      </c>
      <c r="EI243" s="78">
        <f t="shared" si="440"/>
        <v>0</v>
      </c>
    </row>
    <row r="244" spans="2:139" ht="12.75" customHeight="1">
      <c r="B244" s="79" t="s">
        <v>609</v>
      </c>
      <c r="C244" s="211"/>
      <c r="D244" s="78"/>
      <c r="E244" s="78">
        <f t="shared" ref="E244:N246" si="441">SUMIF($S$6:$EI$6,E$5,$S244:$EI244)</f>
        <v>0</v>
      </c>
      <c r="F244" s="78">
        <f t="shared" si="441"/>
        <v>0</v>
      </c>
      <c r="G244" s="78">
        <f t="shared" si="441"/>
        <v>0</v>
      </c>
      <c r="H244" s="78">
        <f t="shared" si="441"/>
        <v>0</v>
      </c>
      <c r="I244" s="78">
        <f t="shared" si="441"/>
        <v>0</v>
      </c>
      <c r="J244" s="78">
        <f t="shared" si="441"/>
        <v>0</v>
      </c>
      <c r="K244" s="78">
        <f t="shared" si="441"/>
        <v>0</v>
      </c>
      <c r="L244" s="78">
        <f t="shared" si="441"/>
        <v>0</v>
      </c>
      <c r="M244" s="78">
        <f t="shared" si="441"/>
        <v>0</v>
      </c>
      <c r="N244" s="78">
        <f t="shared" si="441"/>
        <v>0</v>
      </c>
      <c r="O244" s="145">
        <f>SUM(D244:N244)</f>
        <v>0</v>
      </c>
      <c r="S244" s="78"/>
      <c r="T244" s="78">
        <f t="shared" ref="T244:AY244" si="442">MAX(MIN(T62-T222,),-SUM(T241:T242))</f>
        <v>0</v>
      </c>
      <c r="U244" s="78">
        <f t="shared" si="442"/>
        <v>0</v>
      </c>
      <c r="V244" s="78">
        <f t="shared" si="442"/>
        <v>0</v>
      </c>
      <c r="W244" s="78">
        <f t="shared" si="442"/>
        <v>0</v>
      </c>
      <c r="X244" s="78">
        <f t="shared" si="442"/>
        <v>0</v>
      </c>
      <c r="Y244" s="78">
        <f t="shared" si="442"/>
        <v>0</v>
      </c>
      <c r="Z244" s="78">
        <f t="shared" si="442"/>
        <v>0</v>
      </c>
      <c r="AA244" s="78">
        <f t="shared" si="442"/>
        <v>0</v>
      </c>
      <c r="AB244" s="78">
        <f t="shared" si="442"/>
        <v>0</v>
      </c>
      <c r="AC244" s="78">
        <f t="shared" si="442"/>
        <v>0</v>
      </c>
      <c r="AD244" s="78">
        <f t="shared" si="442"/>
        <v>0</v>
      </c>
      <c r="AE244" s="78">
        <f t="shared" si="442"/>
        <v>0</v>
      </c>
      <c r="AF244" s="78">
        <f t="shared" si="442"/>
        <v>0</v>
      </c>
      <c r="AG244" s="78">
        <f t="shared" si="442"/>
        <v>0</v>
      </c>
      <c r="AH244" s="78">
        <f t="shared" si="442"/>
        <v>0</v>
      </c>
      <c r="AI244" s="78">
        <f t="shared" si="442"/>
        <v>0</v>
      </c>
      <c r="AJ244" s="78">
        <f t="shared" si="442"/>
        <v>0</v>
      </c>
      <c r="AK244" s="78">
        <f t="shared" si="442"/>
        <v>0</v>
      </c>
      <c r="AL244" s="78">
        <f t="shared" si="442"/>
        <v>0</v>
      </c>
      <c r="AM244" s="78">
        <f t="shared" si="442"/>
        <v>0</v>
      </c>
      <c r="AN244" s="78">
        <f t="shared" si="442"/>
        <v>0</v>
      </c>
      <c r="AO244" s="78">
        <f t="shared" si="442"/>
        <v>0</v>
      </c>
      <c r="AP244" s="78">
        <f t="shared" si="442"/>
        <v>0</v>
      </c>
      <c r="AQ244" s="78">
        <f t="shared" si="442"/>
        <v>0</v>
      </c>
      <c r="AR244" s="78">
        <f t="shared" si="442"/>
        <v>0</v>
      </c>
      <c r="AS244" s="78">
        <f t="shared" si="442"/>
        <v>0</v>
      </c>
      <c r="AT244" s="78">
        <f t="shared" si="442"/>
        <v>0</v>
      </c>
      <c r="AU244" s="78">
        <f t="shared" si="442"/>
        <v>0</v>
      </c>
      <c r="AV244" s="78">
        <f t="shared" si="442"/>
        <v>0</v>
      </c>
      <c r="AW244" s="78">
        <f t="shared" si="442"/>
        <v>0</v>
      </c>
      <c r="AX244" s="78">
        <f t="shared" si="442"/>
        <v>0</v>
      </c>
      <c r="AY244" s="78">
        <f t="shared" si="442"/>
        <v>0</v>
      </c>
      <c r="AZ244" s="78">
        <f t="shared" ref="AZ244:CE244" si="443">MAX(MIN(AZ62-AZ222,),-SUM(AZ241:AZ242))</f>
        <v>0</v>
      </c>
      <c r="BA244" s="78">
        <f t="shared" si="443"/>
        <v>0</v>
      </c>
      <c r="BB244" s="78">
        <f t="shared" si="443"/>
        <v>0</v>
      </c>
      <c r="BC244" s="78">
        <f t="shared" si="443"/>
        <v>0</v>
      </c>
      <c r="BD244" s="78">
        <f t="shared" si="443"/>
        <v>0</v>
      </c>
      <c r="BE244" s="78">
        <f t="shared" si="443"/>
        <v>0</v>
      </c>
      <c r="BF244" s="78">
        <f t="shared" si="443"/>
        <v>0</v>
      </c>
      <c r="BG244" s="78">
        <f t="shared" si="443"/>
        <v>0</v>
      </c>
      <c r="BH244" s="78">
        <f t="shared" si="443"/>
        <v>0</v>
      </c>
      <c r="BI244" s="78">
        <f t="shared" si="443"/>
        <v>0</v>
      </c>
      <c r="BJ244" s="78">
        <f t="shared" si="443"/>
        <v>0</v>
      </c>
      <c r="BK244" s="78">
        <f t="shared" si="443"/>
        <v>0</v>
      </c>
      <c r="BL244" s="78">
        <f t="shared" si="443"/>
        <v>0</v>
      </c>
      <c r="BM244" s="78">
        <f t="shared" si="443"/>
        <v>0</v>
      </c>
      <c r="BN244" s="78">
        <f t="shared" si="443"/>
        <v>0</v>
      </c>
      <c r="BO244" s="78">
        <f t="shared" si="443"/>
        <v>0</v>
      </c>
      <c r="BP244" s="78">
        <f t="shared" si="443"/>
        <v>0</v>
      </c>
      <c r="BQ244" s="78">
        <f t="shared" si="443"/>
        <v>0</v>
      </c>
      <c r="BR244" s="78">
        <f t="shared" si="443"/>
        <v>0</v>
      </c>
      <c r="BS244" s="78">
        <f t="shared" si="443"/>
        <v>0</v>
      </c>
      <c r="BT244" s="78">
        <f t="shared" si="443"/>
        <v>0</v>
      </c>
      <c r="BU244" s="78">
        <f t="shared" si="443"/>
        <v>0</v>
      </c>
      <c r="BV244" s="78">
        <f t="shared" si="443"/>
        <v>0</v>
      </c>
      <c r="BW244" s="78">
        <f t="shared" si="443"/>
        <v>0</v>
      </c>
      <c r="BX244" s="78">
        <f t="shared" si="443"/>
        <v>0</v>
      </c>
      <c r="BY244" s="78">
        <f t="shared" si="443"/>
        <v>0</v>
      </c>
      <c r="BZ244" s="78">
        <f t="shared" si="443"/>
        <v>0</v>
      </c>
      <c r="CA244" s="78">
        <f t="shared" si="443"/>
        <v>0</v>
      </c>
      <c r="CB244" s="78">
        <f t="shared" si="443"/>
        <v>0</v>
      </c>
      <c r="CC244" s="78">
        <f t="shared" si="443"/>
        <v>0</v>
      </c>
      <c r="CD244" s="78">
        <f t="shared" si="443"/>
        <v>0</v>
      </c>
      <c r="CE244" s="78">
        <f t="shared" si="443"/>
        <v>0</v>
      </c>
      <c r="CF244" s="78">
        <f t="shared" ref="CF244:DK244" si="444">MAX(MIN(CF62-CF222,),-SUM(CF241:CF242))</f>
        <v>0</v>
      </c>
      <c r="CG244" s="78">
        <f t="shared" si="444"/>
        <v>0</v>
      </c>
      <c r="CH244" s="78">
        <f t="shared" si="444"/>
        <v>0</v>
      </c>
      <c r="CI244" s="78">
        <f t="shared" si="444"/>
        <v>0</v>
      </c>
      <c r="CJ244" s="78">
        <f t="shared" si="444"/>
        <v>0</v>
      </c>
      <c r="CK244" s="78">
        <f t="shared" si="444"/>
        <v>0</v>
      </c>
      <c r="CL244" s="78">
        <f t="shared" si="444"/>
        <v>0</v>
      </c>
      <c r="CM244" s="78">
        <f t="shared" si="444"/>
        <v>0</v>
      </c>
      <c r="CN244" s="78">
        <f t="shared" si="444"/>
        <v>0</v>
      </c>
      <c r="CO244" s="78">
        <f t="shared" si="444"/>
        <v>0</v>
      </c>
      <c r="CP244" s="78">
        <f t="shared" si="444"/>
        <v>0</v>
      </c>
      <c r="CQ244" s="78">
        <f t="shared" si="444"/>
        <v>0</v>
      </c>
      <c r="CR244" s="78">
        <f t="shared" si="444"/>
        <v>0</v>
      </c>
      <c r="CS244" s="78">
        <f t="shared" si="444"/>
        <v>0</v>
      </c>
      <c r="CT244" s="78">
        <f t="shared" si="444"/>
        <v>0</v>
      </c>
      <c r="CU244" s="78">
        <f t="shared" si="444"/>
        <v>0</v>
      </c>
      <c r="CV244" s="78">
        <f t="shared" si="444"/>
        <v>0</v>
      </c>
      <c r="CW244" s="78">
        <f t="shared" si="444"/>
        <v>0</v>
      </c>
      <c r="CX244" s="78">
        <f t="shared" si="444"/>
        <v>0</v>
      </c>
      <c r="CY244" s="78">
        <f t="shared" si="444"/>
        <v>0</v>
      </c>
      <c r="CZ244" s="78">
        <f t="shared" si="444"/>
        <v>0</v>
      </c>
      <c r="DA244" s="78">
        <f t="shared" si="444"/>
        <v>0</v>
      </c>
      <c r="DB244" s="78">
        <f t="shared" si="444"/>
        <v>0</v>
      </c>
      <c r="DC244" s="78">
        <f t="shared" si="444"/>
        <v>0</v>
      </c>
      <c r="DD244" s="78">
        <f t="shared" si="444"/>
        <v>0</v>
      </c>
      <c r="DE244" s="78">
        <f t="shared" si="444"/>
        <v>0</v>
      </c>
      <c r="DF244" s="78">
        <f t="shared" si="444"/>
        <v>0</v>
      </c>
      <c r="DG244" s="78">
        <f t="shared" si="444"/>
        <v>0</v>
      </c>
      <c r="DH244" s="78">
        <f t="shared" si="444"/>
        <v>0</v>
      </c>
      <c r="DI244" s="78">
        <f t="shared" si="444"/>
        <v>0</v>
      </c>
      <c r="DJ244" s="78">
        <f t="shared" si="444"/>
        <v>0</v>
      </c>
      <c r="DK244" s="78">
        <f t="shared" si="444"/>
        <v>0</v>
      </c>
      <c r="DL244" s="78">
        <f t="shared" ref="DL244:EI244" si="445">MAX(MIN(DL62-DL222,),-SUM(DL241:DL242))</f>
        <v>0</v>
      </c>
      <c r="DM244" s="78">
        <f t="shared" si="445"/>
        <v>0</v>
      </c>
      <c r="DN244" s="78">
        <f t="shared" si="445"/>
        <v>0</v>
      </c>
      <c r="DO244" s="78">
        <f t="shared" si="445"/>
        <v>0</v>
      </c>
      <c r="DP244" s="78">
        <f t="shared" si="445"/>
        <v>0</v>
      </c>
      <c r="DQ244" s="78">
        <f t="shared" si="445"/>
        <v>0</v>
      </c>
      <c r="DR244" s="78">
        <f t="shared" si="445"/>
        <v>0</v>
      </c>
      <c r="DS244" s="78">
        <f t="shared" si="445"/>
        <v>0</v>
      </c>
      <c r="DT244" s="78">
        <f t="shared" si="445"/>
        <v>0</v>
      </c>
      <c r="DU244" s="78">
        <f t="shared" si="445"/>
        <v>0</v>
      </c>
      <c r="DV244" s="78">
        <f t="shared" si="445"/>
        <v>0</v>
      </c>
      <c r="DW244" s="78">
        <f t="shared" si="445"/>
        <v>0</v>
      </c>
      <c r="DX244" s="78">
        <f t="shared" si="445"/>
        <v>0</v>
      </c>
      <c r="DY244" s="78">
        <f t="shared" si="445"/>
        <v>0</v>
      </c>
      <c r="DZ244" s="78">
        <f t="shared" si="445"/>
        <v>0</v>
      </c>
      <c r="EA244" s="78">
        <f t="shared" si="445"/>
        <v>0</v>
      </c>
      <c r="EB244" s="78">
        <f t="shared" si="445"/>
        <v>0</v>
      </c>
      <c r="EC244" s="78">
        <f t="shared" si="445"/>
        <v>0</v>
      </c>
      <c r="ED244" s="78">
        <f t="shared" si="445"/>
        <v>0</v>
      </c>
      <c r="EE244" s="78">
        <f t="shared" si="445"/>
        <v>0</v>
      </c>
      <c r="EF244" s="78">
        <f t="shared" si="445"/>
        <v>0</v>
      </c>
      <c r="EG244" s="78">
        <f t="shared" si="445"/>
        <v>0</v>
      </c>
      <c r="EH244" s="78">
        <f t="shared" si="445"/>
        <v>0</v>
      </c>
      <c r="EI244" s="78">
        <f t="shared" si="445"/>
        <v>0</v>
      </c>
    </row>
    <row r="245" spans="2:139" ht="12.75" customHeight="1">
      <c r="B245" s="79" t="s">
        <v>610</v>
      </c>
      <c r="C245" s="211"/>
      <c r="D245" s="78"/>
      <c r="E245" s="78">
        <f t="shared" si="441"/>
        <v>0</v>
      </c>
      <c r="F245" s="78">
        <f t="shared" si="441"/>
        <v>0</v>
      </c>
      <c r="G245" s="78">
        <f t="shared" si="441"/>
        <v>0</v>
      </c>
      <c r="H245" s="78">
        <f t="shared" si="441"/>
        <v>0</v>
      </c>
      <c r="I245" s="78">
        <f t="shared" si="441"/>
        <v>0</v>
      </c>
      <c r="J245" s="78">
        <f t="shared" si="441"/>
        <v>0</v>
      </c>
      <c r="K245" s="78">
        <f t="shared" si="441"/>
        <v>0</v>
      </c>
      <c r="L245" s="78">
        <f t="shared" si="441"/>
        <v>0</v>
      </c>
      <c r="M245" s="78">
        <f t="shared" si="441"/>
        <v>0</v>
      </c>
      <c r="N245" s="78">
        <f t="shared" si="441"/>
        <v>0</v>
      </c>
      <c r="O245" s="145">
        <f>SUM(D245:N245)</f>
        <v>0</v>
      </c>
      <c r="S245" s="78"/>
      <c r="T245" s="78">
        <f t="shared" ref="T245:AY245" si="446">MAX(MIN((T201+T207-T236)+MAX(T76+T92-(T201+T207)-T222-T229-T244,),),-SUM(T241:T242,T244))</f>
        <v>0</v>
      </c>
      <c r="U245" s="78">
        <f t="shared" si="446"/>
        <v>0</v>
      </c>
      <c r="V245" s="78">
        <f t="shared" si="446"/>
        <v>0</v>
      </c>
      <c r="W245" s="78">
        <f t="shared" si="446"/>
        <v>0</v>
      </c>
      <c r="X245" s="78">
        <f t="shared" si="446"/>
        <v>0</v>
      </c>
      <c r="Y245" s="78">
        <f t="shared" si="446"/>
        <v>0</v>
      </c>
      <c r="Z245" s="78">
        <f t="shared" si="446"/>
        <v>0</v>
      </c>
      <c r="AA245" s="78">
        <f t="shared" si="446"/>
        <v>0</v>
      </c>
      <c r="AB245" s="78">
        <f t="shared" si="446"/>
        <v>0</v>
      </c>
      <c r="AC245" s="78">
        <f t="shared" si="446"/>
        <v>0</v>
      </c>
      <c r="AD245" s="78">
        <f t="shared" si="446"/>
        <v>0</v>
      </c>
      <c r="AE245" s="78">
        <f t="shared" si="446"/>
        <v>0</v>
      </c>
      <c r="AF245" s="78">
        <f t="shared" si="446"/>
        <v>0</v>
      </c>
      <c r="AG245" s="78">
        <f t="shared" si="446"/>
        <v>0</v>
      </c>
      <c r="AH245" s="78">
        <f t="shared" si="446"/>
        <v>0</v>
      </c>
      <c r="AI245" s="78">
        <f t="shared" si="446"/>
        <v>0</v>
      </c>
      <c r="AJ245" s="78">
        <f t="shared" si="446"/>
        <v>0</v>
      </c>
      <c r="AK245" s="78">
        <f t="shared" si="446"/>
        <v>0</v>
      </c>
      <c r="AL245" s="78">
        <f t="shared" si="446"/>
        <v>0</v>
      </c>
      <c r="AM245" s="78">
        <f t="shared" si="446"/>
        <v>0</v>
      </c>
      <c r="AN245" s="78">
        <f t="shared" si="446"/>
        <v>0</v>
      </c>
      <c r="AO245" s="78">
        <f t="shared" si="446"/>
        <v>0</v>
      </c>
      <c r="AP245" s="78">
        <f t="shared" si="446"/>
        <v>0</v>
      </c>
      <c r="AQ245" s="78">
        <f t="shared" si="446"/>
        <v>0</v>
      </c>
      <c r="AR245" s="78">
        <f t="shared" si="446"/>
        <v>0</v>
      </c>
      <c r="AS245" s="78">
        <f t="shared" si="446"/>
        <v>0</v>
      </c>
      <c r="AT245" s="78">
        <f t="shared" si="446"/>
        <v>0</v>
      </c>
      <c r="AU245" s="78">
        <f t="shared" si="446"/>
        <v>0</v>
      </c>
      <c r="AV245" s="78">
        <f t="shared" si="446"/>
        <v>0</v>
      </c>
      <c r="AW245" s="78">
        <f t="shared" si="446"/>
        <v>0</v>
      </c>
      <c r="AX245" s="78">
        <f t="shared" si="446"/>
        <v>0</v>
      </c>
      <c r="AY245" s="78">
        <f t="shared" si="446"/>
        <v>0</v>
      </c>
      <c r="AZ245" s="78">
        <f t="shared" ref="AZ245:CE245" si="447">MAX(MIN((AZ201+AZ207-AZ236)+MAX(AZ76+AZ92-(AZ201+AZ207)-AZ222-AZ229-AZ244,),),-SUM(AZ241:AZ242,AZ244))</f>
        <v>0</v>
      </c>
      <c r="BA245" s="78">
        <f t="shared" si="447"/>
        <v>0</v>
      </c>
      <c r="BB245" s="78">
        <f t="shared" si="447"/>
        <v>0</v>
      </c>
      <c r="BC245" s="78">
        <f t="shared" si="447"/>
        <v>0</v>
      </c>
      <c r="BD245" s="78">
        <f t="shared" si="447"/>
        <v>0</v>
      </c>
      <c r="BE245" s="78">
        <f t="shared" si="447"/>
        <v>0</v>
      </c>
      <c r="BF245" s="78">
        <f t="shared" si="447"/>
        <v>0</v>
      </c>
      <c r="BG245" s="78">
        <f t="shared" si="447"/>
        <v>0</v>
      </c>
      <c r="BH245" s="78">
        <f t="shared" si="447"/>
        <v>0</v>
      </c>
      <c r="BI245" s="78">
        <f t="shared" si="447"/>
        <v>0</v>
      </c>
      <c r="BJ245" s="78">
        <f t="shared" si="447"/>
        <v>0</v>
      </c>
      <c r="BK245" s="78">
        <f t="shared" si="447"/>
        <v>0</v>
      </c>
      <c r="BL245" s="78">
        <f t="shared" si="447"/>
        <v>0</v>
      </c>
      <c r="BM245" s="78">
        <f t="shared" si="447"/>
        <v>0</v>
      </c>
      <c r="BN245" s="78">
        <f t="shared" si="447"/>
        <v>0</v>
      </c>
      <c r="BO245" s="78">
        <f t="shared" si="447"/>
        <v>0</v>
      </c>
      <c r="BP245" s="78">
        <f t="shared" si="447"/>
        <v>0</v>
      </c>
      <c r="BQ245" s="78">
        <f t="shared" si="447"/>
        <v>0</v>
      </c>
      <c r="BR245" s="78">
        <f t="shared" si="447"/>
        <v>0</v>
      </c>
      <c r="BS245" s="78">
        <f t="shared" si="447"/>
        <v>0</v>
      </c>
      <c r="BT245" s="78">
        <f t="shared" si="447"/>
        <v>0</v>
      </c>
      <c r="BU245" s="78">
        <f t="shared" si="447"/>
        <v>0</v>
      </c>
      <c r="BV245" s="78">
        <f t="shared" si="447"/>
        <v>0</v>
      </c>
      <c r="BW245" s="78">
        <f t="shared" si="447"/>
        <v>0</v>
      </c>
      <c r="BX245" s="78">
        <f t="shared" si="447"/>
        <v>0</v>
      </c>
      <c r="BY245" s="78">
        <f t="shared" si="447"/>
        <v>0</v>
      </c>
      <c r="BZ245" s="78">
        <f t="shared" si="447"/>
        <v>0</v>
      </c>
      <c r="CA245" s="78">
        <f t="shared" si="447"/>
        <v>0</v>
      </c>
      <c r="CB245" s="78">
        <f t="shared" si="447"/>
        <v>0</v>
      </c>
      <c r="CC245" s="78">
        <f t="shared" si="447"/>
        <v>0</v>
      </c>
      <c r="CD245" s="78">
        <f t="shared" si="447"/>
        <v>0</v>
      </c>
      <c r="CE245" s="78">
        <f t="shared" si="447"/>
        <v>0</v>
      </c>
      <c r="CF245" s="78">
        <f t="shared" ref="CF245:DK245" si="448">MAX(MIN((CF201+CF207-CF236)+MAX(CF76+CF92-(CF201+CF207)-CF222-CF229-CF244,),),-SUM(CF241:CF242,CF244))</f>
        <v>0</v>
      </c>
      <c r="CG245" s="78">
        <f t="shared" si="448"/>
        <v>0</v>
      </c>
      <c r="CH245" s="78">
        <f t="shared" si="448"/>
        <v>0</v>
      </c>
      <c r="CI245" s="78">
        <f t="shared" si="448"/>
        <v>0</v>
      </c>
      <c r="CJ245" s="78">
        <f t="shared" si="448"/>
        <v>0</v>
      </c>
      <c r="CK245" s="78">
        <f t="shared" si="448"/>
        <v>0</v>
      </c>
      <c r="CL245" s="78">
        <f t="shared" si="448"/>
        <v>0</v>
      </c>
      <c r="CM245" s="78">
        <f t="shared" si="448"/>
        <v>0</v>
      </c>
      <c r="CN245" s="78">
        <f t="shared" si="448"/>
        <v>0</v>
      </c>
      <c r="CO245" s="78">
        <f t="shared" si="448"/>
        <v>0</v>
      </c>
      <c r="CP245" s="78">
        <f t="shared" si="448"/>
        <v>0</v>
      </c>
      <c r="CQ245" s="78">
        <f t="shared" si="448"/>
        <v>0</v>
      </c>
      <c r="CR245" s="78">
        <f t="shared" si="448"/>
        <v>0</v>
      </c>
      <c r="CS245" s="78">
        <f t="shared" si="448"/>
        <v>0</v>
      </c>
      <c r="CT245" s="78">
        <f t="shared" si="448"/>
        <v>0</v>
      </c>
      <c r="CU245" s="78">
        <f t="shared" si="448"/>
        <v>0</v>
      </c>
      <c r="CV245" s="78">
        <f t="shared" si="448"/>
        <v>0</v>
      </c>
      <c r="CW245" s="78">
        <f t="shared" si="448"/>
        <v>0</v>
      </c>
      <c r="CX245" s="78">
        <f t="shared" si="448"/>
        <v>0</v>
      </c>
      <c r="CY245" s="78">
        <f t="shared" si="448"/>
        <v>0</v>
      </c>
      <c r="CZ245" s="78">
        <f t="shared" si="448"/>
        <v>0</v>
      </c>
      <c r="DA245" s="78">
        <f t="shared" si="448"/>
        <v>0</v>
      </c>
      <c r="DB245" s="78">
        <f t="shared" si="448"/>
        <v>0</v>
      </c>
      <c r="DC245" s="78">
        <f t="shared" si="448"/>
        <v>0</v>
      </c>
      <c r="DD245" s="78">
        <f t="shared" si="448"/>
        <v>0</v>
      </c>
      <c r="DE245" s="78">
        <f t="shared" si="448"/>
        <v>0</v>
      </c>
      <c r="DF245" s="78">
        <f t="shared" si="448"/>
        <v>0</v>
      </c>
      <c r="DG245" s="78">
        <f t="shared" si="448"/>
        <v>0</v>
      </c>
      <c r="DH245" s="78">
        <f t="shared" si="448"/>
        <v>0</v>
      </c>
      <c r="DI245" s="78">
        <f t="shared" si="448"/>
        <v>0</v>
      </c>
      <c r="DJ245" s="78">
        <f t="shared" si="448"/>
        <v>0</v>
      </c>
      <c r="DK245" s="78">
        <f t="shared" si="448"/>
        <v>0</v>
      </c>
      <c r="DL245" s="78">
        <f t="shared" ref="DL245:EQ245" si="449">MAX(MIN((DL201+DL207-DL236)+MAX(DL76+DL92-(DL201+DL207)-DL222-DL229-DL244,),),-SUM(DL241:DL242,DL244))</f>
        <v>0</v>
      </c>
      <c r="DM245" s="78">
        <f t="shared" si="449"/>
        <v>0</v>
      </c>
      <c r="DN245" s="78">
        <f t="shared" si="449"/>
        <v>0</v>
      </c>
      <c r="DO245" s="78">
        <f t="shared" si="449"/>
        <v>0</v>
      </c>
      <c r="DP245" s="78">
        <f t="shared" si="449"/>
        <v>0</v>
      </c>
      <c r="DQ245" s="78">
        <f t="shared" si="449"/>
        <v>0</v>
      </c>
      <c r="DR245" s="78">
        <f t="shared" si="449"/>
        <v>0</v>
      </c>
      <c r="DS245" s="78">
        <f t="shared" si="449"/>
        <v>0</v>
      </c>
      <c r="DT245" s="78">
        <f t="shared" si="449"/>
        <v>0</v>
      </c>
      <c r="DU245" s="78">
        <f t="shared" si="449"/>
        <v>0</v>
      </c>
      <c r="DV245" s="78">
        <f t="shared" si="449"/>
        <v>0</v>
      </c>
      <c r="DW245" s="78">
        <f t="shared" si="449"/>
        <v>0</v>
      </c>
      <c r="DX245" s="78">
        <f t="shared" si="449"/>
        <v>0</v>
      </c>
      <c r="DY245" s="78">
        <f t="shared" si="449"/>
        <v>0</v>
      </c>
      <c r="DZ245" s="78">
        <f t="shared" si="449"/>
        <v>0</v>
      </c>
      <c r="EA245" s="78">
        <f t="shared" si="449"/>
        <v>0</v>
      </c>
      <c r="EB245" s="78">
        <f t="shared" si="449"/>
        <v>0</v>
      </c>
      <c r="EC245" s="78">
        <f t="shared" si="449"/>
        <v>0</v>
      </c>
      <c r="ED245" s="78">
        <f t="shared" si="449"/>
        <v>0</v>
      </c>
      <c r="EE245" s="78">
        <f t="shared" si="449"/>
        <v>0</v>
      </c>
      <c r="EF245" s="78">
        <f t="shared" si="449"/>
        <v>0</v>
      </c>
      <c r="EG245" s="78">
        <f t="shared" si="449"/>
        <v>0</v>
      </c>
      <c r="EH245" s="78">
        <f t="shared" si="449"/>
        <v>0</v>
      </c>
      <c r="EI245" s="78">
        <f t="shared" si="449"/>
        <v>0</v>
      </c>
    </row>
    <row r="246" spans="2:139" ht="12.75" customHeight="1">
      <c r="B246" s="41" t="s">
        <v>606</v>
      </c>
      <c r="C246" s="211"/>
      <c r="D246" s="78">
        <f>SUMIF($S$6:$EI$6,D$5,$S246:$EI246)</f>
        <v>0</v>
      </c>
      <c r="E246" s="78">
        <f t="shared" si="441"/>
        <v>0</v>
      </c>
      <c r="F246" s="78">
        <f t="shared" si="441"/>
        <v>0</v>
      </c>
      <c r="G246" s="78">
        <f t="shared" si="441"/>
        <v>0</v>
      </c>
      <c r="H246" s="78">
        <f t="shared" si="441"/>
        <v>0</v>
      </c>
      <c r="I246" s="78">
        <f t="shared" si="441"/>
        <v>0</v>
      </c>
      <c r="J246" s="78">
        <f t="shared" si="441"/>
        <v>0</v>
      </c>
      <c r="K246" s="78">
        <f t="shared" si="441"/>
        <v>0</v>
      </c>
      <c r="L246" s="78">
        <f t="shared" si="441"/>
        <v>0</v>
      </c>
      <c r="M246" s="78">
        <f t="shared" si="441"/>
        <v>0</v>
      </c>
      <c r="N246" s="78">
        <f t="shared" si="441"/>
        <v>0</v>
      </c>
      <c r="O246" s="145">
        <f>SUM(D246:N246)</f>
        <v>0</v>
      </c>
      <c r="S246" s="78">
        <f t="shared" ref="S246:AX246" si="450">-SUM(S241:S243)*S258</f>
        <v>0</v>
      </c>
      <c r="T246" s="78">
        <f t="shared" si="450"/>
        <v>0</v>
      </c>
      <c r="U246" s="78">
        <f t="shared" si="450"/>
        <v>0</v>
      </c>
      <c r="V246" s="78">
        <f t="shared" si="450"/>
        <v>0</v>
      </c>
      <c r="W246" s="78">
        <f t="shared" si="450"/>
        <v>0</v>
      </c>
      <c r="X246" s="78">
        <f t="shared" si="450"/>
        <v>0</v>
      </c>
      <c r="Y246" s="78">
        <f t="shared" si="450"/>
        <v>0</v>
      </c>
      <c r="Z246" s="78">
        <f t="shared" si="450"/>
        <v>0</v>
      </c>
      <c r="AA246" s="78">
        <f t="shared" si="450"/>
        <v>0</v>
      </c>
      <c r="AB246" s="78">
        <f t="shared" si="450"/>
        <v>0</v>
      </c>
      <c r="AC246" s="78">
        <f t="shared" si="450"/>
        <v>0</v>
      </c>
      <c r="AD246" s="78">
        <f t="shared" si="450"/>
        <v>0</v>
      </c>
      <c r="AE246" s="78">
        <f t="shared" si="450"/>
        <v>0</v>
      </c>
      <c r="AF246" s="78">
        <f t="shared" si="450"/>
        <v>0</v>
      </c>
      <c r="AG246" s="78">
        <f t="shared" si="450"/>
        <v>0</v>
      </c>
      <c r="AH246" s="78">
        <f t="shared" si="450"/>
        <v>0</v>
      </c>
      <c r="AI246" s="78">
        <f t="shared" si="450"/>
        <v>0</v>
      </c>
      <c r="AJ246" s="78">
        <f t="shared" si="450"/>
        <v>0</v>
      </c>
      <c r="AK246" s="78">
        <f t="shared" si="450"/>
        <v>0</v>
      </c>
      <c r="AL246" s="78">
        <f t="shared" si="450"/>
        <v>0</v>
      </c>
      <c r="AM246" s="78">
        <f t="shared" si="450"/>
        <v>0</v>
      </c>
      <c r="AN246" s="78">
        <f t="shared" si="450"/>
        <v>0</v>
      </c>
      <c r="AO246" s="78">
        <f t="shared" si="450"/>
        <v>0</v>
      </c>
      <c r="AP246" s="78">
        <f t="shared" si="450"/>
        <v>0</v>
      </c>
      <c r="AQ246" s="78">
        <f t="shared" si="450"/>
        <v>0</v>
      </c>
      <c r="AR246" s="78">
        <f t="shared" si="450"/>
        <v>0</v>
      </c>
      <c r="AS246" s="78">
        <f t="shared" si="450"/>
        <v>0</v>
      </c>
      <c r="AT246" s="78">
        <f t="shared" si="450"/>
        <v>0</v>
      </c>
      <c r="AU246" s="78">
        <f t="shared" si="450"/>
        <v>0</v>
      </c>
      <c r="AV246" s="78">
        <f t="shared" si="450"/>
        <v>0</v>
      </c>
      <c r="AW246" s="78">
        <f t="shared" si="450"/>
        <v>0</v>
      </c>
      <c r="AX246" s="78">
        <f t="shared" si="450"/>
        <v>0</v>
      </c>
      <c r="AY246" s="78">
        <f t="shared" ref="AY246:CD246" si="451">-SUM(AY241:AY243)*AY258</f>
        <v>0</v>
      </c>
      <c r="AZ246" s="78">
        <f t="shared" si="451"/>
        <v>0</v>
      </c>
      <c r="BA246" s="78">
        <f t="shared" si="451"/>
        <v>0</v>
      </c>
      <c r="BB246" s="78">
        <f t="shared" si="451"/>
        <v>0</v>
      </c>
      <c r="BC246" s="78">
        <f t="shared" si="451"/>
        <v>0</v>
      </c>
      <c r="BD246" s="78">
        <f t="shared" si="451"/>
        <v>0</v>
      </c>
      <c r="BE246" s="78">
        <f t="shared" si="451"/>
        <v>0</v>
      </c>
      <c r="BF246" s="78">
        <f t="shared" si="451"/>
        <v>0</v>
      </c>
      <c r="BG246" s="78">
        <f t="shared" si="451"/>
        <v>0</v>
      </c>
      <c r="BH246" s="78">
        <f t="shared" si="451"/>
        <v>0</v>
      </c>
      <c r="BI246" s="78">
        <f t="shared" si="451"/>
        <v>0</v>
      </c>
      <c r="BJ246" s="78">
        <f t="shared" si="451"/>
        <v>0</v>
      </c>
      <c r="BK246" s="78">
        <f t="shared" si="451"/>
        <v>0</v>
      </c>
      <c r="BL246" s="78">
        <f t="shared" si="451"/>
        <v>0</v>
      </c>
      <c r="BM246" s="78">
        <f t="shared" si="451"/>
        <v>0</v>
      </c>
      <c r="BN246" s="78">
        <f t="shared" si="451"/>
        <v>0</v>
      </c>
      <c r="BO246" s="78">
        <f t="shared" si="451"/>
        <v>0</v>
      </c>
      <c r="BP246" s="78">
        <f t="shared" si="451"/>
        <v>0</v>
      </c>
      <c r="BQ246" s="78">
        <f t="shared" si="451"/>
        <v>0</v>
      </c>
      <c r="BR246" s="78">
        <f t="shared" si="451"/>
        <v>0</v>
      </c>
      <c r="BS246" s="78">
        <f t="shared" si="451"/>
        <v>0</v>
      </c>
      <c r="BT246" s="78">
        <f t="shared" si="451"/>
        <v>0</v>
      </c>
      <c r="BU246" s="78">
        <f t="shared" si="451"/>
        <v>0</v>
      </c>
      <c r="BV246" s="78">
        <f t="shared" si="451"/>
        <v>0</v>
      </c>
      <c r="BW246" s="78">
        <f t="shared" si="451"/>
        <v>0</v>
      </c>
      <c r="BX246" s="78">
        <f t="shared" si="451"/>
        <v>0</v>
      </c>
      <c r="BY246" s="78">
        <f t="shared" si="451"/>
        <v>0</v>
      </c>
      <c r="BZ246" s="78">
        <f t="shared" si="451"/>
        <v>0</v>
      </c>
      <c r="CA246" s="78">
        <f t="shared" si="451"/>
        <v>0</v>
      </c>
      <c r="CB246" s="78">
        <f t="shared" si="451"/>
        <v>0</v>
      </c>
      <c r="CC246" s="78">
        <f t="shared" si="451"/>
        <v>0</v>
      </c>
      <c r="CD246" s="78">
        <f t="shared" si="451"/>
        <v>0</v>
      </c>
      <c r="CE246" s="78">
        <f t="shared" ref="CE246:DJ246" si="452">-SUM(CE241:CE243)*CE258</f>
        <v>0</v>
      </c>
      <c r="CF246" s="78">
        <f t="shared" si="452"/>
        <v>0</v>
      </c>
      <c r="CG246" s="78">
        <f t="shared" si="452"/>
        <v>0</v>
      </c>
      <c r="CH246" s="78">
        <f t="shared" si="452"/>
        <v>0</v>
      </c>
      <c r="CI246" s="78">
        <f t="shared" si="452"/>
        <v>0</v>
      </c>
      <c r="CJ246" s="78">
        <f t="shared" si="452"/>
        <v>0</v>
      </c>
      <c r="CK246" s="78">
        <f t="shared" si="452"/>
        <v>0</v>
      </c>
      <c r="CL246" s="78">
        <f t="shared" si="452"/>
        <v>0</v>
      </c>
      <c r="CM246" s="78">
        <f t="shared" si="452"/>
        <v>0</v>
      </c>
      <c r="CN246" s="78">
        <f t="shared" si="452"/>
        <v>0</v>
      </c>
      <c r="CO246" s="78">
        <f t="shared" si="452"/>
        <v>0</v>
      </c>
      <c r="CP246" s="78">
        <f t="shared" si="452"/>
        <v>0</v>
      </c>
      <c r="CQ246" s="78">
        <f t="shared" si="452"/>
        <v>0</v>
      </c>
      <c r="CR246" s="78">
        <f t="shared" si="452"/>
        <v>0</v>
      </c>
      <c r="CS246" s="78">
        <f t="shared" si="452"/>
        <v>0</v>
      </c>
      <c r="CT246" s="78">
        <f t="shared" si="452"/>
        <v>0</v>
      </c>
      <c r="CU246" s="78">
        <f t="shared" si="452"/>
        <v>0</v>
      </c>
      <c r="CV246" s="78">
        <f t="shared" si="452"/>
        <v>0</v>
      </c>
      <c r="CW246" s="78">
        <f t="shared" si="452"/>
        <v>0</v>
      </c>
      <c r="CX246" s="78">
        <f t="shared" si="452"/>
        <v>0</v>
      </c>
      <c r="CY246" s="78">
        <f t="shared" si="452"/>
        <v>0</v>
      </c>
      <c r="CZ246" s="78">
        <f t="shared" si="452"/>
        <v>0</v>
      </c>
      <c r="DA246" s="78">
        <f t="shared" si="452"/>
        <v>0</v>
      </c>
      <c r="DB246" s="78">
        <f t="shared" si="452"/>
        <v>0</v>
      </c>
      <c r="DC246" s="78">
        <f t="shared" si="452"/>
        <v>0</v>
      </c>
      <c r="DD246" s="78">
        <f t="shared" si="452"/>
        <v>0</v>
      </c>
      <c r="DE246" s="78">
        <f t="shared" si="452"/>
        <v>0</v>
      </c>
      <c r="DF246" s="78">
        <f t="shared" si="452"/>
        <v>0</v>
      </c>
      <c r="DG246" s="78">
        <f t="shared" si="452"/>
        <v>0</v>
      </c>
      <c r="DH246" s="78">
        <f t="shared" si="452"/>
        <v>0</v>
      </c>
      <c r="DI246" s="78">
        <f t="shared" si="452"/>
        <v>0</v>
      </c>
      <c r="DJ246" s="78">
        <f t="shared" si="452"/>
        <v>0</v>
      </c>
      <c r="DK246" s="78">
        <f t="shared" ref="DK246:EI246" si="453">-SUM(DK241:DK243)*DK258</f>
        <v>0</v>
      </c>
      <c r="DL246" s="78">
        <f t="shared" si="453"/>
        <v>0</v>
      </c>
      <c r="DM246" s="78">
        <f t="shared" si="453"/>
        <v>0</v>
      </c>
      <c r="DN246" s="78">
        <f t="shared" si="453"/>
        <v>0</v>
      </c>
      <c r="DO246" s="78">
        <f t="shared" si="453"/>
        <v>0</v>
      </c>
      <c r="DP246" s="78">
        <f t="shared" si="453"/>
        <v>0</v>
      </c>
      <c r="DQ246" s="78">
        <f t="shared" si="453"/>
        <v>0</v>
      </c>
      <c r="DR246" s="78">
        <f t="shared" si="453"/>
        <v>0</v>
      </c>
      <c r="DS246" s="78">
        <f t="shared" si="453"/>
        <v>0</v>
      </c>
      <c r="DT246" s="78">
        <f t="shared" si="453"/>
        <v>0</v>
      </c>
      <c r="DU246" s="78">
        <f t="shared" si="453"/>
        <v>0</v>
      </c>
      <c r="DV246" s="78">
        <f t="shared" si="453"/>
        <v>0</v>
      </c>
      <c r="DW246" s="78">
        <f t="shared" si="453"/>
        <v>0</v>
      </c>
      <c r="DX246" s="78">
        <f t="shared" si="453"/>
        <v>0</v>
      </c>
      <c r="DY246" s="78">
        <f t="shared" si="453"/>
        <v>0</v>
      </c>
      <c r="DZ246" s="78">
        <f t="shared" si="453"/>
        <v>0</v>
      </c>
      <c r="EA246" s="78">
        <f t="shared" si="453"/>
        <v>0</v>
      </c>
      <c r="EB246" s="78">
        <f t="shared" si="453"/>
        <v>0</v>
      </c>
      <c r="EC246" s="78">
        <f t="shared" si="453"/>
        <v>0</v>
      </c>
      <c r="ED246" s="78">
        <f t="shared" si="453"/>
        <v>0</v>
      </c>
      <c r="EE246" s="78">
        <f t="shared" si="453"/>
        <v>0</v>
      </c>
      <c r="EF246" s="78">
        <f t="shared" si="453"/>
        <v>0</v>
      </c>
      <c r="EG246" s="78">
        <f t="shared" si="453"/>
        <v>0</v>
      </c>
      <c r="EH246" s="78">
        <f t="shared" si="453"/>
        <v>0</v>
      </c>
      <c r="EI246" s="78">
        <f t="shared" si="453"/>
        <v>0</v>
      </c>
    </row>
    <row r="247" spans="2:139" ht="12.75" customHeight="1">
      <c r="B247" s="46" t="s">
        <v>595</v>
      </c>
      <c r="C247" s="209"/>
      <c r="D247" s="694">
        <f t="shared" ref="D247:O247" si="454">ROUND(SUBTOTAL(9,D241:D246),2)</f>
        <v>0</v>
      </c>
      <c r="E247" s="694">
        <f t="shared" si="454"/>
        <v>0</v>
      </c>
      <c r="F247" s="694">
        <f t="shared" si="454"/>
        <v>0</v>
      </c>
      <c r="G247" s="694">
        <f t="shared" si="454"/>
        <v>0</v>
      </c>
      <c r="H247" s="694">
        <f t="shared" si="454"/>
        <v>0</v>
      </c>
      <c r="I247" s="694">
        <f t="shared" si="454"/>
        <v>0</v>
      </c>
      <c r="J247" s="694">
        <f t="shared" si="454"/>
        <v>0</v>
      </c>
      <c r="K247" s="694">
        <f t="shared" si="454"/>
        <v>0</v>
      </c>
      <c r="L247" s="694">
        <f t="shared" si="454"/>
        <v>0</v>
      </c>
      <c r="M247" s="694">
        <f t="shared" si="454"/>
        <v>0</v>
      </c>
      <c r="N247" s="694">
        <f t="shared" si="454"/>
        <v>0</v>
      </c>
      <c r="O247" s="713">
        <f t="shared" si="454"/>
        <v>0</v>
      </c>
      <c r="S247" s="694">
        <f t="shared" ref="S247:AX247" si="455">IF(SUM(S241:S243,S246)&gt;1,SUBTOTAL(9,S241:S246),)</f>
        <v>0</v>
      </c>
      <c r="T247" s="694">
        <f t="shared" si="455"/>
        <v>0</v>
      </c>
      <c r="U247" s="694">
        <f t="shared" si="455"/>
        <v>0</v>
      </c>
      <c r="V247" s="694">
        <f t="shared" si="455"/>
        <v>0</v>
      </c>
      <c r="W247" s="694">
        <f t="shared" si="455"/>
        <v>0</v>
      </c>
      <c r="X247" s="694">
        <f t="shared" si="455"/>
        <v>0</v>
      </c>
      <c r="Y247" s="694">
        <f t="shared" si="455"/>
        <v>0</v>
      </c>
      <c r="Z247" s="694">
        <f t="shared" si="455"/>
        <v>0</v>
      </c>
      <c r="AA247" s="694">
        <f t="shared" si="455"/>
        <v>0</v>
      </c>
      <c r="AB247" s="694">
        <f t="shared" si="455"/>
        <v>0</v>
      </c>
      <c r="AC247" s="694">
        <f t="shared" si="455"/>
        <v>0</v>
      </c>
      <c r="AD247" s="694">
        <f t="shared" si="455"/>
        <v>0</v>
      </c>
      <c r="AE247" s="694">
        <f t="shared" si="455"/>
        <v>0</v>
      </c>
      <c r="AF247" s="694">
        <f t="shared" si="455"/>
        <v>0</v>
      </c>
      <c r="AG247" s="694">
        <f t="shared" si="455"/>
        <v>0</v>
      </c>
      <c r="AH247" s="694">
        <f t="shared" si="455"/>
        <v>0</v>
      </c>
      <c r="AI247" s="694">
        <f t="shared" si="455"/>
        <v>0</v>
      </c>
      <c r="AJ247" s="694">
        <f t="shared" si="455"/>
        <v>0</v>
      </c>
      <c r="AK247" s="694">
        <f t="shared" si="455"/>
        <v>0</v>
      </c>
      <c r="AL247" s="694">
        <f t="shared" si="455"/>
        <v>0</v>
      </c>
      <c r="AM247" s="694">
        <f t="shared" si="455"/>
        <v>0</v>
      </c>
      <c r="AN247" s="694">
        <f t="shared" si="455"/>
        <v>0</v>
      </c>
      <c r="AO247" s="694">
        <f t="shared" si="455"/>
        <v>0</v>
      </c>
      <c r="AP247" s="694">
        <f t="shared" si="455"/>
        <v>0</v>
      </c>
      <c r="AQ247" s="694">
        <f t="shared" si="455"/>
        <v>0</v>
      </c>
      <c r="AR247" s="694">
        <f t="shared" si="455"/>
        <v>0</v>
      </c>
      <c r="AS247" s="694">
        <f t="shared" si="455"/>
        <v>0</v>
      </c>
      <c r="AT247" s="694">
        <f t="shared" si="455"/>
        <v>0</v>
      </c>
      <c r="AU247" s="694">
        <f t="shared" si="455"/>
        <v>0</v>
      </c>
      <c r="AV247" s="694">
        <f t="shared" si="455"/>
        <v>0</v>
      </c>
      <c r="AW247" s="694">
        <f t="shared" si="455"/>
        <v>0</v>
      </c>
      <c r="AX247" s="694">
        <f t="shared" si="455"/>
        <v>0</v>
      </c>
      <c r="AY247" s="694">
        <f t="shared" ref="AY247:CD247" si="456">IF(SUM(AY241:AY243,AY246)&gt;1,SUBTOTAL(9,AY241:AY246),)</f>
        <v>0</v>
      </c>
      <c r="AZ247" s="694">
        <f t="shared" si="456"/>
        <v>0</v>
      </c>
      <c r="BA247" s="694">
        <f t="shared" si="456"/>
        <v>0</v>
      </c>
      <c r="BB247" s="694">
        <f t="shared" si="456"/>
        <v>0</v>
      </c>
      <c r="BC247" s="694">
        <f t="shared" si="456"/>
        <v>0</v>
      </c>
      <c r="BD247" s="694">
        <f t="shared" si="456"/>
        <v>0</v>
      </c>
      <c r="BE247" s="694">
        <f t="shared" si="456"/>
        <v>0</v>
      </c>
      <c r="BF247" s="694">
        <f t="shared" si="456"/>
        <v>0</v>
      </c>
      <c r="BG247" s="694">
        <f t="shared" si="456"/>
        <v>0</v>
      </c>
      <c r="BH247" s="694">
        <f t="shared" si="456"/>
        <v>0</v>
      </c>
      <c r="BI247" s="694">
        <f t="shared" si="456"/>
        <v>0</v>
      </c>
      <c r="BJ247" s="694">
        <f t="shared" si="456"/>
        <v>0</v>
      </c>
      <c r="BK247" s="694">
        <f t="shared" si="456"/>
        <v>0</v>
      </c>
      <c r="BL247" s="694">
        <f t="shared" si="456"/>
        <v>0</v>
      </c>
      <c r="BM247" s="694">
        <f t="shared" si="456"/>
        <v>0</v>
      </c>
      <c r="BN247" s="694">
        <f t="shared" si="456"/>
        <v>0</v>
      </c>
      <c r="BO247" s="694">
        <f t="shared" si="456"/>
        <v>0</v>
      </c>
      <c r="BP247" s="694">
        <f t="shared" si="456"/>
        <v>0</v>
      </c>
      <c r="BQ247" s="694">
        <f t="shared" si="456"/>
        <v>0</v>
      </c>
      <c r="BR247" s="694">
        <f t="shared" si="456"/>
        <v>0</v>
      </c>
      <c r="BS247" s="694">
        <f t="shared" si="456"/>
        <v>0</v>
      </c>
      <c r="BT247" s="694">
        <f t="shared" si="456"/>
        <v>0</v>
      </c>
      <c r="BU247" s="694">
        <f t="shared" si="456"/>
        <v>0</v>
      </c>
      <c r="BV247" s="694">
        <f t="shared" si="456"/>
        <v>0</v>
      </c>
      <c r="BW247" s="694">
        <f t="shared" si="456"/>
        <v>0</v>
      </c>
      <c r="BX247" s="694">
        <f t="shared" si="456"/>
        <v>0</v>
      </c>
      <c r="BY247" s="694">
        <f t="shared" si="456"/>
        <v>0</v>
      </c>
      <c r="BZ247" s="694">
        <f t="shared" si="456"/>
        <v>0</v>
      </c>
      <c r="CA247" s="694">
        <f t="shared" si="456"/>
        <v>0</v>
      </c>
      <c r="CB247" s="694">
        <f t="shared" si="456"/>
        <v>0</v>
      </c>
      <c r="CC247" s="694">
        <f t="shared" si="456"/>
        <v>0</v>
      </c>
      <c r="CD247" s="694">
        <f t="shared" si="456"/>
        <v>0</v>
      </c>
      <c r="CE247" s="694">
        <f t="shared" ref="CE247:DJ247" si="457">IF(SUM(CE241:CE243,CE246)&gt;1,SUBTOTAL(9,CE241:CE246),)</f>
        <v>0</v>
      </c>
      <c r="CF247" s="694">
        <f t="shared" si="457"/>
        <v>0</v>
      </c>
      <c r="CG247" s="694">
        <f t="shared" si="457"/>
        <v>0</v>
      </c>
      <c r="CH247" s="694">
        <f t="shared" si="457"/>
        <v>0</v>
      </c>
      <c r="CI247" s="694">
        <f t="shared" si="457"/>
        <v>0</v>
      </c>
      <c r="CJ247" s="694">
        <f t="shared" si="457"/>
        <v>0</v>
      </c>
      <c r="CK247" s="694">
        <f t="shared" si="457"/>
        <v>0</v>
      </c>
      <c r="CL247" s="694">
        <f t="shared" si="457"/>
        <v>0</v>
      </c>
      <c r="CM247" s="694">
        <f t="shared" si="457"/>
        <v>0</v>
      </c>
      <c r="CN247" s="694">
        <f t="shared" si="457"/>
        <v>0</v>
      </c>
      <c r="CO247" s="694">
        <f t="shared" si="457"/>
        <v>0</v>
      </c>
      <c r="CP247" s="694">
        <f t="shared" si="457"/>
        <v>0</v>
      </c>
      <c r="CQ247" s="694">
        <f t="shared" si="457"/>
        <v>0</v>
      </c>
      <c r="CR247" s="694">
        <f t="shared" si="457"/>
        <v>0</v>
      </c>
      <c r="CS247" s="694">
        <f t="shared" si="457"/>
        <v>0</v>
      </c>
      <c r="CT247" s="694">
        <f t="shared" si="457"/>
        <v>0</v>
      </c>
      <c r="CU247" s="694">
        <f t="shared" si="457"/>
        <v>0</v>
      </c>
      <c r="CV247" s="694">
        <f t="shared" si="457"/>
        <v>0</v>
      </c>
      <c r="CW247" s="694">
        <f t="shared" si="457"/>
        <v>0</v>
      </c>
      <c r="CX247" s="694">
        <f t="shared" si="457"/>
        <v>0</v>
      </c>
      <c r="CY247" s="694">
        <f t="shared" si="457"/>
        <v>0</v>
      </c>
      <c r="CZ247" s="694">
        <f t="shared" si="457"/>
        <v>0</v>
      </c>
      <c r="DA247" s="694">
        <f t="shared" si="457"/>
        <v>0</v>
      </c>
      <c r="DB247" s="694">
        <f t="shared" si="457"/>
        <v>0</v>
      </c>
      <c r="DC247" s="694">
        <f t="shared" si="457"/>
        <v>0</v>
      </c>
      <c r="DD247" s="694">
        <f t="shared" si="457"/>
        <v>0</v>
      </c>
      <c r="DE247" s="694">
        <f t="shared" si="457"/>
        <v>0</v>
      </c>
      <c r="DF247" s="694">
        <f t="shared" si="457"/>
        <v>0</v>
      </c>
      <c r="DG247" s="694">
        <f t="shared" si="457"/>
        <v>0</v>
      </c>
      <c r="DH247" s="694">
        <f t="shared" si="457"/>
        <v>0</v>
      </c>
      <c r="DI247" s="694">
        <f t="shared" si="457"/>
        <v>0</v>
      </c>
      <c r="DJ247" s="694">
        <f t="shared" si="457"/>
        <v>0</v>
      </c>
      <c r="DK247" s="694">
        <f t="shared" ref="DK247:EP247" si="458">IF(SUM(DK241:DK243,DK246)&gt;1,SUBTOTAL(9,DK241:DK246),)</f>
        <v>0</v>
      </c>
      <c r="DL247" s="694">
        <f t="shared" si="458"/>
        <v>0</v>
      </c>
      <c r="DM247" s="694">
        <f t="shared" si="458"/>
        <v>0</v>
      </c>
      <c r="DN247" s="694">
        <f t="shared" si="458"/>
        <v>0</v>
      </c>
      <c r="DO247" s="694">
        <f t="shared" si="458"/>
        <v>0</v>
      </c>
      <c r="DP247" s="694">
        <f t="shared" si="458"/>
        <v>0</v>
      </c>
      <c r="DQ247" s="694">
        <f t="shared" si="458"/>
        <v>0</v>
      </c>
      <c r="DR247" s="694">
        <f t="shared" si="458"/>
        <v>0</v>
      </c>
      <c r="DS247" s="694">
        <f t="shared" si="458"/>
        <v>0</v>
      </c>
      <c r="DT247" s="694">
        <f t="shared" si="458"/>
        <v>0</v>
      </c>
      <c r="DU247" s="694">
        <f t="shared" si="458"/>
        <v>0</v>
      </c>
      <c r="DV247" s="694">
        <f t="shared" si="458"/>
        <v>0</v>
      </c>
      <c r="DW247" s="694">
        <f t="shared" si="458"/>
        <v>0</v>
      </c>
      <c r="DX247" s="694">
        <f t="shared" si="458"/>
        <v>0</v>
      </c>
      <c r="DY247" s="694">
        <f t="shared" si="458"/>
        <v>0</v>
      </c>
      <c r="DZ247" s="694">
        <f t="shared" si="458"/>
        <v>0</v>
      </c>
      <c r="EA247" s="694">
        <f t="shared" si="458"/>
        <v>0</v>
      </c>
      <c r="EB247" s="694">
        <f t="shared" si="458"/>
        <v>0</v>
      </c>
      <c r="EC247" s="694">
        <f t="shared" si="458"/>
        <v>0</v>
      </c>
      <c r="ED247" s="694">
        <f t="shared" si="458"/>
        <v>0</v>
      </c>
      <c r="EE247" s="694">
        <f t="shared" si="458"/>
        <v>0</v>
      </c>
      <c r="EF247" s="694">
        <f t="shared" si="458"/>
        <v>0</v>
      </c>
      <c r="EG247" s="694">
        <f t="shared" si="458"/>
        <v>0</v>
      </c>
      <c r="EH247" s="694">
        <f t="shared" si="458"/>
        <v>0</v>
      </c>
      <c r="EI247" s="694">
        <f t="shared" si="458"/>
        <v>0</v>
      </c>
    </row>
    <row r="248" spans="2:139" ht="12.75" customHeight="1">
      <c r="B248" s="46"/>
      <c r="C248" s="209"/>
      <c r="D248" s="169"/>
      <c r="E248" s="169"/>
      <c r="F248" s="169"/>
      <c r="G248" s="169"/>
      <c r="H248" s="169"/>
      <c r="I248" s="169"/>
      <c r="J248" s="169"/>
      <c r="K248" s="169"/>
      <c r="L248" s="169"/>
      <c r="M248" s="169"/>
      <c r="N248" s="169"/>
      <c r="O248" s="91"/>
      <c r="S248" s="169"/>
      <c r="T248" s="169"/>
      <c r="U248" s="169"/>
      <c r="V248" s="169"/>
      <c r="W248" s="169"/>
      <c r="X248" s="169"/>
      <c r="Y248" s="169"/>
      <c r="Z248" s="169"/>
      <c r="AA248" s="169"/>
      <c r="AB248" s="169"/>
      <c r="AC248" s="169"/>
      <c r="AD248" s="169"/>
      <c r="AE248" s="169"/>
      <c r="AF248" s="169"/>
      <c r="AG248" s="169"/>
      <c r="AH248" s="169"/>
      <c r="AI248" s="169"/>
      <c r="AJ248" s="169"/>
      <c r="AK248" s="169"/>
      <c r="AL248" s="169"/>
      <c r="AM248" s="169"/>
      <c r="AN248" s="169"/>
      <c r="AO248" s="169"/>
      <c r="AP248" s="169"/>
      <c r="AQ248" s="169"/>
      <c r="AR248" s="169"/>
      <c r="AS248" s="169"/>
      <c r="AT248" s="169"/>
      <c r="AU248" s="169"/>
      <c r="AV248" s="169"/>
      <c r="AW248" s="169"/>
      <c r="AX248" s="169"/>
      <c r="AY248" s="169"/>
      <c r="AZ248" s="169"/>
      <c r="BA248" s="169"/>
      <c r="BB248" s="169"/>
      <c r="BC248" s="169"/>
      <c r="BD248" s="169"/>
      <c r="BE248" s="169"/>
      <c r="BF248" s="169"/>
      <c r="BG248" s="169"/>
      <c r="BH248" s="169"/>
      <c r="BI248" s="169"/>
      <c r="BJ248" s="169"/>
      <c r="BK248" s="169"/>
      <c r="BL248" s="169"/>
      <c r="BM248" s="169"/>
      <c r="BN248" s="169"/>
      <c r="BO248" s="169"/>
      <c r="BP248" s="169"/>
      <c r="BQ248" s="169"/>
      <c r="BR248" s="169"/>
      <c r="BS248" s="169"/>
      <c r="BT248" s="169"/>
      <c r="BU248" s="169"/>
      <c r="BV248" s="169"/>
      <c r="BW248" s="169"/>
      <c r="BX248" s="169"/>
      <c r="BY248" s="169"/>
      <c r="BZ248" s="169"/>
      <c r="CA248" s="169"/>
      <c r="CB248" s="169"/>
      <c r="CC248" s="169"/>
      <c r="CD248" s="169"/>
      <c r="CE248" s="169"/>
      <c r="CF248" s="169"/>
      <c r="CG248" s="169"/>
      <c r="CH248" s="169"/>
      <c r="CI248" s="169"/>
      <c r="CJ248" s="169"/>
      <c r="CK248" s="169"/>
      <c r="CL248" s="169"/>
      <c r="CM248" s="169"/>
      <c r="CN248" s="169"/>
      <c r="CO248" s="169"/>
      <c r="CP248" s="169"/>
      <c r="CQ248" s="169"/>
      <c r="CR248" s="169"/>
      <c r="CS248" s="169"/>
      <c r="CT248" s="169"/>
      <c r="CU248" s="169"/>
      <c r="CV248" s="169"/>
      <c r="CW248" s="169"/>
      <c r="CX248" s="169"/>
      <c r="CY248" s="169"/>
      <c r="CZ248" s="169"/>
      <c r="DA248" s="169"/>
      <c r="DB248" s="169"/>
      <c r="DC248" s="169"/>
      <c r="DD248" s="169"/>
      <c r="DE248" s="169"/>
      <c r="DF248" s="169"/>
      <c r="DG248" s="169"/>
      <c r="DH248" s="169"/>
      <c r="DI248" s="169"/>
      <c r="DJ248" s="169"/>
      <c r="DK248" s="169"/>
      <c r="DL248" s="169"/>
      <c r="DM248" s="169"/>
      <c r="DN248" s="169"/>
      <c r="DO248" s="169"/>
      <c r="DP248" s="169"/>
      <c r="DQ248" s="169"/>
      <c r="DR248" s="169"/>
      <c r="DS248" s="169"/>
      <c r="DT248" s="169"/>
      <c r="DU248" s="169"/>
      <c r="DV248" s="169"/>
      <c r="DW248" s="169"/>
      <c r="DX248" s="169"/>
      <c r="DY248" s="169"/>
      <c r="DZ248" s="169"/>
      <c r="EA248" s="169"/>
      <c r="EB248" s="169"/>
      <c r="EC248" s="169"/>
      <c r="ED248" s="169"/>
      <c r="EE248" s="169"/>
      <c r="EF248" s="169"/>
      <c r="EG248" s="169"/>
      <c r="EH248" s="169"/>
      <c r="EI248" s="169"/>
    </row>
    <row r="249" spans="2:139" ht="12.75" customHeight="1">
      <c r="B249" s="1045" t="s">
        <v>611</v>
      </c>
      <c r="C249" s="209"/>
      <c r="D249" s="169"/>
      <c r="E249" s="169"/>
      <c r="F249" s="169"/>
      <c r="G249" s="169"/>
      <c r="H249" s="169"/>
      <c r="I249" s="169"/>
      <c r="J249" s="169"/>
      <c r="K249" s="169"/>
      <c r="L249" s="169"/>
      <c r="M249" s="169"/>
      <c r="N249" s="169"/>
      <c r="O249" s="91"/>
      <c r="S249" s="169"/>
      <c r="T249" s="169"/>
      <c r="U249" s="169"/>
      <c r="V249" s="169"/>
      <c r="W249" s="169"/>
      <c r="X249" s="169"/>
      <c r="Y249" s="169"/>
      <c r="Z249" s="169"/>
      <c r="AA249" s="169"/>
      <c r="AB249" s="169"/>
      <c r="AC249" s="169"/>
      <c r="AD249" s="169"/>
      <c r="AE249" s="169"/>
      <c r="AF249" s="169"/>
      <c r="AG249" s="169"/>
      <c r="AH249" s="169"/>
      <c r="AI249" s="169"/>
      <c r="AJ249" s="169"/>
      <c r="AK249" s="169"/>
      <c r="AL249" s="169"/>
      <c r="AM249" s="169"/>
      <c r="AN249" s="169"/>
      <c r="AO249" s="169"/>
      <c r="AP249" s="169"/>
      <c r="AQ249" s="169"/>
      <c r="AR249" s="169"/>
      <c r="AS249" s="169"/>
      <c r="AT249" s="169"/>
      <c r="AU249" s="169"/>
      <c r="AV249" s="169"/>
      <c r="AW249" s="169"/>
      <c r="AX249" s="169"/>
      <c r="AY249" s="169"/>
      <c r="AZ249" s="169"/>
      <c r="BA249" s="169"/>
      <c r="BB249" s="169"/>
      <c r="BC249" s="169"/>
      <c r="BD249" s="169"/>
      <c r="BE249" s="169"/>
      <c r="BF249" s="169"/>
      <c r="BG249" s="169"/>
      <c r="BH249" s="169"/>
      <c r="BI249" s="169"/>
      <c r="BJ249" s="169"/>
      <c r="BK249" s="169"/>
      <c r="BL249" s="169"/>
      <c r="BM249" s="169"/>
      <c r="BN249" s="169"/>
      <c r="BO249" s="169"/>
      <c r="BP249" s="169"/>
      <c r="BQ249" s="169"/>
      <c r="BR249" s="169"/>
      <c r="BS249" s="169"/>
      <c r="BT249" s="169"/>
      <c r="BU249" s="169"/>
      <c r="BV249" s="169"/>
      <c r="BW249" s="169"/>
      <c r="BX249" s="169"/>
      <c r="BY249" s="169"/>
      <c r="BZ249" s="169"/>
      <c r="CA249" s="169"/>
      <c r="CB249" s="169"/>
      <c r="CC249" s="169"/>
      <c r="CD249" s="169"/>
      <c r="CE249" s="169"/>
      <c r="CF249" s="169"/>
      <c r="CG249" s="169"/>
      <c r="CH249" s="169"/>
      <c r="CI249" s="169"/>
      <c r="CJ249" s="169"/>
      <c r="CK249" s="169"/>
      <c r="CL249" s="169"/>
      <c r="CM249" s="169"/>
      <c r="CN249" s="169"/>
      <c r="CO249" s="169"/>
      <c r="CP249" s="169"/>
      <c r="CQ249" s="169"/>
      <c r="CR249" s="169"/>
      <c r="CS249" s="169"/>
      <c r="CT249" s="169"/>
      <c r="CU249" s="169"/>
      <c r="CV249" s="169"/>
      <c r="CW249" s="169"/>
      <c r="CX249" s="169"/>
      <c r="CY249" s="169"/>
      <c r="CZ249" s="169"/>
      <c r="DA249" s="169"/>
      <c r="DB249" s="169"/>
      <c r="DC249" s="169"/>
      <c r="DD249" s="169"/>
      <c r="DE249" s="169"/>
      <c r="DF249" s="169"/>
      <c r="DG249" s="169"/>
      <c r="DH249" s="169"/>
      <c r="DI249" s="169"/>
      <c r="DJ249" s="169"/>
      <c r="DK249" s="169"/>
      <c r="DL249" s="169"/>
      <c r="DM249" s="169"/>
      <c r="DN249" s="169"/>
      <c r="DO249" s="169"/>
      <c r="DP249" s="169"/>
      <c r="DQ249" s="169"/>
      <c r="DR249" s="169"/>
      <c r="DS249" s="169"/>
      <c r="DT249" s="169"/>
      <c r="DU249" s="169"/>
      <c r="DV249" s="169"/>
      <c r="DW249" s="169"/>
      <c r="DX249" s="169"/>
      <c r="DY249" s="169"/>
      <c r="DZ249" s="169"/>
      <c r="EA249" s="169"/>
      <c r="EB249" s="169"/>
      <c r="EC249" s="169"/>
      <c r="ED249" s="169"/>
      <c r="EE249" s="169"/>
      <c r="EF249" s="169"/>
      <c r="EG249" s="169"/>
      <c r="EH249" s="169"/>
      <c r="EI249" s="169"/>
    </row>
    <row r="250" spans="2:139" ht="12.75" customHeight="1">
      <c r="B250" s="874" t="s">
        <v>612</v>
      </c>
      <c r="C250" s="209"/>
      <c r="D250" s="169"/>
      <c r="E250" s="169"/>
      <c r="F250" s="169"/>
      <c r="G250" s="169"/>
      <c r="H250" s="169"/>
      <c r="I250" s="169"/>
      <c r="J250" s="169"/>
      <c r="K250" s="169"/>
      <c r="L250" s="169"/>
      <c r="M250" s="169"/>
      <c r="N250" s="169"/>
      <c r="O250" s="91"/>
      <c r="S250" s="169"/>
      <c r="T250" s="169"/>
      <c r="U250" s="169"/>
      <c r="V250" s="169"/>
      <c r="W250" s="169"/>
      <c r="X250" s="169"/>
      <c r="Y250" s="169"/>
      <c r="Z250" s="169"/>
      <c r="AA250" s="169"/>
      <c r="AB250" s="169"/>
      <c r="AC250" s="169"/>
      <c r="AD250" s="169"/>
      <c r="AE250" s="169"/>
      <c r="AF250" s="169"/>
      <c r="AG250" s="169"/>
      <c r="AH250" s="169"/>
      <c r="AI250" s="169"/>
      <c r="AJ250" s="169"/>
      <c r="AK250" s="169"/>
      <c r="AL250" s="169"/>
      <c r="AM250" s="169"/>
      <c r="AN250" s="169"/>
      <c r="AO250" s="169"/>
      <c r="AP250" s="169"/>
      <c r="AQ250" s="169"/>
      <c r="AR250" s="169"/>
      <c r="AS250" s="169"/>
      <c r="AT250" s="169"/>
      <c r="AU250" s="169"/>
      <c r="AV250" s="169"/>
      <c r="AW250" s="169"/>
      <c r="AX250" s="169"/>
      <c r="AY250" s="169"/>
      <c r="AZ250" s="169"/>
      <c r="BA250" s="169"/>
      <c r="BB250" s="169"/>
      <c r="BC250" s="169"/>
      <c r="BD250" s="169"/>
      <c r="BE250" s="169"/>
      <c r="BF250" s="169"/>
      <c r="BG250" s="169"/>
      <c r="BH250" s="169"/>
      <c r="BI250" s="169"/>
      <c r="BJ250" s="169"/>
      <c r="BK250" s="169"/>
      <c r="BL250" s="169"/>
      <c r="BM250" s="169"/>
      <c r="BN250" s="169"/>
      <c r="BO250" s="169"/>
      <c r="BP250" s="169"/>
      <c r="BQ250" s="169"/>
      <c r="BR250" s="169"/>
      <c r="BS250" s="169"/>
      <c r="BT250" s="169"/>
      <c r="BU250" s="169"/>
      <c r="BV250" s="169"/>
      <c r="BW250" s="169"/>
      <c r="BX250" s="169"/>
      <c r="BY250" s="169"/>
      <c r="BZ250" s="169"/>
      <c r="CA250" s="169"/>
      <c r="CB250" s="169"/>
      <c r="CC250" s="169"/>
      <c r="CD250" s="169"/>
      <c r="CE250" s="169"/>
      <c r="CF250" s="169"/>
      <c r="CG250" s="169"/>
      <c r="CH250" s="169"/>
      <c r="CI250" s="169"/>
      <c r="CJ250" s="169"/>
      <c r="CK250" s="169"/>
      <c r="CL250" s="169"/>
      <c r="CM250" s="169"/>
      <c r="CN250" s="169"/>
      <c r="CO250" s="169"/>
      <c r="CP250" s="169"/>
      <c r="CQ250" s="169"/>
      <c r="CR250" s="169"/>
      <c r="CS250" s="169"/>
      <c r="CT250" s="169"/>
      <c r="CU250" s="169"/>
      <c r="CV250" s="169"/>
      <c r="CW250" s="169"/>
      <c r="CX250" s="169"/>
      <c r="CY250" s="169"/>
      <c r="CZ250" s="169"/>
      <c r="DA250" s="169"/>
      <c r="DB250" s="169"/>
      <c r="DC250" s="169"/>
      <c r="DD250" s="169"/>
      <c r="DE250" s="169"/>
      <c r="DF250" s="169"/>
      <c r="DG250" s="169"/>
      <c r="DH250" s="169"/>
      <c r="DI250" s="169"/>
      <c r="DJ250" s="169"/>
      <c r="DK250" s="169"/>
      <c r="DL250" s="169"/>
      <c r="DM250" s="169"/>
      <c r="DN250" s="169"/>
      <c r="DO250" s="169"/>
      <c r="DP250" s="169"/>
      <c r="DQ250" s="169"/>
      <c r="DR250" s="169"/>
      <c r="DS250" s="169"/>
      <c r="DT250" s="169"/>
      <c r="DU250" s="169"/>
      <c r="DV250" s="169"/>
      <c r="DW250" s="169"/>
      <c r="DX250" s="169"/>
      <c r="DY250" s="169"/>
      <c r="DZ250" s="169"/>
      <c r="EA250" s="169"/>
      <c r="EB250" s="169"/>
      <c r="EC250" s="169"/>
      <c r="ED250" s="169"/>
      <c r="EE250" s="169"/>
      <c r="EF250" s="169"/>
      <c r="EG250" s="169"/>
      <c r="EH250" s="169"/>
      <c r="EI250" s="169"/>
    </row>
    <row r="251" spans="2:139" ht="12.75" customHeight="1">
      <c r="B251" s="41" t="s">
        <v>613</v>
      </c>
      <c r="C251" s="209"/>
      <c r="D251" s="169"/>
      <c r="E251" s="78">
        <f t="shared" ref="E251:N251" si="459">SUM(D251:D253)*(E205&gt;0)</f>
        <v>0</v>
      </c>
      <c r="F251" s="78">
        <f t="shared" si="459"/>
        <v>0</v>
      </c>
      <c r="G251" s="78">
        <f t="shared" si="459"/>
        <v>0</v>
      </c>
      <c r="H251" s="78">
        <f t="shared" si="459"/>
        <v>0</v>
      </c>
      <c r="I251" s="78">
        <f t="shared" si="459"/>
        <v>0</v>
      </c>
      <c r="J251" s="78">
        <f t="shared" si="459"/>
        <v>0</v>
      </c>
      <c r="K251" s="78">
        <f t="shared" si="459"/>
        <v>0</v>
      </c>
      <c r="L251" s="78">
        <f t="shared" si="459"/>
        <v>0</v>
      </c>
      <c r="M251" s="78">
        <f t="shared" si="459"/>
        <v>0</v>
      </c>
      <c r="N251" s="78">
        <f t="shared" si="459"/>
        <v>0</v>
      </c>
      <c r="O251" s="91"/>
      <c r="S251" s="169"/>
      <c r="T251" s="78">
        <f t="shared" ref="T251:AY251" si="460">SUM(S251:S253)*(T205&gt;0)</f>
        <v>0</v>
      </c>
      <c r="U251" s="78">
        <f t="shared" si="460"/>
        <v>0</v>
      </c>
      <c r="V251" s="78">
        <f t="shared" si="460"/>
        <v>0</v>
      </c>
      <c r="W251" s="78">
        <f t="shared" si="460"/>
        <v>0</v>
      </c>
      <c r="X251" s="78">
        <f t="shared" si="460"/>
        <v>0</v>
      </c>
      <c r="Y251" s="78">
        <f t="shared" si="460"/>
        <v>0</v>
      </c>
      <c r="Z251" s="78">
        <f t="shared" si="460"/>
        <v>0</v>
      </c>
      <c r="AA251" s="78">
        <f t="shared" si="460"/>
        <v>0</v>
      </c>
      <c r="AB251" s="78">
        <f t="shared" si="460"/>
        <v>0</v>
      </c>
      <c r="AC251" s="78">
        <f t="shared" si="460"/>
        <v>0</v>
      </c>
      <c r="AD251" s="78">
        <f t="shared" si="460"/>
        <v>0</v>
      </c>
      <c r="AE251" s="78">
        <f t="shared" si="460"/>
        <v>0</v>
      </c>
      <c r="AF251" s="78">
        <f t="shared" si="460"/>
        <v>0</v>
      </c>
      <c r="AG251" s="78">
        <f t="shared" si="460"/>
        <v>0</v>
      </c>
      <c r="AH251" s="78">
        <f t="shared" si="460"/>
        <v>0</v>
      </c>
      <c r="AI251" s="78">
        <f t="shared" si="460"/>
        <v>0</v>
      </c>
      <c r="AJ251" s="78">
        <f t="shared" si="460"/>
        <v>0</v>
      </c>
      <c r="AK251" s="78">
        <f t="shared" si="460"/>
        <v>0</v>
      </c>
      <c r="AL251" s="78">
        <f t="shared" si="460"/>
        <v>0</v>
      </c>
      <c r="AM251" s="78">
        <f t="shared" si="460"/>
        <v>0</v>
      </c>
      <c r="AN251" s="78">
        <f t="shared" si="460"/>
        <v>0</v>
      </c>
      <c r="AO251" s="78">
        <f t="shared" si="460"/>
        <v>0</v>
      </c>
      <c r="AP251" s="78">
        <f t="shared" si="460"/>
        <v>0</v>
      </c>
      <c r="AQ251" s="78">
        <f t="shared" si="460"/>
        <v>0</v>
      </c>
      <c r="AR251" s="78">
        <f t="shared" si="460"/>
        <v>0</v>
      </c>
      <c r="AS251" s="78">
        <f t="shared" si="460"/>
        <v>0</v>
      </c>
      <c r="AT251" s="78">
        <f t="shared" si="460"/>
        <v>0</v>
      </c>
      <c r="AU251" s="78">
        <f t="shared" si="460"/>
        <v>0</v>
      </c>
      <c r="AV251" s="78">
        <f t="shared" si="460"/>
        <v>0</v>
      </c>
      <c r="AW251" s="78">
        <f t="shared" si="460"/>
        <v>0</v>
      </c>
      <c r="AX251" s="78">
        <f t="shared" si="460"/>
        <v>0</v>
      </c>
      <c r="AY251" s="78">
        <f t="shared" si="460"/>
        <v>0</v>
      </c>
      <c r="AZ251" s="78">
        <f t="shared" ref="AZ251:CE251" si="461">SUM(AY251:AY253)*(AZ205&gt;0)</f>
        <v>0</v>
      </c>
      <c r="BA251" s="78">
        <f t="shared" si="461"/>
        <v>0</v>
      </c>
      <c r="BB251" s="78">
        <f t="shared" si="461"/>
        <v>0</v>
      </c>
      <c r="BC251" s="78">
        <f t="shared" si="461"/>
        <v>0</v>
      </c>
      <c r="BD251" s="78">
        <f t="shared" si="461"/>
        <v>0</v>
      </c>
      <c r="BE251" s="78">
        <f t="shared" si="461"/>
        <v>0</v>
      </c>
      <c r="BF251" s="78">
        <f t="shared" si="461"/>
        <v>0</v>
      </c>
      <c r="BG251" s="78">
        <f t="shared" si="461"/>
        <v>0</v>
      </c>
      <c r="BH251" s="78">
        <f t="shared" si="461"/>
        <v>0</v>
      </c>
      <c r="BI251" s="78">
        <f t="shared" si="461"/>
        <v>0</v>
      </c>
      <c r="BJ251" s="78">
        <f t="shared" si="461"/>
        <v>0</v>
      </c>
      <c r="BK251" s="78">
        <f t="shared" si="461"/>
        <v>0</v>
      </c>
      <c r="BL251" s="78">
        <f t="shared" si="461"/>
        <v>0</v>
      </c>
      <c r="BM251" s="78">
        <f t="shared" si="461"/>
        <v>0</v>
      </c>
      <c r="BN251" s="78">
        <f t="shared" si="461"/>
        <v>0</v>
      </c>
      <c r="BO251" s="78">
        <f t="shared" si="461"/>
        <v>0</v>
      </c>
      <c r="BP251" s="78">
        <f t="shared" si="461"/>
        <v>0</v>
      </c>
      <c r="BQ251" s="78">
        <f t="shared" si="461"/>
        <v>0</v>
      </c>
      <c r="BR251" s="78">
        <f t="shared" si="461"/>
        <v>0</v>
      </c>
      <c r="BS251" s="78">
        <f t="shared" si="461"/>
        <v>0</v>
      </c>
      <c r="BT251" s="78">
        <f t="shared" si="461"/>
        <v>0</v>
      </c>
      <c r="BU251" s="78">
        <f t="shared" si="461"/>
        <v>0</v>
      </c>
      <c r="BV251" s="78">
        <f t="shared" si="461"/>
        <v>0</v>
      </c>
      <c r="BW251" s="78">
        <f t="shared" si="461"/>
        <v>0</v>
      </c>
      <c r="BX251" s="78">
        <f t="shared" si="461"/>
        <v>0</v>
      </c>
      <c r="BY251" s="78">
        <f t="shared" si="461"/>
        <v>0</v>
      </c>
      <c r="BZ251" s="78">
        <f t="shared" si="461"/>
        <v>0</v>
      </c>
      <c r="CA251" s="78">
        <f t="shared" si="461"/>
        <v>0</v>
      </c>
      <c r="CB251" s="78">
        <f t="shared" si="461"/>
        <v>0</v>
      </c>
      <c r="CC251" s="78">
        <f t="shared" si="461"/>
        <v>0</v>
      </c>
      <c r="CD251" s="78">
        <f t="shared" si="461"/>
        <v>0</v>
      </c>
      <c r="CE251" s="78">
        <f t="shared" si="461"/>
        <v>0</v>
      </c>
      <c r="CF251" s="78">
        <f t="shared" ref="CF251:DK251" si="462">SUM(CE251:CE253)*(CF205&gt;0)</f>
        <v>0</v>
      </c>
      <c r="CG251" s="78">
        <f t="shared" si="462"/>
        <v>0</v>
      </c>
      <c r="CH251" s="78">
        <f t="shared" si="462"/>
        <v>0</v>
      </c>
      <c r="CI251" s="78">
        <f t="shared" si="462"/>
        <v>0</v>
      </c>
      <c r="CJ251" s="78">
        <f t="shared" si="462"/>
        <v>0</v>
      </c>
      <c r="CK251" s="78">
        <f t="shared" si="462"/>
        <v>0</v>
      </c>
      <c r="CL251" s="78">
        <f t="shared" si="462"/>
        <v>0</v>
      </c>
      <c r="CM251" s="78">
        <f t="shared" si="462"/>
        <v>0</v>
      </c>
      <c r="CN251" s="78">
        <f t="shared" si="462"/>
        <v>0</v>
      </c>
      <c r="CO251" s="78">
        <f t="shared" si="462"/>
        <v>0</v>
      </c>
      <c r="CP251" s="78">
        <f t="shared" si="462"/>
        <v>0</v>
      </c>
      <c r="CQ251" s="78">
        <f t="shared" si="462"/>
        <v>0</v>
      </c>
      <c r="CR251" s="78">
        <f t="shared" si="462"/>
        <v>0</v>
      </c>
      <c r="CS251" s="78">
        <f t="shared" si="462"/>
        <v>0</v>
      </c>
      <c r="CT251" s="78">
        <f t="shared" si="462"/>
        <v>0</v>
      </c>
      <c r="CU251" s="78">
        <f t="shared" si="462"/>
        <v>0</v>
      </c>
      <c r="CV251" s="78">
        <f t="shared" si="462"/>
        <v>0</v>
      </c>
      <c r="CW251" s="78">
        <f t="shared" si="462"/>
        <v>0</v>
      </c>
      <c r="CX251" s="78">
        <f t="shared" si="462"/>
        <v>0</v>
      </c>
      <c r="CY251" s="78">
        <f t="shared" si="462"/>
        <v>0</v>
      </c>
      <c r="CZ251" s="78">
        <f t="shared" si="462"/>
        <v>0</v>
      </c>
      <c r="DA251" s="78">
        <f t="shared" si="462"/>
        <v>0</v>
      </c>
      <c r="DB251" s="78">
        <f t="shared" si="462"/>
        <v>0</v>
      </c>
      <c r="DC251" s="78">
        <f t="shared" si="462"/>
        <v>0</v>
      </c>
      <c r="DD251" s="78">
        <f t="shared" si="462"/>
        <v>0</v>
      </c>
      <c r="DE251" s="78">
        <f t="shared" si="462"/>
        <v>0</v>
      </c>
      <c r="DF251" s="78">
        <f t="shared" si="462"/>
        <v>0</v>
      </c>
      <c r="DG251" s="78">
        <f t="shared" si="462"/>
        <v>0</v>
      </c>
      <c r="DH251" s="78">
        <f t="shared" si="462"/>
        <v>0</v>
      </c>
      <c r="DI251" s="78">
        <f t="shared" si="462"/>
        <v>0</v>
      </c>
      <c r="DJ251" s="78">
        <f t="shared" si="462"/>
        <v>0</v>
      </c>
      <c r="DK251" s="78">
        <f t="shared" si="462"/>
        <v>0</v>
      </c>
      <c r="DL251" s="78">
        <f t="shared" ref="DL251:EI251" si="463">SUM(DK251:DK253)*(DL205&gt;0)</f>
        <v>0</v>
      </c>
      <c r="DM251" s="78">
        <f t="shared" si="463"/>
        <v>0</v>
      </c>
      <c r="DN251" s="78">
        <f t="shared" si="463"/>
        <v>0</v>
      </c>
      <c r="DO251" s="78">
        <f t="shared" si="463"/>
        <v>0</v>
      </c>
      <c r="DP251" s="78">
        <f t="shared" si="463"/>
        <v>0</v>
      </c>
      <c r="DQ251" s="78">
        <f t="shared" si="463"/>
        <v>0</v>
      </c>
      <c r="DR251" s="78">
        <f t="shared" si="463"/>
        <v>0</v>
      </c>
      <c r="DS251" s="78">
        <f t="shared" si="463"/>
        <v>0</v>
      </c>
      <c r="DT251" s="78">
        <f t="shared" si="463"/>
        <v>0</v>
      </c>
      <c r="DU251" s="78">
        <f t="shared" si="463"/>
        <v>0</v>
      </c>
      <c r="DV251" s="78">
        <f t="shared" si="463"/>
        <v>0</v>
      </c>
      <c r="DW251" s="78">
        <f t="shared" si="463"/>
        <v>0</v>
      </c>
      <c r="DX251" s="78">
        <f t="shared" si="463"/>
        <v>0</v>
      </c>
      <c r="DY251" s="78">
        <f t="shared" si="463"/>
        <v>0</v>
      </c>
      <c r="DZ251" s="78">
        <f t="shared" si="463"/>
        <v>0</v>
      </c>
      <c r="EA251" s="78">
        <f t="shared" si="463"/>
        <v>0</v>
      </c>
      <c r="EB251" s="78">
        <f t="shared" si="463"/>
        <v>0</v>
      </c>
      <c r="EC251" s="78">
        <f t="shared" si="463"/>
        <v>0</v>
      </c>
      <c r="ED251" s="78">
        <f t="shared" si="463"/>
        <v>0</v>
      </c>
      <c r="EE251" s="78">
        <f t="shared" si="463"/>
        <v>0</v>
      </c>
      <c r="EF251" s="78">
        <f t="shared" si="463"/>
        <v>0</v>
      </c>
      <c r="EG251" s="78">
        <f t="shared" si="463"/>
        <v>0</v>
      </c>
      <c r="EH251" s="78">
        <f t="shared" si="463"/>
        <v>0</v>
      </c>
      <c r="EI251" s="78">
        <f t="shared" si="463"/>
        <v>0</v>
      </c>
    </row>
    <row r="252" spans="2:139" ht="12.75" customHeight="1">
      <c r="B252" s="41" t="s">
        <v>614</v>
      </c>
      <c r="C252" s="209"/>
      <c r="D252" s="78">
        <f t="shared" ref="D252:N252" si="464">SUMIF($S$6:$EI$6,D$5,$S252:$EI252)</f>
        <v>0</v>
      </c>
      <c r="E252" s="78">
        <f t="shared" si="464"/>
        <v>0</v>
      </c>
      <c r="F252" s="78">
        <f t="shared" si="464"/>
        <v>0</v>
      </c>
      <c r="G252" s="78">
        <f t="shared" si="464"/>
        <v>0</v>
      </c>
      <c r="H252" s="78">
        <f t="shared" si="464"/>
        <v>0</v>
      </c>
      <c r="I252" s="78">
        <f t="shared" si="464"/>
        <v>0</v>
      </c>
      <c r="J252" s="78">
        <f t="shared" si="464"/>
        <v>0</v>
      </c>
      <c r="K252" s="78">
        <f t="shared" si="464"/>
        <v>0</v>
      </c>
      <c r="L252" s="78">
        <f t="shared" si="464"/>
        <v>0</v>
      </c>
      <c r="M252" s="78">
        <f t="shared" si="464"/>
        <v>0</v>
      </c>
      <c r="N252" s="78">
        <f t="shared" si="464"/>
        <v>0</v>
      </c>
      <c r="O252" s="145">
        <f>SUM(D252:N252)</f>
        <v>0</v>
      </c>
      <c r="S252" s="78">
        <f t="shared" ref="S252:AX252" si="465">S206</f>
        <v>0</v>
      </c>
      <c r="T252" s="78">
        <f t="shared" si="465"/>
        <v>0</v>
      </c>
      <c r="U252" s="78">
        <f t="shared" si="465"/>
        <v>0</v>
      </c>
      <c r="V252" s="78">
        <f t="shared" si="465"/>
        <v>0</v>
      </c>
      <c r="W252" s="78">
        <f t="shared" si="465"/>
        <v>0</v>
      </c>
      <c r="X252" s="78">
        <f t="shared" si="465"/>
        <v>0</v>
      </c>
      <c r="Y252" s="78">
        <f t="shared" si="465"/>
        <v>0</v>
      </c>
      <c r="Z252" s="78">
        <f t="shared" si="465"/>
        <v>0</v>
      </c>
      <c r="AA252" s="78">
        <f t="shared" si="465"/>
        <v>0</v>
      </c>
      <c r="AB252" s="78">
        <f t="shared" si="465"/>
        <v>0</v>
      </c>
      <c r="AC252" s="78">
        <f t="shared" si="465"/>
        <v>0</v>
      </c>
      <c r="AD252" s="78">
        <f t="shared" si="465"/>
        <v>0</v>
      </c>
      <c r="AE252" s="78">
        <f t="shared" si="465"/>
        <v>0</v>
      </c>
      <c r="AF252" s="78">
        <f t="shared" si="465"/>
        <v>0</v>
      </c>
      <c r="AG252" s="78">
        <f t="shared" si="465"/>
        <v>0</v>
      </c>
      <c r="AH252" s="78">
        <f t="shared" si="465"/>
        <v>0</v>
      </c>
      <c r="AI252" s="78">
        <f t="shared" si="465"/>
        <v>0</v>
      </c>
      <c r="AJ252" s="78">
        <f t="shared" si="465"/>
        <v>0</v>
      </c>
      <c r="AK252" s="78">
        <f t="shared" si="465"/>
        <v>0</v>
      </c>
      <c r="AL252" s="78">
        <f t="shared" si="465"/>
        <v>0</v>
      </c>
      <c r="AM252" s="78">
        <f t="shared" si="465"/>
        <v>0</v>
      </c>
      <c r="AN252" s="78">
        <f t="shared" si="465"/>
        <v>0</v>
      </c>
      <c r="AO252" s="78">
        <f t="shared" si="465"/>
        <v>0</v>
      </c>
      <c r="AP252" s="78">
        <f t="shared" si="465"/>
        <v>0</v>
      </c>
      <c r="AQ252" s="78">
        <f t="shared" si="465"/>
        <v>0</v>
      </c>
      <c r="AR252" s="78">
        <f t="shared" si="465"/>
        <v>0</v>
      </c>
      <c r="AS252" s="78">
        <f t="shared" si="465"/>
        <v>0</v>
      </c>
      <c r="AT252" s="78">
        <f t="shared" si="465"/>
        <v>0</v>
      </c>
      <c r="AU252" s="78">
        <f t="shared" si="465"/>
        <v>0</v>
      </c>
      <c r="AV252" s="78">
        <f t="shared" si="465"/>
        <v>0</v>
      </c>
      <c r="AW252" s="78">
        <f t="shared" si="465"/>
        <v>0</v>
      </c>
      <c r="AX252" s="78">
        <f t="shared" si="465"/>
        <v>0</v>
      </c>
      <c r="AY252" s="78">
        <f t="shared" ref="AY252:CD252" si="466">AY206</f>
        <v>0</v>
      </c>
      <c r="AZ252" s="78">
        <f t="shared" si="466"/>
        <v>0</v>
      </c>
      <c r="BA252" s="78">
        <f t="shared" si="466"/>
        <v>0</v>
      </c>
      <c r="BB252" s="78">
        <f t="shared" si="466"/>
        <v>0</v>
      </c>
      <c r="BC252" s="78">
        <f t="shared" si="466"/>
        <v>0</v>
      </c>
      <c r="BD252" s="78">
        <f t="shared" si="466"/>
        <v>0</v>
      </c>
      <c r="BE252" s="78">
        <f t="shared" si="466"/>
        <v>0</v>
      </c>
      <c r="BF252" s="78">
        <f t="shared" si="466"/>
        <v>0</v>
      </c>
      <c r="BG252" s="78">
        <f t="shared" si="466"/>
        <v>0</v>
      </c>
      <c r="BH252" s="78">
        <f t="shared" si="466"/>
        <v>0</v>
      </c>
      <c r="BI252" s="78">
        <f t="shared" si="466"/>
        <v>0</v>
      </c>
      <c r="BJ252" s="78">
        <f t="shared" si="466"/>
        <v>0</v>
      </c>
      <c r="BK252" s="78">
        <f t="shared" si="466"/>
        <v>0</v>
      </c>
      <c r="BL252" s="78">
        <f t="shared" si="466"/>
        <v>0</v>
      </c>
      <c r="BM252" s="78">
        <f t="shared" si="466"/>
        <v>0</v>
      </c>
      <c r="BN252" s="78">
        <f t="shared" si="466"/>
        <v>0</v>
      </c>
      <c r="BO252" s="78">
        <f t="shared" si="466"/>
        <v>0</v>
      </c>
      <c r="BP252" s="78">
        <f t="shared" si="466"/>
        <v>0</v>
      </c>
      <c r="BQ252" s="78">
        <f t="shared" si="466"/>
        <v>0</v>
      </c>
      <c r="BR252" s="78">
        <f t="shared" si="466"/>
        <v>0</v>
      </c>
      <c r="BS252" s="78">
        <f t="shared" si="466"/>
        <v>0</v>
      </c>
      <c r="BT252" s="78">
        <f t="shared" si="466"/>
        <v>0</v>
      </c>
      <c r="BU252" s="78">
        <f t="shared" si="466"/>
        <v>0</v>
      </c>
      <c r="BV252" s="78">
        <f t="shared" si="466"/>
        <v>0</v>
      </c>
      <c r="BW252" s="78">
        <f t="shared" si="466"/>
        <v>0</v>
      </c>
      <c r="BX252" s="78">
        <f t="shared" si="466"/>
        <v>0</v>
      </c>
      <c r="BY252" s="78">
        <f t="shared" si="466"/>
        <v>0</v>
      </c>
      <c r="BZ252" s="78">
        <f t="shared" si="466"/>
        <v>0</v>
      </c>
      <c r="CA252" s="78">
        <f t="shared" si="466"/>
        <v>0</v>
      </c>
      <c r="CB252" s="78">
        <f t="shared" si="466"/>
        <v>0</v>
      </c>
      <c r="CC252" s="78">
        <f t="shared" si="466"/>
        <v>0</v>
      </c>
      <c r="CD252" s="78">
        <f t="shared" si="466"/>
        <v>0</v>
      </c>
      <c r="CE252" s="78">
        <f t="shared" ref="CE252:DJ252" si="467">CE206</f>
        <v>0</v>
      </c>
      <c r="CF252" s="78">
        <f t="shared" si="467"/>
        <v>0</v>
      </c>
      <c r="CG252" s="78">
        <f t="shared" si="467"/>
        <v>0</v>
      </c>
      <c r="CH252" s="78">
        <f t="shared" si="467"/>
        <v>0</v>
      </c>
      <c r="CI252" s="78">
        <f t="shared" si="467"/>
        <v>0</v>
      </c>
      <c r="CJ252" s="78">
        <f t="shared" si="467"/>
        <v>0</v>
      </c>
      <c r="CK252" s="78">
        <f t="shared" si="467"/>
        <v>0</v>
      </c>
      <c r="CL252" s="78">
        <f t="shared" si="467"/>
        <v>0</v>
      </c>
      <c r="CM252" s="78">
        <f t="shared" si="467"/>
        <v>0</v>
      </c>
      <c r="CN252" s="78">
        <f t="shared" si="467"/>
        <v>0</v>
      </c>
      <c r="CO252" s="78">
        <f t="shared" si="467"/>
        <v>0</v>
      </c>
      <c r="CP252" s="78">
        <f t="shared" si="467"/>
        <v>0</v>
      </c>
      <c r="CQ252" s="78">
        <f t="shared" si="467"/>
        <v>0</v>
      </c>
      <c r="CR252" s="78">
        <f t="shared" si="467"/>
        <v>0</v>
      </c>
      <c r="CS252" s="78">
        <f t="shared" si="467"/>
        <v>0</v>
      </c>
      <c r="CT252" s="78">
        <f t="shared" si="467"/>
        <v>0</v>
      </c>
      <c r="CU252" s="78">
        <f t="shared" si="467"/>
        <v>0</v>
      </c>
      <c r="CV252" s="78">
        <f t="shared" si="467"/>
        <v>0</v>
      </c>
      <c r="CW252" s="78">
        <f t="shared" si="467"/>
        <v>0</v>
      </c>
      <c r="CX252" s="78">
        <f t="shared" si="467"/>
        <v>0</v>
      </c>
      <c r="CY252" s="78">
        <f t="shared" si="467"/>
        <v>0</v>
      </c>
      <c r="CZ252" s="78">
        <f t="shared" si="467"/>
        <v>0</v>
      </c>
      <c r="DA252" s="78">
        <f t="shared" si="467"/>
        <v>0</v>
      </c>
      <c r="DB252" s="78">
        <f t="shared" si="467"/>
        <v>0</v>
      </c>
      <c r="DC252" s="78">
        <f t="shared" si="467"/>
        <v>0</v>
      </c>
      <c r="DD252" s="78">
        <f t="shared" si="467"/>
        <v>0</v>
      </c>
      <c r="DE252" s="78">
        <f t="shared" si="467"/>
        <v>0</v>
      </c>
      <c r="DF252" s="78">
        <f t="shared" si="467"/>
        <v>0</v>
      </c>
      <c r="DG252" s="78">
        <f t="shared" si="467"/>
        <v>0</v>
      </c>
      <c r="DH252" s="78">
        <f t="shared" si="467"/>
        <v>0</v>
      </c>
      <c r="DI252" s="78">
        <f t="shared" si="467"/>
        <v>0</v>
      </c>
      <c r="DJ252" s="78">
        <f t="shared" si="467"/>
        <v>0</v>
      </c>
      <c r="DK252" s="78">
        <f t="shared" ref="DK252:EI252" si="468">DK206</f>
        <v>0</v>
      </c>
      <c r="DL252" s="78">
        <f t="shared" si="468"/>
        <v>0</v>
      </c>
      <c r="DM252" s="78">
        <f t="shared" si="468"/>
        <v>0</v>
      </c>
      <c r="DN252" s="78">
        <f t="shared" si="468"/>
        <v>0</v>
      </c>
      <c r="DO252" s="78">
        <f t="shared" si="468"/>
        <v>0</v>
      </c>
      <c r="DP252" s="78">
        <f t="shared" si="468"/>
        <v>0</v>
      </c>
      <c r="DQ252" s="78">
        <f t="shared" si="468"/>
        <v>0</v>
      </c>
      <c r="DR252" s="78">
        <f t="shared" si="468"/>
        <v>0</v>
      </c>
      <c r="DS252" s="78">
        <f t="shared" si="468"/>
        <v>0</v>
      </c>
      <c r="DT252" s="78">
        <f t="shared" si="468"/>
        <v>0</v>
      </c>
      <c r="DU252" s="78">
        <f t="shared" si="468"/>
        <v>0</v>
      </c>
      <c r="DV252" s="78">
        <f t="shared" si="468"/>
        <v>0</v>
      </c>
      <c r="DW252" s="78">
        <f t="shared" si="468"/>
        <v>0</v>
      </c>
      <c r="DX252" s="78">
        <f t="shared" si="468"/>
        <v>0</v>
      </c>
      <c r="DY252" s="78">
        <f t="shared" si="468"/>
        <v>0</v>
      </c>
      <c r="DZ252" s="78">
        <f t="shared" si="468"/>
        <v>0</v>
      </c>
      <c r="EA252" s="78">
        <f t="shared" si="468"/>
        <v>0</v>
      </c>
      <c r="EB252" s="78">
        <f t="shared" si="468"/>
        <v>0</v>
      </c>
      <c r="EC252" s="78">
        <f t="shared" si="468"/>
        <v>0</v>
      </c>
      <c r="ED252" s="78">
        <f t="shared" si="468"/>
        <v>0</v>
      </c>
      <c r="EE252" s="78">
        <f t="shared" si="468"/>
        <v>0</v>
      </c>
      <c r="EF252" s="78">
        <f t="shared" si="468"/>
        <v>0</v>
      </c>
      <c r="EG252" s="78">
        <f t="shared" si="468"/>
        <v>0</v>
      </c>
      <c r="EH252" s="78">
        <f t="shared" si="468"/>
        <v>0</v>
      </c>
      <c r="EI252" s="78">
        <f t="shared" si="468"/>
        <v>0</v>
      </c>
    </row>
    <row r="253" spans="2:139" ht="12.75" customHeight="1">
      <c r="B253" s="41" t="s">
        <v>615</v>
      </c>
      <c r="C253" s="209"/>
      <c r="D253" s="169"/>
      <c r="E253" s="78">
        <f t="shared" ref="E253:N254" si="469">SUMIF($S$6:$EI$6,E$5,$S253:$EI253)</f>
        <v>0</v>
      </c>
      <c r="F253" s="78">
        <f t="shared" si="469"/>
        <v>0</v>
      </c>
      <c r="G253" s="78">
        <f t="shared" si="469"/>
        <v>0</v>
      </c>
      <c r="H253" s="78">
        <f t="shared" si="469"/>
        <v>0</v>
      </c>
      <c r="I253" s="78">
        <f t="shared" si="469"/>
        <v>0</v>
      </c>
      <c r="J253" s="78">
        <f t="shared" si="469"/>
        <v>0</v>
      </c>
      <c r="K253" s="78">
        <f t="shared" si="469"/>
        <v>0</v>
      </c>
      <c r="L253" s="78">
        <f t="shared" si="469"/>
        <v>0</v>
      </c>
      <c r="M253" s="78">
        <f t="shared" si="469"/>
        <v>0</v>
      </c>
      <c r="N253" s="78">
        <f t="shared" si="469"/>
        <v>0</v>
      </c>
      <c r="O253" s="145">
        <f>SUM(D253:N253)</f>
        <v>0</v>
      </c>
      <c r="S253" s="169"/>
      <c r="T253" s="78">
        <f>IF(AND(HasLoan1,L1HasAmort,T251),IF(Loan1PmtType=VariablePmt,PPMT(Loan1IntRate/12,T$5-Loan1OrigMnth,MAX(Loan1AmortPer*12,Loan1Term),Loan1Amount),-MIN(T251,PMT(Loan1IntRate/12,MAX(Loan1AmortPer*12,Loan1Term),-Loan1Amount)+T254)),)</f>
        <v>0</v>
      </c>
      <c r="U253" s="78">
        <f>IF(AND(HasLoan1,L1HasAmort,U251),IF(Loan1PmtType=VariablePmt,PPMT(Loan1IntRate/12,U$5-Loan1OrigMnth,MAX(Loan1AmortPer*12,Loan1Term),Loan1Amount),-MIN(U251,PMT(Loan1IntRate/12,MAX(Loan1AmortPer*12,Loan1Term),-Loan1Amount)+U254)),)</f>
        <v>0</v>
      </c>
      <c r="V253" s="78">
        <f>IF(AND(HasLoan1,L1HasAmort,V251),IF(Loan1PmtType=VariablePmt,PPMT(Loan1IntRate/12,V$5-Loan1OrigMnth,MAX(Loan1AmortPer*12,Loan1Term),Loan1Amount),-MIN(V251,PMT(Loan1IntRate/12,MAX(Loan1AmortPer*12,Loan1Term),-Loan1Amount)+V254)),)</f>
        <v>0</v>
      </c>
      <c r="W253" s="78">
        <f>IF(AND(HasLoan1,L1HasAmort,W251),IF(Loan1PmtType=VariablePmt,PPMT(Loan1IntRate/12,W$5-Loan1OrigMnth,MAX(Loan1AmortPer*12,Loan1Term),Loan1Amount),-MIN(W251,PMT(Loan1IntRate/12,MAX(Loan1AmortPer*12,Loan1Term),-Loan1Amount)+W254)),)</f>
        <v>0</v>
      </c>
      <c r="X253" s="78">
        <f>IF(AND(HasLoan1,L1HasAmort,X251),IF(Loan1PmtType=VariablePmt,PPMT(Loan1IntRate/12,X$5-Loan1OrigMnth,MAX(Loan1AmortPer*12,Loan1Term),Loan1Amount),-MIN(X251,PMT(Loan1IntRate/12,MAX(Loan1AmortPer*12,Loan1Term),-Loan1Amount)+X254)),)</f>
        <v>0</v>
      </c>
      <c r="Y253" s="78">
        <f>IF(AND(HasLoan1,L1HasAmort,Y251),IF(Loan1PmtType=VariablePmt,PPMT(Loan1IntRate/12,Y$5-Loan1OrigMnth,MAX(Loan1AmortPer*12,Loan1Term),Loan1Amount),-MIN(Y251,PMT(Loan1IntRate/12,MAX(Loan1AmortPer*12,Loan1Term),-Loan1Amount)+Y254)),)</f>
        <v>0</v>
      </c>
      <c r="Z253" s="78">
        <f>IF(AND(HasLoan1,L1HasAmort,Z251),IF(Loan1PmtType=VariablePmt,PPMT(Loan1IntRate/12,Z$5-Loan1OrigMnth,MAX(Loan1AmortPer*12,Loan1Term),Loan1Amount),-MIN(Z251,PMT(Loan1IntRate/12,MAX(Loan1AmortPer*12,Loan1Term),-Loan1Amount)+Z254)),)</f>
        <v>0</v>
      </c>
      <c r="AA253" s="78">
        <f>IF(AND(HasLoan1,L1HasAmort,AA251),IF(Loan1PmtType=VariablePmt,PPMT(Loan1IntRate/12,AA$5-Loan1OrigMnth,MAX(Loan1AmortPer*12,Loan1Term),Loan1Amount),-MIN(AA251,PMT(Loan1IntRate/12,MAX(Loan1AmortPer*12,Loan1Term),-Loan1Amount)+AA254)),)</f>
        <v>0</v>
      </c>
      <c r="AB253" s="78">
        <f>IF(AND(HasLoan1,L1HasAmort,AB251),IF(Loan1PmtType=VariablePmt,PPMT(Loan1IntRate/12,AB$5-Loan1OrigMnth,MAX(Loan1AmortPer*12,Loan1Term),Loan1Amount),-MIN(AB251,PMT(Loan1IntRate/12,MAX(Loan1AmortPer*12,Loan1Term),-Loan1Amount)+AB254)),)</f>
        <v>0</v>
      </c>
      <c r="AC253" s="78">
        <f>IF(AND(HasLoan1,L1HasAmort,AC251),IF(Loan1PmtType=VariablePmt,PPMT(Loan1IntRate/12,AC$5-Loan1OrigMnth,MAX(Loan1AmortPer*12,Loan1Term),Loan1Amount),-MIN(AC251,PMT(Loan1IntRate/12,MAX(Loan1AmortPer*12,Loan1Term),-Loan1Amount)+AC254)),)</f>
        <v>0</v>
      </c>
      <c r="AD253" s="78">
        <f>IF(AND(HasLoan1,L1HasAmort,AD251),IF(Loan1PmtType=VariablePmt,PPMT(Loan1IntRate/12,AD$5-Loan1OrigMnth,MAX(Loan1AmortPer*12,Loan1Term),Loan1Amount),-MIN(AD251,PMT(Loan1IntRate/12,MAX(Loan1AmortPer*12,Loan1Term),-Loan1Amount)+AD254)),)</f>
        <v>0</v>
      </c>
      <c r="AE253" s="78">
        <f>IF(AND(HasLoan1,L1HasAmort,AE251),IF(Loan1PmtType=VariablePmt,PPMT(Loan1IntRate/12,AE$5-Loan1OrigMnth,MAX(Loan1AmortPer*12,Loan1Term),Loan1Amount),-MIN(AE251,PMT(Loan1IntRate/12,MAX(Loan1AmortPer*12,Loan1Term),-Loan1Amount)+AE254)),)</f>
        <v>0</v>
      </c>
      <c r="AF253" s="78">
        <f>IF(AND(HasLoan1,L1HasAmort,AF251),IF(Loan1PmtType=VariablePmt,PPMT(Loan1IntRate/12,AF$5-Loan1OrigMnth,MAX(Loan1AmortPer*12,Loan1Term),Loan1Amount),-MIN(AF251,PMT(Loan1IntRate/12,MAX(Loan1AmortPer*12,Loan1Term),-Loan1Amount)+AF254)),)</f>
        <v>0</v>
      </c>
      <c r="AG253" s="78">
        <f>IF(AND(HasLoan1,L1HasAmort,AG251),IF(Loan1PmtType=VariablePmt,PPMT(Loan1IntRate/12,AG$5-Loan1OrigMnth,MAX(Loan1AmortPer*12,Loan1Term),Loan1Amount),-MIN(AG251,PMT(Loan1IntRate/12,MAX(Loan1AmortPer*12,Loan1Term),-Loan1Amount)+AG254)),)</f>
        <v>0</v>
      </c>
      <c r="AH253" s="78">
        <f>IF(AND(HasLoan1,L1HasAmort,AH251),IF(Loan1PmtType=VariablePmt,PPMT(Loan1IntRate/12,AH$5-Loan1OrigMnth,MAX(Loan1AmortPer*12,Loan1Term),Loan1Amount),-MIN(AH251,PMT(Loan1IntRate/12,MAX(Loan1AmortPer*12,Loan1Term),-Loan1Amount)+AH254)),)</f>
        <v>0</v>
      </c>
      <c r="AI253" s="78">
        <f>IF(AND(HasLoan1,L1HasAmort,AI251),IF(Loan1PmtType=VariablePmt,PPMT(Loan1IntRate/12,AI$5-Loan1OrigMnth,MAX(Loan1AmortPer*12,Loan1Term),Loan1Amount),-MIN(AI251,PMT(Loan1IntRate/12,MAX(Loan1AmortPer*12,Loan1Term),-Loan1Amount)+AI254)),)</f>
        <v>0</v>
      </c>
      <c r="AJ253" s="78">
        <f>IF(AND(HasLoan1,L1HasAmort,AJ251),IF(Loan1PmtType=VariablePmt,PPMT(Loan1IntRate/12,AJ$5-Loan1OrigMnth,MAX(Loan1AmortPer*12,Loan1Term),Loan1Amount),-MIN(AJ251,PMT(Loan1IntRate/12,MAX(Loan1AmortPer*12,Loan1Term),-Loan1Amount)+AJ254)),)</f>
        <v>0</v>
      </c>
      <c r="AK253" s="78">
        <f>IF(AND(HasLoan1,L1HasAmort,AK251),IF(Loan1PmtType=VariablePmt,PPMT(Loan1IntRate/12,AK$5-Loan1OrigMnth,MAX(Loan1AmortPer*12,Loan1Term),Loan1Amount),-MIN(AK251,PMT(Loan1IntRate/12,MAX(Loan1AmortPer*12,Loan1Term),-Loan1Amount)+AK254)),)</f>
        <v>0</v>
      </c>
      <c r="AL253" s="78">
        <f>IF(AND(HasLoan1,L1HasAmort,AL251),IF(Loan1PmtType=VariablePmt,PPMT(Loan1IntRate/12,AL$5-Loan1OrigMnth,MAX(Loan1AmortPer*12,Loan1Term),Loan1Amount),-MIN(AL251,PMT(Loan1IntRate/12,MAX(Loan1AmortPer*12,Loan1Term),-Loan1Amount)+AL254)),)</f>
        <v>0</v>
      </c>
      <c r="AM253" s="78">
        <f>IF(AND(HasLoan1,L1HasAmort,AM251),IF(Loan1PmtType=VariablePmt,PPMT(Loan1IntRate/12,AM$5-Loan1OrigMnth,MAX(Loan1AmortPer*12,Loan1Term),Loan1Amount),-MIN(AM251,PMT(Loan1IntRate/12,MAX(Loan1AmortPer*12,Loan1Term),-Loan1Amount)+AM254)),)</f>
        <v>0</v>
      </c>
      <c r="AN253" s="78">
        <f>IF(AND(HasLoan1,L1HasAmort,AN251),IF(Loan1PmtType=VariablePmt,PPMT(Loan1IntRate/12,AN$5-Loan1OrigMnth,MAX(Loan1AmortPer*12,Loan1Term),Loan1Amount),-MIN(AN251,PMT(Loan1IntRate/12,MAX(Loan1AmortPer*12,Loan1Term),-Loan1Amount)+AN254)),)</f>
        <v>0</v>
      </c>
      <c r="AO253" s="78">
        <f>IF(AND(HasLoan1,L1HasAmort,AO251),IF(Loan1PmtType=VariablePmt,PPMT(Loan1IntRate/12,AO$5-Loan1OrigMnth,MAX(Loan1AmortPer*12,Loan1Term),Loan1Amount),-MIN(AO251,PMT(Loan1IntRate/12,MAX(Loan1AmortPer*12,Loan1Term),-Loan1Amount)+AO254)),)</f>
        <v>0</v>
      </c>
      <c r="AP253" s="78">
        <f>IF(AND(HasLoan1,L1HasAmort,AP251),IF(Loan1PmtType=VariablePmt,PPMT(Loan1IntRate/12,AP$5-Loan1OrigMnth,MAX(Loan1AmortPer*12,Loan1Term),Loan1Amount),-MIN(AP251,PMT(Loan1IntRate/12,MAX(Loan1AmortPer*12,Loan1Term),-Loan1Amount)+AP254)),)</f>
        <v>0</v>
      </c>
      <c r="AQ253" s="78">
        <f>IF(AND(HasLoan1,L1HasAmort,AQ251),IF(Loan1PmtType=VariablePmt,PPMT(Loan1IntRate/12,AQ$5-Loan1OrigMnth,MAX(Loan1AmortPer*12,Loan1Term),Loan1Amount),-MIN(AQ251,PMT(Loan1IntRate/12,MAX(Loan1AmortPer*12,Loan1Term),-Loan1Amount)+AQ254)),)</f>
        <v>0</v>
      </c>
      <c r="AR253" s="78">
        <f>IF(AND(HasLoan1,L1HasAmort,AR251),IF(Loan1PmtType=VariablePmt,PPMT(Loan1IntRate/12,AR$5-Loan1OrigMnth,MAX(Loan1AmortPer*12,Loan1Term),Loan1Amount),-MIN(AR251,PMT(Loan1IntRate/12,MAX(Loan1AmortPer*12,Loan1Term),-Loan1Amount)+AR254)),)</f>
        <v>0</v>
      </c>
      <c r="AS253" s="78">
        <f>IF(AND(HasLoan1,L1HasAmort,AS251),IF(Loan1PmtType=VariablePmt,PPMT(Loan1IntRate/12,AS$5-Loan1OrigMnth,MAX(Loan1AmortPer*12,Loan1Term),Loan1Amount),-MIN(AS251,PMT(Loan1IntRate/12,MAX(Loan1AmortPer*12,Loan1Term),-Loan1Amount)+AS254)),)</f>
        <v>0</v>
      </c>
      <c r="AT253" s="78">
        <f>IF(AND(HasLoan1,L1HasAmort,AT251),IF(Loan1PmtType=VariablePmt,PPMT(Loan1IntRate/12,AT$5-Loan1OrigMnth,MAX(Loan1AmortPer*12,Loan1Term),Loan1Amount),-MIN(AT251,PMT(Loan1IntRate/12,MAX(Loan1AmortPer*12,Loan1Term),-Loan1Amount)+AT254)),)</f>
        <v>0</v>
      </c>
      <c r="AU253" s="78">
        <f>IF(AND(HasLoan1,L1HasAmort,AU251),IF(Loan1PmtType=VariablePmt,PPMT(Loan1IntRate/12,AU$5-Loan1OrigMnth,MAX(Loan1AmortPer*12,Loan1Term),Loan1Amount),-MIN(AU251,PMT(Loan1IntRate/12,MAX(Loan1AmortPer*12,Loan1Term),-Loan1Amount)+AU254)),)</f>
        <v>0</v>
      </c>
      <c r="AV253" s="78">
        <f>IF(AND(HasLoan1,L1HasAmort,AV251),IF(Loan1PmtType=VariablePmt,PPMT(Loan1IntRate/12,AV$5-Loan1OrigMnth,MAX(Loan1AmortPer*12,Loan1Term),Loan1Amount),-MIN(AV251,PMT(Loan1IntRate/12,MAX(Loan1AmortPer*12,Loan1Term),-Loan1Amount)+AV254)),)</f>
        <v>0</v>
      </c>
      <c r="AW253" s="78">
        <f>IF(AND(HasLoan1,L1HasAmort,AW251),IF(Loan1PmtType=VariablePmt,PPMT(Loan1IntRate/12,AW$5-Loan1OrigMnth,MAX(Loan1AmortPer*12,Loan1Term),Loan1Amount),-MIN(AW251,PMT(Loan1IntRate/12,MAX(Loan1AmortPer*12,Loan1Term),-Loan1Amount)+AW254)),)</f>
        <v>0</v>
      </c>
      <c r="AX253" s="78">
        <f>IF(AND(HasLoan1,L1HasAmort,AX251),IF(Loan1PmtType=VariablePmt,PPMT(Loan1IntRate/12,AX$5-Loan1OrigMnth,MAX(Loan1AmortPer*12,Loan1Term),Loan1Amount),-MIN(AX251,PMT(Loan1IntRate/12,MAX(Loan1AmortPer*12,Loan1Term),-Loan1Amount)+AX254)),)</f>
        <v>0</v>
      </c>
      <c r="AY253" s="78">
        <f>IF(AND(HasLoan1,L1HasAmort,AY251),IF(Loan1PmtType=VariablePmt,PPMT(Loan1IntRate/12,AY$5-Loan1OrigMnth,MAX(Loan1AmortPer*12,Loan1Term),Loan1Amount),-MIN(AY251,PMT(Loan1IntRate/12,MAX(Loan1AmortPer*12,Loan1Term),-Loan1Amount)+AY254)),)</f>
        <v>0</v>
      </c>
      <c r="AZ253" s="78">
        <f>IF(AND(HasLoan1,L1HasAmort,AZ251),IF(Loan1PmtType=VariablePmt,PPMT(Loan1IntRate/12,AZ$5-Loan1OrigMnth,MAX(Loan1AmortPer*12,Loan1Term),Loan1Amount),-MIN(AZ251,PMT(Loan1IntRate/12,MAX(Loan1AmortPer*12,Loan1Term),-Loan1Amount)+AZ254)),)</f>
        <v>0</v>
      </c>
      <c r="BA253" s="78">
        <f>IF(AND(HasLoan1,L1HasAmort,BA251),IF(Loan1PmtType=VariablePmt,PPMT(Loan1IntRate/12,BA$5-Loan1OrigMnth,MAX(Loan1AmortPer*12,Loan1Term),Loan1Amount),-MIN(BA251,PMT(Loan1IntRate/12,MAX(Loan1AmortPer*12,Loan1Term),-Loan1Amount)+BA254)),)</f>
        <v>0</v>
      </c>
      <c r="BB253" s="78">
        <f>IF(AND(HasLoan1,L1HasAmort,BB251),IF(Loan1PmtType=VariablePmt,PPMT(Loan1IntRate/12,BB$5-Loan1OrigMnth,MAX(Loan1AmortPer*12,Loan1Term),Loan1Amount),-MIN(BB251,PMT(Loan1IntRate/12,MAX(Loan1AmortPer*12,Loan1Term),-Loan1Amount)+BB254)),)</f>
        <v>0</v>
      </c>
      <c r="BC253" s="78">
        <f>IF(AND(HasLoan1,L1HasAmort,BC251),IF(Loan1PmtType=VariablePmt,PPMT(Loan1IntRate/12,BC$5-Loan1OrigMnth,MAX(Loan1AmortPer*12,Loan1Term),Loan1Amount),-MIN(BC251,PMT(Loan1IntRate/12,MAX(Loan1AmortPer*12,Loan1Term),-Loan1Amount)+BC254)),)</f>
        <v>0</v>
      </c>
      <c r="BD253" s="78">
        <f>IF(AND(HasLoan1,L1HasAmort,BD251),IF(Loan1PmtType=VariablePmt,PPMT(Loan1IntRate/12,BD$5-Loan1OrigMnth,MAX(Loan1AmortPer*12,Loan1Term),Loan1Amount),-MIN(BD251,PMT(Loan1IntRate/12,MAX(Loan1AmortPer*12,Loan1Term),-Loan1Amount)+BD254)),)</f>
        <v>0</v>
      </c>
      <c r="BE253" s="78">
        <f>IF(AND(HasLoan1,L1HasAmort,BE251),IF(Loan1PmtType=VariablePmt,PPMT(Loan1IntRate/12,BE$5-Loan1OrigMnth,MAX(Loan1AmortPer*12,Loan1Term),Loan1Amount),-MIN(BE251,PMT(Loan1IntRate/12,MAX(Loan1AmortPer*12,Loan1Term),-Loan1Amount)+BE254)),)</f>
        <v>0</v>
      </c>
      <c r="BF253" s="78">
        <f>IF(AND(HasLoan1,L1HasAmort,BF251),IF(Loan1PmtType=VariablePmt,PPMT(Loan1IntRate/12,BF$5-Loan1OrigMnth,MAX(Loan1AmortPer*12,Loan1Term),Loan1Amount),-MIN(BF251,PMT(Loan1IntRate/12,MAX(Loan1AmortPer*12,Loan1Term),-Loan1Amount)+BF254)),)</f>
        <v>0</v>
      </c>
      <c r="BG253" s="78">
        <f>IF(AND(HasLoan1,L1HasAmort,BG251),IF(Loan1PmtType=VariablePmt,PPMT(Loan1IntRate/12,BG$5-Loan1OrigMnth,MAX(Loan1AmortPer*12,Loan1Term),Loan1Amount),-MIN(BG251,PMT(Loan1IntRate/12,MAX(Loan1AmortPer*12,Loan1Term),-Loan1Amount)+BG254)),)</f>
        <v>0</v>
      </c>
      <c r="BH253" s="78">
        <f>IF(AND(HasLoan1,L1HasAmort,BH251),IF(Loan1PmtType=VariablePmt,PPMT(Loan1IntRate/12,BH$5-Loan1OrigMnth,MAX(Loan1AmortPer*12,Loan1Term),Loan1Amount),-MIN(BH251,PMT(Loan1IntRate/12,MAX(Loan1AmortPer*12,Loan1Term),-Loan1Amount)+BH254)),)</f>
        <v>0</v>
      </c>
      <c r="BI253" s="78">
        <f>IF(AND(HasLoan1,L1HasAmort,BI251),IF(Loan1PmtType=VariablePmt,PPMT(Loan1IntRate/12,BI$5-Loan1OrigMnth,MAX(Loan1AmortPer*12,Loan1Term),Loan1Amount),-MIN(BI251,PMT(Loan1IntRate/12,MAX(Loan1AmortPer*12,Loan1Term),-Loan1Amount)+BI254)),)</f>
        <v>0</v>
      </c>
      <c r="BJ253" s="78">
        <f>IF(AND(HasLoan1,L1HasAmort,BJ251),IF(Loan1PmtType=VariablePmt,PPMT(Loan1IntRate/12,BJ$5-Loan1OrigMnth,MAX(Loan1AmortPer*12,Loan1Term),Loan1Amount),-MIN(BJ251,PMT(Loan1IntRate/12,MAX(Loan1AmortPer*12,Loan1Term),-Loan1Amount)+BJ254)),)</f>
        <v>0</v>
      </c>
      <c r="BK253" s="78">
        <f>IF(AND(HasLoan1,L1HasAmort,BK251),IF(Loan1PmtType=VariablePmt,PPMT(Loan1IntRate/12,BK$5-Loan1OrigMnth,MAX(Loan1AmortPer*12,Loan1Term),Loan1Amount),-MIN(BK251,PMT(Loan1IntRate/12,MAX(Loan1AmortPer*12,Loan1Term),-Loan1Amount)+BK254)),)</f>
        <v>0</v>
      </c>
      <c r="BL253" s="78">
        <f>IF(AND(HasLoan1,L1HasAmort,BL251),IF(Loan1PmtType=VariablePmt,PPMT(Loan1IntRate/12,BL$5-Loan1OrigMnth,MAX(Loan1AmortPer*12,Loan1Term),Loan1Amount),-MIN(BL251,PMT(Loan1IntRate/12,MAX(Loan1AmortPer*12,Loan1Term),-Loan1Amount)+BL254)),)</f>
        <v>0</v>
      </c>
      <c r="BM253" s="78">
        <f>IF(AND(HasLoan1,L1HasAmort,BM251),IF(Loan1PmtType=VariablePmt,PPMT(Loan1IntRate/12,BM$5-Loan1OrigMnth,MAX(Loan1AmortPer*12,Loan1Term),Loan1Amount),-MIN(BM251,PMT(Loan1IntRate/12,MAX(Loan1AmortPer*12,Loan1Term),-Loan1Amount)+BM254)),)</f>
        <v>0</v>
      </c>
      <c r="BN253" s="78">
        <f>IF(AND(HasLoan1,L1HasAmort,BN251),IF(Loan1PmtType=VariablePmt,PPMT(Loan1IntRate/12,BN$5-Loan1OrigMnth,MAX(Loan1AmortPer*12,Loan1Term),Loan1Amount),-MIN(BN251,PMT(Loan1IntRate/12,MAX(Loan1AmortPer*12,Loan1Term),-Loan1Amount)+BN254)),)</f>
        <v>0</v>
      </c>
      <c r="BO253" s="78">
        <f>IF(AND(HasLoan1,L1HasAmort,BO251),IF(Loan1PmtType=VariablePmt,PPMT(Loan1IntRate/12,BO$5-Loan1OrigMnth,MAX(Loan1AmortPer*12,Loan1Term),Loan1Amount),-MIN(BO251,PMT(Loan1IntRate/12,MAX(Loan1AmortPer*12,Loan1Term),-Loan1Amount)+BO254)),)</f>
        <v>0</v>
      </c>
      <c r="BP253" s="78">
        <f>IF(AND(HasLoan1,L1HasAmort,BP251),IF(Loan1PmtType=VariablePmt,PPMT(Loan1IntRate/12,BP$5-Loan1OrigMnth,MAX(Loan1AmortPer*12,Loan1Term),Loan1Amount),-MIN(BP251,PMT(Loan1IntRate/12,MAX(Loan1AmortPer*12,Loan1Term),-Loan1Amount)+BP254)),)</f>
        <v>0</v>
      </c>
      <c r="BQ253" s="78">
        <f>IF(AND(HasLoan1,L1HasAmort,BQ251),IF(Loan1PmtType=VariablePmt,PPMT(Loan1IntRate/12,BQ$5-Loan1OrigMnth,MAX(Loan1AmortPer*12,Loan1Term),Loan1Amount),-MIN(BQ251,PMT(Loan1IntRate/12,MAX(Loan1AmortPer*12,Loan1Term),-Loan1Amount)+BQ254)),)</f>
        <v>0</v>
      </c>
      <c r="BR253" s="78">
        <f>IF(AND(HasLoan1,L1HasAmort,BR251),IF(Loan1PmtType=VariablePmt,PPMT(Loan1IntRate/12,BR$5-Loan1OrigMnth,MAX(Loan1AmortPer*12,Loan1Term),Loan1Amount),-MIN(BR251,PMT(Loan1IntRate/12,MAX(Loan1AmortPer*12,Loan1Term),-Loan1Amount)+BR254)),)</f>
        <v>0</v>
      </c>
      <c r="BS253" s="78">
        <f>IF(AND(HasLoan1,L1HasAmort,BS251),IF(Loan1PmtType=VariablePmt,PPMT(Loan1IntRate/12,BS$5-Loan1OrigMnth,MAX(Loan1AmortPer*12,Loan1Term),Loan1Amount),-MIN(BS251,PMT(Loan1IntRate/12,MAX(Loan1AmortPer*12,Loan1Term),-Loan1Amount)+BS254)),)</f>
        <v>0</v>
      </c>
      <c r="BT253" s="78">
        <f>IF(AND(HasLoan1,L1HasAmort,BT251),IF(Loan1PmtType=VariablePmt,PPMT(Loan1IntRate/12,BT$5-Loan1OrigMnth,MAX(Loan1AmortPer*12,Loan1Term),Loan1Amount),-MIN(BT251,PMT(Loan1IntRate/12,MAX(Loan1AmortPer*12,Loan1Term),-Loan1Amount)+BT254)),)</f>
        <v>0</v>
      </c>
      <c r="BU253" s="78">
        <f>IF(AND(HasLoan1,L1HasAmort,BU251),IF(Loan1PmtType=VariablePmt,PPMT(Loan1IntRate/12,BU$5-Loan1OrigMnth,MAX(Loan1AmortPer*12,Loan1Term),Loan1Amount),-MIN(BU251,PMT(Loan1IntRate/12,MAX(Loan1AmortPer*12,Loan1Term),-Loan1Amount)+BU254)),)</f>
        <v>0</v>
      </c>
      <c r="BV253" s="78">
        <f>IF(AND(HasLoan1,L1HasAmort,BV251),IF(Loan1PmtType=VariablePmt,PPMT(Loan1IntRate/12,BV$5-Loan1OrigMnth,MAX(Loan1AmortPer*12,Loan1Term),Loan1Amount),-MIN(BV251,PMT(Loan1IntRate/12,MAX(Loan1AmortPer*12,Loan1Term),-Loan1Amount)+BV254)),)</f>
        <v>0</v>
      </c>
      <c r="BW253" s="78">
        <f>IF(AND(HasLoan1,L1HasAmort,BW251),IF(Loan1PmtType=VariablePmt,PPMT(Loan1IntRate/12,BW$5-Loan1OrigMnth,MAX(Loan1AmortPer*12,Loan1Term),Loan1Amount),-MIN(BW251,PMT(Loan1IntRate/12,MAX(Loan1AmortPer*12,Loan1Term),-Loan1Amount)+BW254)),)</f>
        <v>0</v>
      </c>
      <c r="BX253" s="78">
        <f>IF(AND(HasLoan1,L1HasAmort,BX251),IF(Loan1PmtType=VariablePmt,PPMT(Loan1IntRate/12,BX$5-Loan1OrigMnth,MAX(Loan1AmortPer*12,Loan1Term),Loan1Amount),-MIN(BX251,PMT(Loan1IntRate/12,MAX(Loan1AmortPer*12,Loan1Term),-Loan1Amount)+BX254)),)</f>
        <v>0</v>
      </c>
      <c r="BY253" s="78">
        <f>IF(AND(HasLoan1,L1HasAmort,BY251),IF(Loan1PmtType=VariablePmt,PPMT(Loan1IntRate/12,BY$5-Loan1OrigMnth,MAX(Loan1AmortPer*12,Loan1Term),Loan1Amount),-MIN(BY251,PMT(Loan1IntRate/12,MAX(Loan1AmortPer*12,Loan1Term),-Loan1Amount)+BY254)),)</f>
        <v>0</v>
      </c>
      <c r="BZ253" s="78">
        <f>IF(AND(HasLoan1,L1HasAmort,BZ251),IF(Loan1PmtType=VariablePmt,PPMT(Loan1IntRate/12,BZ$5-Loan1OrigMnth,MAX(Loan1AmortPer*12,Loan1Term),Loan1Amount),-MIN(BZ251,PMT(Loan1IntRate/12,MAX(Loan1AmortPer*12,Loan1Term),-Loan1Amount)+BZ254)),)</f>
        <v>0</v>
      </c>
      <c r="CA253" s="78">
        <f>IF(AND(HasLoan1,L1HasAmort,CA251),IF(Loan1PmtType=VariablePmt,PPMT(Loan1IntRate/12,CA$5-Loan1OrigMnth,MAX(Loan1AmortPer*12,Loan1Term),Loan1Amount),-MIN(CA251,PMT(Loan1IntRate/12,MAX(Loan1AmortPer*12,Loan1Term),-Loan1Amount)+CA254)),)</f>
        <v>0</v>
      </c>
      <c r="CB253" s="78">
        <f>IF(AND(HasLoan1,L1HasAmort,CB251),IF(Loan1PmtType=VariablePmt,PPMT(Loan1IntRate/12,CB$5-Loan1OrigMnth,MAX(Loan1AmortPer*12,Loan1Term),Loan1Amount),-MIN(CB251,PMT(Loan1IntRate/12,MAX(Loan1AmortPer*12,Loan1Term),-Loan1Amount)+CB254)),)</f>
        <v>0</v>
      </c>
      <c r="CC253" s="78">
        <f>IF(AND(HasLoan1,L1HasAmort,CC251),IF(Loan1PmtType=VariablePmt,PPMT(Loan1IntRate/12,CC$5-Loan1OrigMnth,MAX(Loan1AmortPer*12,Loan1Term),Loan1Amount),-MIN(CC251,PMT(Loan1IntRate/12,MAX(Loan1AmortPer*12,Loan1Term),-Loan1Amount)+CC254)),)</f>
        <v>0</v>
      </c>
      <c r="CD253" s="78">
        <f>IF(AND(HasLoan1,L1HasAmort,CD251),IF(Loan1PmtType=VariablePmt,PPMT(Loan1IntRate/12,CD$5-Loan1OrigMnth,MAX(Loan1AmortPer*12,Loan1Term),Loan1Amount),-MIN(CD251,PMT(Loan1IntRate/12,MAX(Loan1AmortPer*12,Loan1Term),-Loan1Amount)+CD254)),)</f>
        <v>0</v>
      </c>
      <c r="CE253" s="78">
        <f>IF(AND(HasLoan1,L1HasAmort,CE251),IF(Loan1PmtType=VariablePmt,PPMT(Loan1IntRate/12,CE$5-Loan1OrigMnth,MAX(Loan1AmortPer*12,Loan1Term),Loan1Amount),-MIN(CE251,PMT(Loan1IntRate/12,MAX(Loan1AmortPer*12,Loan1Term),-Loan1Amount)+CE254)),)</f>
        <v>0</v>
      </c>
      <c r="CF253" s="78">
        <f>IF(AND(HasLoan1,L1HasAmort,CF251),IF(Loan1PmtType=VariablePmt,PPMT(Loan1IntRate/12,CF$5-Loan1OrigMnth,MAX(Loan1AmortPer*12,Loan1Term),Loan1Amount),-MIN(CF251,PMT(Loan1IntRate/12,MAX(Loan1AmortPer*12,Loan1Term),-Loan1Amount)+CF254)),)</f>
        <v>0</v>
      </c>
      <c r="CG253" s="78">
        <f>IF(AND(HasLoan1,L1HasAmort,CG251),IF(Loan1PmtType=VariablePmt,PPMT(Loan1IntRate/12,CG$5-Loan1OrigMnth,MAX(Loan1AmortPer*12,Loan1Term),Loan1Amount),-MIN(CG251,PMT(Loan1IntRate/12,MAX(Loan1AmortPer*12,Loan1Term),-Loan1Amount)+CG254)),)</f>
        <v>0</v>
      </c>
      <c r="CH253" s="78">
        <f>IF(AND(HasLoan1,L1HasAmort,CH251),IF(Loan1PmtType=VariablePmt,PPMT(Loan1IntRate/12,CH$5-Loan1OrigMnth,MAX(Loan1AmortPer*12,Loan1Term),Loan1Amount),-MIN(CH251,PMT(Loan1IntRate/12,MAX(Loan1AmortPer*12,Loan1Term),-Loan1Amount)+CH254)),)</f>
        <v>0</v>
      </c>
      <c r="CI253" s="78">
        <f>IF(AND(HasLoan1,L1HasAmort,CI251),IF(Loan1PmtType=VariablePmt,PPMT(Loan1IntRate/12,CI$5-Loan1OrigMnth,MAX(Loan1AmortPer*12,Loan1Term),Loan1Amount),-MIN(CI251,PMT(Loan1IntRate/12,MAX(Loan1AmortPer*12,Loan1Term),-Loan1Amount)+CI254)),)</f>
        <v>0</v>
      </c>
      <c r="CJ253" s="78">
        <f>IF(AND(HasLoan1,L1HasAmort,CJ251),IF(Loan1PmtType=VariablePmt,PPMT(Loan1IntRate/12,CJ$5-Loan1OrigMnth,MAX(Loan1AmortPer*12,Loan1Term),Loan1Amount),-MIN(CJ251,PMT(Loan1IntRate/12,MAX(Loan1AmortPer*12,Loan1Term),-Loan1Amount)+CJ254)),)</f>
        <v>0</v>
      </c>
      <c r="CK253" s="78">
        <f>IF(AND(HasLoan1,L1HasAmort,CK251),IF(Loan1PmtType=VariablePmt,PPMT(Loan1IntRate/12,CK$5-Loan1OrigMnth,MAX(Loan1AmortPer*12,Loan1Term),Loan1Amount),-MIN(CK251,PMT(Loan1IntRate/12,MAX(Loan1AmortPer*12,Loan1Term),-Loan1Amount)+CK254)),)</f>
        <v>0</v>
      </c>
      <c r="CL253" s="78">
        <f>IF(AND(HasLoan1,L1HasAmort,CL251),IF(Loan1PmtType=VariablePmt,PPMT(Loan1IntRate/12,CL$5-Loan1OrigMnth,MAX(Loan1AmortPer*12,Loan1Term),Loan1Amount),-MIN(CL251,PMT(Loan1IntRate/12,MAX(Loan1AmortPer*12,Loan1Term),-Loan1Amount)+CL254)),)</f>
        <v>0</v>
      </c>
      <c r="CM253" s="78">
        <f>IF(AND(HasLoan1,L1HasAmort,CM251),IF(Loan1PmtType=VariablePmt,PPMT(Loan1IntRate/12,CM$5-Loan1OrigMnth,MAX(Loan1AmortPer*12,Loan1Term),Loan1Amount),-MIN(CM251,PMT(Loan1IntRate/12,MAX(Loan1AmortPer*12,Loan1Term),-Loan1Amount)+CM254)),)</f>
        <v>0</v>
      </c>
      <c r="CN253" s="78">
        <f>IF(AND(HasLoan1,L1HasAmort,CN251),IF(Loan1PmtType=VariablePmt,PPMT(Loan1IntRate/12,CN$5-Loan1OrigMnth,MAX(Loan1AmortPer*12,Loan1Term),Loan1Amount),-MIN(CN251,PMT(Loan1IntRate/12,MAX(Loan1AmortPer*12,Loan1Term),-Loan1Amount)+CN254)),)</f>
        <v>0</v>
      </c>
      <c r="CO253" s="78">
        <f>IF(AND(HasLoan1,L1HasAmort,CO251),IF(Loan1PmtType=VariablePmt,PPMT(Loan1IntRate/12,CO$5-Loan1OrigMnth,MAX(Loan1AmortPer*12,Loan1Term),Loan1Amount),-MIN(CO251,PMT(Loan1IntRate/12,MAX(Loan1AmortPer*12,Loan1Term),-Loan1Amount)+CO254)),)</f>
        <v>0</v>
      </c>
      <c r="CP253" s="78">
        <f>IF(AND(HasLoan1,L1HasAmort,CP251),IF(Loan1PmtType=VariablePmt,PPMT(Loan1IntRate/12,CP$5-Loan1OrigMnth,MAX(Loan1AmortPer*12,Loan1Term),Loan1Amount),-MIN(CP251,PMT(Loan1IntRate/12,MAX(Loan1AmortPer*12,Loan1Term),-Loan1Amount)+CP254)),)</f>
        <v>0</v>
      </c>
      <c r="CQ253" s="78">
        <f>IF(AND(HasLoan1,L1HasAmort,CQ251),IF(Loan1PmtType=VariablePmt,PPMT(Loan1IntRate/12,CQ$5-Loan1OrigMnth,MAX(Loan1AmortPer*12,Loan1Term),Loan1Amount),-MIN(CQ251,PMT(Loan1IntRate/12,MAX(Loan1AmortPer*12,Loan1Term),-Loan1Amount)+CQ254)),)</f>
        <v>0</v>
      </c>
      <c r="CR253" s="78">
        <f>IF(AND(HasLoan1,L1HasAmort,CR251),IF(Loan1PmtType=VariablePmt,PPMT(Loan1IntRate/12,CR$5-Loan1OrigMnth,MAX(Loan1AmortPer*12,Loan1Term),Loan1Amount),-MIN(CR251,PMT(Loan1IntRate/12,MAX(Loan1AmortPer*12,Loan1Term),-Loan1Amount)+CR254)),)</f>
        <v>0</v>
      </c>
      <c r="CS253" s="78">
        <f>IF(AND(HasLoan1,L1HasAmort,CS251),IF(Loan1PmtType=VariablePmt,PPMT(Loan1IntRate/12,CS$5-Loan1OrigMnth,MAX(Loan1AmortPer*12,Loan1Term),Loan1Amount),-MIN(CS251,PMT(Loan1IntRate/12,MAX(Loan1AmortPer*12,Loan1Term),-Loan1Amount)+CS254)),)</f>
        <v>0</v>
      </c>
      <c r="CT253" s="78">
        <f>IF(AND(HasLoan1,L1HasAmort,CT251),IF(Loan1PmtType=VariablePmt,PPMT(Loan1IntRate/12,CT$5-Loan1OrigMnth,MAX(Loan1AmortPer*12,Loan1Term),Loan1Amount),-MIN(CT251,PMT(Loan1IntRate/12,MAX(Loan1AmortPer*12,Loan1Term),-Loan1Amount)+CT254)),)</f>
        <v>0</v>
      </c>
      <c r="CU253" s="78">
        <f>IF(AND(HasLoan1,L1HasAmort,CU251),IF(Loan1PmtType=VariablePmt,PPMT(Loan1IntRate/12,CU$5-Loan1OrigMnth,MAX(Loan1AmortPer*12,Loan1Term),Loan1Amount),-MIN(CU251,PMT(Loan1IntRate/12,MAX(Loan1AmortPer*12,Loan1Term),-Loan1Amount)+CU254)),)</f>
        <v>0</v>
      </c>
      <c r="CV253" s="78">
        <f>IF(AND(HasLoan1,L1HasAmort,CV251),IF(Loan1PmtType=VariablePmt,PPMT(Loan1IntRate/12,CV$5-Loan1OrigMnth,MAX(Loan1AmortPer*12,Loan1Term),Loan1Amount),-MIN(CV251,PMT(Loan1IntRate/12,MAX(Loan1AmortPer*12,Loan1Term),-Loan1Amount)+CV254)),)</f>
        <v>0</v>
      </c>
      <c r="CW253" s="78">
        <f>IF(AND(HasLoan1,L1HasAmort,CW251),IF(Loan1PmtType=VariablePmt,PPMT(Loan1IntRate/12,CW$5-Loan1OrigMnth,MAX(Loan1AmortPer*12,Loan1Term),Loan1Amount),-MIN(CW251,PMT(Loan1IntRate/12,MAX(Loan1AmortPer*12,Loan1Term),-Loan1Amount)+CW254)),)</f>
        <v>0</v>
      </c>
      <c r="CX253" s="78">
        <f>IF(AND(HasLoan1,L1HasAmort,CX251),IF(Loan1PmtType=VariablePmt,PPMT(Loan1IntRate/12,CX$5-Loan1OrigMnth,MAX(Loan1AmortPer*12,Loan1Term),Loan1Amount),-MIN(CX251,PMT(Loan1IntRate/12,MAX(Loan1AmortPer*12,Loan1Term),-Loan1Amount)+CX254)),)</f>
        <v>0</v>
      </c>
      <c r="CY253" s="78">
        <f>IF(AND(HasLoan1,L1HasAmort,CY251),IF(Loan1PmtType=VariablePmt,PPMT(Loan1IntRate/12,CY$5-Loan1OrigMnth,MAX(Loan1AmortPer*12,Loan1Term),Loan1Amount),-MIN(CY251,PMT(Loan1IntRate/12,MAX(Loan1AmortPer*12,Loan1Term),-Loan1Amount)+CY254)),)</f>
        <v>0</v>
      </c>
      <c r="CZ253" s="78">
        <f>IF(AND(HasLoan1,L1HasAmort,CZ251),IF(Loan1PmtType=VariablePmt,PPMT(Loan1IntRate/12,CZ$5-Loan1OrigMnth,MAX(Loan1AmortPer*12,Loan1Term),Loan1Amount),-MIN(CZ251,PMT(Loan1IntRate/12,MAX(Loan1AmortPer*12,Loan1Term),-Loan1Amount)+CZ254)),)</f>
        <v>0</v>
      </c>
      <c r="DA253" s="78">
        <f>IF(AND(HasLoan1,L1HasAmort,DA251),IF(Loan1PmtType=VariablePmt,PPMT(Loan1IntRate/12,DA$5-Loan1OrigMnth,MAX(Loan1AmortPer*12,Loan1Term),Loan1Amount),-MIN(DA251,PMT(Loan1IntRate/12,MAX(Loan1AmortPer*12,Loan1Term),-Loan1Amount)+DA254)),)</f>
        <v>0</v>
      </c>
      <c r="DB253" s="78">
        <f>IF(AND(HasLoan1,L1HasAmort,DB251),IF(Loan1PmtType=VariablePmt,PPMT(Loan1IntRate/12,DB$5-Loan1OrigMnth,MAX(Loan1AmortPer*12,Loan1Term),Loan1Amount),-MIN(DB251,PMT(Loan1IntRate/12,MAX(Loan1AmortPer*12,Loan1Term),-Loan1Amount)+DB254)),)</f>
        <v>0</v>
      </c>
      <c r="DC253" s="78">
        <f>IF(AND(HasLoan1,L1HasAmort,DC251),IF(Loan1PmtType=VariablePmt,PPMT(Loan1IntRate/12,DC$5-Loan1OrigMnth,MAX(Loan1AmortPer*12,Loan1Term),Loan1Amount),-MIN(DC251,PMT(Loan1IntRate/12,MAX(Loan1AmortPer*12,Loan1Term),-Loan1Amount)+DC254)),)</f>
        <v>0</v>
      </c>
      <c r="DD253" s="78">
        <f>IF(AND(HasLoan1,L1HasAmort,DD251),IF(Loan1PmtType=VariablePmt,PPMT(Loan1IntRate/12,DD$5-Loan1OrigMnth,MAX(Loan1AmortPer*12,Loan1Term),Loan1Amount),-MIN(DD251,PMT(Loan1IntRate/12,MAX(Loan1AmortPer*12,Loan1Term),-Loan1Amount)+DD254)),)</f>
        <v>0</v>
      </c>
      <c r="DE253" s="78">
        <f>IF(AND(HasLoan1,L1HasAmort,DE251),IF(Loan1PmtType=VariablePmt,PPMT(Loan1IntRate/12,DE$5-Loan1OrigMnth,MAX(Loan1AmortPer*12,Loan1Term),Loan1Amount),-MIN(DE251,PMT(Loan1IntRate/12,MAX(Loan1AmortPer*12,Loan1Term),-Loan1Amount)+DE254)),)</f>
        <v>0</v>
      </c>
      <c r="DF253" s="78">
        <f>IF(AND(HasLoan1,L1HasAmort,DF251),IF(Loan1PmtType=VariablePmt,PPMT(Loan1IntRate/12,DF$5-Loan1OrigMnth,MAX(Loan1AmortPer*12,Loan1Term),Loan1Amount),-MIN(DF251,PMT(Loan1IntRate/12,MAX(Loan1AmortPer*12,Loan1Term),-Loan1Amount)+DF254)),)</f>
        <v>0</v>
      </c>
      <c r="DG253" s="78">
        <f>IF(AND(HasLoan1,L1HasAmort,DG251),IF(Loan1PmtType=VariablePmt,PPMT(Loan1IntRate/12,DG$5-Loan1OrigMnth,MAX(Loan1AmortPer*12,Loan1Term),Loan1Amount),-MIN(DG251,PMT(Loan1IntRate/12,MAX(Loan1AmortPer*12,Loan1Term),-Loan1Amount)+DG254)),)</f>
        <v>0</v>
      </c>
      <c r="DH253" s="78">
        <f>IF(AND(HasLoan1,L1HasAmort,DH251),IF(Loan1PmtType=VariablePmt,PPMT(Loan1IntRate/12,DH$5-Loan1OrigMnth,MAX(Loan1AmortPer*12,Loan1Term),Loan1Amount),-MIN(DH251,PMT(Loan1IntRate/12,MAX(Loan1AmortPer*12,Loan1Term),-Loan1Amount)+DH254)),)</f>
        <v>0</v>
      </c>
      <c r="DI253" s="78">
        <f>IF(AND(HasLoan1,L1HasAmort,DI251),IF(Loan1PmtType=VariablePmt,PPMT(Loan1IntRate/12,DI$5-Loan1OrigMnth,MAX(Loan1AmortPer*12,Loan1Term),Loan1Amount),-MIN(DI251,PMT(Loan1IntRate/12,MAX(Loan1AmortPer*12,Loan1Term),-Loan1Amount)+DI254)),)</f>
        <v>0</v>
      </c>
      <c r="DJ253" s="78">
        <f>IF(AND(HasLoan1,L1HasAmort,DJ251),IF(Loan1PmtType=VariablePmt,PPMT(Loan1IntRate/12,DJ$5-Loan1OrigMnth,MAX(Loan1AmortPer*12,Loan1Term),Loan1Amount),-MIN(DJ251,PMT(Loan1IntRate/12,MAX(Loan1AmortPer*12,Loan1Term),-Loan1Amount)+DJ254)),)</f>
        <v>0</v>
      </c>
      <c r="DK253" s="78">
        <f>IF(AND(HasLoan1,L1HasAmort,DK251),IF(Loan1PmtType=VariablePmt,PPMT(Loan1IntRate/12,DK$5-Loan1OrigMnth,MAX(Loan1AmortPer*12,Loan1Term),Loan1Amount),-MIN(DK251,PMT(Loan1IntRate/12,MAX(Loan1AmortPer*12,Loan1Term),-Loan1Amount)+DK254)),)</f>
        <v>0</v>
      </c>
      <c r="DL253" s="78">
        <f>IF(AND(HasLoan1,L1HasAmort,DL251),IF(Loan1PmtType=VariablePmt,PPMT(Loan1IntRate/12,DL$5-Loan1OrigMnth,MAX(Loan1AmortPer*12,Loan1Term),Loan1Amount),-MIN(DL251,PMT(Loan1IntRate/12,MAX(Loan1AmortPer*12,Loan1Term),-Loan1Amount)+DL254)),)</f>
        <v>0</v>
      </c>
      <c r="DM253" s="78">
        <f>IF(AND(HasLoan1,L1HasAmort,DM251),IF(Loan1PmtType=VariablePmt,PPMT(Loan1IntRate/12,DM$5-Loan1OrigMnth,MAX(Loan1AmortPer*12,Loan1Term),Loan1Amount),-MIN(DM251,PMT(Loan1IntRate/12,MAX(Loan1AmortPer*12,Loan1Term),-Loan1Amount)+DM254)),)</f>
        <v>0</v>
      </c>
      <c r="DN253" s="78">
        <f>IF(AND(HasLoan1,L1HasAmort,DN251),IF(Loan1PmtType=VariablePmt,PPMT(Loan1IntRate/12,DN$5-Loan1OrigMnth,MAX(Loan1AmortPer*12,Loan1Term),Loan1Amount),-MIN(DN251,PMT(Loan1IntRate/12,MAX(Loan1AmortPer*12,Loan1Term),-Loan1Amount)+DN254)),)</f>
        <v>0</v>
      </c>
      <c r="DO253" s="78">
        <f>IF(AND(HasLoan1,L1HasAmort,DO251),IF(Loan1PmtType=VariablePmt,PPMT(Loan1IntRate/12,DO$5-Loan1OrigMnth,MAX(Loan1AmortPer*12,Loan1Term),Loan1Amount),-MIN(DO251,PMT(Loan1IntRate/12,MAX(Loan1AmortPer*12,Loan1Term),-Loan1Amount)+DO254)),)</f>
        <v>0</v>
      </c>
      <c r="DP253" s="78">
        <f>IF(AND(HasLoan1,L1HasAmort,DP251),IF(Loan1PmtType=VariablePmt,PPMT(Loan1IntRate/12,DP$5-Loan1OrigMnth,MAX(Loan1AmortPer*12,Loan1Term),Loan1Amount),-MIN(DP251,PMT(Loan1IntRate/12,MAX(Loan1AmortPer*12,Loan1Term),-Loan1Amount)+DP254)),)</f>
        <v>0</v>
      </c>
      <c r="DQ253" s="78">
        <f>IF(AND(HasLoan1,L1HasAmort,DQ251),IF(Loan1PmtType=VariablePmt,PPMT(Loan1IntRate/12,DQ$5-Loan1OrigMnth,MAX(Loan1AmortPer*12,Loan1Term),Loan1Amount),-MIN(DQ251,PMT(Loan1IntRate/12,MAX(Loan1AmortPer*12,Loan1Term),-Loan1Amount)+DQ254)),)</f>
        <v>0</v>
      </c>
      <c r="DR253" s="78">
        <f>IF(AND(HasLoan1,L1HasAmort,DR251),IF(Loan1PmtType=VariablePmt,PPMT(Loan1IntRate/12,DR$5-Loan1OrigMnth,MAX(Loan1AmortPer*12,Loan1Term),Loan1Amount),-MIN(DR251,PMT(Loan1IntRate/12,MAX(Loan1AmortPer*12,Loan1Term),-Loan1Amount)+DR254)),)</f>
        <v>0</v>
      </c>
      <c r="DS253" s="78">
        <f>IF(AND(HasLoan1,L1HasAmort,DS251),IF(Loan1PmtType=VariablePmt,PPMT(Loan1IntRate/12,DS$5-Loan1OrigMnth,MAX(Loan1AmortPer*12,Loan1Term),Loan1Amount),-MIN(DS251,PMT(Loan1IntRate/12,MAX(Loan1AmortPer*12,Loan1Term),-Loan1Amount)+DS254)),)</f>
        <v>0</v>
      </c>
      <c r="DT253" s="78">
        <f>IF(AND(HasLoan1,L1HasAmort,DT251),IF(Loan1PmtType=VariablePmt,PPMT(Loan1IntRate/12,DT$5-Loan1OrigMnth,MAX(Loan1AmortPer*12,Loan1Term),Loan1Amount),-MIN(DT251,PMT(Loan1IntRate/12,MAX(Loan1AmortPer*12,Loan1Term),-Loan1Amount)+DT254)),)</f>
        <v>0</v>
      </c>
      <c r="DU253" s="78">
        <f>IF(AND(HasLoan1,L1HasAmort,DU251),IF(Loan1PmtType=VariablePmt,PPMT(Loan1IntRate/12,DU$5-Loan1OrigMnth,MAX(Loan1AmortPer*12,Loan1Term),Loan1Amount),-MIN(DU251,PMT(Loan1IntRate/12,MAX(Loan1AmortPer*12,Loan1Term),-Loan1Amount)+DU254)),)</f>
        <v>0</v>
      </c>
      <c r="DV253" s="78">
        <f>IF(AND(HasLoan1,L1HasAmort,DV251),IF(Loan1PmtType=VariablePmt,PPMT(Loan1IntRate/12,DV$5-Loan1OrigMnth,MAX(Loan1AmortPer*12,Loan1Term),Loan1Amount),-MIN(DV251,PMT(Loan1IntRate/12,MAX(Loan1AmortPer*12,Loan1Term),-Loan1Amount)+DV254)),)</f>
        <v>0</v>
      </c>
      <c r="DW253" s="78">
        <f>IF(AND(HasLoan1,L1HasAmort,DW251),IF(Loan1PmtType=VariablePmt,PPMT(Loan1IntRate/12,DW$5-Loan1OrigMnth,MAX(Loan1AmortPer*12,Loan1Term),Loan1Amount),-MIN(DW251,PMT(Loan1IntRate/12,MAX(Loan1AmortPer*12,Loan1Term),-Loan1Amount)+DW254)),)</f>
        <v>0</v>
      </c>
      <c r="DX253" s="78">
        <f>IF(AND(HasLoan1,L1HasAmort,DX251),IF(Loan1PmtType=VariablePmt,PPMT(Loan1IntRate/12,DX$5-Loan1OrigMnth,MAX(Loan1AmortPer*12,Loan1Term),Loan1Amount),-MIN(DX251,PMT(Loan1IntRate/12,MAX(Loan1AmortPer*12,Loan1Term),-Loan1Amount)+DX254)),)</f>
        <v>0</v>
      </c>
      <c r="DY253" s="78">
        <f>IF(AND(HasLoan1,L1HasAmort,DY251),IF(Loan1PmtType=VariablePmt,PPMT(Loan1IntRate/12,DY$5-Loan1OrigMnth,MAX(Loan1AmortPer*12,Loan1Term),Loan1Amount),-MIN(DY251,PMT(Loan1IntRate/12,MAX(Loan1AmortPer*12,Loan1Term),-Loan1Amount)+DY254)),)</f>
        <v>0</v>
      </c>
      <c r="DZ253" s="78">
        <f>IF(AND(HasLoan1,L1HasAmort,DZ251),IF(Loan1PmtType=VariablePmt,PPMT(Loan1IntRate/12,DZ$5-Loan1OrigMnth,MAX(Loan1AmortPer*12,Loan1Term),Loan1Amount),-MIN(DZ251,PMT(Loan1IntRate/12,MAX(Loan1AmortPer*12,Loan1Term),-Loan1Amount)+DZ254)),)</f>
        <v>0</v>
      </c>
      <c r="EA253" s="78">
        <f>IF(AND(HasLoan1,L1HasAmort,EA251),IF(Loan1PmtType=VariablePmt,PPMT(Loan1IntRate/12,EA$5-Loan1OrigMnth,MAX(Loan1AmortPer*12,Loan1Term),Loan1Amount),-MIN(EA251,PMT(Loan1IntRate/12,MAX(Loan1AmortPer*12,Loan1Term),-Loan1Amount)+EA254)),)</f>
        <v>0</v>
      </c>
      <c r="EB253" s="78">
        <f>IF(AND(HasLoan1,L1HasAmort,EB251),IF(Loan1PmtType=VariablePmt,PPMT(Loan1IntRate/12,EB$5-Loan1OrigMnth,MAX(Loan1AmortPer*12,Loan1Term),Loan1Amount),-MIN(EB251,PMT(Loan1IntRate/12,MAX(Loan1AmortPer*12,Loan1Term),-Loan1Amount)+EB254)),)</f>
        <v>0</v>
      </c>
      <c r="EC253" s="78">
        <f>IF(AND(HasLoan1,L1HasAmort,EC251),IF(Loan1PmtType=VariablePmt,PPMT(Loan1IntRate/12,EC$5-Loan1OrigMnth,MAX(Loan1AmortPer*12,Loan1Term),Loan1Amount),-MIN(EC251,PMT(Loan1IntRate/12,MAX(Loan1AmortPer*12,Loan1Term),-Loan1Amount)+EC254)),)</f>
        <v>0</v>
      </c>
      <c r="ED253" s="78">
        <f>IF(AND(HasLoan1,L1HasAmort,ED251),IF(Loan1PmtType=VariablePmt,PPMT(Loan1IntRate/12,ED$5-Loan1OrigMnth,MAX(Loan1AmortPer*12,Loan1Term),Loan1Amount),-MIN(ED251,PMT(Loan1IntRate/12,MAX(Loan1AmortPer*12,Loan1Term),-Loan1Amount)+ED254)),)</f>
        <v>0</v>
      </c>
      <c r="EE253" s="78">
        <f>IF(AND(HasLoan1,L1HasAmort,EE251),IF(Loan1PmtType=VariablePmt,PPMT(Loan1IntRate/12,EE$5-Loan1OrigMnth,MAX(Loan1AmortPer*12,Loan1Term),Loan1Amount),-MIN(EE251,PMT(Loan1IntRate/12,MAX(Loan1AmortPer*12,Loan1Term),-Loan1Amount)+EE254)),)</f>
        <v>0</v>
      </c>
      <c r="EF253" s="78">
        <f>IF(AND(HasLoan1,L1HasAmort,EF251),IF(Loan1PmtType=VariablePmt,PPMT(Loan1IntRate/12,EF$5-Loan1OrigMnth,MAX(Loan1AmortPer*12,Loan1Term),Loan1Amount),-MIN(EF251,PMT(Loan1IntRate/12,MAX(Loan1AmortPer*12,Loan1Term),-Loan1Amount)+EF254)),)</f>
        <v>0</v>
      </c>
      <c r="EG253" s="78">
        <f>IF(AND(HasLoan1,L1HasAmort,EG251),IF(Loan1PmtType=VariablePmt,PPMT(Loan1IntRate/12,EG$5-Loan1OrigMnth,MAX(Loan1AmortPer*12,Loan1Term),Loan1Amount),-MIN(EG251,PMT(Loan1IntRate/12,MAX(Loan1AmortPer*12,Loan1Term),-Loan1Amount)+EG254)),)</f>
        <v>0</v>
      </c>
      <c r="EH253" s="78">
        <f>IF(AND(HasLoan1,L1HasAmort,EH251),IF(Loan1PmtType=VariablePmt,PPMT(Loan1IntRate/12,EH$5-Loan1OrigMnth,MAX(Loan1AmortPer*12,Loan1Term),Loan1Amount),-MIN(EH251,PMT(Loan1IntRate/12,MAX(Loan1AmortPer*12,Loan1Term),-Loan1Amount)+EH254)),)</f>
        <v>0</v>
      </c>
      <c r="EI253" s="78">
        <f>IF(AND(HasLoan1,L1HasAmort,EI251),IF(Loan1PmtType=VariablePmt,PPMT(Loan1IntRate/12,EI$5-Loan1OrigMnth,MAX(Loan1AmortPer*12,Loan1Term),Loan1Amount),-MIN(EI251,PMT(Loan1IntRate/12,MAX(Loan1AmortPer*12,Loan1Term),-Loan1Amount)+EI254)),)</f>
        <v>0</v>
      </c>
    </row>
    <row r="254" spans="2:139" ht="12.75" customHeight="1">
      <c r="B254" s="41" t="s">
        <v>616</v>
      </c>
      <c r="C254" s="209"/>
      <c r="D254" s="169"/>
      <c r="E254" s="78">
        <f t="shared" si="469"/>
        <v>0</v>
      </c>
      <c r="F254" s="78">
        <f t="shared" si="469"/>
        <v>0</v>
      </c>
      <c r="G254" s="78">
        <f t="shared" si="469"/>
        <v>0</v>
      </c>
      <c r="H254" s="78">
        <f t="shared" si="469"/>
        <v>0</v>
      </c>
      <c r="I254" s="78">
        <f t="shared" si="469"/>
        <v>0</v>
      </c>
      <c r="J254" s="78">
        <f t="shared" si="469"/>
        <v>0</v>
      </c>
      <c r="K254" s="78">
        <f t="shared" si="469"/>
        <v>0</v>
      </c>
      <c r="L254" s="78">
        <f t="shared" si="469"/>
        <v>0</v>
      </c>
      <c r="M254" s="78">
        <f t="shared" si="469"/>
        <v>0</v>
      </c>
      <c r="N254" s="78">
        <f t="shared" si="469"/>
        <v>0</v>
      </c>
      <c r="O254" s="145">
        <f>SUM(D254:N254)</f>
        <v>0</v>
      </c>
      <c r="S254" s="169"/>
      <c r="T254" s="78">
        <f t="shared" ref="T254:AY254" si="470">-T214*T251/12</f>
        <v>0</v>
      </c>
      <c r="U254" s="78">
        <f t="shared" si="470"/>
        <v>0</v>
      </c>
      <c r="V254" s="78">
        <f t="shared" si="470"/>
        <v>0</v>
      </c>
      <c r="W254" s="78">
        <f t="shared" si="470"/>
        <v>0</v>
      </c>
      <c r="X254" s="78">
        <f t="shared" si="470"/>
        <v>0</v>
      </c>
      <c r="Y254" s="78">
        <f t="shared" si="470"/>
        <v>0</v>
      </c>
      <c r="Z254" s="78">
        <f t="shared" si="470"/>
        <v>0</v>
      </c>
      <c r="AA254" s="78">
        <f t="shared" si="470"/>
        <v>0</v>
      </c>
      <c r="AB254" s="78">
        <f t="shared" si="470"/>
        <v>0</v>
      </c>
      <c r="AC254" s="78">
        <f t="shared" si="470"/>
        <v>0</v>
      </c>
      <c r="AD254" s="78">
        <f t="shared" si="470"/>
        <v>0</v>
      </c>
      <c r="AE254" s="78">
        <f t="shared" si="470"/>
        <v>0</v>
      </c>
      <c r="AF254" s="78">
        <f t="shared" si="470"/>
        <v>0</v>
      </c>
      <c r="AG254" s="78">
        <f t="shared" si="470"/>
        <v>0</v>
      </c>
      <c r="AH254" s="78">
        <f t="shared" si="470"/>
        <v>0</v>
      </c>
      <c r="AI254" s="78">
        <f t="shared" si="470"/>
        <v>0</v>
      </c>
      <c r="AJ254" s="78">
        <f t="shared" si="470"/>
        <v>0</v>
      </c>
      <c r="AK254" s="78">
        <f t="shared" si="470"/>
        <v>0</v>
      </c>
      <c r="AL254" s="78">
        <f t="shared" si="470"/>
        <v>0</v>
      </c>
      <c r="AM254" s="78">
        <f t="shared" si="470"/>
        <v>0</v>
      </c>
      <c r="AN254" s="78">
        <f t="shared" si="470"/>
        <v>0</v>
      </c>
      <c r="AO254" s="78">
        <f t="shared" si="470"/>
        <v>0</v>
      </c>
      <c r="AP254" s="78">
        <f t="shared" si="470"/>
        <v>0</v>
      </c>
      <c r="AQ254" s="78">
        <f t="shared" si="470"/>
        <v>0</v>
      </c>
      <c r="AR254" s="78">
        <f t="shared" si="470"/>
        <v>0</v>
      </c>
      <c r="AS254" s="78">
        <f t="shared" si="470"/>
        <v>0</v>
      </c>
      <c r="AT254" s="78">
        <f t="shared" si="470"/>
        <v>0</v>
      </c>
      <c r="AU254" s="78">
        <f t="shared" si="470"/>
        <v>0</v>
      </c>
      <c r="AV254" s="78">
        <f t="shared" si="470"/>
        <v>0</v>
      </c>
      <c r="AW254" s="78">
        <f t="shared" si="470"/>
        <v>0</v>
      </c>
      <c r="AX254" s="78">
        <f t="shared" si="470"/>
        <v>0</v>
      </c>
      <c r="AY254" s="78">
        <f t="shared" si="470"/>
        <v>0</v>
      </c>
      <c r="AZ254" s="78">
        <f t="shared" ref="AZ254:CE254" si="471">-AZ214*AZ251/12</f>
        <v>0</v>
      </c>
      <c r="BA254" s="78">
        <f t="shared" si="471"/>
        <v>0</v>
      </c>
      <c r="BB254" s="78">
        <f t="shared" si="471"/>
        <v>0</v>
      </c>
      <c r="BC254" s="78">
        <f t="shared" si="471"/>
        <v>0</v>
      </c>
      <c r="BD254" s="78">
        <f t="shared" si="471"/>
        <v>0</v>
      </c>
      <c r="BE254" s="78">
        <f t="shared" si="471"/>
        <v>0</v>
      </c>
      <c r="BF254" s="78">
        <f t="shared" si="471"/>
        <v>0</v>
      </c>
      <c r="BG254" s="78">
        <f t="shared" si="471"/>
        <v>0</v>
      </c>
      <c r="BH254" s="78">
        <f t="shared" si="471"/>
        <v>0</v>
      </c>
      <c r="BI254" s="78">
        <f t="shared" si="471"/>
        <v>0</v>
      </c>
      <c r="BJ254" s="78">
        <f t="shared" si="471"/>
        <v>0</v>
      </c>
      <c r="BK254" s="78">
        <f t="shared" si="471"/>
        <v>0</v>
      </c>
      <c r="BL254" s="78">
        <f t="shared" si="471"/>
        <v>0</v>
      </c>
      <c r="BM254" s="78">
        <f t="shared" si="471"/>
        <v>0</v>
      </c>
      <c r="BN254" s="78">
        <f t="shared" si="471"/>
        <v>0</v>
      </c>
      <c r="BO254" s="78">
        <f t="shared" si="471"/>
        <v>0</v>
      </c>
      <c r="BP254" s="78">
        <f t="shared" si="471"/>
        <v>0</v>
      </c>
      <c r="BQ254" s="78">
        <f t="shared" si="471"/>
        <v>0</v>
      </c>
      <c r="BR254" s="78">
        <f t="shared" si="471"/>
        <v>0</v>
      </c>
      <c r="BS254" s="78">
        <f t="shared" si="471"/>
        <v>0</v>
      </c>
      <c r="BT254" s="78">
        <f t="shared" si="471"/>
        <v>0</v>
      </c>
      <c r="BU254" s="78">
        <f t="shared" si="471"/>
        <v>0</v>
      </c>
      <c r="BV254" s="78">
        <f t="shared" si="471"/>
        <v>0</v>
      </c>
      <c r="BW254" s="78">
        <f t="shared" si="471"/>
        <v>0</v>
      </c>
      <c r="BX254" s="78">
        <f t="shared" si="471"/>
        <v>0</v>
      </c>
      <c r="BY254" s="78">
        <f t="shared" si="471"/>
        <v>0</v>
      </c>
      <c r="BZ254" s="78">
        <f t="shared" si="471"/>
        <v>0</v>
      </c>
      <c r="CA254" s="78">
        <f t="shared" si="471"/>
        <v>0</v>
      </c>
      <c r="CB254" s="78">
        <f t="shared" si="471"/>
        <v>0</v>
      </c>
      <c r="CC254" s="78">
        <f t="shared" si="471"/>
        <v>0</v>
      </c>
      <c r="CD254" s="78">
        <f t="shared" si="471"/>
        <v>0</v>
      </c>
      <c r="CE254" s="78">
        <f t="shared" si="471"/>
        <v>0</v>
      </c>
      <c r="CF254" s="78">
        <f t="shared" ref="CF254:DK254" si="472">-CF214*CF251/12</f>
        <v>0</v>
      </c>
      <c r="CG254" s="78">
        <f t="shared" si="472"/>
        <v>0</v>
      </c>
      <c r="CH254" s="78">
        <f t="shared" si="472"/>
        <v>0</v>
      </c>
      <c r="CI254" s="78">
        <f t="shared" si="472"/>
        <v>0</v>
      </c>
      <c r="CJ254" s="78">
        <f t="shared" si="472"/>
        <v>0</v>
      </c>
      <c r="CK254" s="78">
        <f t="shared" si="472"/>
        <v>0</v>
      </c>
      <c r="CL254" s="78">
        <f t="shared" si="472"/>
        <v>0</v>
      </c>
      <c r="CM254" s="78">
        <f t="shared" si="472"/>
        <v>0</v>
      </c>
      <c r="CN254" s="78">
        <f t="shared" si="472"/>
        <v>0</v>
      </c>
      <c r="CO254" s="78">
        <f t="shared" si="472"/>
        <v>0</v>
      </c>
      <c r="CP254" s="78">
        <f t="shared" si="472"/>
        <v>0</v>
      </c>
      <c r="CQ254" s="78">
        <f t="shared" si="472"/>
        <v>0</v>
      </c>
      <c r="CR254" s="78">
        <f t="shared" si="472"/>
        <v>0</v>
      </c>
      <c r="CS254" s="78">
        <f t="shared" si="472"/>
        <v>0</v>
      </c>
      <c r="CT254" s="78">
        <f t="shared" si="472"/>
        <v>0</v>
      </c>
      <c r="CU254" s="78">
        <f t="shared" si="472"/>
        <v>0</v>
      </c>
      <c r="CV254" s="78">
        <f t="shared" si="472"/>
        <v>0</v>
      </c>
      <c r="CW254" s="78">
        <f t="shared" si="472"/>
        <v>0</v>
      </c>
      <c r="CX254" s="78">
        <f t="shared" si="472"/>
        <v>0</v>
      </c>
      <c r="CY254" s="78">
        <f t="shared" si="472"/>
        <v>0</v>
      </c>
      <c r="CZ254" s="78">
        <f t="shared" si="472"/>
        <v>0</v>
      </c>
      <c r="DA254" s="78">
        <f t="shared" si="472"/>
        <v>0</v>
      </c>
      <c r="DB254" s="78">
        <f t="shared" si="472"/>
        <v>0</v>
      </c>
      <c r="DC254" s="78">
        <f t="shared" si="472"/>
        <v>0</v>
      </c>
      <c r="DD254" s="78">
        <f t="shared" si="472"/>
        <v>0</v>
      </c>
      <c r="DE254" s="78">
        <f t="shared" si="472"/>
        <v>0</v>
      </c>
      <c r="DF254" s="78">
        <f t="shared" si="472"/>
        <v>0</v>
      </c>
      <c r="DG254" s="78">
        <f t="shared" si="472"/>
        <v>0</v>
      </c>
      <c r="DH254" s="78">
        <f t="shared" si="472"/>
        <v>0</v>
      </c>
      <c r="DI254" s="78">
        <f t="shared" si="472"/>
        <v>0</v>
      </c>
      <c r="DJ254" s="78">
        <f t="shared" si="472"/>
        <v>0</v>
      </c>
      <c r="DK254" s="78">
        <f t="shared" si="472"/>
        <v>0</v>
      </c>
      <c r="DL254" s="78">
        <f t="shared" ref="DL254:EI254" si="473">-DL214*DL251/12</f>
        <v>0</v>
      </c>
      <c r="DM254" s="78">
        <f t="shared" si="473"/>
        <v>0</v>
      </c>
      <c r="DN254" s="78">
        <f t="shared" si="473"/>
        <v>0</v>
      </c>
      <c r="DO254" s="78">
        <f t="shared" si="473"/>
        <v>0</v>
      </c>
      <c r="DP254" s="78">
        <f t="shared" si="473"/>
        <v>0</v>
      </c>
      <c r="DQ254" s="78">
        <f t="shared" si="473"/>
        <v>0</v>
      </c>
      <c r="DR254" s="78">
        <f t="shared" si="473"/>
        <v>0</v>
      </c>
      <c r="DS254" s="78">
        <f t="shared" si="473"/>
        <v>0</v>
      </c>
      <c r="DT254" s="78">
        <f t="shared" si="473"/>
        <v>0</v>
      </c>
      <c r="DU254" s="78">
        <f t="shared" si="473"/>
        <v>0</v>
      </c>
      <c r="DV254" s="78">
        <f t="shared" si="473"/>
        <v>0</v>
      </c>
      <c r="DW254" s="78">
        <f t="shared" si="473"/>
        <v>0</v>
      </c>
      <c r="DX254" s="78">
        <f t="shared" si="473"/>
        <v>0</v>
      </c>
      <c r="DY254" s="78">
        <f t="shared" si="473"/>
        <v>0</v>
      </c>
      <c r="DZ254" s="78">
        <f t="shared" si="473"/>
        <v>0</v>
      </c>
      <c r="EA254" s="78">
        <f t="shared" si="473"/>
        <v>0</v>
      </c>
      <c r="EB254" s="78">
        <f t="shared" si="473"/>
        <v>0</v>
      </c>
      <c r="EC254" s="78">
        <f t="shared" si="473"/>
        <v>0</v>
      </c>
      <c r="ED254" s="78">
        <f t="shared" si="473"/>
        <v>0</v>
      </c>
      <c r="EE254" s="78">
        <f t="shared" si="473"/>
        <v>0</v>
      </c>
      <c r="EF254" s="78">
        <f t="shared" si="473"/>
        <v>0</v>
      </c>
      <c r="EG254" s="78">
        <f t="shared" si="473"/>
        <v>0</v>
      </c>
      <c r="EH254" s="78">
        <f t="shared" si="473"/>
        <v>0</v>
      </c>
      <c r="EI254" s="78">
        <f t="shared" si="473"/>
        <v>0</v>
      </c>
    </row>
    <row r="255" spans="2:139" ht="12.75" customHeight="1">
      <c r="B255" s="41"/>
      <c r="C255" s="209"/>
      <c r="D255" s="169"/>
      <c r="E255" s="169"/>
      <c r="F255" s="169"/>
      <c r="G255" s="169"/>
      <c r="H255" s="169"/>
      <c r="I255" s="169"/>
      <c r="J255" s="169"/>
      <c r="K255" s="169"/>
      <c r="L255" s="169"/>
      <c r="M255" s="169"/>
      <c r="N255" s="169"/>
      <c r="O255" s="91"/>
      <c r="S255" s="169"/>
      <c r="T255" s="78"/>
      <c r="U255" s="78"/>
      <c r="V255" s="78"/>
      <c r="W255" s="78"/>
      <c r="X255" s="78"/>
      <c r="Y255" s="78"/>
      <c r="Z255" s="78"/>
      <c r="AA255" s="78"/>
      <c r="AB255" s="78"/>
      <c r="AC255" s="78"/>
      <c r="AD255" s="78"/>
      <c r="AE255" s="78"/>
      <c r="AF255" s="78"/>
      <c r="AG255" s="78"/>
      <c r="AH255" s="78"/>
      <c r="AI255" s="78"/>
      <c r="AJ255" s="78"/>
      <c r="AK255" s="78"/>
      <c r="AL255" s="78"/>
      <c r="AM255" s="78"/>
      <c r="AN255" s="78"/>
      <c r="AO255" s="78"/>
      <c r="AP255" s="78"/>
      <c r="AQ255" s="78"/>
      <c r="AR255" s="78"/>
      <c r="AS255" s="78"/>
      <c r="AT255" s="78"/>
      <c r="AU255" s="78"/>
      <c r="AV255" s="78"/>
      <c r="AW255" s="78"/>
      <c r="AX255" s="78"/>
      <c r="AY255" s="78"/>
      <c r="AZ255" s="78"/>
      <c r="BA255" s="78"/>
      <c r="BB255" s="78"/>
      <c r="BC255" s="78"/>
      <c r="BD255" s="78"/>
      <c r="BE255" s="78"/>
      <c r="BF255" s="78"/>
      <c r="BG255" s="78"/>
      <c r="BH255" s="78"/>
      <c r="BI255" s="78"/>
      <c r="BJ255" s="78"/>
      <c r="BK255" s="78"/>
      <c r="BL255" s="78"/>
      <c r="BM255" s="78"/>
      <c r="BN255" s="78"/>
      <c r="BO255" s="78"/>
      <c r="BP255" s="78"/>
      <c r="BQ255" s="78"/>
      <c r="BR255" s="78"/>
      <c r="BS255" s="78"/>
      <c r="BT255" s="78"/>
      <c r="BU255" s="78"/>
      <c r="BV255" s="78"/>
      <c r="BW255" s="78"/>
      <c r="BX255" s="78"/>
      <c r="BY255" s="78"/>
      <c r="BZ255" s="78"/>
      <c r="CA255" s="78"/>
      <c r="CB255" s="78"/>
      <c r="CC255" s="78"/>
      <c r="CD255" s="78"/>
      <c r="CE255" s="78"/>
      <c r="CF255" s="78"/>
      <c r="CG255" s="78"/>
      <c r="CH255" s="78"/>
      <c r="CI255" s="78"/>
      <c r="CJ255" s="78"/>
      <c r="CK255" s="78"/>
      <c r="CL255" s="78"/>
      <c r="CM255" s="78"/>
      <c r="CN255" s="78"/>
      <c r="CO255" s="78"/>
      <c r="CP255" s="78"/>
      <c r="CQ255" s="78"/>
      <c r="CR255" s="78"/>
      <c r="CS255" s="78"/>
      <c r="CT255" s="78"/>
      <c r="CU255" s="78"/>
      <c r="CV255" s="78"/>
      <c r="CW255" s="78"/>
      <c r="CX255" s="78"/>
      <c r="CY255" s="78"/>
      <c r="CZ255" s="78"/>
      <c r="DA255" s="78"/>
      <c r="DB255" s="78"/>
      <c r="DC255" s="78"/>
      <c r="DD255" s="78"/>
      <c r="DE255" s="78"/>
      <c r="DF255" s="78"/>
      <c r="DG255" s="78"/>
      <c r="DH255" s="78"/>
      <c r="DI255" s="78"/>
      <c r="DJ255" s="78"/>
      <c r="DK255" s="78"/>
      <c r="DL255" s="78"/>
      <c r="DM255" s="78"/>
      <c r="DN255" s="78"/>
      <c r="DO255" s="78"/>
      <c r="DP255" s="78"/>
      <c r="DQ255" s="78"/>
      <c r="DR255" s="78"/>
      <c r="DS255" s="78"/>
      <c r="DT255" s="78"/>
      <c r="DU255" s="78"/>
      <c r="DV255" s="78"/>
      <c r="DW255" s="78"/>
      <c r="DX255" s="78"/>
      <c r="DY255" s="78"/>
      <c r="DZ255" s="78"/>
      <c r="EA255" s="78"/>
      <c r="EB255" s="78"/>
      <c r="EC255" s="78"/>
      <c r="ED255" s="78"/>
      <c r="EE255" s="78"/>
      <c r="EF255" s="78"/>
      <c r="EG255" s="78"/>
      <c r="EH255" s="78"/>
      <c r="EI255" s="78"/>
    </row>
    <row r="256" spans="2:139" ht="12.75" customHeight="1">
      <c r="B256" s="41" t="s">
        <v>617</v>
      </c>
      <c r="C256" s="209"/>
      <c r="D256" s="169"/>
      <c r="E256" s="78">
        <f t="shared" ref="E256:N256" si="474">-MAX(-(E254+E253),-(E201+E207))</f>
        <v>0</v>
      </c>
      <c r="F256" s="78">
        <f t="shared" si="474"/>
        <v>0</v>
      </c>
      <c r="G256" s="78">
        <f t="shared" si="474"/>
        <v>0</v>
      </c>
      <c r="H256" s="78">
        <f t="shared" si="474"/>
        <v>0</v>
      </c>
      <c r="I256" s="78">
        <f t="shared" si="474"/>
        <v>0</v>
      </c>
      <c r="J256" s="78">
        <f t="shared" si="474"/>
        <v>0</v>
      </c>
      <c r="K256" s="78">
        <f t="shared" si="474"/>
        <v>0</v>
      </c>
      <c r="L256" s="78">
        <f t="shared" si="474"/>
        <v>0</v>
      </c>
      <c r="M256" s="78">
        <f t="shared" si="474"/>
        <v>0</v>
      </c>
      <c r="N256" s="78">
        <f t="shared" si="474"/>
        <v>0</v>
      </c>
      <c r="O256" s="145">
        <f>SUM(D256:N256)</f>
        <v>0</v>
      </c>
      <c r="S256" s="169"/>
      <c r="T256" s="78">
        <f t="shared" ref="T256:AY256" si="475">-MAX(-(T254+T253),-(T201+T207))</f>
        <v>0</v>
      </c>
      <c r="U256" s="78">
        <f t="shared" si="475"/>
        <v>0</v>
      </c>
      <c r="V256" s="78">
        <f t="shared" si="475"/>
        <v>0</v>
      </c>
      <c r="W256" s="78">
        <f t="shared" si="475"/>
        <v>0</v>
      </c>
      <c r="X256" s="78">
        <f t="shared" si="475"/>
        <v>0</v>
      </c>
      <c r="Y256" s="78">
        <f t="shared" si="475"/>
        <v>0</v>
      </c>
      <c r="Z256" s="78">
        <f t="shared" si="475"/>
        <v>0</v>
      </c>
      <c r="AA256" s="78">
        <f t="shared" si="475"/>
        <v>0</v>
      </c>
      <c r="AB256" s="78">
        <f t="shared" si="475"/>
        <v>0</v>
      </c>
      <c r="AC256" s="78">
        <f t="shared" si="475"/>
        <v>0</v>
      </c>
      <c r="AD256" s="78">
        <f t="shared" si="475"/>
        <v>0</v>
      </c>
      <c r="AE256" s="78">
        <f t="shared" si="475"/>
        <v>0</v>
      </c>
      <c r="AF256" s="78">
        <f t="shared" si="475"/>
        <v>0</v>
      </c>
      <c r="AG256" s="78">
        <f t="shared" si="475"/>
        <v>0</v>
      </c>
      <c r="AH256" s="78">
        <f t="shared" si="475"/>
        <v>0</v>
      </c>
      <c r="AI256" s="78">
        <f t="shared" si="475"/>
        <v>0</v>
      </c>
      <c r="AJ256" s="78">
        <f t="shared" si="475"/>
        <v>0</v>
      </c>
      <c r="AK256" s="78">
        <f t="shared" si="475"/>
        <v>0</v>
      </c>
      <c r="AL256" s="78">
        <f t="shared" si="475"/>
        <v>0</v>
      </c>
      <c r="AM256" s="78">
        <f t="shared" si="475"/>
        <v>0</v>
      </c>
      <c r="AN256" s="78">
        <f t="shared" si="475"/>
        <v>0</v>
      </c>
      <c r="AO256" s="78">
        <f t="shared" si="475"/>
        <v>0</v>
      </c>
      <c r="AP256" s="78">
        <f t="shared" si="475"/>
        <v>0</v>
      </c>
      <c r="AQ256" s="78">
        <f t="shared" si="475"/>
        <v>0</v>
      </c>
      <c r="AR256" s="78">
        <f t="shared" si="475"/>
        <v>0</v>
      </c>
      <c r="AS256" s="78">
        <f t="shared" si="475"/>
        <v>0</v>
      </c>
      <c r="AT256" s="78">
        <f t="shared" si="475"/>
        <v>0</v>
      </c>
      <c r="AU256" s="78">
        <f t="shared" si="475"/>
        <v>0</v>
      </c>
      <c r="AV256" s="78">
        <f t="shared" si="475"/>
        <v>0</v>
      </c>
      <c r="AW256" s="78">
        <f t="shared" si="475"/>
        <v>0</v>
      </c>
      <c r="AX256" s="78">
        <f t="shared" si="475"/>
        <v>0</v>
      </c>
      <c r="AY256" s="78">
        <f t="shared" si="475"/>
        <v>0</v>
      </c>
      <c r="AZ256" s="78">
        <f t="shared" ref="AZ256:CE256" si="476">-MAX(-(AZ254+AZ253),-(AZ201+AZ207))</f>
        <v>0</v>
      </c>
      <c r="BA256" s="78">
        <f t="shared" si="476"/>
        <v>0</v>
      </c>
      <c r="BB256" s="78">
        <f t="shared" si="476"/>
        <v>0</v>
      </c>
      <c r="BC256" s="78">
        <f t="shared" si="476"/>
        <v>0</v>
      </c>
      <c r="BD256" s="78">
        <f t="shared" si="476"/>
        <v>0</v>
      </c>
      <c r="BE256" s="78">
        <f t="shared" si="476"/>
        <v>0</v>
      </c>
      <c r="BF256" s="78">
        <f t="shared" si="476"/>
        <v>0</v>
      </c>
      <c r="BG256" s="78">
        <f t="shared" si="476"/>
        <v>0</v>
      </c>
      <c r="BH256" s="78">
        <f t="shared" si="476"/>
        <v>0</v>
      </c>
      <c r="BI256" s="78">
        <f t="shared" si="476"/>
        <v>0</v>
      </c>
      <c r="BJ256" s="78">
        <f t="shared" si="476"/>
        <v>0</v>
      </c>
      <c r="BK256" s="78">
        <f t="shared" si="476"/>
        <v>0</v>
      </c>
      <c r="BL256" s="78">
        <f t="shared" si="476"/>
        <v>0</v>
      </c>
      <c r="BM256" s="78">
        <f t="shared" si="476"/>
        <v>0</v>
      </c>
      <c r="BN256" s="78">
        <f t="shared" si="476"/>
        <v>0</v>
      </c>
      <c r="BO256" s="78">
        <f t="shared" si="476"/>
        <v>0</v>
      </c>
      <c r="BP256" s="78">
        <f t="shared" si="476"/>
        <v>0</v>
      </c>
      <c r="BQ256" s="78">
        <f t="shared" si="476"/>
        <v>0</v>
      </c>
      <c r="BR256" s="78">
        <f t="shared" si="476"/>
        <v>0</v>
      </c>
      <c r="BS256" s="78">
        <f t="shared" si="476"/>
        <v>0</v>
      </c>
      <c r="BT256" s="78">
        <f t="shared" si="476"/>
        <v>0</v>
      </c>
      <c r="BU256" s="78">
        <f t="shared" si="476"/>
        <v>0</v>
      </c>
      <c r="BV256" s="78">
        <f t="shared" si="476"/>
        <v>0</v>
      </c>
      <c r="BW256" s="78">
        <f t="shared" si="476"/>
        <v>0</v>
      </c>
      <c r="BX256" s="78">
        <f t="shared" si="476"/>
        <v>0</v>
      </c>
      <c r="BY256" s="78">
        <f t="shared" si="476"/>
        <v>0</v>
      </c>
      <c r="BZ256" s="78">
        <f t="shared" si="476"/>
        <v>0</v>
      </c>
      <c r="CA256" s="78">
        <f t="shared" si="476"/>
        <v>0</v>
      </c>
      <c r="CB256" s="78">
        <f t="shared" si="476"/>
        <v>0</v>
      </c>
      <c r="CC256" s="78">
        <f t="shared" si="476"/>
        <v>0</v>
      </c>
      <c r="CD256" s="78">
        <f t="shared" si="476"/>
        <v>0</v>
      </c>
      <c r="CE256" s="78">
        <f t="shared" si="476"/>
        <v>0</v>
      </c>
      <c r="CF256" s="78">
        <f t="shared" ref="CF256:DK256" si="477">-MAX(-(CF254+CF253),-(CF201+CF207))</f>
        <v>0</v>
      </c>
      <c r="CG256" s="78">
        <f t="shared" si="477"/>
        <v>0</v>
      </c>
      <c r="CH256" s="78">
        <f t="shared" si="477"/>
        <v>0</v>
      </c>
      <c r="CI256" s="78">
        <f t="shared" si="477"/>
        <v>0</v>
      </c>
      <c r="CJ256" s="78">
        <f t="shared" si="477"/>
        <v>0</v>
      </c>
      <c r="CK256" s="78">
        <f t="shared" si="477"/>
        <v>0</v>
      </c>
      <c r="CL256" s="78">
        <f t="shared" si="477"/>
        <v>0</v>
      </c>
      <c r="CM256" s="78">
        <f t="shared" si="477"/>
        <v>0</v>
      </c>
      <c r="CN256" s="78">
        <f t="shared" si="477"/>
        <v>0</v>
      </c>
      <c r="CO256" s="78">
        <f t="shared" si="477"/>
        <v>0</v>
      </c>
      <c r="CP256" s="78">
        <f t="shared" si="477"/>
        <v>0</v>
      </c>
      <c r="CQ256" s="78">
        <f t="shared" si="477"/>
        <v>0</v>
      </c>
      <c r="CR256" s="78">
        <f t="shared" si="477"/>
        <v>0</v>
      </c>
      <c r="CS256" s="78">
        <f t="shared" si="477"/>
        <v>0</v>
      </c>
      <c r="CT256" s="78">
        <f t="shared" si="477"/>
        <v>0</v>
      </c>
      <c r="CU256" s="78">
        <f t="shared" si="477"/>
        <v>0</v>
      </c>
      <c r="CV256" s="78">
        <f t="shared" si="477"/>
        <v>0</v>
      </c>
      <c r="CW256" s="78">
        <f t="shared" si="477"/>
        <v>0</v>
      </c>
      <c r="CX256" s="78">
        <f t="shared" si="477"/>
        <v>0</v>
      </c>
      <c r="CY256" s="78">
        <f t="shared" si="477"/>
        <v>0</v>
      </c>
      <c r="CZ256" s="78">
        <f t="shared" si="477"/>
        <v>0</v>
      </c>
      <c r="DA256" s="78">
        <f t="shared" si="477"/>
        <v>0</v>
      </c>
      <c r="DB256" s="78">
        <f t="shared" si="477"/>
        <v>0</v>
      </c>
      <c r="DC256" s="78">
        <f t="shared" si="477"/>
        <v>0</v>
      </c>
      <c r="DD256" s="78">
        <f t="shared" si="477"/>
        <v>0</v>
      </c>
      <c r="DE256" s="78">
        <f t="shared" si="477"/>
        <v>0</v>
      </c>
      <c r="DF256" s="78">
        <f t="shared" si="477"/>
        <v>0</v>
      </c>
      <c r="DG256" s="78">
        <f t="shared" si="477"/>
        <v>0</v>
      </c>
      <c r="DH256" s="78">
        <f t="shared" si="477"/>
        <v>0</v>
      </c>
      <c r="DI256" s="78">
        <f t="shared" si="477"/>
        <v>0</v>
      </c>
      <c r="DJ256" s="78">
        <f t="shared" si="477"/>
        <v>0</v>
      </c>
      <c r="DK256" s="78">
        <f t="shared" si="477"/>
        <v>0</v>
      </c>
      <c r="DL256" s="78">
        <f t="shared" ref="DL256:EI256" si="478">-MAX(-(DL254+DL253),-(DL201+DL207))</f>
        <v>0</v>
      </c>
      <c r="DM256" s="78">
        <f t="shared" si="478"/>
        <v>0</v>
      </c>
      <c r="DN256" s="78">
        <f t="shared" si="478"/>
        <v>0</v>
      </c>
      <c r="DO256" s="78">
        <f t="shared" si="478"/>
        <v>0</v>
      </c>
      <c r="DP256" s="78">
        <f t="shared" si="478"/>
        <v>0</v>
      </c>
      <c r="DQ256" s="78">
        <f t="shared" si="478"/>
        <v>0</v>
      </c>
      <c r="DR256" s="78">
        <f t="shared" si="478"/>
        <v>0</v>
      </c>
      <c r="DS256" s="78">
        <f t="shared" si="478"/>
        <v>0</v>
      </c>
      <c r="DT256" s="78">
        <f t="shared" si="478"/>
        <v>0</v>
      </c>
      <c r="DU256" s="78">
        <f t="shared" si="478"/>
        <v>0</v>
      </c>
      <c r="DV256" s="78">
        <f t="shared" si="478"/>
        <v>0</v>
      </c>
      <c r="DW256" s="78">
        <f t="shared" si="478"/>
        <v>0</v>
      </c>
      <c r="DX256" s="78">
        <f t="shared" si="478"/>
        <v>0</v>
      </c>
      <c r="DY256" s="78">
        <f t="shared" si="478"/>
        <v>0</v>
      </c>
      <c r="DZ256" s="78">
        <f t="shared" si="478"/>
        <v>0</v>
      </c>
      <c r="EA256" s="78">
        <f t="shared" si="478"/>
        <v>0</v>
      </c>
      <c r="EB256" s="78">
        <f t="shared" si="478"/>
        <v>0</v>
      </c>
      <c r="EC256" s="78">
        <f t="shared" si="478"/>
        <v>0</v>
      </c>
      <c r="ED256" s="78">
        <f t="shared" si="478"/>
        <v>0</v>
      </c>
      <c r="EE256" s="78">
        <f t="shared" si="478"/>
        <v>0</v>
      </c>
      <c r="EF256" s="78">
        <f t="shared" si="478"/>
        <v>0</v>
      </c>
      <c r="EG256" s="78">
        <f t="shared" si="478"/>
        <v>0</v>
      </c>
      <c r="EH256" s="78">
        <f t="shared" si="478"/>
        <v>0</v>
      </c>
      <c r="EI256" s="78">
        <f t="shared" si="478"/>
        <v>0</v>
      </c>
    </row>
    <row r="257" spans="2:139" ht="12.75" customHeight="1">
      <c r="B257" s="32" t="s">
        <v>618</v>
      </c>
      <c r="C257" s="209"/>
      <c r="D257" s="169"/>
      <c r="E257" s="98">
        <f t="shared" ref="E257:N257" si="479">IFERROR(AVERAGEIF($T$6:$EI$6,E$5,$T257:$EI257),)</f>
        <v>0</v>
      </c>
      <c r="F257" s="98">
        <f t="shared" si="479"/>
        <v>0</v>
      </c>
      <c r="G257" s="98">
        <f t="shared" si="479"/>
        <v>0</v>
      </c>
      <c r="H257" s="98">
        <f t="shared" si="479"/>
        <v>0</v>
      </c>
      <c r="I257" s="98">
        <f t="shared" si="479"/>
        <v>0</v>
      </c>
      <c r="J257" s="98">
        <f t="shared" si="479"/>
        <v>0</v>
      </c>
      <c r="K257" s="98">
        <f t="shared" si="479"/>
        <v>0</v>
      </c>
      <c r="L257" s="98">
        <f t="shared" si="479"/>
        <v>0</v>
      </c>
      <c r="M257" s="98">
        <f t="shared" si="479"/>
        <v>0</v>
      </c>
      <c r="N257" s="98">
        <f t="shared" si="479"/>
        <v>0</v>
      </c>
      <c r="O257" s="91"/>
      <c r="S257" s="169"/>
      <c r="T257" s="98">
        <f t="shared" ref="T257:AY257" si="480">IF(AND(T256,T62&gt;0),T62/-T256,)*(T205+T206&gt;0)</f>
        <v>0</v>
      </c>
      <c r="U257" s="98">
        <f t="shared" si="480"/>
        <v>0</v>
      </c>
      <c r="V257" s="98">
        <f t="shared" si="480"/>
        <v>0</v>
      </c>
      <c r="W257" s="98">
        <f t="shared" si="480"/>
        <v>0</v>
      </c>
      <c r="X257" s="98">
        <f t="shared" si="480"/>
        <v>0</v>
      </c>
      <c r="Y257" s="98">
        <f t="shared" si="480"/>
        <v>0</v>
      </c>
      <c r="Z257" s="98">
        <f t="shared" si="480"/>
        <v>0</v>
      </c>
      <c r="AA257" s="98">
        <f t="shared" si="480"/>
        <v>0</v>
      </c>
      <c r="AB257" s="98">
        <f t="shared" si="480"/>
        <v>0</v>
      </c>
      <c r="AC257" s="98">
        <f t="shared" si="480"/>
        <v>0</v>
      </c>
      <c r="AD257" s="98">
        <f t="shared" si="480"/>
        <v>0</v>
      </c>
      <c r="AE257" s="98">
        <f t="shared" si="480"/>
        <v>0</v>
      </c>
      <c r="AF257" s="98">
        <f t="shared" si="480"/>
        <v>0</v>
      </c>
      <c r="AG257" s="98">
        <f t="shared" si="480"/>
        <v>0</v>
      </c>
      <c r="AH257" s="98">
        <f t="shared" si="480"/>
        <v>0</v>
      </c>
      <c r="AI257" s="98">
        <f t="shared" si="480"/>
        <v>0</v>
      </c>
      <c r="AJ257" s="98">
        <f t="shared" si="480"/>
        <v>0</v>
      </c>
      <c r="AK257" s="98">
        <f t="shared" si="480"/>
        <v>0</v>
      </c>
      <c r="AL257" s="98">
        <f t="shared" si="480"/>
        <v>0</v>
      </c>
      <c r="AM257" s="98">
        <f t="shared" si="480"/>
        <v>0</v>
      </c>
      <c r="AN257" s="98">
        <f t="shared" si="480"/>
        <v>0</v>
      </c>
      <c r="AO257" s="98">
        <f t="shared" si="480"/>
        <v>0</v>
      </c>
      <c r="AP257" s="98">
        <f t="shared" si="480"/>
        <v>0</v>
      </c>
      <c r="AQ257" s="98">
        <f t="shared" si="480"/>
        <v>0</v>
      </c>
      <c r="AR257" s="98">
        <f t="shared" si="480"/>
        <v>0</v>
      </c>
      <c r="AS257" s="98">
        <f t="shared" si="480"/>
        <v>0</v>
      </c>
      <c r="AT257" s="98">
        <f t="shared" si="480"/>
        <v>0</v>
      </c>
      <c r="AU257" s="98">
        <f t="shared" si="480"/>
        <v>0</v>
      </c>
      <c r="AV257" s="98">
        <f t="shared" si="480"/>
        <v>0</v>
      </c>
      <c r="AW257" s="98">
        <f t="shared" si="480"/>
        <v>0</v>
      </c>
      <c r="AX257" s="98">
        <f t="shared" si="480"/>
        <v>0</v>
      </c>
      <c r="AY257" s="98">
        <f t="shared" si="480"/>
        <v>0</v>
      </c>
      <c r="AZ257" s="98">
        <f t="shared" ref="AZ257:CE257" si="481">IF(AND(AZ256,AZ62&gt;0),AZ62/-AZ256,)*(AZ205+AZ206&gt;0)</f>
        <v>0</v>
      </c>
      <c r="BA257" s="98">
        <f t="shared" si="481"/>
        <v>0</v>
      </c>
      <c r="BB257" s="98">
        <f t="shared" si="481"/>
        <v>0</v>
      </c>
      <c r="BC257" s="98">
        <f t="shared" si="481"/>
        <v>0</v>
      </c>
      <c r="BD257" s="98">
        <f t="shared" si="481"/>
        <v>0</v>
      </c>
      <c r="BE257" s="98">
        <f t="shared" si="481"/>
        <v>0</v>
      </c>
      <c r="BF257" s="98">
        <f t="shared" si="481"/>
        <v>0</v>
      </c>
      <c r="BG257" s="98">
        <f t="shared" si="481"/>
        <v>0</v>
      </c>
      <c r="BH257" s="98">
        <f t="shared" si="481"/>
        <v>0</v>
      </c>
      <c r="BI257" s="98">
        <f t="shared" si="481"/>
        <v>0</v>
      </c>
      <c r="BJ257" s="98">
        <f t="shared" si="481"/>
        <v>0</v>
      </c>
      <c r="BK257" s="98">
        <f t="shared" si="481"/>
        <v>0</v>
      </c>
      <c r="BL257" s="98">
        <f t="shared" si="481"/>
        <v>0</v>
      </c>
      <c r="BM257" s="98">
        <f t="shared" si="481"/>
        <v>0</v>
      </c>
      <c r="BN257" s="98">
        <f t="shared" si="481"/>
        <v>0</v>
      </c>
      <c r="BO257" s="98">
        <f t="shared" si="481"/>
        <v>0</v>
      </c>
      <c r="BP257" s="98">
        <f t="shared" si="481"/>
        <v>0</v>
      </c>
      <c r="BQ257" s="98">
        <f t="shared" si="481"/>
        <v>0</v>
      </c>
      <c r="BR257" s="98">
        <f t="shared" si="481"/>
        <v>0</v>
      </c>
      <c r="BS257" s="98">
        <f t="shared" si="481"/>
        <v>0</v>
      </c>
      <c r="BT257" s="98">
        <f t="shared" si="481"/>
        <v>0</v>
      </c>
      <c r="BU257" s="98">
        <f t="shared" si="481"/>
        <v>0</v>
      </c>
      <c r="BV257" s="98">
        <f t="shared" si="481"/>
        <v>0</v>
      </c>
      <c r="BW257" s="98">
        <f t="shared" si="481"/>
        <v>0</v>
      </c>
      <c r="BX257" s="98">
        <f t="shared" si="481"/>
        <v>0</v>
      </c>
      <c r="BY257" s="98">
        <f t="shared" si="481"/>
        <v>0</v>
      </c>
      <c r="BZ257" s="98">
        <f t="shared" si="481"/>
        <v>0</v>
      </c>
      <c r="CA257" s="98">
        <f t="shared" si="481"/>
        <v>0</v>
      </c>
      <c r="CB257" s="98">
        <f t="shared" si="481"/>
        <v>0</v>
      </c>
      <c r="CC257" s="98">
        <f t="shared" si="481"/>
        <v>0</v>
      </c>
      <c r="CD257" s="98">
        <f t="shared" si="481"/>
        <v>0</v>
      </c>
      <c r="CE257" s="98">
        <f t="shared" si="481"/>
        <v>0</v>
      </c>
      <c r="CF257" s="98">
        <f t="shared" ref="CF257:DK257" si="482">IF(AND(CF256,CF62&gt;0),CF62/-CF256,)*(CF205+CF206&gt;0)</f>
        <v>0</v>
      </c>
      <c r="CG257" s="98">
        <f t="shared" si="482"/>
        <v>0</v>
      </c>
      <c r="CH257" s="98">
        <f t="shared" si="482"/>
        <v>0</v>
      </c>
      <c r="CI257" s="98">
        <f t="shared" si="482"/>
        <v>0</v>
      </c>
      <c r="CJ257" s="98">
        <f t="shared" si="482"/>
        <v>0</v>
      </c>
      <c r="CK257" s="98">
        <f t="shared" si="482"/>
        <v>0</v>
      </c>
      <c r="CL257" s="98">
        <f t="shared" si="482"/>
        <v>0</v>
      </c>
      <c r="CM257" s="98">
        <f t="shared" si="482"/>
        <v>0</v>
      </c>
      <c r="CN257" s="98">
        <f t="shared" si="482"/>
        <v>0</v>
      </c>
      <c r="CO257" s="98">
        <f t="shared" si="482"/>
        <v>0</v>
      </c>
      <c r="CP257" s="98">
        <f t="shared" si="482"/>
        <v>0</v>
      </c>
      <c r="CQ257" s="98">
        <f t="shared" si="482"/>
        <v>0</v>
      </c>
      <c r="CR257" s="98">
        <f t="shared" si="482"/>
        <v>0</v>
      </c>
      <c r="CS257" s="98">
        <f t="shared" si="482"/>
        <v>0</v>
      </c>
      <c r="CT257" s="98">
        <f t="shared" si="482"/>
        <v>0</v>
      </c>
      <c r="CU257" s="98">
        <f t="shared" si="482"/>
        <v>0</v>
      </c>
      <c r="CV257" s="98">
        <f t="shared" si="482"/>
        <v>0</v>
      </c>
      <c r="CW257" s="98">
        <f t="shared" si="482"/>
        <v>0</v>
      </c>
      <c r="CX257" s="98">
        <f t="shared" si="482"/>
        <v>0</v>
      </c>
      <c r="CY257" s="98">
        <f t="shared" si="482"/>
        <v>0</v>
      </c>
      <c r="CZ257" s="98">
        <f t="shared" si="482"/>
        <v>0</v>
      </c>
      <c r="DA257" s="98">
        <f t="shared" si="482"/>
        <v>0</v>
      </c>
      <c r="DB257" s="98">
        <f t="shared" si="482"/>
        <v>0</v>
      </c>
      <c r="DC257" s="98">
        <f t="shared" si="482"/>
        <v>0</v>
      </c>
      <c r="DD257" s="98">
        <f t="shared" si="482"/>
        <v>0</v>
      </c>
      <c r="DE257" s="98">
        <f t="shared" si="482"/>
        <v>0</v>
      </c>
      <c r="DF257" s="98">
        <f t="shared" si="482"/>
        <v>0</v>
      </c>
      <c r="DG257" s="98">
        <f t="shared" si="482"/>
        <v>0</v>
      </c>
      <c r="DH257" s="98">
        <f t="shared" si="482"/>
        <v>0</v>
      </c>
      <c r="DI257" s="98">
        <f t="shared" si="482"/>
        <v>0</v>
      </c>
      <c r="DJ257" s="98">
        <f t="shared" si="482"/>
        <v>0</v>
      </c>
      <c r="DK257" s="98">
        <f t="shared" si="482"/>
        <v>0</v>
      </c>
      <c r="DL257" s="98">
        <f t="shared" ref="DL257:EQ257" si="483">IF(AND(DL256,DL62&gt;0),DL62/-DL256,)*(DL205+DL206&gt;0)</f>
        <v>0</v>
      </c>
      <c r="DM257" s="98">
        <f t="shared" si="483"/>
        <v>0</v>
      </c>
      <c r="DN257" s="98">
        <f t="shared" si="483"/>
        <v>0</v>
      </c>
      <c r="DO257" s="98">
        <f t="shared" si="483"/>
        <v>0</v>
      </c>
      <c r="DP257" s="98">
        <f t="shared" si="483"/>
        <v>0</v>
      </c>
      <c r="DQ257" s="98">
        <f t="shared" si="483"/>
        <v>0</v>
      </c>
      <c r="DR257" s="98">
        <f t="shared" si="483"/>
        <v>0</v>
      </c>
      <c r="DS257" s="98">
        <f t="shared" si="483"/>
        <v>0</v>
      </c>
      <c r="DT257" s="98">
        <f t="shared" si="483"/>
        <v>0</v>
      </c>
      <c r="DU257" s="98">
        <f t="shared" si="483"/>
        <v>0</v>
      </c>
      <c r="DV257" s="98">
        <f t="shared" si="483"/>
        <v>0</v>
      </c>
      <c r="DW257" s="98">
        <f t="shared" si="483"/>
        <v>0</v>
      </c>
      <c r="DX257" s="98">
        <f t="shared" si="483"/>
        <v>0</v>
      </c>
      <c r="DY257" s="98">
        <f t="shared" si="483"/>
        <v>0</v>
      </c>
      <c r="DZ257" s="98">
        <f t="shared" si="483"/>
        <v>0</v>
      </c>
      <c r="EA257" s="98">
        <f t="shared" si="483"/>
        <v>0</v>
      </c>
      <c r="EB257" s="98">
        <f t="shared" si="483"/>
        <v>0</v>
      </c>
      <c r="EC257" s="98">
        <f t="shared" si="483"/>
        <v>0</v>
      </c>
      <c r="ED257" s="98">
        <f t="shared" si="483"/>
        <v>0</v>
      </c>
      <c r="EE257" s="98">
        <f t="shared" si="483"/>
        <v>0</v>
      </c>
      <c r="EF257" s="98">
        <f t="shared" si="483"/>
        <v>0</v>
      </c>
      <c r="EG257" s="98">
        <f t="shared" si="483"/>
        <v>0</v>
      </c>
      <c r="EH257" s="98">
        <f t="shared" si="483"/>
        <v>0</v>
      </c>
      <c r="EI257" s="98">
        <f t="shared" si="483"/>
        <v>0</v>
      </c>
    </row>
    <row r="258" spans="2:139" ht="12.75" customHeight="1">
      <c r="B258" s="32" t="s">
        <v>619</v>
      </c>
      <c r="C258" s="209"/>
      <c r="D258" s="84">
        <f>AnalysisStartDate*S258</f>
        <v>0</v>
      </c>
      <c r="E258" s="84">
        <f>SUMPRODUCT($S$4:$EI$4*(E$5=$S$6:$EI$6)*($S258:$EI258=1))</f>
        <v>0</v>
      </c>
      <c r="F258" s="84">
        <f t="shared" ref="F258:N258" si="484">SUMPRODUCT($S$4:$EI$4*(F$5=$S$6:$EI$6)*($S$258:$EI$258=1))</f>
        <v>0</v>
      </c>
      <c r="G258" s="84">
        <f t="shared" si="484"/>
        <v>0</v>
      </c>
      <c r="H258" s="84">
        <f t="shared" si="484"/>
        <v>0</v>
      </c>
      <c r="I258" s="84">
        <f t="shared" si="484"/>
        <v>0</v>
      </c>
      <c r="J258" s="84">
        <f t="shared" si="484"/>
        <v>0</v>
      </c>
      <c r="K258" s="84">
        <f t="shared" si="484"/>
        <v>0</v>
      </c>
      <c r="L258" s="84">
        <f t="shared" si="484"/>
        <v>0</v>
      </c>
      <c r="M258" s="84">
        <f t="shared" si="484"/>
        <v>0</v>
      </c>
      <c r="N258" s="84">
        <f t="shared" si="484"/>
        <v>0</v>
      </c>
      <c r="O258" s="91"/>
      <c r="S258" s="32">
        <f>AND(S206,S208)*1</f>
        <v>0</v>
      </c>
      <c r="T258" s="875">
        <f>IF(Input!$AE$198=0,T$5=MIN(Input!$I$195+Input!$I$196,MAX(YrOfExit,1)*12),OR(AND(Input!$AE$198&lt;=T257,Input!$AE$198&lt;=SUMIF($E$5:$N$5,T$6,$E$257:$N$257),T256),T$5=MIN(Input!$I$195+Input!$I$196,MAX(YrOfExit,1)*12))*(SUM($S$258:S258)=0))*(T205+T206&gt;0)*1</f>
        <v>0</v>
      </c>
      <c r="U258" s="32">
        <f>IF(Input!$AE$198=0,U$5=MIN(Input!$I$195+Input!$I$196,MAX(YrOfExit,1)*12),OR(AND(Input!$AE$198&lt;=U257,Input!$AE$198&lt;=SUMIF($E$5:$N$5,U$6,$E$257:$N$257),U256),U$5=MIN(Input!$I$195+Input!$I$196,MAX(YrOfExit,1)*12))*(SUM($S$258:T258)=0))*(U205+U206&gt;0)*1</f>
        <v>0</v>
      </c>
      <c r="V258" s="32">
        <f>IF(Input!$AE$198=0,V$5=MIN(Input!$I$195+Input!$I$196,MAX(YrOfExit,1)*12),OR(AND(Input!$AE$198&lt;=V257,Input!$AE$198&lt;=SUMIF($E$5:$N$5,V$6,$E$257:$N$257),V256),V$5=MIN(Input!$I$195+Input!$I$196,MAX(YrOfExit,1)*12))*(SUM($S$258:U258)=0))*(V205+V206&gt;0)*1</f>
        <v>0</v>
      </c>
      <c r="W258" s="32">
        <f>IF(Input!$AE$198=0,W$5=MIN(Input!$I$195+Input!$I$196,MAX(YrOfExit,1)*12),OR(AND(Input!$AE$198&lt;=W257,Input!$AE$198&lt;=SUMIF($E$5:$N$5,W$6,$E$257:$N$257),W256),W$5=MIN(Input!$I$195+Input!$I$196,MAX(YrOfExit,1)*12))*(SUM($S$258:V258)=0))*(W205+W206&gt;0)*1</f>
        <v>0</v>
      </c>
      <c r="X258" s="32">
        <f>IF(Input!$AE$198=0,X$5=MIN(Input!$I$195+Input!$I$196,MAX(YrOfExit,1)*12),OR(AND(Input!$AE$198&lt;=X257,Input!$AE$198&lt;=SUMIF($E$5:$N$5,X$6,$E$257:$N$257),X256),X$5=MIN(Input!$I$195+Input!$I$196,MAX(YrOfExit,1)*12))*(SUM($S$258:W258)=0))*(X205+X206&gt;0)*1</f>
        <v>0</v>
      </c>
      <c r="Y258" s="32">
        <f>IF(Input!$AE$198=0,Y$5=MIN(Input!$I$195+Input!$I$196,MAX(YrOfExit,1)*12),OR(AND(Input!$AE$198&lt;=Y257,Input!$AE$198&lt;=SUMIF($E$5:$N$5,Y$6,$E$257:$N$257),Y256),Y$5=MIN(Input!$I$195+Input!$I$196,MAX(YrOfExit,1)*12))*(SUM($S$258:X258)=0))*(Y205+Y206&gt;0)*1</f>
        <v>0</v>
      </c>
      <c r="Z258" s="32">
        <f>IF(Input!$AE$198=0,Z$5=MIN(Input!$I$195+Input!$I$196,MAX(YrOfExit,1)*12),OR(AND(Input!$AE$198&lt;=Z257,Input!$AE$198&lt;=SUMIF($E$5:$N$5,Z$6,$E$257:$N$257),Z256),Z$5=MIN(Input!$I$195+Input!$I$196,MAX(YrOfExit,1)*12))*(SUM($S$258:Y258)=0))*(Z205+Z206&gt;0)*1</f>
        <v>0</v>
      </c>
      <c r="AA258" s="32">
        <f>IF(Input!$AE$198=0,AA$5=MIN(Input!$I$195+Input!$I$196,MAX(YrOfExit,1)*12),OR(AND(Input!$AE$198&lt;=AA257,Input!$AE$198&lt;=SUMIF($E$5:$N$5,AA$6,$E$257:$N$257),AA256),AA$5=MIN(Input!$I$195+Input!$I$196,MAX(YrOfExit,1)*12))*(SUM($S$258:Z258)=0))*(AA205+AA206&gt;0)*1</f>
        <v>0</v>
      </c>
      <c r="AB258" s="32">
        <f>IF(Input!$AE$198=0,AB$5=MIN(Input!$I$195+Input!$I$196,MAX(YrOfExit,1)*12),OR(AND(Input!$AE$198&lt;=AB257,Input!$AE$198&lt;=SUMIF($E$5:$N$5,AB$6,$E$257:$N$257),AB256),AB$5=MIN(Input!$I$195+Input!$I$196,MAX(YrOfExit,1)*12))*(SUM($S$258:AA258)=0))*(AB205+AB206&gt;0)*1</f>
        <v>0</v>
      </c>
      <c r="AC258" s="32">
        <f>IF(Input!$AE$198=0,AC$5=MIN(Input!$I$195+Input!$I$196,MAX(YrOfExit,1)*12),OR(AND(Input!$AE$198&lt;=AC257,Input!$AE$198&lt;=SUMIF($E$5:$N$5,AC$6,$E$257:$N$257),AC256),AC$5=MIN(Input!$I$195+Input!$I$196,MAX(YrOfExit,1)*12))*(SUM($S$258:AB258)=0))*(AC205+AC206&gt;0)*1</f>
        <v>0</v>
      </c>
      <c r="AD258" s="32">
        <f>IF(Input!$AE$198=0,AD$5=MIN(Input!$I$195+Input!$I$196,MAX(YrOfExit,1)*12),OR(AND(Input!$AE$198&lt;=AD257,Input!$AE$198&lt;=SUMIF($E$5:$N$5,AD$6,$E$257:$N$257),AD256),AD$5=MIN(Input!$I$195+Input!$I$196,MAX(YrOfExit,1)*12))*(SUM($S$258:AC258)=0))*(AD205+AD206&gt;0)*1</f>
        <v>0</v>
      </c>
      <c r="AE258" s="32">
        <f>IF(Input!$AE$198=0,AE$5=MIN(Input!$I$195+Input!$I$196,MAX(YrOfExit,1)*12),OR(AND(Input!$AE$198&lt;=AE257,Input!$AE$198&lt;=SUMIF($E$5:$N$5,AE$6,$E$257:$N$257),AE256),AE$5=MIN(Input!$I$195+Input!$I$196,MAX(YrOfExit,1)*12))*(SUM($S$258:AD258)=0))*(AE205+AE206&gt;0)*1</f>
        <v>0</v>
      </c>
      <c r="AF258" s="32">
        <f>IF(Input!$AE$198=0,AF$5=MIN(Input!$I$195+Input!$I$196,MAX(YrOfExit,1)*12),OR(AND(Input!$AE$198&lt;=AF257,Input!$AE$198&lt;=SUMIF($E$5:$N$5,AF$6,$E$257:$N$257),AF256),AF$5=MIN(Input!$I$195+Input!$I$196,MAX(YrOfExit,1)*12))*(SUM($S$258:AE258)=0))*(AF205+AF206&gt;0)*1</f>
        <v>0</v>
      </c>
      <c r="AG258" s="32">
        <f>IF(Input!$AE$198=0,AG$5=MIN(Input!$I$195+Input!$I$196,MAX(YrOfExit,1)*12),OR(AND(Input!$AE$198&lt;=AG257,Input!$AE$198&lt;=SUMIF($E$5:$N$5,AG$6,$E$257:$N$257),AG256),AG$5=MIN(Input!$I$195+Input!$I$196,MAX(YrOfExit,1)*12))*(SUM($S$258:AF258)=0))*(AG205+AG206&gt;0)*1</f>
        <v>0</v>
      </c>
      <c r="AH258" s="32">
        <f>IF(Input!$AE$198=0,AH$5=MIN(Input!$I$195+Input!$I$196,MAX(YrOfExit,1)*12),OR(AND(Input!$AE$198&lt;=AH257,Input!$AE$198&lt;=SUMIF($E$5:$N$5,AH$6,$E$257:$N$257),AH256),AH$5=MIN(Input!$I$195+Input!$I$196,MAX(YrOfExit,1)*12))*(SUM($S$258:AG258)=0))*(AH205+AH206&gt;0)*1</f>
        <v>0</v>
      </c>
      <c r="AI258" s="32">
        <f>IF(Input!$AE$198=0,AI$5=MIN(Input!$I$195+Input!$I$196,MAX(YrOfExit,1)*12),OR(AND(Input!$AE$198&lt;=AI257,Input!$AE$198&lt;=SUMIF($E$5:$N$5,AI$6,$E$257:$N$257),AI256),AI$5=MIN(Input!$I$195+Input!$I$196,MAX(YrOfExit,1)*12))*(SUM($S$258:AH258)=0))*(AI205+AI206&gt;0)*1</f>
        <v>0</v>
      </c>
      <c r="AJ258" s="32">
        <f>IF(Input!$AE$198=0,AJ$5=MIN(Input!$I$195+Input!$I$196,MAX(YrOfExit,1)*12),OR(AND(Input!$AE$198&lt;=AJ257,Input!$AE$198&lt;=SUMIF($E$5:$N$5,AJ$6,$E$257:$N$257),AJ256),AJ$5=MIN(Input!$I$195+Input!$I$196,MAX(YrOfExit,1)*12))*(SUM($S$258:AI258)=0))*(AJ205+AJ206&gt;0)*1</f>
        <v>0</v>
      </c>
      <c r="AK258" s="32">
        <f>IF(Input!$AE$198=0,AK$5=MIN(Input!$I$195+Input!$I$196,MAX(YrOfExit,1)*12),OR(AND(Input!$AE$198&lt;=AK257,Input!$AE$198&lt;=SUMIF($E$5:$N$5,AK$6,$E$257:$N$257),AK256),AK$5=MIN(Input!$I$195+Input!$I$196,MAX(YrOfExit,1)*12))*(SUM($S$258:AJ258)=0))*(AK205+AK206&gt;0)*1</f>
        <v>0</v>
      </c>
      <c r="AL258" s="32">
        <f>IF(Input!$AE$198=0,AL$5=MIN(Input!$I$195+Input!$I$196,MAX(YrOfExit,1)*12),OR(AND(Input!$AE$198&lt;=AL257,Input!$AE$198&lt;=SUMIF($E$5:$N$5,AL$6,$E$257:$N$257),AL256),AL$5=MIN(Input!$I$195+Input!$I$196,MAX(YrOfExit,1)*12))*(SUM($S$258:AK258)=0))*(AL205+AL206&gt;0)*1</f>
        <v>0</v>
      </c>
      <c r="AM258" s="32">
        <f>IF(Input!$AE$198=0,AM$5=MIN(Input!$I$195+Input!$I$196,MAX(YrOfExit,1)*12),OR(AND(Input!$AE$198&lt;=AM257,Input!$AE$198&lt;=SUMIF($E$5:$N$5,AM$6,$E$257:$N$257),AM256),AM$5=MIN(Input!$I$195+Input!$I$196,MAX(YrOfExit,1)*12))*(SUM($S$258:AL258)=0))*(AM205+AM206&gt;0)*1</f>
        <v>0</v>
      </c>
      <c r="AN258" s="32">
        <f>IF(Input!$AE$198=0,AN$5=MIN(Input!$I$195+Input!$I$196,MAX(YrOfExit,1)*12),OR(AND(Input!$AE$198&lt;=AN257,Input!$AE$198&lt;=SUMIF($E$5:$N$5,AN$6,$E$257:$N$257),AN256),AN$5=MIN(Input!$I$195+Input!$I$196,MAX(YrOfExit,1)*12))*(SUM($S$258:AM258)=0))*(AN205+AN206&gt;0)*1</f>
        <v>0</v>
      </c>
      <c r="AO258" s="32">
        <f>IF(Input!$AE$198=0,AO$5=MIN(Input!$I$195+Input!$I$196,MAX(YrOfExit,1)*12),OR(AND(Input!$AE$198&lt;=AO257,Input!$AE$198&lt;=SUMIF($E$5:$N$5,AO$6,$E$257:$N$257),AO256),AO$5=MIN(Input!$I$195+Input!$I$196,MAX(YrOfExit,1)*12))*(SUM($S$258:AN258)=0))*(AO205+AO206&gt;0)*1</f>
        <v>0</v>
      </c>
      <c r="AP258" s="32">
        <f>IF(Input!$AE$198=0,AP$5=MIN(Input!$I$195+Input!$I$196,MAX(YrOfExit,1)*12),OR(AND(Input!$AE$198&lt;=AP257,Input!$AE$198&lt;=SUMIF($E$5:$N$5,AP$6,$E$257:$N$257),AP256),AP$5=MIN(Input!$I$195+Input!$I$196,MAX(YrOfExit,1)*12))*(SUM($S$258:AO258)=0))*(AP205+AP206&gt;0)*1</f>
        <v>0</v>
      </c>
      <c r="AQ258" s="32">
        <f>IF(Input!$AE$198=0,AQ$5=MIN(Input!$I$195+Input!$I$196,MAX(YrOfExit,1)*12),OR(AND(Input!$AE$198&lt;=AQ257,Input!$AE$198&lt;=SUMIF($E$5:$N$5,AQ$6,$E$257:$N$257),AQ256),AQ$5=MIN(Input!$I$195+Input!$I$196,MAX(YrOfExit,1)*12))*(SUM($S$258:AP258)=0))*(AQ205+AQ206&gt;0)*1</f>
        <v>0</v>
      </c>
      <c r="AR258" s="32">
        <f>IF(Input!$AE$198=0,AR$5=MIN(Input!$I$195+Input!$I$196,MAX(YrOfExit,1)*12),OR(AND(Input!$AE$198&lt;=AR257,Input!$AE$198&lt;=SUMIF($E$5:$N$5,AR$6,$E$257:$N$257),AR256),AR$5=MIN(Input!$I$195+Input!$I$196,MAX(YrOfExit,1)*12))*(SUM($S$258:AQ258)=0))*(AR205+AR206&gt;0)*1</f>
        <v>0</v>
      </c>
      <c r="AS258" s="32">
        <f>IF(Input!$AE$198=0,AS$5=MIN(Input!$I$195+Input!$I$196,MAX(YrOfExit,1)*12),OR(AND(Input!$AE$198&lt;=AS257,Input!$AE$198&lt;=SUMIF($E$5:$N$5,AS$6,$E$257:$N$257),AS256),AS$5=MIN(Input!$I$195+Input!$I$196,MAX(YrOfExit,1)*12))*(SUM($S$258:AR258)=0))*(AS205+AS206&gt;0)*1</f>
        <v>0</v>
      </c>
      <c r="AT258" s="32">
        <f>IF(Input!$AE$198=0,AT$5=MIN(Input!$I$195+Input!$I$196,MAX(YrOfExit,1)*12),OR(AND(Input!$AE$198&lt;=AT257,Input!$AE$198&lt;=SUMIF($E$5:$N$5,AT$6,$E$257:$N$257),AT256),AT$5=MIN(Input!$I$195+Input!$I$196,MAX(YrOfExit,1)*12))*(SUM($S$258:AS258)=0))*(AT205+AT206&gt;0)*1</f>
        <v>0</v>
      </c>
      <c r="AU258" s="32">
        <f>IF(Input!$AE$198=0,AU$5=MIN(Input!$I$195+Input!$I$196,MAX(YrOfExit,1)*12),OR(AND(Input!$AE$198&lt;=AU257,Input!$AE$198&lt;=SUMIF($E$5:$N$5,AU$6,$E$257:$N$257),AU256),AU$5=MIN(Input!$I$195+Input!$I$196,MAX(YrOfExit,1)*12))*(SUM($S$258:AT258)=0))*(AU205+AU206&gt;0)*1</f>
        <v>0</v>
      </c>
      <c r="AV258" s="32">
        <f>IF(Input!$AE$198=0,AV$5=MIN(Input!$I$195+Input!$I$196,MAX(YrOfExit,1)*12),OR(AND(Input!$AE$198&lt;=AV257,Input!$AE$198&lt;=SUMIF($E$5:$N$5,AV$6,$E$257:$N$257),AV256),AV$5=MIN(Input!$I$195+Input!$I$196,MAX(YrOfExit,1)*12))*(SUM($S$258:AU258)=0))*(AV205+AV206&gt;0)*1</f>
        <v>0</v>
      </c>
      <c r="AW258" s="32">
        <f>IF(Input!$AE$198=0,AW$5=MIN(Input!$I$195+Input!$I$196,MAX(YrOfExit,1)*12),OR(AND(Input!$AE$198&lt;=AW257,Input!$AE$198&lt;=SUMIF($E$5:$N$5,AW$6,$E$257:$N$257),AW256),AW$5=MIN(Input!$I$195+Input!$I$196,MAX(YrOfExit,1)*12))*(SUM($S$258:AV258)=0))*(AW205+AW206&gt;0)*1</f>
        <v>0</v>
      </c>
      <c r="AX258" s="32">
        <f>IF(Input!$AE$198=0,AX$5=MIN(Input!$I$195+Input!$I$196,MAX(YrOfExit,1)*12),OR(AND(Input!$AE$198&lt;=AX257,Input!$AE$198&lt;=SUMIF($E$5:$N$5,AX$6,$E$257:$N$257),AX256),AX$5=MIN(Input!$I$195+Input!$I$196,MAX(YrOfExit,1)*12))*(SUM($S$258:AW258)=0))*(AX205+AX206&gt;0)*1</f>
        <v>0</v>
      </c>
      <c r="AY258" s="32">
        <f>IF(Input!$AE$198=0,AY$5=MIN(Input!$I$195+Input!$I$196,MAX(YrOfExit,1)*12),OR(AND(Input!$AE$198&lt;=AY257,Input!$AE$198&lt;=SUMIF($E$5:$N$5,AY$6,$E$257:$N$257),AY256),AY$5=MIN(Input!$I$195+Input!$I$196,MAX(YrOfExit,1)*12))*(SUM($S$258:AX258)=0))*(AY205+AY206&gt;0)*1</f>
        <v>0</v>
      </c>
      <c r="AZ258" s="32">
        <f>IF(Input!$AE$198=0,AZ$5=MIN(Input!$I$195+Input!$I$196,MAX(YrOfExit,1)*12),OR(AND(Input!$AE$198&lt;=AZ257,Input!$AE$198&lt;=SUMIF($E$5:$N$5,AZ$6,$E$257:$N$257),AZ256),AZ$5=MIN(Input!$I$195+Input!$I$196,MAX(YrOfExit,1)*12))*(SUM($S$258:AY258)=0))*(AZ205+AZ206&gt;0)*1</f>
        <v>0</v>
      </c>
      <c r="BA258" s="32">
        <f>IF(Input!$AE$198=0,BA$5=MIN(Input!$I$195+Input!$I$196,MAX(YrOfExit,1)*12),OR(AND(Input!$AE$198&lt;=BA257,Input!$AE$198&lt;=SUMIF($E$5:$N$5,BA$6,$E$257:$N$257),BA256),BA$5=MIN(Input!$I$195+Input!$I$196,MAX(YrOfExit,1)*12))*(SUM($S$258:AZ258)=0))*(BA205+BA206&gt;0)*1</f>
        <v>0</v>
      </c>
      <c r="BB258" s="32">
        <f>IF(Input!$AE$198=0,BB$5=MIN(Input!$I$195+Input!$I$196,MAX(YrOfExit,1)*12),OR(AND(Input!$AE$198&lt;=BB257,Input!$AE$198&lt;=SUMIF($E$5:$N$5,BB$6,$E$257:$N$257),BB256),BB$5=MIN(Input!$I$195+Input!$I$196,MAX(YrOfExit,1)*12))*(SUM($S$258:BA258)=0))*(BB205+BB206&gt;0)*1</f>
        <v>0</v>
      </c>
      <c r="BC258" s="32">
        <f>IF(Input!$AE$198=0,BC$5=MIN(Input!$I$195+Input!$I$196,MAX(YrOfExit,1)*12),OR(AND(Input!$AE$198&lt;=BC257,Input!$AE$198&lt;=SUMIF($E$5:$N$5,BC$6,$E$257:$N$257),BC256),BC$5=MIN(Input!$I$195+Input!$I$196,MAX(YrOfExit,1)*12))*(SUM($S$258:BB258)=0))*(BC205+BC206&gt;0)*1</f>
        <v>0</v>
      </c>
      <c r="BD258" s="32">
        <f>IF(Input!$AE$198=0,BD$5=MIN(Input!$I$195+Input!$I$196,MAX(YrOfExit,1)*12),OR(AND(Input!$AE$198&lt;=BD257,Input!$AE$198&lt;=SUMIF($E$5:$N$5,BD$6,$E$257:$N$257),BD256),BD$5=MIN(Input!$I$195+Input!$I$196,MAX(YrOfExit,1)*12))*(SUM($S$258:BC258)=0))*(BD205+BD206&gt;0)*1</f>
        <v>0</v>
      </c>
      <c r="BE258" s="32">
        <f>IF(Input!$AE$198=0,BE$5=MIN(Input!$I$195+Input!$I$196,MAX(YrOfExit,1)*12),OR(AND(Input!$AE$198&lt;=BE257,Input!$AE$198&lt;=SUMIF($E$5:$N$5,BE$6,$E$257:$N$257),BE256),BE$5=MIN(Input!$I$195+Input!$I$196,MAX(YrOfExit,1)*12))*(SUM($S$258:BD258)=0))*(BE205+BE206&gt;0)*1</f>
        <v>0</v>
      </c>
      <c r="BF258" s="32">
        <f>IF(Input!$AE$198=0,BF$5=MIN(Input!$I$195+Input!$I$196,MAX(YrOfExit,1)*12),OR(AND(Input!$AE$198&lt;=BF257,Input!$AE$198&lt;=SUMIF($E$5:$N$5,BF$6,$E$257:$N$257),BF256),BF$5=MIN(Input!$I$195+Input!$I$196,MAX(YrOfExit,1)*12))*(SUM($S$258:BE258)=0))*(BF205+BF206&gt;0)*1</f>
        <v>0</v>
      </c>
      <c r="BG258" s="32">
        <f>IF(Input!$AE$198=0,BG$5=MIN(Input!$I$195+Input!$I$196,MAX(YrOfExit,1)*12),OR(AND(Input!$AE$198&lt;=BG257,Input!$AE$198&lt;=SUMIF($E$5:$N$5,BG$6,$E$257:$N$257),BG256),BG$5=MIN(Input!$I$195+Input!$I$196,MAX(YrOfExit,1)*12))*(SUM($S$258:BF258)=0))*(BG205+BG206&gt;0)*1</f>
        <v>0</v>
      </c>
      <c r="BH258" s="32">
        <f>IF(Input!$AE$198=0,BH$5=MIN(Input!$I$195+Input!$I$196,MAX(YrOfExit,1)*12),OR(AND(Input!$AE$198&lt;=BH257,Input!$AE$198&lt;=SUMIF($E$5:$N$5,BH$6,$E$257:$N$257),BH256),BH$5=MIN(Input!$I$195+Input!$I$196,MAX(YrOfExit,1)*12))*(SUM($S$258:BG258)=0))*(BH205+BH206&gt;0)*1</f>
        <v>0</v>
      </c>
      <c r="BI258" s="32">
        <f>IF(Input!$AE$198=0,BI$5=MIN(Input!$I$195+Input!$I$196,MAX(YrOfExit,1)*12),OR(AND(Input!$AE$198&lt;=BI257,Input!$AE$198&lt;=SUMIF($E$5:$N$5,BI$6,$E$257:$N$257),BI256),BI$5=MIN(Input!$I$195+Input!$I$196,MAX(YrOfExit,1)*12))*(SUM($S$258:BH258)=0))*(BI205+BI206&gt;0)*1</f>
        <v>0</v>
      </c>
      <c r="BJ258" s="32">
        <f>IF(Input!$AE$198=0,BJ$5=MIN(Input!$I$195+Input!$I$196,MAX(YrOfExit,1)*12),OR(AND(Input!$AE$198&lt;=BJ257,Input!$AE$198&lt;=SUMIF($E$5:$N$5,BJ$6,$E$257:$N$257),BJ256),BJ$5=MIN(Input!$I$195+Input!$I$196,MAX(YrOfExit,1)*12))*(SUM($S$258:BI258)=0))*(BJ205+BJ206&gt;0)*1</f>
        <v>0</v>
      </c>
      <c r="BK258" s="32">
        <f>IF(Input!$AE$198=0,BK$5=MIN(Input!$I$195+Input!$I$196,MAX(YrOfExit,1)*12),OR(AND(Input!$AE$198&lt;=BK257,Input!$AE$198&lt;=SUMIF($E$5:$N$5,BK$6,$E$257:$N$257),BK256),BK$5=MIN(Input!$I$195+Input!$I$196,MAX(YrOfExit,1)*12))*(SUM($S$258:BJ258)=0))*(BK205+BK206&gt;0)*1</f>
        <v>0</v>
      </c>
      <c r="BL258" s="32">
        <f>IF(Input!$AE$198=0,BL$5=MIN(Input!$I$195+Input!$I$196,MAX(YrOfExit,1)*12),OR(AND(Input!$AE$198&lt;=BL257,Input!$AE$198&lt;=SUMIF($E$5:$N$5,BL$6,$E$257:$N$257),BL256),BL$5=MIN(Input!$I$195+Input!$I$196,MAX(YrOfExit,1)*12))*(SUM($S$258:BK258)=0))*(BL205+BL206&gt;0)*1</f>
        <v>0</v>
      </c>
      <c r="BM258" s="32">
        <f>IF(Input!$AE$198=0,BM$5=MIN(Input!$I$195+Input!$I$196,MAX(YrOfExit,1)*12),OR(AND(Input!$AE$198&lt;=BM257,Input!$AE$198&lt;=SUMIF($E$5:$N$5,BM$6,$E$257:$N$257),BM256),BM$5=MIN(Input!$I$195+Input!$I$196,MAX(YrOfExit,1)*12))*(SUM($S$258:BL258)=0))*(BM205+BM206&gt;0)*1</f>
        <v>0</v>
      </c>
      <c r="BN258" s="32">
        <f>IF(Input!$AE$198=0,BN$5=MIN(Input!$I$195+Input!$I$196,MAX(YrOfExit,1)*12),OR(AND(Input!$AE$198&lt;=BN257,Input!$AE$198&lt;=SUMIF($E$5:$N$5,BN$6,$E$257:$N$257),BN256),BN$5=MIN(Input!$I$195+Input!$I$196,MAX(YrOfExit,1)*12))*(SUM($S$258:BM258)=0))*(BN205+BN206&gt;0)*1</f>
        <v>0</v>
      </c>
      <c r="BO258" s="32">
        <f>IF(Input!$AE$198=0,BO$5=MIN(Input!$I$195+Input!$I$196,MAX(YrOfExit,1)*12),OR(AND(Input!$AE$198&lt;=BO257,Input!$AE$198&lt;=SUMIF($E$5:$N$5,BO$6,$E$257:$N$257),BO256),BO$5=MIN(Input!$I$195+Input!$I$196,MAX(YrOfExit,1)*12))*(SUM($S$258:BN258)=0))*(BO205+BO206&gt;0)*1</f>
        <v>0</v>
      </c>
      <c r="BP258" s="32">
        <f>IF(Input!$AE$198=0,BP$5=MIN(Input!$I$195+Input!$I$196,MAX(YrOfExit,1)*12),OR(AND(Input!$AE$198&lt;=BP257,Input!$AE$198&lt;=SUMIF($E$5:$N$5,BP$6,$E$257:$N$257),BP256),BP$5=MIN(Input!$I$195+Input!$I$196,MAX(YrOfExit,1)*12))*(SUM($S$258:BO258)=0))*(BP205+BP206&gt;0)*1</f>
        <v>0</v>
      </c>
      <c r="BQ258" s="32">
        <f>IF(Input!$AE$198=0,BQ$5=MIN(Input!$I$195+Input!$I$196,MAX(YrOfExit,1)*12),OR(AND(Input!$AE$198&lt;=BQ257,Input!$AE$198&lt;=SUMIF($E$5:$N$5,BQ$6,$E$257:$N$257),BQ256),BQ$5=MIN(Input!$I$195+Input!$I$196,MAX(YrOfExit,1)*12))*(SUM($S$258:BP258)=0))*(BQ205+BQ206&gt;0)*1</f>
        <v>0</v>
      </c>
      <c r="BR258" s="32">
        <f>IF(Input!$AE$198=0,BR$5=MIN(Input!$I$195+Input!$I$196,MAX(YrOfExit,1)*12),OR(AND(Input!$AE$198&lt;=BR257,Input!$AE$198&lt;=SUMIF($E$5:$N$5,BR$6,$E$257:$N$257),BR256),BR$5=MIN(Input!$I$195+Input!$I$196,MAX(YrOfExit,1)*12))*(SUM($S$258:BQ258)=0))*(BR205+BR206&gt;0)*1</f>
        <v>0</v>
      </c>
      <c r="BS258" s="32">
        <f>IF(Input!$AE$198=0,BS$5=MIN(Input!$I$195+Input!$I$196,MAX(YrOfExit,1)*12),OR(AND(Input!$AE$198&lt;=BS257,Input!$AE$198&lt;=SUMIF($E$5:$N$5,BS$6,$E$257:$N$257),BS256),BS$5=MIN(Input!$I$195+Input!$I$196,MAX(YrOfExit,1)*12))*(SUM($S$258:BR258)=0))*(BS205+BS206&gt;0)*1</f>
        <v>0</v>
      </c>
      <c r="BT258" s="32">
        <f>IF(Input!$AE$198=0,BT$5=MIN(Input!$I$195+Input!$I$196,MAX(YrOfExit,1)*12),OR(AND(Input!$AE$198&lt;=BT257,Input!$AE$198&lt;=SUMIF($E$5:$N$5,BT$6,$E$257:$N$257),BT256),BT$5=MIN(Input!$I$195+Input!$I$196,MAX(YrOfExit,1)*12))*(SUM($S$258:BS258)=0))*(BT205+BT206&gt;0)*1</f>
        <v>0</v>
      </c>
      <c r="BU258" s="32">
        <f>IF(Input!$AE$198=0,BU$5=MIN(Input!$I$195+Input!$I$196,MAX(YrOfExit,1)*12),OR(AND(Input!$AE$198&lt;=BU257,Input!$AE$198&lt;=SUMIF($E$5:$N$5,BU$6,$E$257:$N$257),BU256),BU$5=MIN(Input!$I$195+Input!$I$196,MAX(YrOfExit,1)*12))*(SUM($S$258:BT258)=0))*(BU205+BU206&gt;0)*1</f>
        <v>0</v>
      </c>
      <c r="BV258" s="32">
        <f>IF(Input!$AE$198=0,BV$5=MIN(Input!$I$195+Input!$I$196,MAX(YrOfExit,1)*12),OR(AND(Input!$AE$198&lt;=BV257,Input!$AE$198&lt;=SUMIF($E$5:$N$5,BV$6,$E$257:$N$257),BV256),BV$5=MIN(Input!$I$195+Input!$I$196,MAX(YrOfExit,1)*12))*(SUM($S$258:BU258)=0))*(BV205+BV206&gt;0)*1</f>
        <v>0</v>
      </c>
      <c r="BW258" s="32">
        <f>IF(Input!$AE$198=0,BW$5=MIN(Input!$I$195+Input!$I$196,MAX(YrOfExit,1)*12),OR(AND(Input!$AE$198&lt;=BW257,Input!$AE$198&lt;=SUMIF($E$5:$N$5,BW$6,$E$257:$N$257),BW256),BW$5=MIN(Input!$I$195+Input!$I$196,MAX(YrOfExit,1)*12))*(SUM($S$258:BV258)=0))*(BW205+BW206&gt;0)*1</f>
        <v>0</v>
      </c>
      <c r="BX258" s="32">
        <f>IF(Input!$AE$198=0,BX$5=MIN(Input!$I$195+Input!$I$196,MAX(YrOfExit,1)*12),OR(AND(Input!$AE$198&lt;=BX257,Input!$AE$198&lt;=SUMIF($E$5:$N$5,BX$6,$E$257:$N$257),BX256),BX$5=MIN(Input!$I$195+Input!$I$196,MAX(YrOfExit,1)*12))*(SUM($S$258:BW258)=0))*(BX205+BX206&gt;0)*1</f>
        <v>0</v>
      </c>
      <c r="BY258" s="32">
        <f>IF(Input!$AE$198=0,BY$5=MIN(Input!$I$195+Input!$I$196,MAX(YrOfExit,1)*12),OR(AND(Input!$AE$198&lt;=BY257,Input!$AE$198&lt;=SUMIF($E$5:$N$5,BY$6,$E$257:$N$257),BY256),BY$5=MIN(Input!$I$195+Input!$I$196,MAX(YrOfExit,1)*12))*(SUM($S$258:BX258)=0))*(BY205+BY206&gt;0)*1</f>
        <v>0</v>
      </c>
      <c r="BZ258" s="32">
        <f>IF(Input!$AE$198=0,BZ$5=MIN(Input!$I$195+Input!$I$196,MAX(YrOfExit,1)*12),OR(AND(Input!$AE$198&lt;=BZ257,Input!$AE$198&lt;=SUMIF($E$5:$N$5,BZ$6,$E$257:$N$257),BZ256),BZ$5=MIN(Input!$I$195+Input!$I$196,MAX(YrOfExit,1)*12))*(SUM($S$258:BY258)=0))*(BZ205+BZ206&gt;0)*1</f>
        <v>0</v>
      </c>
      <c r="CA258" s="32">
        <f>IF(Input!$AE$198=0,CA$5=MIN(Input!$I$195+Input!$I$196,MAX(YrOfExit,1)*12),OR(AND(Input!$AE$198&lt;=CA257,Input!$AE$198&lt;=SUMIF($E$5:$N$5,CA$6,$E$257:$N$257),CA256),CA$5=MIN(Input!$I$195+Input!$I$196,MAX(YrOfExit,1)*12))*(SUM($S$258:BZ258)=0))*(CA205+CA206&gt;0)*1</f>
        <v>0</v>
      </c>
      <c r="CB258" s="32">
        <f>IF(Input!$AE$198=0,CB$5=MIN(Input!$I$195+Input!$I$196,MAX(YrOfExit,1)*12),OR(AND(Input!$AE$198&lt;=CB257,Input!$AE$198&lt;=SUMIF($E$5:$N$5,CB$6,$E$257:$N$257),CB256),CB$5=MIN(Input!$I$195+Input!$I$196,MAX(YrOfExit,1)*12))*(SUM($S$258:CA258)=0))*(CB205+CB206&gt;0)*1</f>
        <v>0</v>
      </c>
      <c r="CC258" s="32">
        <f>IF(Input!$AE$198=0,CC$5=MIN(Input!$I$195+Input!$I$196,MAX(YrOfExit,1)*12),OR(AND(Input!$AE$198&lt;=CC257,Input!$AE$198&lt;=SUMIF($E$5:$N$5,CC$6,$E$257:$N$257),CC256),CC$5=MIN(Input!$I$195+Input!$I$196,MAX(YrOfExit,1)*12))*(SUM($S$258:CB258)=0))*(CC205+CC206&gt;0)*1</f>
        <v>0</v>
      </c>
      <c r="CD258" s="32">
        <f>IF(Input!$AE$198=0,CD$5=MIN(Input!$I$195+Input!$I$196,MAX(YrOfExit,1)*12),OR(AND(Input!$AE$198&lt;=CD257,Input!$AE$198&lt;=SUMIF($E$5:$N$5,CD$6,$E$257:$N$257),CD256),CD$5=MIN(Input!$I$195+Input!$I$196,MAX(YrOfExit,1)*12))*(SUM($S$258:CC258)=0))*(CD205+CD206&gt;0)*1</f>
        <v>0</v>
      </c>
      <c r="CE258" s="32">
        <f>IF(Input!$AE$198=0,CE$5=MIN(Input!$I$195+Input!$I$196,MAX(YrOfExit,1)*12),OR(AND(Input!$AE$198&lt;=CE257,Input!$AE$198&lt;=SUMIF($E$5:$N$5,CE$6,$E$257:$N$257),CE256),CE$5=MIN(Input!$I$195+Input!$I$196,MAX(YrOfExit,1)*12))*(SUM($S$258:CD258)=0))*(CE205+CE206&gt;0)*1</f>
        <v>0</v>
      </c>
      <c r="CF258" s="32">
        <f>IF(Input!$AE$198=0,CF$5=MIN(Input!$I$195+Input!$I$196,MAX(YrOfExit,1)*12),OR(AND(Input!$AE$198&lt;=CF257,Input!$AE$198&lt;=SUMIF($E$5:$N$5,CF$6,$E$257:$N$257),CF256),CF$5=MIN(Input!$I$195+Input!$I$196,MAX(YrOfExit,1)*12))*(SUM($S$258:CE258)=0))*(CF205+CF206&gt;0)*1</f>
        <v>0</v>
      </c>
      <c r="CG258" s="32">
        <f>IF(Input!$AE$198=0,CG$5=MIN(Input!$I$195+Input!$I$196,MAX(YrOfExit,1)*12),OR(AND(Input!$AE$198&lt;=CG257,Input!$AE$198&lt;=SUMIF($E$5:$N$5,CG$6,$E$257:$N$257),CG256),CG$5=MIN(Input!$I$195+Input!$I$196,MAX(YrOfExit,1)*12))*(SUM($S$258:CF258)=0))*(CG205+CG206&gt;0)*1</f>
        <v>0</v>
      </c>
      <c r="CH258" s="32">
        <f>IF(Input!$AE$198=0,CH$5=MIN(Input!$I$195+Input!$I$196,MAX(YrOfExit,1)*12),OR(AND(Input!$AE$198&lt;=CH257,Input!$AE$198&lt;=SUMIF($E$5:$N$5,CH$6,$E$257:$N$257),CH256),CH$5=MIN(Input!$I$195+Input!$I$196,MAX(YrOfExit,1)*12))*(SUM($S$258:CG258)=0))*(CH205+CH206&gt;0)*1</f>
        <v>0</v>
      </c>
      <c r="CI258" s="32">
        <f>IF(Input!$AE$198=0,CI$5=MIN(Input!$I$195+Input!$I$196,MAX(YrOfExit,1)*12),OR(AND(Input!$AE$198&lt;=CI257,Input!$AE$198&lt;=SUMIF($E$5:$N$5,CI$6,$E$257:$N$257),CI256),CI$5=MIN(Input!$I$195+Input!$I$196,MAX(YrOfExit,1)*12))*(SUM($S$258:CH258)=0))*(CI205+CI206&gt;0)*1</f>
        <v>0</v>
      </c>
      <c r="CJ258" s="32">
        <f>IF(Input!$AE$198=0,CJ$5=MIN(Input!$I$195+Input!$I$196,MAX(YrOfExit,1)*12),OR(AND(Input!$AE$198&lt;=CJ257,Input!$AE$198&lt;=SUMIF($E$5:$N$5,CJ$6,$E$257:$N$257),CJ256),CJ$5=MIN(Input!$I$195+Input!$I$196,MAX(YrOfExit,1)*12))*(SUM($S$258:CI258)=0))*(CJ205+CJ206&gt;0)*1</f>
        <v>0</v>
      </c>
      <c r="CK258" s="32">
        <f>IF(Input!$AE$198=0,CK$5=MIN(Input!$I$195+Input!$I$196,MAX(YrOfExit,1)*12),OR(AND(Input!$AE$198&lt;=CK257,Input!$AE$198&lt;=SUMIF($E$5:$N$5,CK$6,$E$257:$N$257),CK256),CK$5=MIN(Input!$I$195+Input!$I$196,MAX(YrOfExit,1)*12))*(SUM($S$258:CJ258)=0))*(CK205+CK206&gt;0)*1</f>
        <v>0</v>
      </c>
      <c r="CL258" s="32">
        <f>IF(Input!$AE$198=0,CL$5=MIN(Input!$I$195+Input!$I$196,MAX(YrOfExit,1)*12),OR(AND(Input!$AE$198&lt;=CL257,Input!$AE$198&lt;=SUMIF($E$5:$N$5,CL$6,$E$257:$N$257),CL256),CL$5=MIN(Input!$I$195+Input!$I$196,MAX(YrOfExit,1)*12))*(SUM($S$258:CK258)=0))*(CL205+CL206&gt;0)*1</f>
        <v>0</v>
      </c>
      <c r="CM258" s="32">
        <f>IF(Input!$AE$198=0,CM$5=MIN(Input!$I$195+Input!$I$196,MAX(YrOfExit,1)*12),OR(AND(Input!$AE$198&lt;=CM257,Input!$AE$198&lt;=SUMIF($E$5:$N$5,CM$6,$E$257:$N$257),CM256),CM$5=MIN(Input!$I$195+Input!$I$196,MAX(YrOfExit,1)*12))*(SUM($S$258:CL258)=0))*(CM205+CM206&gt;0)*1</f>
        <v>0</v>
      </c>
      <c r="CN258" s="32">
        <f>IF(Input!$AE$198=0,CN$5=MIN(Input!$I$195+Input!$I$196,MAX(YrOfExit,1)*12),OR(AND(Input!$AE$198&lt;=CN257,Input!$AE$198&lt;=SUMIF($E$5:$N$5,CN$6,$E$257:$N$257),CN256),CN$5=MIN(Input!$I$195+Input!$I$196,MAX(YrOfExit,1)*12))*(SUM($S$258:CM258)=0))*(CN205+CN206&gt;0)*1</f>
        <v>0</v>
      </c>
      <c r="CO258" s="32">
        <f>IF(Input!$AE$198=0,CO$5=MIN(Input!$I$195+Input!$I$196,MAX(YrOfExit,1)*12),OR(AND(Input!$AE$198&lt;=CO257,Input!$AE$198&lt;=SUMIF($E$5:$N$5,CO$6,$E$257:$N$257),CO256),CO$5=MIN(Input!$I$195+Input!$I$196,MAX(YrOfExit,1)*12))*(SUM($S$258:CN258)=0))*(CO205+CO206&gt;0)*1</f>
        <v>0</v>
      </c>
      <c r="CP258" s="32">
        <f>IF(Input!$AE$198=0,CP$5=MIN(Input!$I$195+Input!$I$196,MAX(YrOfExit,1)*12),OR(AND(Input!$AE$198&lt;=CP257,Input!$AE$198&lt;=SUMIF($E$5:$N$5,CP$6,$E$257:$N$257),CP256),CP$5=MIN(Input!$I$195+Input!$I$196,MAX(YrOfExit,1)*12))*(SUM($S$258:CO258)=0))*(CP205+CP206&gt;0)*1</f>
        <v>0</v>
      </c>
      <c r="CQ258" s="32">
        <f>IF(Input!$AE$198=0,CQ$5=MIN(Input!$I$195+Input!$I$196,MAX(YrOfExit,1)*12),OR(AND(Input!$AE$198&lt;=CQ257,Input!$AE$198&lt;=SUMIF($E$5:$N$5,CQ$6,$E$257:$N$257),CQ256),CQ$5=MIN(Input!$I$195+Input!$I$196,MAX(YrOfExit,1)*12))*(SUM($S$258:CP258)=0))*(CQ205+CQ206&gt;0)*1</f>
        <v>0</v>
      </c>
      <c r="CR258" s="32">
        <f>IF(Input!$AE$198=0,CR$5=MIN(Input!$I$195+Input!$I$196,MAX(YrOfExit,1)*12),OR(AND(Input!$AE$198&lt;=CR257,Input!$AE$198&lt;=SUMIF($E$5:$N$5,CR$6,$E$257:$N$257),CR256),CR$5=MIN(Input!$I$195+Input!$I$196,MAX(YrOfExit,1)*12))*(SUM($S$258:CQ258)=0))*(CR205+CR206&gt;0)*1</f>
        <v>0</v>
      </c>
      <c r="CS258" s="32">
        <f>IF(Input!$AE$198=0,CS$5=MIN(Input!$I$195+Input!$I$196,MAX(YrOfExit,1)*12),OR(AND(Input!$AE$198&lt;=CS257,Input!$AE$198&lt;=SUMIF($E$5:$N$5,CS$6,$E$257:$N$257),CS256),CS$5=MIN(Input!$I$195+Input!$I$196,MAX(YrOfExit,1)*12))*(SUM($S$258:CR258)=0))*(CS205+CS206&gt;0)*1</f>
        <v>0</v>
      </c>
      <c r="CT258" s="32">
        <f>IF(Input!$AE$198=0,CT$5=MIN(Input!$I$195+Input!$I$196,MAX(YrOfExit,1)*12),OR(AND(Input!$AE$198&lt;=CT257,Input!$AE$198&lt;=SUMIF($E$5:$N$5,CT$6,$E$257:$N$257),CT256),CT$5=MIN(Input!$I$195+Input!$I$196,MAX(YrOfExit,1)*12))*(SUM($S$258:CS258)=0))*(CT205+CT206&gt;0)*1</f>
        <v>0</v>
      </c>
      <c r="CU258" s="32">
        <f>IF(Input!$AE$198=0,CU$5=MIN(Input!$I$195+Input!$I$196,MAX(YrOfExit,1)*12),OR(AND(Input!$AE$198&lt;=CU257,Input!$AE$198&lt;=SUMIF($E$5:$N$5,CU$6,$E$257:$N$257),CU256),CU$5=MIN(Input!$I$195+Input!$I$196,MAX(YrOfExit,1)*12))*(SUM($S$258:CT258)=0))*(CU205+CU206&gt;0)*1</f>
        <v>0</v>
      </c>
      <c r="CV258" s="32">
        <f>IF(Input!$AE$198=0,CV$5=MIN(Input!$I$195+Input!$I$196,MAX(YrOfExit,1)*12),OR(AND(Input!$AE$198&lt;=CV257,Input!$AE$198&lt;=SUMIF($E$5:$N$5,CV$6,$E$257:$N$257),CV256),CV$5=MIN(Input!$I$195+Input!$I$196,MAX(YrOfExit,1)*12))*(SUM($S$258:CU258)=0))*(CV205+CV206&gt;0)*1</f>
        <v>0</v>
      </c>
      <c r="CW258" s="32">
        <f>IF(Input!$AE$198=0,CW$5=MIN(Input!$I$195+Input!$I$196,MAX(YrOfExit,1)*12),OR(AND(Input!$AE$198&lt;=CW257,Input!$AE$198&lt;=SUMIF($E$5:$N$5,CW$6,$E$257:$N$257),CW256),CW$5=MIN(Input!$I$195+Input!$I$196,MAX(YrOfExit,1)*12))*(SUM($S$258:CV258)=0))*(CW205+CW206&gt;0)*1</f>
        <v>0</v>
      </c>
      <c r="CX258" s="32">
        <f>IF(Input!$AE$198=0,CX$5=MIN(Input!$I$195+Input!$I$196,MAX(YrOfExit,1)*12),OR(AND(Input!$AE$198&lt;=CX257,Input!$AE$198&lt;=SUMIF($E$5:$N$5,CX$6,$E$257:$N$257),CX256),CX$5=MIN(Input!$I$195+Input!$I$196,MAX(YrOfExit,1)*12))*(SUM($S$258:CW258)=0))*(CX205+CX206&gt;0)*1</f>
        <v>0</v>
      </c>
      <c r="CY258" s="32">
        <f>IF(Input!$AE$198=0,CY$5=MIN(Input!$I$195+Input!$I$196,MAX(YrOfExit,1)*12),OR(AND(Input!$AE$198&lt;=CY257,Input!$AE$198&lt;=SUMIF($E$5:$N$5,CY$6,$E$257:$N$257),CY256),CY$5=MIN(Input!$I$195+Input!$I$196,MAX(YrOfExit,1)*12))*(SUM($S$258:CX258)=0))*(CY205+CY206&gt;0)*1</f>
        <v>0</v>
      </c>
      <c r="CZ258" s="32">
        <f>IF(Input!$AE$198=0,CZ$5=MIN(Input!$I$195+Input!$I$196,MAX(YrOfExit,1)*12),OR(AND(Input!$AE$198&lt;=CZ257,Input!$AE$198&lt;=SUMIF($E$5:$N$5,CZ$6,$E$257:$N$257),CZ256),CZ$5=MIN(Input!$I$195+Input!$I$196,MAX(YrOfExit,1)*12))*(SUM($S$258:CY258)=0))*(CZ205+CZ206&gt;0)*1</f>
        <v>0</v>
      </c>
      <c r="DA258" s="32">
        <f>IF(Input!$AE$198=0,DA$5=MIN(Input!$I$195+Input!$I$196,MAX(YrOfExit,1)*12),OR(AND(Input!$AE$198&lt;=DA257,Input!$AE$198&lt;=SUMIF($E$5:$N$5,DA$6,$E$257:$N$257),DA256),DA$5=MIN(Input!$I$195+Input!$I$196,MAX(YrOfExit,1)*12))*(SUM($S$258:CZ258)=0))*(DA205+DA206&gt;0)*1</f>
        <v>0</v>
      </c>
      <c r="DB258" s="32">
        <f>IF(Input!$AE$198=0,DB$5=MIN(Input!$I$195+Input!$I$196,MAX(YrOfExit,1)*12),OR(AND(Input!$AE$198&lt;=DB257,Input!$AE$198&lt;=SUMIF($E$5:$N$5,DB$6,$E$257:$N$257),DB256),DB$5=MIN(Input!$I$195+Input!$I$196,MAX(YrOfExit,1)*12))*(SUM($S$258:DA258)=0))*(DB205+DB206&gt;0)*1</f>
        <v>0</v>
      </c>
      <c r="DC258" s="32">
        <f>IF(Input!$AE$198=0,DC$5=MIN(Input!$I$195+Input!$I$196,MAX(YrOfExit,1)*12),OR(AND(Input!$AE$198&lt;=DC257,Input!$AE$198&lt;=SUMIF($E$5:$N$5,DC$6,$E$257:$N$257),DC256),DC$5=MIN(Input!$I$195+Input!$I$196,MAX(YrOfExit,1)*12))*(SUM($S$258:DB258)=0))*(DC205+DC206&gt;0)*1</f>
        <v>0</v>
      </c>
      <c r="DD258" s="32">
        <f>IF(Input!$AE$198=0,DD$5=MIN(Input!$I$195+Input!$I$196,MAX(YrOfExit,1)*12),OR(AND(Input!$AE$198&lt;=DD257,Input!$AE$198&lt;=SUMIF($E$5:$N$5,DD$6,$E$257:$N$257),DD256),DD$5=MIN(Input!$I$195+Input!$I$196,MAX(YrOfExit,1)*12))*(SUM($S$258:DC258)=0))*(DD205+DD206&gt;0)*1</f>
        <v>0</v>
      </c>
      <c r="DE258" s="32">
        <f>IF(Input!$AE$198=0,DE$5=MIN(Input!$I$195+Input!$I$196,MAX(YrOfExit,1)*12),OR(AND(Input!$AE$198&lt;=DE257,Input!$AE$198&lt;=SUMIF($E$5:$N$5,DE$6,$E$257:$N$257),DE256),DE$5=MIN(Input!$I$195+Input!$I$196,MAX(YrOfExit,1)*12))*(SUM($S$258:DD258)=0))*(DE205+DE206&gt;0)*1</f>
        <v>0</v>
      </c>
      <c r="DF258" s="32">
        <f>IF(Input!$AE$198=0,DF$5=MIN(Input!$I$195+Input!$I$196,MAX(YrOfExit,1)*12),OR(AND(Input!$AE$198&lt;=DF257,Input!$AE$198&lt;=SUMIF($E$5:$N$5,DF$6,$E$257:$N$257),DF256),DF$5=MIN(Input!$I$195+Input!$I$196,MAX(YrOfExit,1)*12))*(SUM($S$258:DE258)=0))*(DF205+DF206&gt;0)*1</f>
        <v>0</v>
      </c>
      <c r="DG258" s="32">
        <f>IF(Input!$AE$198=0,DG$5=MIN(Input!$I$195+Input!$I$196,MAX(YrOfExit,1)*12),OR(AND(Input!$AE$198&lt;=DG257,Input!$AE$198&lt;=SUMIF($E$5:$N$5,DG$6,$E$257:$N$257),DG256),DG$5=MIN(Input!$I$195+Input!$I$196,MAX(YrOfExit,1)*12))*(SUM($S$258:DF258)=0))*(DG205+DG206&gt;0)*1</f>
        <v>0</v>
      </c>
      <c r="DH258" s="32">
        <f>IF(Input!$AE$198=0,DH$5=MIN(Input!$I$195+Input!$I$196,MAX(YrOfExit,1)*12),OR(AND(Input!$AE$198&lt;=DH257,Input!$AE$198&lt;=SUMIF($E$5:$N$5,DH$6,$E$257:$N$257),DH256),DH$5=MIN(Input!$I$195+Input!$I$196,MAX(YrOfExit,1)*12))*(SUM($S$258:DG258)=0))*(DH205+DH206&gt;0)*1</f>
        <v>0</v>
      </c>
      <c r="DI258" s="32">
        <f>IF(Input!$AE$198=0,DI$5=MIN(Input!$I$195+Input!$I$196,MAX(YrOfExit,1)*12),OR(AND(Input!$AE$198&lt;=DI257,Input!$AE$198&lt;=SUMIF($E$5:$N$5,DI$6,$E$257:$N$257),DI256),DI$5=MIN(Input!$I$195+Input!$I$196,MAX(YrOfExit,1)*12))*(SUM($S$258:DH258)=0))*(DI205+DI206&gt;0)*1</f>
        <v>0</v>
      </c>
      <c r="DJ258" s="32">
        <f>IF(Input!$AE$198=0,DJ$5=MIN(Input!$I$195+Input!$I$196,MAX(YrOfExit,1)*12),OR(AND(Input!$AE$198&lt;=DJ257,Input!$AE$198&lt;=SUMIF($E$5:$N$5,DJ$6,$E$257:$N$257),DJ256),DJ$5=MIN(Input!$I$195+Input!$I$196,MAX(YrOfExit,1)*12))*(SUM($S$258:DI258)=0))*(DJ205+DJ206&gt;0)*1</f>
        <v>0</v>
      </c>
      <c r="DK258" s="32">
        <f>IF(Input!$AE$198=0,DK$5=MIN(Input!$I$195+Input!$I$196,MAX(YrOfExit,1)*12),OR(AND(Input!$AE$198&lt;=DK257,Input!$AE$198&lt;=SUMIF($E$5:$N$5,DK$6,$E$257:$N$257),DK256),DK$5=MIN(Input!$I$195+Input!$I$196,MAX(YrOfExit,1)*12))*(SUM($S$258:DJ258)=0))*(DK205+DK206&gt;0)*1</f>
        <v>0</v>
      </c>
      <c r="DL258" s="32">
        <f>IF(Input!$AE$198=0,DL$5=MIN(Input!$I$195+Input!$I$196,MAX(YrOfExit,1)*12),OR(AND(Input!$AE$198&lt;=DL257,Input!$AE$198&lt;=SUMIF($E$5:$N$5,DL$6,$E$257:$N$257),DL256),DL$5=MIN(Input!$I$195+Input!$I$196,MAX(YrOfExit,1)*12))*(SUM($S$258:DK258)=0))*(DL205+DL206&gt;0)*1</f>
        <v>0</v>
      </c>
      <c r="DM258" s="32">
        <f>IF(Input!$AE$198=0,DM$5=MIN(Input!$I$195+Input!$I$196,MAX(YrOfExit,1)*12),OR(AND(Input!$AE$198&lt;=DM257,Input!$AE$198&lt;=SUMIF($E$5:$N$5,DM$6,$E$257:$N$257),DM256),DM$5=MIN(Input!$I$195+Input!$I$196,MAX(YrOfExit,1)*12))*(SUM($S$258:DL258)=0))*(DM205+DM206&gt;0)*1</f>
        <v>0</v>
      </c>
      <c r="DN258" s="32">
        <f>IF(Input!$AE$198=0,DN$5=MIN(Input!$I$195+Input!$I$196,MAX(YrOfExit,1)*12),OR(AND(Input!$AE$198&lt;=DN257,Input!$AE$198&lt;=SUMIF($E$5:$N$5,DN$6,$E$257:$N$257),DN256),DN$5=MIN(Input!$I$195+Input!$I$196,MAX(YrOfExit,1)*12))*(SUM($S$258:DM258)=0))*(DN205+DN206&gt;0)*1</f>
        <v>0</v>
      </c>
      <c r="DO258" s="32">
        <f>IF(Input!$AE$198=0,DO$5=MIN(Input!$I$195+Input!$I$196,MAX(YrOfExit,1)*12),OR(AND(Input!$AE$198&lt;=DO257,Input!$AE$198&lt;=SUMIF($E$5:$N$5,DO$6,$E$257:$N$257),DO256),DO$5=MIN(Input!$I$195+Input!$I$196,MAX(YrOfExit,1)*12))*(SUM($S$258:DN258)=0))*(DO205+DO206&gt;0)*1</f>
        <v>0</v>
      </c>
      <c r="DP258" s="32">
        <f>IF(Input!$AE$198=0,DP$5=MIN(Input!$I$195+Input!$I$196,MAX(YrOfExit,1)*12),OR(AND(Input!$AE$198&lt;=DP257,Input!$AE$198&lt;=SUMIF($E$5:$N$5,DP$6,$E$257:$N$257),DP256),DP$5=MIN(Input!$I$195+Input!$I$196,MAX(YrOfExit,1)*12))*(SUM($S$258:DO258)=0))*(DP205+DP206&gt;0)*1</f>
        <v>0</v>
      </c>
      <c r="DQ258" s="32">
        <f>IF(Input!$AE$198=0,DQ$5=MIN(Input!$I$195+Input!$I$196,MAX(YrOfExit,1)*12),OR(AND(Input!$AE$198&lt;=DQ257,Input!$AE$198&lt;=SUMIF($E$5:$N$5,DQ$6,$E$257:$N$257),DQ256),DQ$5=MIN(Input!$I$195+Input!$I$196,MAX(YrOfExit,1)*12))*(SUM($S$258:DP258)=0))*(DQ205+DQ206&gt;0)*1</f>
        <v>0</v>
      </c>
      <c r="DR258" s="32">
        <f>IF(Input!$AE$198=0,DR$5=MIN(Input!$I$195+Input!$I$196,MAX(YrOfExit,1)*12),OR(AND(Input!$AE$198&lt;=DR257,Input!$AE$198&lt;=SUMIF($E$5:$N$5,DR$6,$E$257:$N$257),DR256),DR$5=MIN(Input!$I$195+Input!$I$196,MAX(YrOfExit,1)*12))*(SUM($S$258:DQ258)=0))*(DR205+DR206&gt;0)*1</f>
        <v>0</v>
      </c>
      <c r="DS258" s="32">
        <f>IF(Input!$AE$198=0,DS$5=MIN(Input!$I$195+Input!$I$196,MAX(YrOfExit,1)*12),OR(AND(Input!$AE$198&lt;=DS257,Input!$AE$198&lt;=SUMIF($E$5:$N$5,DS$6,$E$257:$N$257),DS256),DS$5=MIN(Input!$I$195+Input!$I$196,MAX(YrOfExit,1)*12))*(SUM($S$258:DR258)=0))*(DS205+DS206&gt;0)*1</f>
        <v>0</v>
      </c>
      <c r="DT258" s="32">
        <f>IF(Input!$AE$198=0,DT$5=MIN(Input!$I$195+Input!$I$196,MAX(YrOfExit,1)*12),OR(AND(Input!$AE$198&lt;=DT257,Input!$AE$198&lt;=SUMIF($E$5:$N$5,DT$6,$E$257:$N$257),DT256),DT$5=MIN(Input!$I$195+Input!$I$196,MAX(YrOfExit,1)*12))*(SUM($S$258:DS258)=0))*(DT205+DT206&gt;0)*1</f>
        <v>0</v>
      </c>
      <c r="DU258" s="32">
        <f>IF(Input!$AE$198=0,DU$5=MIN(Input!$I$195+Input!$I$196,MAX(YrOfExit,1)*12),OR(AND(Input!$AE$198&lt;=DU257,Input!$AE$198&lt;=SUMIF($E$5:$N$5,DU$6,$E$257:$N$257),DU256),DU$5=MIN(Input!$I$195+Input!$I$196,MAX(YrOfExit,1)*12))*(SUM($S$258:DT258)=0))*(DU205+DU206&gt;0)*1</f>
        <v>0</v>
      </c>
      <c r="DV258" s="32">
        <f>IF(Input!$AE$198=0,DV$5=MIN(Input!$I$195+Input!$I$196,MAX(YrOfExit,1)*12),OR(AND(Input!$AE$198&lt;=DV257,Input!$AE$198&lt;=SUMIF($E$5:$N$5,DV$6,$E$257:$N$257),DV256),DV$5=MIN(Input!$I$195+Input!$I$196,MAX(YrOfExit,1)*12))*(SUM($S$258:DU258)=0))*(DV205+DV206&gt;0)*1</f>
        <v>0</v>
      </c>
      <c r="DW258" s="32">
        <f>IF(Input!$AE$198=0,DW$5=MIN(Input!$I$195+Input!$I$196,MAX(YrOfExit,1)*12),OR(AND(Input!$AE$198&lt;=DW257,Input!$AE$198&lt;=SUMIF($E$5:$N$5,DW$6,$E$257:$N$257),DW256),DW$5=MIN(Input!$I$195+Input!$I$196,MAX(YrOfExit,1)*12))*(SUM($S$258:DV258)=0))*(DW205+DW206&gt;0)*1</f>
        <v>0</v>
      </c>
      <c r="DX258" s="32">
        <f>IF(Input!$AE$198=0,DX$5=MIN(Input!$I$195+Input!$I$196,MAX(YrOfExit,1)*12),OR(AND(Input!$AE$198&lt;=DX257,Input!$AE$198&lt;=SUMIF($E$5:$N$5,DX$6,$E$257:$N$257),DX256),DX$5=MIN(Input!$I$195+Input!$I$196,MAX(YrOfExit,1)*12))*(SUM($S$258:DW258)=0))*(DX205+DX206&gt;0)*1</f>
        <v>0</v>
      </c>
      <c r="DY258" s="32">
        <f>IF(Input!$AE$198=0,DY$5=MIN(Input!$I$195+Input!$I$196,MAX(YrOfExit,1)*12),OR(AND(Input!$AE$198&lt;=DY257,Input!$AE$198&lt;=SUMIF($E$5:$N$5,DY$6,$E$257:$N$257),DY256),DY$5=MIN(Input!$I$195+Input!$I$196,MAX(YrOfExit,1)*12))*(SUM($S$258:DX258)=0))*(DY205+DY206&gt;0)*1</f>
        <v>0</v>
      </c>
      <c r="DZ258" s="32">
        <f>IF(Input!$AE$198=0,DZ$5=MIN(Input!$I$195+Input!$I$196,MAX(YrOfExit,1)*12),OR(AND(Input!$AE$198&lt;=DZ257,Input!$AE$198&lt;=SUMIF($E$5:$N$5,DZ$6,$E$257:$N$257),DZ256),DZ$5=MIN(Input!$I$195+Input!$I$196,MAX(YrOfExit,1)*12))*(SUM($S$258:DY258)=0))*(DZ205+DZ206&gt;0)*1</f>
        <v>0</v>
      </c>
      <c r="EA258" s="32">
        <f>IF(Input!$AE$198=0,EA$5=MIN(Input!$I$195+Input!$I$196,MAX(YrOfExit,1)*12),OR(AND(Input!$AE$198&lt;=EA257,Input!$AE$198&lt;=SUMIF($E$5:$N$5,EA$6,$E$257:$N$257),EA256),EA$5=MIN(Input!$I$195+Input!$I$196,MAX(YrOfExit,1)*12))*(SUM($S$258:DZ258)=0))*(EA205+EA206&gt;0)*1</f>
        <v>0</v>
      </c>
      <c r="EB258" s="32">
        <f>IF(Input!$AE$198=0,EB$5=MIN(Input!$I$195+Input!$I$196,MAX(YrOfExit,1)*12),OR(AND(Input!$AE$198&lt;=EB257,Input!$AE$198&lt;=SUMIF($E$5:$N$5,EB$6,$E$257:$N$257),EB256),EB$5=MIN(Input!$I$195+Input!$I$196,MAX(YrOfExit,1)*12))*(SUM($S$258:EA258)=0))*(EB205+EB206&gt;0)*1</f>
        <v>0</v>
      </c>
      <c r="EC258" s="32">
        <f>IF(Input!$AE$198=0,EC$5=MIN(Input!$I$195+Input!$I$196,MAX(YrOfExit,1)*12),OR(AND(Input!$AE$198&lt;=EC257,Input!$AE$198&lt;=SUMIF($E$5:$N$5,EC$6,$E$257:$N$257),EC256),EC$5=MIN(Input!$I$195+Input!$I$196,MAX(YrOfExit,1)*12))*(SUM($S$258:EB258)=0))*(EC205+EC206&gt;0)*1</f>
        <v>0</v>
      </c>
      <c r="ED258" s="32">
        <f>IF(Input!$AE$198=0,ED$5=MIN(Input!$I$195+Input!$I$196,MAX(YrOfExit,1)*12),OR(AND(Input!$AE$198&lt;=ED257,Input!$AE$198&lt;=SUMIF($E$5:$N$5,ED$6,$E$257:$N$257),ED256),ED$5=MIN(Input!$I$195+Input!$I$196,MAX(YrOfExit,1)*12))*(SUM($S$258:EC258)=0))*(ED205+ED206&gt;0)*1</f>
        <v>0</v>
      </c>
      <c r="EE258" s="32">
        <f>IF(Input!$AE$198=0,EE$5=MIN(Input!$I$195+Input!$I$196,MAX(YrOfExit,1)*12),OR(AND(Input!$AE$198&lt;=EE257,Input!$AE$198&lt;=SUMIF($E$5:$N$5,EE$6,$E$257:$N$257),EE256),EE$5=MIN(Input!$I$195+Input!$I$196,MAX(YrOfExit,1)*12))*(SUM($S$258:ED258)=0))*(EE205+EE206&gt;0)*1</f>
        <v>0</v>
      </c>
      <c r="EF258" s="32">
        <f>IF(Input!$AE$198=0,EF$5=MIN(Input!$I$195+Input!$I$196,MAX(YrOfExit,1)*12),OR(AND(Input!$AE$198&lt;=EF257,Input!$AE$198&lt;=SUMIF($E$5:$N$5,EF$6,$E$257:$N$257),EF256),EF$5=MIN(Input!$I$195+Input!$I$196,MAX(YrOfExit,1)*12))*(SUM($S$258:EE258)=0))*(EF205+EF206&gt;0)*1</f>
        <v>0</v>
      </c>
      <c r="EG258" s="32">
        <f>IF(Input!$AE$198=0,EG$5=MIN(Input!$I$195+Input!$I$196,MAX(YrOfExit,1)*12),OR(AND(Input!$AE$198&lt;=EG257,Input!$AE$198&lt;=SUMIF($E$5:$N$5,EG$6,$E$257:$N$257),EG256),EG$5=MIN(Input!$I$195+Input!$I$196,MAX(YrOfExit,1)*12))*(SUM($S$258:EF258)=0))*(EG205+EG206&gt;0)*1</f>
        <v>0</v>
      </c>
      <c r="EH258" s="32">
        <f>IF(Input!$AE$198=0,EH$5=MIN(Input!$I$195+Input!$I$196,MAX(YrOfExit,1)*12),OR(AND(Input!$AE$198&lt;=EH257,Input!$AE$198&lt;=SUMIF($E$5:$N$5,EH$6,$E$257:$N$257),EH256),EH$5=MIN(Input!$I$195+Input!$I$196,MAX(YrOfExit,1)*12))*(SUM($S$258:EG258)=0))*(EH205+EH206&gt;0)*1</f>
        <v>0</v>
      </c>
      <c r="EI258" s="32">
        <f>IF(Input!$AE$198=0,EI$5=MIN(Input!$I$195+Input!$I$196,MAX(YrOfExit,1)*12),OR(AND(Input!$AE$198&lt;=EI257,Input!$AE$198&lt;=SUMIF($E$5:$N$5,EI$6,$E$257:$N$257),EI256),EI$5=MIN(Input!$I$195+Input!$I$196,MAX(YrOfExit,1)*12))*(SUM($S$258:EH258)=0))*(EI205+EI206&gt;0)*1</f>
        <v>0</v>
      </c>
    </row>
    <row r="259" spans="2:139" ht="12.75" customHeight="1">
      <c r="B259" s="46"/>
      <c r="C259" s="209"/>
      <c r="D259" s="169"/>
      <c r="E259" s="169"/>
      <c r="F259" s="169"/>
      <c r="G259" s="169"/>
      <c r="H259" s="169"/>
      <c r="I259" s="169"/>
      <c r="J259" s="169"/>
      <c r="K259" s="169"/>
      <c r="L259" s="169"/>
      <c r="M259" s="169"/>
      <c r="N259" s="169"/>
      <c r="O259" s="91"/>
      <c r="S259" s="169"/>
      <c r="T259" s="169"/>
      <c r="U259" s="169"/>
      <c r="V259" s="169"/>
      <c r="W259" s="169"/>
      <c r="X259" s="169"/>
      <c r="Y259" s="169"/>
      <c r="Z259" s="169"/>
      <c r="AA259" s="169"/>
      <c r="AB259" s="169"/>
      <c r="AC259" s="169"/>
      <c r="AD259" s="169"/>
      <c r="AE259" s="169"/>
      <c r="AF259" s="169"/>
      <c r="AG259" s="169"/>
      <c r="AH259" s="169"/>
      <c r="AI259" s="169"/>
      <c r="AJ259" s="169"/>
      <c r="AK259" s="169"/>
      <c r="AL259" s="169"/>
      <c r="AM259" s="169"/>
      <c r="AN259" s="169"/>
      <c r="AO259" s="169"/>
      <c r="AP259" s="169"/>
      <c r="AQ259" s="169"/>
      <c r="AR259" s="169"/>
      <c r="AS259" s="169"/>
      <c r="AT259" s="169"/>
      <c r="AU259" s="169"/>
      <c r="AV259" s="169"/>
      <c r="AW259" s="169"/>
      <c r="AX259" s="169"/>
      <c r="AY259" s="169"/>
      <c r="AZ259" s="169"/>
      <c r="BA259" s="169"/>
      <c r="BB259" s="169"/>
      <c r="BC259" s="169"/>
      <c r="BD259" s="169"/>
      <c r="BE259" s="169"/>
      <c r="BF259" s="169"/>
      <c r="BG259" s="169"/>
      <c r="BH259" s="169"/>
      <c r="BI259" s="169"/>
      <c r="BJ259" s="169"/>
      <c r="BK259" s="169"/>
      <c r="BL259" s="169"/>
      <c r="BM259" s="169"/>
      <c r="BN259" s="169"/>
      <c r="BO259" s="169"/>
      <c r="BP259" s="169"/>
      <c r="BQ259" s="169"/>
      <c r="BR259" s="169"/>
      <c r="BS259" s="169"/>
      <c r="BT259" s="169"/>
      <c r="BU259" s="169"/>
      <c r="BV259" s="169"/>
      <c r="BW259" s="169"/>
      <c r="BX259" s="169"/>
      <c r="BY259" s="169"/>
      <c r="BZ259" s="169"/>
      <c r="CA259" s="169"/>
      <c r="CB259" s="169"/>
      <c r="CC259" s="169"/>
      <c r="CD259" s="169"/>
      <c r="CE259" s="169"/>
      <c r="CF259" s="169"/>
      <c r="CG259" s="169"/>
      <c r="CH259" s="169"/>
      <c r="CI259" s="169"/>
      <c r="CJ259" s="169"/>
      <c r="CK259" s="169"/>
      <c r="CL259" s="169"/>
      <c r="CM259" s="169"/>
      <c r="CN259" s="169"/>
      <c r="CO259" s="169"/>
      <c r="CP259" s="169"/>
      <c r="CQ259" s="169"/>
      <c r="CR259" s="169"/>
      <c r="CS259" s="169"/>
      <c r="CT259" s="169"/>
      <c r="CU259" s="169"/>
      <c r="CV259" s="169"/>
      <c r="CW259" s="169"/>
      <c r="CX259" s="169"/>
      <c r="CY259" s="169"/>
      <c r="CZ259" s="169"/>
      <c r="DA259" s="169"/>
      <c r="DB259" s="169"/>
      <c r="DC259" s="169"/>
      <c r="DD259" s="169"/>
      <c r="DE259" s="169"/>
      <c r="DF259" s="169"/>
      <c r="DG259" s="169"/>
      <c r="DH259" s="169"/>
      <c r="DI259" s="169"/>
      <c r="DJ259" s="169"/>
      <c r="DK259" s="169"/>
      <c r="DL259" s="169"/>
      <c r="DM259" s="169"/>
      <c r="DN259" s="169"/>
      <c r="DO259" s="169"/>
      <c r="DP259" s="169"/>
      <c r="DQ259" s="169"/>
      <c r="DR259" s="169"/>
      <c r="DS259" s="169"/>
      <c r="DT259" s="169"/>
      <c r="DU259" s="169"/>
      <c r="DV259" s="169"/>
      <c r="DW259" s="169"/>
      <c r="DX259" s="169"/>
      <c r="DY259" s="169"/>
      <c r="DZ259" s="169"/>
      <c r="EA259" s="169"/>
      <c r="EB259" s="169"/>
      <c r="EC259" s="169"/>
      <c r="ED259" s="169"/>
      <c r="EE259" s="169"/>
      <c r="EF259" s="169"/>
      <c r="EG259" s="169"/>
      <c r="EH259" s="169"/>
      <c r="EI259" s="169"/>
    </row>
    <row r="260" spans="2:139">
      <c r="Y260" s="876"/>
    </row>
    <row r="262" spans="2:139" s="192" customFormat="1" ht="14.25" customHeight="1">
      <c r="B262" s="1043" t="s">
        <v>620</v>
      </c>
      <c r="C262" s="196"/>
      <c r="D262" s="196"/>
      <c r="E262" s="196"/>
      <c r="F262" s="197"/>
      <c r="G262" s="197"/>
      <c r="H262" s="197"/>
      <c r="I262" s="197"/>
      <c r="J262" s="197"/>
      <c r="K262" s="197"/>
      <c r="L262" s="197"/>
      <c r="M262" s="197"/>
      <c r="N262" s="197"/>
      <c r="O262" s="197"/>
      <c r="P262"/>
      <c r="Q262"/>
      <c r="R262"/>
      <c r="S262" s="197"/>
      <c r="T262" s="197"/>
      <c r="U262" s="197"/>
      <c r="V262" s="197"/>
      <c r="W262" s="197"/>
      <c r="X262" s="197"/>
      <c r="Y262" s="197"/>
      <c r="Z262" s="197"/>
      <c r="AA262" s="197"/>
      <c r="AB262" s="197"/>
      <c r="AC262" s="197"/>
      <c r="AD262" s="197"/>
      <c r="AE262" s="197"/>
      <c r="AF262" s="197"/>
      <c r="AG262" s="197"/>
      <c r="AH262" s="197"/>
      <c r="AI262" s="197"/>
      <c r="AJ262" s="197"/>
      <c r="AK262" s="197"/>
      <c r="AL262" s="197"/>
      <c r="AM262" s="197"/>
      <c r="AN262" s="197"/>
      <c r="AO262" s="197"/>
      <c r="AP262" s="197"/>
      <c r="AQ262" s="197"/>
      <c r="AR262" s="197"/>
      <c r="AS262" s="197"/>
      <c r="AT262" s="197"/>
      <c r="AU262" s="197"/>
      <c r="AV262" s="197"/>
      <c r="AW262" s="197"/>
      <c r="AX262" s="197"/>
      <c r="AY262" s="197"/>
      <c r="AZ262" s="197"/>
      <c r="BA262" s="197"/>
      <c r="BB262" s="197"/>
      <c r="BC262" s="197"/>
      <c r="BD262" s="197"/>
      <c r="BE262" s="197"/>
      <c r="BF262" s="197"/>
      <c r="BG262" s="197"/>
      <c r="BH262" s="197"/>
      <c r="BI262" s="197"/>
      <c r="BJ262" s="197"/>
      <c r="BK262" s="197"/>
      <c r="BL262" s="197"/>
      <c r="BM262" s="197"/>
      <c r="BN262" s="197"/>
      <c r="BO262" s="197"/>
      <c r="BP262" s="197"/>
      <c r="BQ262" s="197"/>
      <c r="BR262" s="197"/>
      <c r="BS262" s="197"/>
      <c r="BT262" s="197"/>
      <c r="BU262" s="197"/>
      <c r="BV262" s="197"/>
      <c r="BW262" s="197"/>
      <c r="BX262" s="197"/>
      <c r="BY262" s="197"/>
      <c r="BZ262" s="197"/>
      <c r="CA262" s="197"/>
      <c r="CB262" s="197"/>
      <c r="CC262" s="197"/>
      <c r="CD262" s="197"/>
      <c r="CE262" s="197"/>
      <c r="CF262" s="197"/>
      <c r="CG262" s="197"/>
      <c r="CH262" s="197"/>
      <c r="CI262" s="197"/>
      <c r="CJ262" s="197"/>
      <c r="CK262" s="197"/>
      <c r="CL262" s="197"/>
      <c r="CM262" s="197"/>
      <c r="CN262" s="197"/>
      <c r="CO262" s="197"/>
      <c r="CP262" s="197"/>
      <c r="CQ262" s="197"/>
      <c r="CR262" s="197"/>
      <c r="CS262" s="197"/>
      <c r="CT262" s="197"/>
      <c r="CU262" s="197"/>
      <c r="CV262" s="197"/>
      <c r="CW262" s="197"/>
      <c r="CX262" s="197"/>
      <c r="CY262" s="197"/>
      <c r="CZ262" s="197"/>
      <c r="DA262" s="197"/>
      <c r="DB262" s="197"/>
      <c r="DC262" s="197"/>
      <c r="DD262" s="197"/>
      <c r="DE262" s="197"/>
      <c r="DF262" s="197"/>
      <c r="DG262" s="197"/>
      <c r="DH262" s="197"/>
      <c r="DI262" s="197"/>
      <c r="DJ262" s="197"/>
      <c r="DK262" s="197"/>
      <c r="DL262" s="197"/>
      <c r="DM262" s="197"/>
      <c r="DN262" s="197"/>
      <c r="DO262" s="197"/>
      <c r="DP262" s="197"/>
      <c r="DQ262" s="197"/>
      <c r="DR262" s="197"/>
      <c r="DS262" s="197"/>
      <c r="DT262" s="197"/>
      <c r="DU262" s="197"/>
      <c r="DV262" s="197"/>
      <c r="DW262" s="197"/>
      <c r="DX262" s="197"/>
      <c r="DY262" s="197"/>
      <c r="DZ262" s="197"/>
      <c r="EA262" s="197"/>
      <c r="EB262" s="197"/>
      <c r="EC262" s="197"/>
      <c r="ED262" s="197"/>
      <c r="EE262" s="197"/>
      <c r="EF262" s="197"/>
      <c r="EG262" s="197"/>
      <c r="EH262" s="197"/>
      <c r="EI262" s="197"/>
    </row>
    <row r="263" spans="2:139" ht="12.75" customHeight="1">
      <c r="B263" s="1045" t="s">
        <v>227</v>
      </c>
      <c r="C263" s="211"/>
      <c r="D263" s="78"/>
      <c r="E263" s="78"/>
      <c r="F263" s="78"/>
      <c r="G263" s="78"/>
      <c r="H263" s="78"/>
      <c r="I263" s="78"/>
      <c r="J263" s="78"/>
      <c r="K263" s="78"/>
      <c r="L263" s="78"/>
      <c r="M263" s="78"/>
      <c r="N263" s="78"/>
      <c r="O263" s="145"/>
      <c r="S263" s="78"/>
      <c r="T263" s="78"/>
      <c r="U263" s="78"/>
      <c r="V263" s="78"/>
      <c r="W263" s="78"/>
      <c r="X263" s="78"/>
      <c r="Y263" s="78"/>
      <c r="Z263" s="78"/>
      <c r="AA263" s="78"/>
      <c r="AB263" s="78"/>
      <c r="AC263" s="78"/>
      <c r="AD263" s="78"/>
      <c r="AE263" s="78"/>
      <c r="AF263" s="78"/>
      <c r="AG263" s="78"/>
      <c r="AH263" s="78"/>
      <c r="AI263" s="78"/>
      <c r="AJ263" s="78"/>
      <c r="AK263" s="78"/>
      <c r="AL263" s="78"/>
      <c r="AM263" s="78"/>
      <c r="AN263" s="78"/>
      <c r="AO263" s="78"/>
      <c r="AP263" s="78"/>
      <c r="AQ263" s="78"/>
      <c r="AR263" s="78"/>
      <c r="AS263" s="78"/>
      <c r="AT263" s="78"/>
      <c r="AU263" s="78"/>
      <c r="AV263" s="78"/>
      <c r="AW263" s="78"/>
      <c r="AX263" s="78"/>
      <c r="AY263" s="78"/>
      <c r="AZ263" s="78"/>
      <c r="BA263" s="78"/>
      <c r="BB263" s="78"/>
      <c r="BC263" s="78"/>
      <c r="BD263" s="78"/>
      <c r="BE263" s="78"/>
      <c r="BF263" s="78"/>
      <c r="BG263" s="78"/>
      <c r="BH263" s="78"/>
      <c r="BI263" s="78"/>
      <c r="BJ263" s="78"/>
      <c r="BK263" s="78"/>
      <c r="BL263" s="78"/>
      <c r="BM263" s="78"/>
      <c r="BN263" s="78"/>
      <c r="BO263" s="78"/>
      <c r="BP263" s="78"/>
      <c r="BQ263" s="78"/>
      <c r="BR263" s="78"/>
      <c r="BS263" s="78"/>
      <c r="BT263" s="78"/>
      <c r="BU263" s="78"/>
      <c r="BV263" s="78"/>
      <c r="BW263" s="78"/>
      <c r="BX263" s="78"/>
      <c r="BY263" s="78"/>
      <c r="BZ263" s="78"/>
      <c r="CA263" s="78"/>
      <c r="CB263" s="78"/>
      <c r="CC263" s="78"/>
      <c r="CD263" s="78"/>
      <c r="CE263" s="78"/>
      <c r="CF263" s="78"/>
      <c r="CG263" s="78"/>
      <c r="CH263" s="78"/>
      <c r="CI263" s="78"/>
      <c r="CJ263" s="78"/>
      <c r="CK263" s="78"/>
      <c r="CL263" s="78"/>
      <c r="CM263" s="78"/>
      <c r="CN263" s="78"/>
      <c r="CO263" s="78"/>
      <c r="CP263" s="78"/>
      <c r="CQ263" s="78"/>
      <c r="CR263" s="78"/>
      <c r="CS263" s="78"/>
      <c r="CT263" s="78"/>
      <c r="CU263" s="78"/>
      <c r="CV263" s="78"/>
      <c r="CW263" s="78"/>
      <c r="CX263" s="78"/>
      <c r="CY263" s="78"/>
      <c r="CZ263" s="78"/>
      <c r="DA263" s="78"/>
      <c r="DB263" s="78"/>
      <c r="DC263" s="78"/>
      <c r="DD263" s="78"/>
      <c r="DE263" s="78"/>
      <c r="DF263" s="78"/>
      <c r="DG263" s="78"/>
      <c r="DH263" s="78"/>
      <c r="DI263" s="78"/>
      <c r="DJ263" s="78"/>
      <c r="DK263" s="78"/>
      <c r="DL263" s="78"/>
      <c r="DM263" s="78"/>
      <c r="DN263" s="78"/>
      <c r="DO263" s="78"/>
      <c r="DP263" s="78"/>
      <c r="DQ263" s="78"/>
      <c r="DR263" s="78"/>
      <c r="DS263" s="78"/>
      <c r="DT263" s="78"/>
      <c r="DU263" s="78"/>
      <c r="DV263" s="78"/>
      <c r="DW263" s="78"/>
      <c r="DX263" s="78"/>
      <c r="DY263" s="78"/>
      <c r="DZ263" s="78"/>
      <c r="EA263" s="78"/>
      <c r="EB263" s="78"/>
      <c r="EC263" s="78"/>
      <c r="ED263" s="78"/>
      <c r="EE263" s="78"/>
      <c r="EF263" s="78"/>
      <c r="EG263" s="78"/>
      <c r="EH263" s="78"/>
      <c r="EI263" s="78"/>
    </row>
    <row r="264" spans="2:139" ht="12.75" customHeight="1">
      <c r="B264" s="41" t="s">
        <v>229</v>
      </c>
      <c r="C264" s="211"/>
      <c r="D264" s="78">
        <f t="shared" ref="D264:N264" si="485">SUMIF($S$6:$EI$6,D$5,$S264:$EI264)</f>
        <v>0</v>
      </c>
      <c r="E264" s="78">
        <f t="shared" si="485"/>
        <v>0</v>
      </c>
      <c r="F264" s="78">
        <f t="shared" si="485"/>
        <v>0</v>
      </c>
      <c r="G264" s="78">
        <f t="shared" si="485"/>
        <v>0</v>
      </c>
      <c r="H264" s="78">
        <f t="shared" si="485"/>
        <v>0</v>
      </c>
      <c r="I264" s="78">
        <f t="shared" si="485"/>
        <v>0</v>
      </c>
      <c r="J264" s="78">
        <f t="shared" si="485"/>
        <v>0</v>
      </c>
      <c r="K264" s="78">
        <f t="shared" si="485"/>
        <v>0</v>
      </c>
      <c r="L264" s="78">
        <f t="shared" si="485"/>
        <v>0</v>
      </c>
      <c r="M264" s="78">
        <f t="shared" si="485"/>
        <v>0</v>
      </c>
      <c r="N264" s="78">
        <f t="shared" si="485"/>
        <v>0</v>
      </c>
      <c r="O264" s="145">
        <f>SUM(D264:N264)</f>
        <v>0</v>
      </c>
      <c r="S264" s="78">
        <f>-(Input!$K$217+Input!$K$218)*S270</f>
        <v>0</v>
      </c>
      <c r="T264" s="78">
        <f>-(Input!$K$217+Input!$K$218)*T270</f>
        <v>0</v>
      </c>
      <c r="U264" s="78">
        <f>-(Input!$K$217+Input!$K$218)*U270</f>
        <v>0</v>
      </c>
      <c r="V264" s="78">
        <f>-(Input!$K$217+Input!$K$218)*V270</f>
        <v>0</v>
      </c>
      <c r="W264" s="78">
        <f>-(Input!$K$217+Input!$K$218)*W270</f>
        <v>0</v>
      </c>
      <c r="X264" s="78">
        <f>-(Input!$K$217+Input!$K$218)*X270</f>
        <v>0</v>
      </c>
      <c r="Y264" s="78">
        <f>-(Input!$K$217+Input!$K$218)*Y270</f>
        <v>0</v>
      </c>
      <c r="Z264" s="78">
        <f>-(Input!$K$217+Input!$K$218)*Z270</f>
        <v>0</v>
      </c>
      <c r="AA264" s="78">
        <f>-(Input!$K$217+Input!$K$218)*AA270</f>
        <v>0</v>
      </c>
      <c r="AB264" s="78">
        <f>-(Input!$K$217+Input!$K$218)*AB270</f>
        <v>0</v>
      </c>
      <c r="AC264" s="78">
        <f>-(Input!$K$217+Input!$K$218)*AC270</f>
        <v>0</v>
      </c>
      <c r="AD264" s="78">
        <f>-(Input!$K$217+Input!$K$218)*AD270</f>
        <v>0</v>
      </c>
      <c r="AE264" s="78">
        <f>-(Input!$K$217+Input!$K$218)*AE270</f>
        <v>0</v>
      </c>
      <c r="AF264" s="78">
        <f>-(Input!$K$217+Input!$K$218)*AF270</f>
        <v>0</v>
      </c>
      <c r="AG264" s="78">
        <f>-(Input!$K$217+Input!$K$218)*AG270</f>
        <v>0</v>
      </c>
      <c r="AH264" s="78">
        <f>-(Input!$K$217+Input!$K$218)*AH270</f>
        <v>0</v>
      </c>
      <c r="AI264" s="78">
        <f>-(Input!$K$217+Input!$K$218)*AI270</f>
        <v>0</v>
      </c>
      <c r="AJ264" s="78">
        <f>-(Input!$K$217+Input!$K$218)*AJ270</f>
        <v>0</v>
      </c>
      <c r="AK264" s="78">
        <f>-(Input!$K$217+Input!$K$218)*AK270</f>
        <v>0</v>
      </c>
      <c r="AL264" s="78">
        <f>-(Input!$K$217+Input!$K$218)*AL270</f>
        <v>0</v>
      </c>
      <c r="AM264" s="78">
        <f>-(Input!$K$217+Input!$K$218)*AM270</f>
        <v>0</v>
      </c>
      <c r="AN264" s="78">
        <f>-(Input!$K$217+Input!$K$218)*AN270</f>
        <v>0</v>
      </c>
      <c r="AO264" s="78">
        <f>-(Input!$K$217+Input!$K$218)*AO270</f>
        <v>0</v>
      </c>
      <c r="AP264" s="78">
        <f>-(Input!$K$217+Input!$K$218)*AP270</f>
        <v>0</v>
      </c>
      <c r="AQ264" s="78">
        <f>-(Input!$K$217+Input!$K$218)*AQ270</f>
        <v>0</v>
      </c>
      <c r="AR264" s="78">
        <f>-(Input!$K$217+Input!$K$218)*AR270</f>
        <v>0</v>
      </c>
      <c r="AS264" s="78">
        <f>-(Input!$K$217+Input!$K$218)*AS270</f>
        <v>0</v>
      </c>
      <c r="AT264" s="78">
        <f>-(Input!$K$217+Input!$K$218)*AT270</f>
        <v>0</v>
      </c>
      <c r="AU264" s="78">
        <f>-(Input!$K$217+Input!$K$218)*AU270</f>
        <v>0</v>
      </c>
      <c r="AV264" s="78">
        <f>-(Input!$K$217+Input!$K$218)*AV270</f>
        <v>0</v>
      </c>
      <c r="AW264" s="78">
        <f>-(Input!$K$217+Input!$K$218)*AW270</f>
        <v>0</v>
      </c>
      <c r="AX264" s="78">
        <f>-(Input!$K$217+Input!$K$218)*AX270</f>
        <v>0</v>
      </c>
      <c r="AY264" s="78">
        <f>-(Input!$K$217+Input!$K$218)*AY270</f>
        <v>0</v>
      </c>
      <c r="AZ264" s="78">
        <f>-(Input!$K$217+Input!$K$218)*AZ270</f>
        <v>0</v>
      </c>
      <c r="BA264" s="78">
        <f>-(Input!$K$217+Input!$K$218)*BA270</f>
        <v>0</v>
      </c>
      <c r="BB264" s="78">
        <f>-(Input!$K$217+Input!$K$218)*BB270</f>
        <v>0</v>
      </c>
      <c r="BC264" s="78">
        <f>-(Input!$K$217+Input!$K$218)*BC270</f>
        <v>0</v>
      </c>
      <c r="BD264" s="78">
        <f>-(Input!$K$217+Input!$K$218)*BD270</f>
        <v>0</v>
      </c>
      <c r="BE264" s="78">
        <f>-(Input!$K$217+Input!$K$218)*BE270</f>
        <v>0</v>
      </c>
      <c r="BF264" s="78">
        <f>-(Input!$K$217+Input!$K$218)*BF270</f>
        <v>0</v>
      </c>
      <c r="BG264" s="78">
        <f>-(Input!$K$217+Input!$K$218)*BG270</f>
        <v>0</v>
      </c>
      <c r="BH264" s="78">
        <f>-(Input!$K$217+Input!$K$218)*BH270</f>
        <v>0</v>
      </c>
      <c r="BI264" s="78">
        <f>-(Input!$K$217+Input!$K$218)*BI270</f>
        <v>0</v>
      </c>
      <c r="BJ264" s="78">
        <f>-(Input!$K$217+Input!$K$218)*BJ270</f>
        <v>0</v>
      </c>
      <c r="BK264" s="78">
        <f>-(Input!$K$217+Input!$K$218)*BK270</f>
        <v>0</v>
      </c>
      <c r="BL264" s="78">
        <f>-(Input!$K$217+Input!$K$218)*BL270</f>
        <v>0</v>
      </c>
      <c r="BM264" s="78">
        <f>-(Input!$K$217+Input!$K$218)*BM270</f>
        <v>0</v>
      </c>
      <c r="BN264" s="78">
        <f>-(Input!$K$217+Input!$K$218)*BN270</f>
        <v>0</v>
      </c>
      <c r="BO264" s="78">
        <f>-(Input!$K$217+Input!$K$218)*BO270</f>
        <v>0</v>
      </c>
      <c r="BP264" s="78">
        <f>-(Input!$K$217+Input!$K$218)*BP270</f>
        <v>0</v>
      </c>
      <c r="BQ264" s="78">
        <f>-(Input!$K$217+Input!$K$218)*BQ270</f>
        <v>0</v>
      </c>
      <c r="BR264" s="78">
        <f>-(Input!$K$217+Input!$K$218)*BR270</f>
        <v>0</v>
      </c>
      <c r="BS264" s="78">
        <f>-(Input!$K$217+Input!$K$218)*BS270</f>
        <v>0</v>
      </c>
      <c r="BT264" s="78">
        <f>-(Input!$K$217+Input!$K$218)*BT270</f>
        <v>0</v>
      </c>
      <c r="BU264" s="78">
        <f>-(Input!$K$217+Input!$K$218)*BU270</f>
        <v>0</v>
      </c>
      <c r="BV264" s="78">
        <f>-(Input!$K$217+Input!$K$218)*BV270</f>
        <v>0</v>
      </c>
      <c r="BW264" s="78">
        <f>-(Input!$K$217+Input!$K$218)*BW270</f>
        <v>0</v>
      </c>
      <c r="BX264" s="78">
        <f>-(Input!$K$217+Input!$K$218)*BX270</f>
        <v>0</v>
      </c>
      <c r="BY264" s="78">
        <f>-(Input!$K$217+Input!$K$218)*BY270</f>
        <v>0</v>
      </c>
      <c r="BZ264" s="78">
        <f>-(Input!$K$217+Input!$K$218)*BZ270</f>
        <v>0</v>
      </c>
      <c r="CA264" s="78">
        <f>-(Input!$K$217+Input!$K$218)*CA270</f>
        <v>0</v>
      </c>
      <c r="CB264" s="78">
        <f>-(Input!$K$217+Input!$K$218)*CB270</f>
        <v>0</v>
      </c>
      <c r="CC264" s="78">
        <f>-(Input!$K$217+Input!$K$218)*CC270</f>
        <v>0</v>
      </c>
      <c r="CD264" s="78">
        <f>-(Input!$K$217+Input!$K$218)*CD270</f>
        <v>0</v>
      </c>
      <c r="CE264" s="78">
        <f>-(Input!$K$217+Input!$K$218)*CE270</f>
        <v>0</v>
      </c>
      <c r="CF264" s="78">
        <f>-(Input!$K$217+Input!$K$218)*CF270</f>
        <v>0</v>
      </c>
      <c r="CG264" s="78">
        <f>-(Input!$K$217+Input!$K$218)*CG270</f>
        <v>0</v>
      </c>
      <c r="CH264" s="78">
        <f>-(Input!$K$217+Input!$K$218)*CH270</f>
        <v>0</v>
      </c>
      <c r="CI264" s="78">
        <f>-(Input!$K$217+Input!$K$218)*CI270</f>
        <v>0</v>
      </c>
      <c r="CJ264" s="78">
        <f>-(Input!$K$217+Input!$K$218)*CJ270</f>
        <v>0</v>
      </c>
      <c r="CK264" s="78">
        <f>-(Input!$K$217+Input!$K$218)*CK270</f>
        <v>0</v>
      </c>
      <c r="CL264" s="78">
        <f>-(Input!$K$217+Input!$K$218)*CL270</f>
        <v>0</v>
      </c>
      <c r="CM264" s="78">
        <f>-(Input!$K$217+Input!$K$218)*CM270</f>
        <v>0</v>
      </c>
      <c r="CN264" s="78">
        <f>-(Input!$K$217+Input!$K$218)*CN270</f>
        <v>0</v>
      </c>
      <c r="CO264" s="78">
        <f>-(Input!$K$217+Input!$K$218)*CO270</f>
        <v>0</v>
      </c>
      <c r="CP264" s="78">
        <f>-(Input!$K$217+Input!$K$218)*CP270</f>
        <v>0</v>
      </c>
      <c r="CQ264" s="78">
        <f>-(Input!$K$217+Input!$K$218)*CQ270</f>
        <v>0</v>
      </c>
      <c r="CR264" s="78">
        <f>-(Input!$K$217+Input!$K$218)*CR270</f>
        <v>0</v>
      </c>
      <c r="CS264" s="78">
        <f>-(Input!$K$217+Input!$K$218)*CS270</f>
        <v>0</v>
      </c>
      <c r="CT264" s="78">
        <f>-(Input!$K$217+Input!$K$218)*CT270</f>
        <v>0</v>
      </c>
      <c r="CU264" s="78">
        <f>-(Input!$K$217+Input!$K$218)*CU270</f>
        <v>0</v>
      </c>
      <c r="CV264" s="78">
        <f>-(Input!$K$217+Input!$K$218)*CV270</f>
        <v>0</v>
      </c>
      <c r="CW264" s="78">
        <f>-(Input!$K$217+Input!$K$218)*CW270</f>
        <v>0</v>
      </c>
      <c r="CX264" s="78">
        <f>-(Input!$K$217+Input!$K$218)*CX270</f>
        <v>0</v>
      </c>
      <c r="CY264" s="78">
        <f>-(Input!$K$217+Input!$K$218)*CY270</f>
        <v>0</v>
      </c>
      <c r="CZ264" s="78">
        <f>-(Input!$K$217+Input!$K$218)*CZ270</f>
        <v>0</v>
      </c>
      <c r="DA264" s="78">
        <f>-(Input!$K$217+Input!$K$218)*DA270</f>
        <v>0</v>
      </c>
      <c r="DB264" s="78">
        <f>-(Input!$K$217+Input!$K$218)*DB270</f>
        <v>0</v>
      </c>
      <c r="DC264" s="78">
        <f>-(Input!$K$217+Input!$K$218)*DC270</f>
        <v>0</v>
      </c>
      <c r="DD264" s="78">
        <f>-(Input!$K$217+Input!$K$218)*DD270</f>
        <v>0</v>
      </c>
      <c r="DE264" s="78">
        <f>-(Input!$K$217+Input!$K$218)*DE270</f>
        <v>0</v>
      </c>
      <c r="DF264" s="78">
        <f>-(Input!$K$217+Input!$K$218)*DF270</f>
        <v>0</v>
      </c>
      <c r="DG264" s="78">
        <f>-(Input!$K$217+Input!$K$218)*DG270</f>
        <v>0</v>
      </c>
      <c r="DH264" s="78">
        <f>-(Input!$K$217+Input!$K$218)*DH270</f>
        <v>0</v>
      </c>
      <c r="DI264" s="78">
        <f>-(Input!$K$217+Input!$K$218)*DI270</f>
        <v>0</v>
      </c>
      <c r="DJ264" s="78">
        <f>-(Input!$K$217+Input!$K$218)*DJ270</f>
        <v>0</v>
      </c>
      <c r="DK264" s="78">
        <f>-(Input!$K$217+Input!$K$218)*DK270</f>
        <v>0</v>
      </c>
      <c r="DL264" s="78">
        <f>-(Input!$K$217+Input!$K$218)*DL270</f>
        <v>0</v>
      </c>
      <c r="DM264" s="78">
        <f>-(Input!$K$217+Input!$K$218)*DM270</f>
        <v>0</v>
      </c>
      <c r="DN264" s="78">
        <f>-(Input!$K$217+Input!$K$218)*DN270</f>
        <v>0</v>
      </c>
      <c r="DO264" s="78">
        <f>-(Input!$K$217+Input!$K$218)*DO270</f>
        <v>0</v>
      </c>
      <c r="DP264" s="78">
        <f>-(Input!$K$217+Input!$K$218)*DP270</f>
        <v>0</v>
      </c>
      <c r="DQ264" s="78">
        <f>-(Input!$K$217+Input!$K$218)*DQ270</f>
        <v>0</v>
      </c>
      <c r="DR264" s="78">
        <f>-(Input!$K$217+Input!$K$218)*DR270</f>
        <v>0</v>
      </c>
      <c r="DS264" s="78">
        <f>-(Input!$K$217+Input!$K$218)*DS270</f>
        <v>0</v>
      </c>
      <c r="DT264" s="78">
        <f>-(Input!$K$217+Input!$K$218)*DT270</f>
        <v>0</v>
      </c>
      <c r="DU264" s="78">
        <f>-(Input!$K$217+Input!$K$218)*DU270</f>
        <v>0</v>
      </c>
      <c r="DV264" s="78">
        <f>-(Input!$K$217+Input!$K$218)*DV270</f>
        <v>0</v>
      </c>
      <c r="DW264" s="78">
        <f>-(Input!$K$217+Input!$K$218)*DW270</f>
        <v>0</v>
      </c>
      <c r="DX264" s="78">
        <f>-(Input!$K$217+Input!$K$218)*DX270</f>
        <v>0</v>
      </c>
      <c r="DY264" s="78">
        <f>-(Input!$K$217+Input!$K$218)*DY270</f>
        <v>0</v>
      </c>
      <c r="DZ264" s="78">
        <f>-(Input!$K$217+Input!$K$218)*DZ270</f>
        <v>0</v>
      </c>
      <c r="EA264" s="78">
        <f>-(Input!$K$217+Input!$K$218)*EA270</f>
        <v>0</v>
      </c>
      <c r="EB264" s="78">
        <f>-(Input!$K$217+Input!$K$218)*EB270</f>
        <v>0</v>
      </c>
      <c r="EC264" s="78">
        <f>-(Input!$K$217+Input!$K$218)*EC270</f>
        <v>0</v>
      </c>
      <c r="ED264" s="78">
        <f>-(Input!$K$217+Input!$K$218)*ED270</f>
        <v>0</v>
      </c>
      <c r="EE264" s="78">
        <f>-(Input!$K$217+Input!$K$218)*EE270</f>
        <v>0</v>
      </c>
      <c r="EF264" s="78">
        <f>-(Input!$K$217+Input!$K$218)*EF270</f>
        <v>0</v>
      </c>
      <c r="EG264" s="78">
        <f>-(Input!$K$217+Input!$K$218)*EG270</f>
        <v>0</v>
      </c>
      <c r="EH264" s="78">
        <f>-(Input!$K$217+Input!$K$218)*EH270</f>
        <v>0</v>
      </c>
      <c r="EI264" s="78">
        <f>-(Input!$K$217+Input!$K$218)*EI270</f>
        <v>0</v>
      </c>
    </row>
    <row r="265" spans="2:139" ht="12.75" customHeight="1">
      <c r="B265" s="41" t="s">
        <v>590</v>
      </c>
      <c r="C265" s="211"/>
      <c r="D265" s="78"/>
      <c r="E265" s="78">
        <f t="shared" ref="E265:N265" si="486">SUMIF($S$6:$EI$6,E$5,$S265:$EI265)</f>
        <v>0</v>
      </c>
      <c r="F265" s="78">
        <f t="shared" si="486"/>
        <v>0</v>
      </c>
      <c r="G265" s="78">
        <f t="shared" si="486"/>
        <v>0</v>
      </c>
      <c r="H265" s="78">
        <f t="shared" si="486"/>
        <v>0</v>
      </c>
      <c r="I265" s="78">
        <f t="shared" si="486"/>
        <v>0</v>
      </c>
      <c r="J265" s="78">
        <f t="shared" si="486"/>
        <v>0</v>
      </c>
      <c r="K265" s="78">
        <f t="shared" si="486"/>
        <v>0</v>
      </c>
      <c r="L265" s="78">
        <f t="shared" si="486"/>
        <v>0</v>
      </c>
      <c r="M265" s="78">
        <f t="shared" si="486"/>
        <v>0</v>
      </c>
      <c r="N265" s="78">
        <f t="shared" si="486"/>
        <v>0</v>
      </c>
      <c r="O265" s="145">
        <f>SUM(D265:N265)</f>
        <v>0</v>
      </c>
      <c r="S265" s="78"/>
      <c r="T265" s="78">
        <f t="shared" ref="T265:AY265" si="487">-T278*T269/12</f>
        <v>0</v>
      </c>
      <c r="U265" s="78">
        <f t="shared" si="487"/>
        <v>0</v>
      </c>
      <c r="V265" s="78">
        <f t="shared" si="487"/>
        <v>0</v>
      </c>
      <c r="W265" s="78">
        <f t="shared" si="487"/>
        <v>0</v>
      </c>
      <c r="X265" s="78">
        <f t="shared" si="487"/>
        <v>0</v>
      </c>
      <c r="Y265" s="78">
        <f t="shared" si="487"/>
        <v>0</v>
      </c>
      <c r="Z265" s="78">
        <f t="shared" si="487"/>
        <v>0</v>
      </c>
      <c r="AA265" s="78">
        <f t="shared" si="487"/>
        <v>0</v>
      </c>
      <c r="AB265" s="78">
        <f t="shared" si="487"/>
        <v>0</v>
      </c>
      <c r="AC265" s="78">
        <f t="shared" si="487"/>
        <v>0</v>
      </c>
      <c r="AD265" s="78">
        <f t="shared" si="487"/>
        <v>0</v>
      </c>
      <c r="AE265" s="78">
        <f t="shared" si="487"/>
        <v>0</v>
      </c>
      <c r="AF265" s="78">
        <f t="shared" si="487"/>
        <v>0</v>
      </c>
      <c r="AG265" s="78">
        <f t="shared" si="487"/>
        <v>0</v>
      </c>
      <c r="AH265" s="78">
        <f t="shared" si="487"/>
        <v>0</v>
      </c>
      <c r="AI265" s="78">
        <f t="shared" si="487"/>
        <v>0</v>
      </c>
      <c r="AJ265" s="78">
        <f t="shared" si="487"/>
        <v>0</v>
      </c>
      <c r="AK265" s="78">
        <f t="shared" si="487"/>
        <v>0</v>
      </c>
      <c r="AL265" s="78">
        <f t="shared" si="487"/>
        <v>0</v>
      </c>
      <c r="AM265" s="78">
        <f t="shared" si="487"/>
        <v>0</v>
      </c>
      <c r="AN265" s="78">
        <f t="shared" si="487"/>
        <v>0</v>
      </c>
      <c r="AO265" s="78">
        <f t="shared" si="487"/>
        <v>0</v>
      </c>
      <c r="AP265" s="78">
        <f t="shared" si="487"/>
        <v>0</v>
      </c>
      <c r="AQ265" s="78">
        <f t="shared" si="487"/>
        <v>0</v>
      </c>
      <c r="AR265" s="78">
        <f t="shared" si="487"/>
        <v>0</v>
      </c>
      <c r="AS265" s="78">
        <f t="shared" si="487"/>
        <v>0</v>
      </c>
      <c r="AT265" s="78">
        <f t="shared" si="487"/>
        <v>0</v>
      </c>
      <c r="AU265" s="78">
        <f t="shared" si="487"/>
        <v>0</v>
      </c>
      <c r="AV265" s="78">
        <f t="shared" si="487"/>
        <v>0</v>
      </c>
      <c r="AW265" s="78">
        <f t="shared" si="487"/>
        <v>0</v>
      </c>
      <c r="AX265" s="78">
        <f t="shared" si="487"/>
        <v>0</v>
      </c>
      <c r="AY265" s="78">
        <f t="shared" si="487"/>
        <v>0</v>
      </c>
      <c r="AZ265" s="78">
        <f t="shared" ref="AZ265:CE265" si="488">-AZ278*AZ269/12</f>
        <v>0</v>
      </c>
      <c r="BA265" s="78">
        <f t="shared" si="488"/>
        <v>0</v>
      </c>
      <c r="BB265" s="78">
        <f t="shared" si="488"/>
        <v>0</v>
      </c>
      <c r="BC265" s="78">
        <f t="shared" si="488"/>
        <v>0</v>
      </c>
      <c r="BD265" s="78">
        <f t="shared" si="488"/>
        <v>0</v>
      </c>
      <c r="BE265" s="78">
        <f t="shared" si="488"/>
        <v>0</v>
      </c>
      <c r="BF265" s="78">
        <f t="shared" si="488"/>
        <v>0</v>
      </c>
      <c r="BG265" s="78">
        <f t="shared" si="488"/>
        <v>0</v>
      </c>
      <c r="BH265" s="78">
        <f t="shared" si="488"/>
        <v>0</v>
      </c>
      <c r="BI265" s="78">
        <f t="shared" si="488"/>
        <v>0</v>
      </c>
      <c r="BJ265" s="78">
        <f t="shared" si="488"/>
        <v>0</v>
      </c>
      <c r="BK265" s="78">
        <f t="shared" si="488"/>
        <v>0</v>
      </c>
      <c r="BL265" s="78">
        <f t="shared" si="488"/>
        <v>0</v>
      </c>
      <c r="BM265" s="78">
        <f t="shared" si="488"/>
        <v>0</v>
      </c>
      <c r="BN265" s="78">
        <f t="shared" si="488"/>
        <v>0</v>
      </c>
      <c r="BO265" s="78">
        <f t="shared" si="488"/>
        <v>0</v>
      </c>
      <c r="BP265" s="78">
        <f t="shared" si="488"/>
        <v>0</v>
      </c>
      <c r="BQ265" s="78">
        <f t="shared" si="488"/>
        <v>0</v>
      </c>
      <c r="BR265" s="78">
        <f t="shared" si="488"/>
        <v>0</v>
      </c>
      <c r="BS265" s="78">
        <f t="shared" si="488"/>
        <v>0</v>
      </c>
      <c r="BT265" s="78">
        <f t="shared" si="488"/>
        <v>0</v>
      </c>
      <c r="BU265" s="78">
        <f t="shared" si="488"/>
        <v>0</v>
      </c>
      <c r="BV265" s="78">
        <f t="shared" si="488"/>
        <v>0</v>
      </c>
      <c r="BW265" s="78">
        <f t="shared" si="488"/>
        <v>0</v>
      </c>
      <c r="BX265" s="78">
        <f t="shared" si="488"/>
        <v>0</v>
      </c>
      <c r="BY265" s="78">
        <f t="shared" si="488"/>
        <v>0</v>
      </c>
      <c r="BZ265" s="78">
        <f t="shared" si="488"/>
        <v>0</v>
      </c>
      <c r="CA265" s="78">
        <f t="shared" si="488"/>
        <v>0</v>
      </c>
      <c r="CB265" s="78">
        <f t="shared" si="488"/>
        <v>0</v>
      </c>
      <c r="CC265" s="78">
        <f t="shared" si="488"/>
        <v>0</v>
      </c>
      <c r="CD265" s="78">
        <f t="shared" si="488"/>
        <v>0</v>
      </c>
      <c r="CE265" s="78">
        <f t="shared" si="488"/>
        <v>0</v>
      </c>
      <c r="CF265" s="78">
        <f t="shared" ref="CF265:DK265" si="489">-CF278*CF269/12</f>
        <v>0</v>
      </c>
      <c r="CG265" s="78">
        <f t="shared" si="489"/>
        <v>0</v>
      </c>
      <c r="CH265" s="78">
        <f t="shared" si="489"/>
        <v>0</v>
      </c>
      <c r="CI265" s="78">
        <f t="shared" si="489"/>
        <v>0</v>
      </c>
      <c r="CJ265" s="78">
        <f t="shared" si="489"/>
        <v>0</v>
      </c>
      <c r="CK265" s="78">
        <f t="shared" si="489"/>
        <v>0</v>
      </c>
      <c r="CL265" s="78">
        <f t="shared" si="489"/>
        <v>0</v>
      </c>
      <c r="CM265" s="78">
        <f t="shared" si="489"/>
        <v>0</v>
      </c>
      <c r="CN265" s="78">
        <f t="shared" si="489"/>
        <v>0</v>
      </c>
      <c r="CO265" s="78">
        <f t="shared" si="489"/>
        <v>0</v>
      </c>
      <c r="CP265" s="78">
        <f t="shared" si="489"/>
        <v>0</v>
      </c>
      <c r="CQ265" s="78">
        <f t="shared" si="489"/>
        <v>0</v>
      </c>
      <c r="CR265" s="78">
        <f t="shared" si="489"/>
        <v>0</v>
      </c>
      <c r="CS265" s="78">
        <f t="shared" si="489"/>
        <v>0</v>
      </c>
      <c r="CT265" s="78">
        <f t="shared" si="489"/>
        <v>0</v>
      </c>
      <c r="CU265" s="78">
        <f t="shared" si="489"/>
        <v>0</v>
      </c>
      <c r="CV265" s="78">
        <f t="shared" si="489"/>
        <v>0</v>
      </c>
      <c r="CW265" s="78">
        <f t="shared" si="489"/>
        <v>0</v>
      </c>
      <c r="CX265" s="78">
        <f t="shared" si="489"/>
        <v>0</v>
      </c>
      <c r="CY265" s="78">
        <f t="shared" si="489"/>
        <v>0</v>
      </c>
      <c r="CZ265" s="78">
        <f t="shared" si="489"/>
        <v>0</v>
      </c>
      <c r="DA265" s="78">
        <f t="shared" si="489"/>
        <v>0</v>
      </c>
      <c r="DB265" s="78">
        <f t="shared" si="489"/>
        <v>0</v>
      </c>
      <c r="DC265" s="78">
        <f t="shared" si="489"/>
        <v>0</v>
      </c>
      <c r="DD265" s="78">
        <f t="shared" si="489"/>
        <v>0</v>
      </c>
      <c r="DE265" s="78">
        <f t="shared" si="489"/>
        <v>0</v>
      </c>
      <c r="DF265" s="78">
        <f t="shared" si="489"/>
        <v>0</v>
      </c>
      <c r="DG265" s="78">
        <f t="shared" si="489"/>
        <v>0</v>
      </c>
      <c r="DH265" s="78">
        <f t="shared" si="489"/>
        <v>0</v>
      </c>
      <c r="DI265" s="78">
        <f t="shared" si="489"/>
        <v>0</v>
      </c>
      <c r="DJ265" s="78">
        <f t="shared" si="489"/>
        <v>0</v>
      </c>
      <c r="DK265" s="78">
        <f t="shared" si="489"/>
        <v>0</v>
      </c>
      <c r="DL265" s="78">
        <f t="shared" ref="DL265:EI265" si="490">-DL278*DL269/12</f>
        <v>0</v>
      </c>
      <c r="DM265" s="78">
        <f t="shared" si="490"/>
        <v>0</v>
      </c>
      <c r="DN265" s="78">
        <f t="shared" si="490"/>
        <v>0</v>
      </c>
      <c r="DO265" s="78">
        <f t="shared" si="490"/>
        <v>0</v>
      </c>
      <c r="DP265" s="78">
        <f t="shared" si="490"/>
        <v>0</v>
      </c>
      <c r="DQ265" s="78">
        <f t="shared" si="490"/>
        <v>0</v>
      </c>
      <c r="DR265" s="78">
        <f t="shared" si="490"/>
        <v>0</v>
      </c>
      <c r="DS265" s="78">
        <f t="shared" si="490"/>
        <v>0</v>
      </c>
      <c r="DT265" s="78">
        <f t="shared" si="490"/>
        <v>0</v>
      </c>
      <c r="DU265" s="78">
        <f t="shared" si="490"/>
        <v>0</v>
      </c>
      <c r="DV265" s="78">
        <f t="shared" si="490"/>
        <v>0</v>
      </c>
      <c r="DW265" s="78">
        <f t="shared" si="490"/>
        <v>0</v>
      </c>
      <c r="DX265" s="78">
        <f t="shared" si="490"/>
        <v>0</v>
      </c>
      <c r="DY265" s="78">
        <f t="shared" si="490"/>
        <v>0</v>
      </c>
      <c r="DZ265" s="78">
        <f t="shared" si="490"/>
        <v>0</v>
      </c>
      <c r="EA265" s="78">
        <f t="shared" si="490"/>
        <v>0</v>
      </c>
      <c r="EB265" s="78">
        <f t="shared" si="490"/>
        <v>0</v>
      </c>
      <c r="EC265" s="78">
        <f t="shared" si="490"/>
        <v>0</v>
      </c>
      <c r="ED265" s="78">
        <f t="shared" si="490"/>
        <v>0</v>
      </c>
      <c r="EE265" s="78">
        <f t="shared" si="490"/>
        <v>0</v>
      </c>
      <c r="EF265" s="78">
        <f t="shared" si="490"/>
        <v>0</v>
      </c>
      <c r="EG265" s="78">
        <f t="shared" si="490"/>
        <v>0</v>
      </c>
      <c r="EH265" s="78">
        <f t="shared" si="490"/>
        <v>0</v>
      </c>
      <c r="EI265" s="78">
        <f t="shared" si="490"/>
        <v>0</v>
      </c>
    </row>
    <row r="266" spans="2:139" ht="12.75" customHeight="1">
      <c r="B266" s="46" t="s">
        <v>231</v>
      </c>
      <c r="C266" s="209"/>
      <c r="D266" s="694">
        <f t="shared" ref="D266:O266" si="491">SUBTOTAL(9,D264:D265)</f>
        <v>0</v>
      </c>
      <c r="E266" s="694">
        <f t="shared" si="491"/>
        <v>0</v>
      </c>
      <c r="F266" s="694">
        <f t="shared" si="491"/>
        <v>0</v>
      </c>
      <c r="G266" s="694">
        <f t="shared" si="491"/>
        <v>0</v>
      </c>
      <c r="H266" s="694">
        <f t="shared" si="491"/>
        <v>0</v>
      </c>
      <c r="I266" s="694">
        <f t="shared" si="491"/>
        <v>0</v>
      </c>
      <c r="J266" s="694">
        <f t="shared" si="491"/>
        <v>0</v>
      </c>
      <c r="K266" s="694">
        <f t="shared" si="491"/>
        <v>0</v>
      </c>
      <c r="L266" s="694">
        <f t="shared" si="491"/>
        <v>0</v>
      </c>
      <c r="M266" s="694">
        <f t="shared" si="491"/>
        <v>0</v>
      </c>
      <c r="N266" s="694">
        <f t="shared" si="491"/>
        <v>0</v>
      </c>
      <c r="O266" s="713">
        <f t="shared" si="491"/>
        <v>0</v>
      </c>
      <c r="S266" s="694">
        <f t="shared" ref="S266:AX266" si="492">SUBTOTAL(9,S264:S265)</f>
        <v>0</v>
      </c>
      <c r="T266" s="694">
        <f t="shared" si="492"/>
        <v>0</v>
      </c>
      <c r="U266" s="694">
        <f t="shared" si="492"/>
        <v>0</v>
      </c>
      <c r="V266" s="694">
        <f t="shared" si="492"/>
        <v>0</v>
      </c>
      <c r="W266" s="694">
        <f t="shared" si="492"/>
        <v>0</v>
      </c>
      <c r="X266" s="694">
        <f t="shared" si="492"/>
        <v>0</v>
      </c>
      <c r="Y266" s="694">
        <f t="shared" si="492"/>
        <v>0</v>
      </c>
      <c r="Z266" s="694">
        <f t="shared" si="492"/>
        <v>0</v>
      </c>
      <c r="AA266" s="694">
        <f t="shared" si="492"/>
        <v>0</v>
      </c>
      <c r="AB266" s="694">
        <f t="shared" si="492"/>
        <v>0</v>
      </c>
      <c r="AC266" s="694">
        <f t="shared" si="492"/>
        <v>0</v>
      </c>
      <c r="AD266" s="694">
        <f t="shared" si="492"/>
        <v>0</v>
      </c>
      <c r="AE266" s="694">
        <f t="shared" si="492"/>
        <v>0</v>
      </c>
      <c r="AF266" s="694">
        <f t="shared" si="492"/>
        <v>0</v>
      </c>
      <c r="AG266" s="694">
        <f t="shared" si="492"/>
        <v>0</v>
      </c>
      <c r="AH266" s="694">
        <f t="shared" si="492"/>
        <v>0</v>
      </c>
      <c r="AI266" s="694">
        <f t="shared" si="492"/>
        <v>0</v>
      </c>
      <c r="AJ266" s="694">
        <f t="shared" si="492"/>
        <v>0</v>
      </c>
      <c r="AK266" s="694">
        <f t="shared" si="492"/>
        <v>0</v>
      </c>
      <c r="AL266" s="694">
        <f t="shared" si="492"/>
        <v>0</v>
      </c>
      <c r="AM266" s="694">
        <f t="shared" si="492"/>
        <v>0</v>
      </c>
      <c r="AN266" s="694">
        <f t="shared" si="492"/>
        <v>0</v>
      </c>
      <c r="AO266" s="694">
        <f t="shared" si="492"/>
        <v>0</v>
      </c>
      <c r="AP266" s="694">
        <f t="shared" si="492"/>
        <v>0</v>
      </c>
      <c r="AQ266" s="694">
        <f t="shared" si="492"/>
        <v>0</v>
      </c>
      <c r="AR266" s="694">
        <f t="shared" si="492"/>
        <v>0</v>
      </c>
      <c r="AS266" s="694">
        <f t="shared" si="492"/>
        <v>0</v>
      </c>
      <c r="AT266" s="694">
        <f t="shared" si="492"/>
        <v>0</v>
      </c>
      <c r="AU266" s="694">
        <f t="shared" si="492"/>
        <v>0</v>
      </c>
      <c r="AV266" s="694">
        <f t="shared" si="492"/>
        <v>0</v>
      </c>
      <c r="AW266" s="694">
        <f t="shared" si="492"/>
        <v>0</v>
      </c>
      <c r="AX266" s="694">
        <f t="shared" si="492"/>
        <v>0</v>
      </c>
      <c r="AY266" s="694">
        <f t="shared" ref="AY266:CD266" si="493">SUBTOTAL(9,AY264:AY265)</f>
        <v>0</v>
      </c>
      <c r="AZ266" s="694">
        <f t="shared" si="493"/>
        <v>0</v>
      </c>
      <c r="BA266" s="694">
        <f t="shared" si="493"/>
        <v>0</v>
      </c>
      <c r="BB266" s="694">
        <f t="shared" si="493"/>
        <v>0</v>
      </c>
      <c r="BC266" s="694">
        <f t="shared" si="493"/>
        <v>0</v>
      </c>
      <c r="BD266" s="694">
        <f t="shared" si="493"/>
        <v>0</v>
      </c>
      <c r="BE266" s="694">
        <f t="shared" si="493"/>
        <v>0</v>
      </c>
      <c r="BF266" s="694">
        <f t="shared" si="493"/>
        <v>0</v>
      </c>
      <c r="BG266" s="694">
        <f t="shared" si="493"/>
        <v>0</v>
      </c>
      <c r="BH266" s="694">
        <f t="shared" si="493"/>
        <v>0</v>
      </c>
      <c r="BI266" s="694">
        <f t="shared" si="493"/>
        <v>0</v>
      </c>
      <c r="BJ266" s="694">
        <f t="shared" si="493"/>
        <v>0</v>
      </c>
      <c r="BK266" s="694">
        <f t="shared" si="493"/>
        <v>0</v>
      </c>
      <c r="BL266" s="694">
        <f t="shared" si="493"/>
        <v>0</v>
      </c>
      <c r="BM266" s="694">
        <f t="shared" si="493"/>
        <v>0</v>
      </c>
      <c r="BN266" s="694">
        <f t="shared" si="493"/>
        <v>0</v>
      </c>
      <c r="BO266" s="694">
        <f t="shared" si="493"/>
        <v>0</v>
      </c>
      <c r="BP266" s="694">
        <f t="shared" si="493"/>
        <v>0</v>
      </c>
      <c r="BQ266" s="694">
        <f t="shared" si="493"/>
        <v>0</v>
      </c>
      <c r="BR266" s="694">
        <f t="shared" si="493"/>
        <v>0</v>
      </c>
      <c r="BS266" s="694">
        <f t="shared" si="493"/>
        <v>0</v>
      </c>
      <c r="BT266" s="694">
        <f t="shared" si="493"/>
        <v>0</v>
      </c>
      <c r="BU266" s="694">
        <f t="shared" si="493"/>
        <v>0</v>
      </c>
      <c r="BV266" s="694">
        <f t="shared" si="493"/>
        <v>0</v>
      </c>
      <c r="BW266" s="694">
        <f t="shared" si="493"/>
        <v>0</v>
      </c>
      <c r="BX266" s="694">
        <f t="shared" si="493"/>
        <v>0</v>
      </c>
      <c r="BY266" s="694">
        <f t="shared" si="493"/>
        <v>0</v>
      </c>
      <c r="BZ266" s="694">
        <f t="shared" si="493"/>
        <v>0</v>
      </c>
      <c r="CA266" s="694">
        <f t="shared" si="493"/>
        <v>0</v>
      </c>
      <c r="CB266" s="694">
        <f t="shared" si="493"/>
        <v>0</v>
      </c>
      <c r="CC266" s="694">
        <f t="shared" si="493"/>
        <v>0</v>
      </c>
      <c r="CD266" s="694">
        <f t="shared" si="493"/>
        <v>0</v>
      </c>
      <c r="CE266" s="694">
        <f t="shared" ref="CE266:DJ266" si="494">SUBTOTAL(9,CE264:CE265)</f>
        <v>0</v>
      </c>
      <c r="CF266" s="694">
        <f t="shared" si="494"/>
        <v>0</v>
      </c>
      <c r="CG266" s="694">
        <f t="shared" si="494"/>
        <v>0</v>
      </c>
      <c r="CH266" s="694">
        <f t="shared" si="494"/>
        <v>0</v>
      </c>
      <c r="CI266" s="694">
        <f t="shared" si="494"/>
        <v>0</v>
      </c>
      <c r="CJ266" s="694">
        <f t="shared" si="494"/>
        <v>0</v>
      </c>
      <c r="CK266" s="694">
        <f t="shared" si="494"/>
        <v>0</v>
      </c>
      <c r="CL266" s="694">
        <f t="shared" si="494"/>
        <v>0</v>
      </c>
      <c r="CM266" s="694">
        <f t="shared" si="494"/>
        <v>0</v>
      </c>
      <c r="CN266" s="694">
        <f t="shared" si="494"/>
        <v>0</v>
      </c>
      <c r="CO266" s="694">
        <f t="shared" si="494"/>
        <v>0</v>
      </c>
      <c r="CP266" s="694">
        <f t="shared" si="494"/>
        <v>0</v>
      </c>
      <c r="CQ266" s="694">
        <f t="shared" si="494"/>
        <v>0</v>
      </c>
      <c r="CR266" s="694">
        <f t="shared" si="494"/>
        <v>0</v>
      </c>
      <c r="CS266" s="694">
        <f t="shared" si="494"/>
        <v>0</v>
      </c>
      <c r="CT266" s="694">
        <f t="shared" si="494"/>
        <v>0</v>
      </c>
      <c r="CU266" s="694">
        <f t="shared" si="494"/>
        <v>0</v>
      </c>
      <c r="CV266" s="694">
        <f t="shared" si="494"/>
        <v>0</v>
      </c>
      <c r="CW266" s="694">
        <f t="shared" si="494"/>
        <v>0</v>
      </c>
      <c r="CX266" s="694">
        <f t="shared" si="494"/>
        <v>0</v>
      </c>
      <c r="CY266" s="694">
        <f t="shared" si="494"/>
        <v>0</v>
      </c>
      <c r="CZ266" s="694">
        <f t="shared" si="494"/>
        <v>0</v>
      </c>
      <c r="DA266" s="694">
        <f t="shared" si="494"/>
        <v>0</v>
      </c>
      <c r="DB266" s="694">
        <f t="shared" si="494"/>
        <v>0</v>
      </c>
      <c r="DC266" s="694">
        <f t="shared" si="494"/>
        <v>0</v>
      </c>
      <c r="DD266" s="694">
        <f t="shared" si="494"/>
        <v>0</v>
      </c>
      <c r="DE266" s="694">
        <f t="shared" si="494"/>
        <v>0</v>
      </c>
      <c r="DF266" s="694">
        <f t="shared" si="494"/>
        <v>0</v>
      </c>
      <c r="DG266" s="694">
        <f t="shared" si="494"/>
        <v>0</v>
      </c>
      <c r="DH266" s="694">
        <f t="shared" si="494"/>
        <v>0</v>
      </c>
      <c r="DI266" s="694">
        <f t="shared" si="494"/>
        <v>0</v>
      </c>
      <c r="DJ266" s="694">
        <f t="shared" si="494"/>
        <v>0</v>
      </c>
      <c r="DK266" s="694">
        <f t="shared" ref="DK266:EP266" si="495">SUBTOTAL(9,DK264:DK265)</f>
        <v>0</v>
      </c>
      <c r="DL266" s="694">
        <f t="shared" si="495"/>
        <v>0</v>
      </c>
      <c r="DM266" s="694">
        <f t="shared" si="495"/>
        <v>0</v>
      </c>
      <c r="DN266" s="694">
        <f t="shared" si="495"/>
        <v>0</v>
      </c>
      <c r="DO266" s="694">
        <f t="shared" si="495"/>
        <v>0</v>
      </c>
      <c r="DP266" s="694">
        <f t="shared" si="495"/>
        <v>0</v>
      </c>
      <c r="DQ266" s="694">
        <f t="shared" si="495"/>
        <v>0</v>
      </c>
      <c r="DR266" s="694">
        <f t="shared" si="495"/>
        <v>0</v>
      </c>
      <c r="DS266" s="694">
        <f t="shared" si="495"/>
        <v>0</v>
      </c>
      <c r="DT266" s="694">
        <f t="shared" si="495"/>
        <v>0</v>
      </c>
      <c r="DU266" s="694">
        <f t="shared" si="495"/>
        <v>0</v>
      </c>
      <c r="DV266" s="694">
        <f t="shared" si="495"/>
        <v>0</v>
      </c>
      <c r="DW266" s="694">
        <f t="shared" si="495"/>
        <v>0</v>
      </c>
      <c r="DX266" s="694">
        <f t="shared" si="495"/>
        <v>0</v>
      </c>
      <c r="DY266" s="694">
        <f t="shared" si="495"/>
        <v>0</v>
      </c>
      <c r="DZ266" s="694">
        <f t="shared" si="495"/>
        <v>0</v>
      </c>
      <c r="EA266" s="694">
        <f t="shared" si="495"/>
        <v>0</v>
      </c>
      <c r="EB266" s="694">
        <f t="shared" si="495"/>
        <v>0</v>
      </c>
      <c r="EC266" s="694">
        <f t="shared" si="495"/>
        <v>0</v>
      </c>
      <c r="ED266" s="694">
        <f t="shared" si="495"/>
        <v>0</v>
      </c>
      <c r="EE266" s="694">
        <f t="shared" si="495"/>
        <v>0</v>
      </c>
      <c r="EF266" s="694">
        <f t="shared" si="495"/>
        <v>0</v>
      </c>
      <c r="EG266" s="694">
        <f t="shared" si="495"/>
        <v>0</v>
      </c>
      <c r="EH266" s="694">
        <f t="shared" si="495"/>
        <v>0</v>
      </c>
      <c r="EI266" s="694">
        <f t="shared" si="495"/>
        <v>0</v>
      </c>
    </row>
    <row r="267" spans="2:139" ht="12.75" customHeight="1">
      <c r="B267" s="46"/>
      <c r="C267" s="209"/>
      <c r="D267" s="169"/>
      <c r="E267" s="169"/>
      <c r="F267" s="169"/>
      <c r="G267" s="169"/>
      <c r="H267" s="169"/>
      <c r="I267" s="169"/>
      <c r="J267" s="169"/>
      <c r="K267" s="169"/>
      <c r="L267" s="169"/>
      <c r="M267" s="169"/>
      <c r="N267" s="169"/>
      <c r="O267" s="91"/>
      <c r="S267" s="169"/>
      <c r="T267" s="169"/>
      <c r="U267" s="169"/>
      <c r="V267" s="169"/>
      <c r="W267" s="169"/>
      <c r="X267" s="169"/>
      <c r="Y267" s="169"/>
      <c r="Z267" s="169"/>
      <c r="AA267" s="169"/>
      <c r="AB267" s="169"/>
      <c r="AC267" s="169"/>
      <c r="AD267" s="169"/>
      <c r="AE267" s="169"/>
      <c r="AF267" s="169"/>
      <c r="AG267" s="169"/>
      <c r="AH267" s="169"/>
      <c r="AI267" s="169"/>
      <c r="AJ267" s="169"/>
      <c r="AK267" s="169"/>
      <c r="AL267" s="169"/>
      <c r="AM267" s="169"/>
      <c r="AN267" s="169"/>
      <c r="AO267" s="169"/>
      <c r="AP267" s="169"/>
      <c r="AQ267" s="169"/>
      <c r="AR267" s="169"/>
      <c r="AS267" s="169"/>
      <c r="AT267" s="169"/>
      <c r="AU267" s="169"/>
      <c r="AV267" s="169"/>
      <c r="AW267" s="169"/>
      <c r="AX267" s="169"/>
      <c r="AY267" s="169"/>
      <c r="AZ267" s="169"/>
      <c r="BA267" s="169"/>
      <c r="BB267" s="169"/>
      <c r="BC267" s="169"/>
      <c r="BD267" s="169"/>
      <c r="BE267" s="169"/>
      <c r="BF267" s="169"/>
      <c r="BG267" s="169"/>
      <c r="BH267" s="169"/>
      <c r="BI267" s="169"/>
      <c r="BJ267" s="169"/>
      <c r="BK267" s="169"/>
      <c r="BL267" s="169"/>
      <c r="BM267" s="169"/>
      <c r="BN267" s="169"/>
      <c r="BO267" s="169"/>
      <c r="BP267" s="169"/>
      <c r="BQ267" s="169"/>
      <c r="BR267" s="169"/>
      <c r="BS267" s="169"/>
      <c r="BT267" s="169"/>
      <c r="BU267" s="169"/>
      <c r="BV267" s="169"/>
      <c r="BW267" s="169"/>
      <c r="BX267" s="169"/>
      <c r="BY267" s="169"/>
      <c r="BZ267" s="169"/>
      <c r="CA267" s="169"/>
      <c r="CB267" s="169"/>
      <c r="CC267" s="169"/>
      <c r="CD267" s="169"/>
      <c r="CE267" s="169"/>
      <c r="CF267" s="169"/>
      <c r="CG267" s="169"/>
      <c r="CH267" s="169"/>
      <c r="CI267" s="169"/>
      <c r="CJ267" s="169"/>
      <c r="CK267" s="169"/>
      <c r="CL267" s="169"/>
      <c r="CM267" s="169"/>
      <c r="CN267" s="169"/>
      <c r="CO267" s="169"/>
      <c r="CP267" s="169"/>
      <c r="CQ267" s="169"/>
      <c r="CR267" s="169"/>
      <c r="CS267" s="169"/>
      <c r="CT267" s="169"/>
      <c r="CU267" s="169"/>
      <c r="CV267" s="169"/>
      <c r="CW267" s="169"/>
      <c r="CX267" s="169"/>
      <c r="CY267" s="169"/>
      <c r="CZ267" s="169"/>
      <c r="DA267" s="169"/>
      <c r="DB267" s="169"/>
      <c r="DC267" s="169"/>
      <c r="DD267" s="169"/>
      <c r="DE267" s="169"/>
      <c r="DF267" s="169"/>
      <c r="DG267" s="169"/>
      <c r="DH267" s="169"/>
      <c r="DI267" s="169"/>
      <c r="DJ267" s="169"/>
      <c r="DK267" s="169"/>
      <c r="DL267" s="169"/>
      <c r="DM267" s="169"/>
      <c r="DN267" s="169"/>
      <c r="DO267" s="169"/>
      <c r="DP267" s="169"/>
      <c r="DQ267" s="169"/>
      <c r="DR267" s="169"/>
      <c r="DS267" s="169"/>
      <c r="DT267" s="169"/>
      <c r="DU267" s="169"/>
      <c r="DV267" s="169"/>
      <c r="DW267" s="169"/>
      <c r="DX267" s="169"/>
      <c r="DY267" s="169"/>
      <c r="DZ267" s="169"/>
      <c r="EA267" s="169"/>
      <c r="EB267" s="169"/>
      <c r="EC267" s="169"/>
      <c r="ED267" s="169"/>
      <c r="EE267" s="169"/>
      <c r="EF267" s="169"/>
      <c r="EG267" s="169"/>
      <c r="EH267" s="169"/>
      <c r="EI267" s="169"/>
    </row>
    <row r="268" spans="2:139" ht="12.75" customHeight="1">
      <c r="B268" s="1045" t="s">
        <v>592</v>
      </c>
      <c r="C268" s="211"/>
      <c r="D268" s="78"/>
      <c r="E268" s="78"/>
      <c r="F268" s="78"/>
      <c r="G268" s="78"/>
      <c r="H268" s="78"/>
      <c r="I268" s="78"/>
      <c r="J268" s="78"/>
      <c r="K268" s="78"/>
      <c r="L268" s="78"/>
      <c r="M268" s="78"/>
      <c r="N268" s="78"/>
      <c r="O268" s="145"/>
      <c r="S268" s="78"/>
      <c r="T268" s="78"/>
      <c r="U268" s="78"/>
      <c r="V268" s="78"/>
      <c r="W268" s="78"/>
      <c r="X268" s="78"/>
      <c r="Y268" s="78"/>
      <c r="Z268" s="78"/>
      <c r="AA268" s="78"/>
      <c r="AB268" s="78"/>
      <c r="AC268" s="78"/>
      <c r="AD268" s="78"/>
      <c r="AE268" s="78"/>
      <c r="AF268" s="78"/>
      <c r="AG268" s="78"/>
      <c r="AH268" s="78"/>
      <c r="AI268" s="78"/>
      <c r="AJ268" s="78"/>
      <c r="AK268" s="78"/>
      <c r="AL268" s="78"/>
      <c r="AM268" s="78"/>
      <c r="AN268" s="78"/>
      <c r="AO268" s="78"/>
      <c r="AP268" s="78"/>
      <c r="AQ268" s="78"/>
      <c r="AR268" s="78"/>
      <c r="AS268" s="78"/>
      <c r="AT268" s="78"/>
      <c r="AU268" s="78"/>
      <c r="AV268" s="78"/>
      <c r="AW268" s="78"/>
      <c r="AX268" s="78"/>
      <c r="AY268" s="78"/>
      <c r="AZ268" s="78"/>
      <c r="BA268" s="78"/>
      <c r="BB268" s="78"/>
      <c r="BC268" s="78"/>
      <c r="BD268" s="78"/>
      <c r="BE268" s="78"/>
      <c r="BF268" s="78"/>
      <c r="BG268" s="78"/>
      <c r="BH268" s="78"/>
      <c r="BI268" s="78"/>
      <c r="BJ268" s="78"/>
      <c r="BK268" s="78"/>
      <c r="BL268" s="78"/>
      <c r="BM268" s="78"/>
      <c r="BN268" s="78"/>
      <c r="BO268" s="78"/>
      <c r="BP268" s="78"/>
      <c r="BQ268" s="78"/>
      <c r="BR268" s="78"/>
      <c r="BS268" s="78"/>
      <c r="BT268" s="78"/>
      <c r="BU268" s="78"/>
      <c r="BV268" s="78"/>
      <c r="BW268" s="78"/>
      <c r="BX268" s="78"/>
      <c r="BY268" s="78"/>
      <c r="BZ268" s="78"/>
      <c r="CA268" s="78"/>
      <c r="CB268" s="78"/>
      <c r="CC268" s="78"/>
      <c r="CD268" s="78"/>
      <c r="CE268" s="78"/>
      <c r="CF268" s="78"/>
      <c r="CG268" s="78"/>
      <c r="CH268" s="78"/>
      <c r="CI268" s="78"/>
      <c r="CJ268" s="78"/>
      <c r="CK268" s="78"/>
      <c r="CL268" s="78"/>
      <c r="CM268" s="78"/>
      <c r="CN268" s="78"/>
      <c r="CO268" s="78"/>
      <c r="CP268" s="78"/>
      <c r="CQ268" s="78"/>
      <c r="CR268" s="78"/>
      <c r="CS268" s="78"/>
      <c r="CT268" s="78"/>
      <c r="CU268" s="78"/>
      <c r="CV268" s="78"/>
      <c r="CW268" s="78"/>
      <c r="CX268" s="78"/>
      <c r="CY268" s="78"/>
      <c r="CZ268" s="78"/>
      <c r="DA268" s="78"/>
      <c r="DB268" s="78"/>
      <c r="DC268" s="78"/>
      <c r="DD268" s="78"/>
      <c r="DE268" s="78"/>
      <c r="DF268" s="78"/>
      <c r="DG268" s="78"/>
      <c r="DH268" s="78"/>
      <c r="DI268" s="78"/>
      <c r="DJ268" s="78"/>
      <c r="DK268" s="78"/>
      <c r="DL268" s="78"/>
      <c r="DM268" s="78"/>
      <c r="DN268" s="78"/>
      <c r="DO268" s="78"/>
      <c r="DP268" s="78"/>
      <c r="DQ268" s="78"/>
      <c r="DR268" s="78"/>
      <c r="DS268" s="78"/>
      <c r="DT268" s="78"/>
      <c r="DU268" s="78"/>
      <c r="DV268" s="78"/>
      <c r="DW268" s="78"/>
      <c r="DX268" s="78"/>
      <c r="DY268" s="78"/>
      <c r="DZ268" s="78"/>
      <c r="EA268" s="78"/>
      <c r="EB268" s="78"/>
      <c r="EC268" s="78"/>
      <c r="ED268" s="78"/>
      <c r="EE268" s="78"/>
      <c r="EF268" s="78"/>
      <c r="EG268" s="78"/>
      <c r="EH268" s="78"/>
      <c r="EI268" s="78"/>
    </row>
    <row r="269" spans="2:139" ht="12.75" customHeight="1">
      <c r="B269" s="41" t="s">
        <v>593</v>
      </c>
      <c r="C269" s="211"/>
      <c r="D269" s="78"/>
      <c r="E269" s="78">
        <f t="shared" ref="E269:N269" si="496">D273</f>
        <v>0</v>
      </c>
      <c r="F269" s="78">
        <f t="shared" si="496"/>
        <v>0</v>
      </c>
      <c r="G269" s="78">
        <f t="shared" si="496"/>
        <v>0</v>
      </c>
      <c r="H269" s="78">
        <f t="shared" si="496"/>
        <v>0</v>
      </c>
      <c r="I269" s="78">
        <f t="shared" si="496"/>
        <v>0</v>
      </c>
      <c r="J269" s="78">
        <f t="shared" si="496"/>
        <v>0</v>
      </c>
      <c r="K269" s="78">
        <f t="shared" si="496"/>
        <v>0</v>
      </c>
      <c r="L269" s="78">
        <f t="shared" si="496"/>
        <v>0</v>
      </c>
      <c r="M269" s="78">
        <f t="shared" si="496"/>
        <v>0</v>
      </c>
      <c r="N269" s="78">
        <f t="shared" si="496"/>
        <v>0</v>
      </c>
      <c r="O269" s="145"/>
      <c r="S269" s="78"/>
      <c r="T269" s="78">
        <f t="shared" ref="T269:AY269" si="497">S273</f>
        <v>0</v>
      </c>
      <c r="U269" s="78">
        <f t="shared" si="497"/>
        <v>0</v>
      </c>
      <c r="V269" s="78">
        <f t="shared" si="497"/>
        <v>0</v>
      </c>
      <c r="W269" s="78">
        <f t="shared" si="497"/>
        <v>0</v>
      </c>
      <c r="X269" s="78">
        <f t="shared" si="497"/>
        <v>0</v>
      </c>
      <c r="Y269" s="78">
        <f t="shared" si="497"/>
        <v>0</v>
      </c>
      <c r="Z269" s="78">
        <f t="shared" si="497"/>
        <v>0</v>
      </c>
      <c r="AA269" s="78">
        <f t="shared" si="497"/>
        <v>0</v>
      </c>
      <c r="AB269" s="78">
        <f t="shared" si="497"/>
        <v>0</v>
      </c>
      <c r="AC269" s="78">
        <f t="shared" si="497"/>
        <v>0</v>
      </c>
      <c r="AD269" s="78">
        <f t="shared" si="497"/>
        <v>0</v>
      </c>
      <c r="AE269" s="78">
        <f t="shared" si="497"/>
        <v>0</v>
      </c>
      <c r="AF269" s="78">
        <f t="shared" si="497"/>
        <v>0</v>
      </c>
      <c r="AG269" s="78">
        <f t="shared" si="497"/>
        <v>0</v>
      </c>
      <c r="AH269" s="78">
        <f t="shared" si="497"/>
        <v>0</v>
      </c>
      <c r="AI269" s="78">
        <f t="shared" si="497"/>
        <v>0</v>
      </c>
      <c r="AJ269" s="78">
        <f t="shared" si="497"/>
        <v>0</v>
      </c>
      <c r="AK269" s="78">
        <f t="shared" si="497"/>
        <v>0</v>
      </c>
      <c r="AL269" s="78">
        <f t="shared" si="497"/>
        <v>0</v>
      </c>
      <c r="AM269" s="78">
        <f t="shared" si="497"/>
        <v>0</v>
      </c>
      <c r="AN269" s="78">
        <f t="shared" si="497"/>
        <v>0</v>
      </c>
      <c r="AO269" s="78">
        <f t="shared" si="497"/>
        <v>0</v>
      </c>
      <c r="AP269" s="78">
        <f t="shared" si="497"/>
        <v>0</v>
      </c>
      <c r="AQ269" s="78">
        <f t="shared" si="497"/>
        <v>0</v>
      </c>
      <c r="AR269" s="78">
        <f t="shared" si="497"/>
        <v>0</v>
      </c>
      <c r="AS269" s="78">
        <f t="shared" si="497"/>
        <v>0</v>
      </c>
      <c r="AT269" s="78">
        <f t="shared" si="497"/>
        <v>0</v>
      </c>
      <c r="AU269" s="78">
        <f t="shared" si="497"/>
        <v>0</v>
      </c>
      <c r="AV269" s="78">
        <f t="shared" si="497"/>
        <v>0</v>
      </c>
      <c r="AW269" s="78">
        <f t="shared" si="497"/>
        <v>0</v>
      </c>
      <c r="AX269" s="78">
        <f t="shared" si="497"/>
        <v>0</v>
      </c>
      <c r="AY269" s="78">
        <f t="shared" si="497"/>
        <v>0</v>
      </c>
      <c r="AZ269" s="78">
        <f t="shared" ref="AZ269:CE269" si="498">AY273</f>
        <v>0</v>
      </c>
      <c r="BA269" s="78">
        <f t="shared" si="498"/>
        <v>0</v>
      </c>
      <c r="BB269" s="78">
        <f t="shared" si="498"/>
        <v>0</v>
      </c>
      <c r="BC269" s="78">
        <f t="shared" si="498"/>
        <v>0</v>
      </c>
      <c r="BD269" s="78">
        <f t="shared" si="498"/>
        <v>0</v>
      </c>
      <c r="BE269" s="78">
        <f t="shared" si="498"/>
        <v>0</v>
      </c>
      <c r="BF269" s="78">
        <f t="shared" si="498"/>
        <v>0</v>
      </c>
      <c r="BG269" s="78">
        <f t="shared" si="498"/>
        <v>0</v>
      </c>
      <c r="BH269" s="78">
        <f t="shared" si="498"/>
        <v>0</v>
      </c>
      <c r="BI269" s="78">
        <f t="shared" si="498"/>
        <v>0</v>
      </c>
      <c r="BJ269" s="78">
        <f t="shared" si="498"/>
        <v>0</v>
      </c>
      <c r="BK269" s="78">
        <f t="shared" si="498"/>
        <v>0</v>
      </c>
      <c r="BL269" s="78">
        <f t="shared" si="498"/>
        <v>0</v>
      </c>
      <c r="BM269" s="78">
        <f t="shared" si="498"/>
        <v>0</v>
      </c>
      <c r="BN269" s="78">
        <f t="shared" si="498"/>
        <v>0</v>
      </c>
      <c r="BO269" s="78">
        <f t="shared" si="498"/>
        <v>0</v>
      </c>
      <c r="BP269" s="78">
        <f t="shared" si="498"/>
        <v>0</v>
      </c>
      <c r="BQ269" s="78">
        <f t="shared" si="498"/>
        <v>0</v>
      </c>
      <c r="BR269" s="78">
        <f t="shared" si="498"/>
        <v>0</v>
      </c>
      <c r="BS269" s="78">
        <f t="shared" si="498"/>
        <v>0</v>
      </c>
      <c r="BT269" s="78">
        <f t="shared" si="498"/>
        <v>0</v>
      </c>
      <c r="BU269" s="78">
        <f t="shared" si="498"/>
        <v>0</v>
      </c>
      <c r="BV269" s="78">
        <f t="shared" si="498"/>
        <v>0</v>
      </c>
      <c r="BW269" s="78">
        <f t="shared" si="498"/>
        <v>0</v>
      </c>
      <c r="BX269" s="78">
        <f t="shared" si="498"/>
        <v>0</v>
      </c>
      <c r="BY269" s="78">
        <f t="shared" si="498"/>
        <v>0</v>
      </c>
      <c r="BZ269" s="78">
        <f t="shared" si="498"/>
        <v>0</v>
      </c>
      <c r="CA269" s="78">
        <f t="shared" si="498"/>
        <v>0</v>
      </c>
      <c r="CB269" s="78">
        <f t="shared" si="498"/>
        <v>0</v>
      </c>
      <c r="CC269" s="78">
        <f t="shared" si="498"/>
        <v>0</v>
      </c>
      <c r="CD269" s="78">
        <f t="shared" si="498"/>
        <v>0</v>
      </c>
      <c r="CE269" s="78">
        <f t="shared" si="498"/>
        <v>0</v>
      </c>
      <c r="CF269" s="78">
        <f t="shared" ref="CF269:DK269" si="499">CE273</f>
        <v>0</v>
      </c>
      <c r="CG269" s="78">
        <f t="shared" si="499"/>
        <v>0</v>
      </c>
      <c r="CH269" s="78">
        <f t="shared" si="499"/>
        <v>0</v>
      </c>
      <c r="CI269" s="78">
        <f t="shared" si="499"/>
        <v>0</v>
      </c>
      <c r="CJ269" s="78">
        <f t="shared" si="499"/>
        <v>0</v>
      </c>
      <c r="CK269" s="78">
        <f t="shared" si="499"/>
        <v>0</v>
      </c>
      <c r="CL269" s="78">
        <f t="shared" si="499"/>
        <v>0</v>
      </c>
      <c r="CM269" s="78">
        <f t="shared" si="499"/>
        <v>0</v>
      </c>
      <c r="CN269" s="78">
        <f t="shared" si="499"/>
        <v>0</v>
      </c>
      <c r="CO269" s="78">
        <f t="shared" si="499"/>
        <v>0</v>
      </c>
      <c r="CP269" s="78">
        <f t="shared" si="499"/>
        <v>0</v>
      </c>
      <c r="CQ269" s="78">
        <f t="shared" si="499"/>
        <v>0</v>
      </c>
      <c r="CR269" s="78">
        <f t="shared" si="499"/>
        <v>0</v>
      </c>
      <c r="CS269" s="78">
        <f t="shared" si="499"/>
        <v>0</v>
      </c>
      <c r="CT269" s="78">
        <f t="shared" si="499"/>
        <v>0</v>
      </c>
      <c r="CU269" s="78">
        <f t="shared" si="499"/>
        <v>0</v>
      </c>
      <c r="CV269" s="78">
        <f t="shared" si="499"/>
        <v>0</v>
      </c>
      <c r="CW269" s="78">
        <f t="shared" si="499"/>
        <v>0</v>
      </c>
      <c r="CX269" s="78">
        <f t="shared" si="499"/>
        <v>0</v>
      </c>
      <c r="CY269" s="78">
        <f t="shared" si="499"/>
        <v>0</v>
      </c>
      <c r="CZ269" s="78">
        <f t="shared" si="499"/>
        <v>0</v>
      </c>
      <c r="DA269" s="78">
        <f t="shared" si="499"/>
        <v>0</v>
      </c>
      <c r="DB269" s="78">
        <f t="shared" si="499"/>
        <v>0</v>
      </c>
      <c r="DC269" s="78">
        <f t="shared" si="499"/>
        <v>0</v>
      </c>
      <c r="DD269" s="78">
        <f t="shared" si="499"/>
        <v>0</v>
      </c>
      <c r="DE269" s="78">
        <f t="shared" si="499"/>
        <v>0</v>
      </c>
      <c r="DF269" s="78">
        <f t="shared" si="499"/>
        <v>0</v>
      </c>
      <c r="DG269" s="78">
        <f t="shared" si="499"/>
        <v>0</v>
      </c>
      <c r="DH269" s="78">
        <f t="shared" si="499"/>
        <v>0</v>
      </c>
      <c r="DI269" s="78">
        <f t="shared" si="499"/>
        <v>0</v>
      </c>
      <c r="DJ269" s="78">
        <f t="shared" si="499"/>
        <v>0</v>
      </c>
      <c r="DK269" s="78">
        <f t="shared" si="499"/>
        <v>0</v>
      </c>
      <c r="DL269" s="78">
        <f t="shared" ref="DL269:EI269" si="500">DK273</f>
        <v>0</v>
      </c>
      <c r="DM269" s="78">
        <f t="shared" si="500"/>
        <v>0</v>
      </c>
      <c r="DN269" s="78">
        <f t="shared" si="500"/>
        <v>0</v>
      </c>
      <c r="DO269" s="78">
        <f t="shared" si="500"/>
        <v>0</v>
      </c>
      <c r="DP269" s="78">
        <f t="shared" si="500"/>
        <v>0</v>
      </c>
      <c r="DQ269" s="78">
        <f t="shared" si="500"/>
        <v>0</v>
      </c>
      <c r="DR269" s="78">
        <f t="shared" si="500"/>
        <v>0</v>
      </c>
      <c r="DS269" s="78">
        <f t="shared" si="500"/>
        <v>0</v>
      </c>
      <c r="DT269" s="78">
        <f t="shared" si="500"/>
        <v>0</v>
      </c>
      <c r="DU269" s="78">
        <f t="shared" si="500"/>
        <v>0</v>
      </c>
      <c r="DV269" s="78">
        <f t="shared" si="500"/>
        <v>0</v>
      </c>
      <c r="DW269" s="78">
        <f t="shared" si="500"/>
        <v>0</v>
      </c>
      <c r="DX269" s="78">
        <f t="shared" si="500"/>
        <v>0</v>
      </c>
      <c r="DY269" s="78">
        <f t="shared" si="500"/>
        <v>0</v>
      </c>
      <c r="DZ269" s="78">
        <f t="shared" si="500"/>
        <v>0</v>
      </c>
      <c r="EA269" s="78">
        <f t="shared" si="500"/>
        <v>0</v>
      </c>
      <c r="EB269" s="78">
        <f t="shared" si="500"/>
        <v>0</v>
      </c>
      <c r="EC269" s="78">
        <f t="shared" si="500"/>
        <v>0</v>
      </c>
      <c r="ED269" s="78">
        <f t="shared" si="500"/>
        <v>0</v>
      </c>
      <c r="EE269" s="78">
        <f t="shared" si="500"/>
        <v>0</v>
      </c>
      <c r="EF269" s="78">
        <f t="shared" si="500"/>
        <v>0</v>
      </c>
      <c r="EG269" s="78">
        <f t="shared" si="500"/>
        <v>0</v>
      </c>
      <c r="EH269" s="78">
        <f t="shared" si="500"/>
        <v>0</v>
      </c>
      <c r="EI269" s="78">
        <f t="shared" si="500"/>
        <v>0</v>
      </c>
    </row>
    <row r="270" spans="2:139" ht="12.75" customHeight="1">
      <c r="B270" s="41" t="s">
        <v>180</v>
      </c>
      <c r="C270" s="211"/>
      <c r="D270" s="78">
        <f t="shared" ref="D270:N270" si="501">SUMIF($S$6:$EI$6,D$5,$S270:$EI270)</f>
        <v>0</v>
      </c>
      <c r="E270" s="78">
        <f t="shared" si="501"/>
        <v>0</v>
      </c>
      <c r="F270" s="78">
        <f t="shared" si="501"/>
        <v>0</v>
      </c>
      <c r="G270" s="78">
        <f t="shared" si="501"/>
        <v>0</v>
      </c>
      <c r="H270" s="78">
        <f t="shared" si="501"/>
        <v>0</v>
      </c>
      <c r="I270" s="78">
        <f t="shared" si="501"/>
        <v>0</v>
      </c>
      <c r="J270" s="78">
        <f t="shared" si="501"/>
        <v>0</v>
      </c>
      <c r="K270" s="78">
        <f t="shared" si="501"/>
        <v>0</v>
      </c>
      <c r="L270" s="78">
        <f t="shared" si="501"/>
        <v>0</v>
      </c>
      <c r="M270" s="78">
        <f t="shared" si="501"/>
        <v>0</v>
      </c>
      <c r="N270" s="78">
        <f t="shared" si="501"/>
        <v>0</v>
      </c>
      <c r="O270" s="145">
        <f>SUM(D270:N270)</f>
        <v>0</v>
      </c>
      <c r="S270" s="78">
        <f t="shared" ref="S270:AX270" si="502">Loan2Amount*AND(HasLoan2,Loan2OrigMnth=S$5)</f>
        <v>0</v>
      </c>
      <c r="T270" s="78">
        <f t="shared" si="502"/>
        <v>0</v>
      </c>
      <c r="U270" s="78">
        <f t="shared" si="502"/>
        <v>0</v>
      </c>
      <c r="V270" s="78">
        <f t="shared" si="502"/>
        <v>0</v>
      </c>
      <c r="W270" s="78">
        <f t="shared" si="502"/>
        <v>0</v>
      </c>
      <c r="X270" s="78">
        <f t="shared" si="502"/>
        <v>0</v>
      </c>
      <c r="Y270" s="78">
        <f t="shared" si="502"/>
        <v>0</v>
      </c>
      <c r="Z270" s="78">
        <f t="shared" si="502"/>
        <v>0</v>
      </c>
      <c r="AA270" s="78">
        <f t="shared" si="502"/>
        <v>0</v>
      </c>
      <c r="AB270" s="78">
        <f t="shared" si="502"/>
        <v>0</v>
      </c>
      <c r="AC270" s="78">
        <f t="shared" si="502"/>
        <v>0</v>
      </c>
      <c r="AD270" s="78">
        <f t="shared" si="502"/>
        <v>0</v>
      </c>
      <c r="AE270" s="78">
        <f t="shared" si="502"/>
        <v>0</v>
      </c>
      <c r="AF270" s="78">
        <f t="shared" si="502"/>
        <v>0</v>
      </c>
      <c r="AG270" s="78">
        <f t="shared" si="502"/>
        <v>0</v>
      </c>
      <c r="AH270" s="78">
        <f t="shared" si="502"/>
        <v>0</v>
      </c>
      <c r="AI270" s="78">
        <f t="shared" si="502"/>
        <v>0</v>
      </c>
      <c r="AJ270" s="78">
        <f t="shared" si="502"/>
        <v>0</v>
      </c>
      <c r="AK270" s="78">
        <f t="shared" si="502"/>
        <v>0</v>
      </c>
      <c r="AL270" s="78">
        <f t="shared" si="502"/>
        <v>0</v>
      </c>
      <c r="AM270" s="78">
        <f t="shared" si="502"/>
        <v>0</v>
      </c>
      <c r="AN270" s="78">
        <f t="shared" si="502"/>
        <v>0</v>
      </c>
      <c r="AO270" s="78">
        <f t="shared" si="502"/>
        <v>0</v>
      </c>
      <c r="AP270" s="78">
        <f t="shared" si="502"/>
        <v>0</v>
      </c>
      <c r="AQ270" s="78">
        <f t="shared" si="502"/>
        <v>0</v>
      </c>
      <c r="AR270" s="78">
        <f t="shared" si="502"/>
        <v>0</v>
      </c>
      <c r="AS270" s="78">
        <f t="shared" si="502"/>
        <v>0</v>
      </c>
      <c r="AT270" s="78">
        <f t="shared" si="502"/>
        <v>0</v>
      </c>
      <c r="AU270" s="78">
        <f t="shared" si="502"/>
        <v>0</v>
      </c>
      <c r="AV270" s="78">
        <f t="shared" si="502"/>
        <v>0</v>
      </c>
      <c r="AW270" s="78">
        <f t="shared" si="502"/>
        <v>0</v>
      </c>
      <c r="AX270" s="78">
        <f t="shared" si="502"/>
        <v>0</v>
      </c>
      <c r="AY270" s="78">
        <f t="shared" ref="AY270:CD270" si="503">Loan2Amount*AND(HasLoan2,Loan2OrigMnth=AY$5)</f>
        <v>0</v>
      </c>
      <c r="AZ270" s="78">
        <f t="shared" si="503"/>
        <v>0</v>
      </c>
      <c r="BA270" s="78">
        <f t="shared" si="503"/>
        <v>0</v>
      </c>
      <c r="BB270" s="78">
        <f t="shared" si="503"/>
        <v>0</v>
      </c>
      <c r="BC270" s="78">
        <f t="shared" si="503"/>
        <v>0</v>
      </c>
      <c r="BD270" s="78">
        <f t="shared" si="503"/>
        <v>0</v>
      </c>
      <c r="BE270" s="78">
        <f t="shared" si="503"/>
        <v>0</v>
      </c>
      <c r="BF270" s="78">
        <f t="shared" si="503"/>
        <v>0</v>
      </c>
      <c r="BG270" s="78">
        <f t="shared" si="503"/>
        <v>0</v>
      </c>
      <c r="BH270" s="78">
        <f t="shared" si="503"/>
        <v>0</v>
      </c>
      <c r="BI270" s="78">
        <f t="shared" si="503"/>
        <v>0</v>
      </c>
      <c r="BJ270" s="78">
        <f t="shared" si="503"/>
        <v>0</v>
      </c>
      <c r="BK270" s="78">
        <f t="shared" si="503"/>
        <v>0</v>
      </c>
      <c r="BL270" s="78">
        <f t="shared" si="503"/>
        <v>0</v>
      </c>
      <c r="BM270" s="78">
        <f t="shared" si="503"/>
        <v>0</v>
      </c>
      <c r="BN270" s="78">
        <f t="shared" si="503"/>
        <v>0</v>
      </c>
      <c r="BO270" s="78">
        <f t="shared" si="503"/>
        <v>0</v>
      </c>
      <c r="BP270" s="78">
        <f t="shared" si="503"/>
        <v>0</v>
      </c>
      <c r="BQ270" s="78">
        <f t="shared" si="503"/>
        <v>0</v>
      </c>
      <c r="BR270" s="78">
        <f t="shared" si="503"/>
        <v>0</v>
      </c>
      <c r="BS270" s="78">
        <f t="shared" si="503"/>
        <v>0</v>
      </c>
      <c r="BT270" s="78">
        <f t="shared" si="503"/>
        <v>0</v>
      </c>
      <c r="BU270" s="78">
        <f t="shared" si="503"/>
        <v>0</v>
      </c>
      <c r="BV270" s="78">
        <f t="shared" si="503"/>
        <v>0</v>
      </c>
      <c r="BW270" s="78">
        <f t="shared" si="503"/>
        <v>0</v>
      </c>
      <c r="BX270" s="78">
        <f t="shared" si="503"/>
        <v>0</v>
      </c>
      <c r="BY270" s="78">
        <f t="shared" si="503"/>
        <v>0</v>
      </c>
      <c r="BZ270" s="78">
        <f t="shared" si="503"/>
        <v>0</v>
      </c>
      <c r="CA270" s="78">
        <f t="shared" si="503"/>
        <v>0</v>
      </c>
      <c r="CB270" s="78">
        <f t="shared" si="503"/>
        <v>0</v>
      </c>
      <c r="CC270" s="78">
        <f t="shared" si="503"/>
        <v>0</v>
      </c>
      <c r="CD270" s="78">
        <f t="shared" si="503"/>
        <v>0</v>
      </c>
      <c r="CE270" s="78">
        <f t="shared" ref="CE270:DJ270" si="504">Loan2Amount*AND(HasLoan2,Loan2OrigMnth=CE$5)</f>
        <v>0</v>
      </c>
      <c r="CF270" s="78">
        <f t="shared" si="504"/>
        <v>0</v>
      </c>
      <c r="CG270" s="78">
        <f t="shared" si="504"/>
        <v>0</v>
      </c>
      <c r="CH270" s="78">
        <f t="shared" si="504"/>
        <v>0</v>
      </c>
      <c r="CI270" s="78">
        <f t="shared" si="504"/>
        <v>0</v>
      </c>
      <c r="CJ270" s="78">
        <f t="shared" si="504"/>
        <v>0</v>
      </c>
      <c r="CK270" s="78">
        <f t="shared" si="504"/>
        <v>0</v>
      </c>
      <c r="CL270" s="78">
        <f t="shared" si="504"/>
        <v>0</v>
      </c>
      <c r="CM270" s="78">
        <f t="shared" si="504"/>
        <v>0</v>
      </c>
      <c r="CN270" s="78">
        <f t="shared" si="504"/>
        <v>0</v>
      </c>
      <c r="CO270" s="78">
        <f t="shared" si="504"/>
        <v>0</v>
      </c>
      <c r="CP270" s="78">
        <f t="shared" si="504"/>
        <v>0</v>
      </c>
      <c r="CQ270" s="78">
        <f t="shared" si="504"/>
        <v>0</v>
      </c>
      <c r="CR270" s="78">
        <f t="shared" si="504"/>
        <v>0</v>
      </c>
      <c r="CS270" s="78">
        <f t="shared" si="504"/>
        <v>0</v>
      </c>
      <c r="CT270" s="78">
        <f t="shared" si="504"/>
        <v>0</v>
      </c>
      <c r="CU270" s="78">
        <f t="shared" si="504"/>
        <v>0</v>
      </c>
      <c r="CV270" s="78">
        <f t="shared" si="504"/>
        <v>0</v>
      </c>
      <c r="CW270" s="78">
        <f t="shared" si="504"/>
        <v>0</v>
      </c>
      <c r="CX270" s="78">
        <f t="shared" si="504"/>
        <v>0</v>
      </c>
      <c r="CY270" s="78">
        <f t="shared" si="504"/>
        <v>0</v>
      </c>
      <c r="CZ270" s="78">
        <f t="shared" si="504"/>
        <v>0</v>
      </c>
      <c r="DA270" s="78">
        <f t="shared" si="504"/>
        <v>0</v>
      </c>
      <c r="DB270" s="78">
        <f t="shared" si="504"/>
        <v>0</v>
      </c>
      <c r="DC270" s="78">
        <f t="shared" si="504"/>
        <v>0</v>
      </c>
      <c r="DD270" s="78">
        <f t="shared" si="504"/>
        <v>0</v>
      </c>
      <c r="DE270" s="78">
        <f t="shared" si="504"/>
        <v>0</v>
      </c>
      <c r="DF270" s="78">
        <f t="shared" si="504"/>
        <v>0</v>
      </c>
      <c r="DG270" s="78">
        <f t="shared" si="504"/>
        <v>0</v>
      </c>
      <c r="DH270" s="78">
        <f t="shared" si="504"/>
        <v>0</v>
      </c>
      <c r="DI270" s="78">
        <f t="shared" si="504"/>
        <v>0</v>
      </c>
      <c r="DJ270" s="78">
        <f t="shared" si="504"/>
        <v>0</v>
      </c>
      <c r="DK270" s="78">
        <f t="shared" ref="DK270:EI270" si="505">Loan2Amount*AND(HasLoan2,Loan2OrigMnth=DK$5)</f>
        <v>0</v>
      </c>
      <c r="DL270" s="78">
        <f t="shared" si="505"/>
        <v>0</v>
      </c>
      <c r="DM270" s="78">
        <f t="shared" si="505"/>
        <v>0</v>
      </c>
      <c r="DN270" s="78">
        <f t="shared" si="505"/>
        <v>0</v>
      </c>
      <c r="DO270" s="78">
        <f t="shared" si="505"/>
        <v>0</v>
      </c>
      <c r="DP270" s="78">
        <f t="shared" si="505"/>
        <v>0</v>
      </c>
      <c r="DQ270" s="78">
        <f t="shared" si="505"/>
        <v>0</v>
      </c>
      <c r="DR270" s="78">
        <f t="shared" si="505"/>
        <v>0</v>
      </c>
      <c r="DS270" s="78">
        <f t="shared" si="505"/>
        <v>0</v>
      </c>
      <c r="DT270" s="78">
        <f t="shared" si="505"/>
        <v>0</v>
      </c>
      <c r="DU270" s="78">
        <f t="shared" si="505"/>
        <v>0</v>
      </c>
      <c r="DV270" s="78">
        <f t="shared" si="505"/>
        <v>0</v>
      </c>
      <c r="DW270" s="78">
        <f t="shared" si="505"/>
        <v>0</v>
      </c>
      <c r="DX270" s="78">
        <f t="shared" si="505"/>
        <v>0</v>
      </c>
      <c r="DY270" s="78">
        <f t="shared" si="505"/>
        <v>0</v>
      </c>
      <c r="DZ270" s="78">
        <f t="shared" si="505"/>
        <v>0</v>
      </c>
      <c r="EA270" s="78">
        <f t="shared" si="505"/>
        <v>0</v>
      </c>
      <c r="EB270" s="78">
        <f t="shared" si="505"/>
        <v>0</v>
      </c>
      <c r="EC270" s="78">
        <f t="shared" si="505"/>
        <v>0</v>
      </c>
      <c r="ED270" s="78">
        <f t="shared" si="505"/>
        <v>0</v>
      </c>
      <c r="EE270" s="78">
        <f t="shared" si="505"/>
        <v>0</v>
      </c>
      <c r="EF270" s="78">
        <f t="shared" si="505"/>
        <v>0</v>
      </c>
      <c r="EG270" s="78">
        <f t="shared" si="505"/>
        <v>0</v>
      </c>
      <c r="EH270" s="78">
        <f t="shared" si="505"/>
        <v>0</v>
      </c>
      <c r="EI270" s="78">
        <f t="shared" si="505"/>
        <v>0</v>
      </c>
    </row>
    <row r="271" spans="2:139" ht="12.75" customHeight="1">
      <c r="B271" s="41" t="s">
        <v>594</v>
      </c>
      <c r="C271" s="211"/>
      <c r="D271" s="78"/>
      <c r="E271" s="78">
        <f t="shared" ref="E271:N272" si="506">SUMIF($S$6:$EI$6,E$5,$S271:$EI271)</f>
        <v>0</v>
      </c>
      <c r="F271" s="78">
        <f t="shared" si="506"/>
        <v>0</v>
      </c>
      <c r="G271" s="78">
        <f t="shared" si="506"/>
        <v>0</v>
      </c>
      <c r="H271" s="78">
        <f t="shared" si="506"/>
        <v>0</v>
      </c>
      <c r="I271" s="78">
        <f t="shared" si="506"/>
        <v>0</v>
      </c>
      <c r="J271" s="78">
        <f t="shared" si="506"/>
        <v>0</v>
      </c>
      <c r="K271" s="78">
        <f t="shared" si="506"/>
        <v>0</v>
      </c>
      <c r="L271" s="78">
        <f t="shared" si="506"/>
        <v>0</v>
      </c>
      <c r="M271" s="78">
        <f t="shared" si="506"/>
        <v>0</v>
      </c>
      <c r="N271" s="78">
        <f t="shared" si="506"/>
        <v>0</v>
      </c>
      <c r="O271" s="145">
        <f>SUM(D271:N271)</f>
        <v>0</v>
      </c>
      <c r="S271" s="78"/>
      <c r="T271" s="78">
        <f>IF(AND(HasLoan2,L2HasAmort,T269,T$5&gt;Loan2OrigMnth+Loan2IOPer),IF(Loan2PmtType=VariablePmt,PPMT(Loan2IntRate/12,T$5-Loan2OrigMnth-Loan2IOPer,Loan2AmortPer*12,Loan2Amount),-MIN(T269,PMT(Loan2IntRate/12,Loan2AmortPer*12,-Loan2Amount)+T265)),)</f>
        <v>0</v>
      </c>
      <c r="U271" s="78">
        <f>IF(AND(HasLoan2,L2HasAmort,U269,U$5&gt;Loan2OrigMnth+Loan2IOPer),IF(Loan2PmtType=VariablePmt,PPMT(Loan2IntRate/12,U$5-Loan2OrigMnth-Loan2IOPer,Loan2AmortPer*12,Loan2Amount),-MIN(U269,PMT(Loan2IntRate/12,Loan2AmortPer*12,-Loan2Amount)+U265)),)</f>
        <v>0</v>
      </c>
      <c r="V271" s="78">
        <f>IF(AND(HasLoan2,L2HasAmort,V269,V$5&gt;Loan2OrigMnth+Loan2IOPer),IF(Loan2PmtType=VariablePmt,PPMT(Loan2IntRate/12,V$5-Loan2OrigMnth-Loan2IOPer,Loan2AmortPer*12,Loan2Amount),-MIN(V269,PMT(Loan2IntRate/12,Loan2AmortPer*12,-Loan2Amount)+V265)),)</f>
        <v>0</v>
      </c>
      <c r="W271" s="78">
        <f>IF(AND(HasLoan2,L2HasAmort,W269,W$5&gt;Loan2OrigMnth+Loan2IOPer),IF(Loan2PmtType=VariablePmt,PPMT(Loan2IntRate/12,W$5-Loan2OrigMnth-Loan2IOPer,Loan2AmortPer*12,Loan2Amount),-MIN(W269,PMT(Loan2IntRate/12,Loan2AmortPer*12,-Loan2Amount)+W265)),)</f>
        <v>0</v>
      </c>
      <c r="X271" s="78">
        <f>IF(AND(HasLoan2,L2HasAmort,X269,X$5&gt;Loan2OrigMnth+Loan2IOPer),IF(Loan2PmtType=VariablePmt,PPMT(Loan2IntRate/12,X$5-Loan2OrigMnth-Loan2IOPer,Loan2AmortPer*12,Loan2Amount),-MIN(X269,PMT(Loan2IntRate/12,Loan2AmortPer*12,-Loan2Amount)+X265)),)</f>
        <v>0</v>
      </c>
      <c r="Y271" s="78">
        <f>IF(AND(HasLoan2,L2HasAmort,Y269,Y$5&gt;Loan2OrigMnth+Loan2IOPer),IF(Loan2PmtType=VariablePmt,PPMT(Loan2IntRate/12,Y$5-Loan2OrigMnth-Loan2IOPer,Loan2AmortPer*12,Loan2Amount),-MIN(Y269,PMT(Loan2IntRate/12,Loan2AmortPer*12,-Loan2Amount)+Y265)),)</f>
        <v>0</v>
      </c>
      <c r="Z271" s="78">
        <f>IF(AND(HasLoan2,L2HasAmort,Z269,Z$5&gt;Loan2OrigMnth+Loan2IOPer),IF(Loan2PmtType=VariablePmt,PPMT(Loan2IntRate/12,Z$5-Loan2OrigMnth-Loan2IOPer,Loan2AmortPer*12,Loan2Amount),-MIN(Z269,PMT(Loan2IntRate/12,Loan2AmortPer*12,-Loan2Amount)+Z265)),)</f>
        <v>0</v>
      </c>
      <c r="AA271" s="78">
        <f>IF(AND(HasLoan2,L2HasAmort,AA269,AA$5&gt;Loan2OrigMnth+Loan2IOPer),IF(Loan2PmtType=VariablePmt,PPMT(Loan2IntRate/12,AA$5-Loan2OrigMnth-Loan2IOPer,Loan2AmortPer*12,Loan2Amount),-MIN(AA269,PMT(Loan2IntRate/12,Loan2AmortPer*12,-Loan2Amount)+AA265)),)</f>
        <v>0</v>
      </c>
      <c r="AB271" s="78">
        <f>IF(AND(HasLoan2,L2HasAmort,AB269,AB$5&gt;Loan2OrigMnth+Loan2IOPer),IF(Loan2PmtType=VariablePmt,PPMT(Loan2IntRate/12,AB$5-Loan2OrigMnth-Loan2IOPer,Loan2AmortPer*12,Loan2Amount),-MIN(AB269,PMT(Loan2IntRate/12,Loan2AmortPer*12,-Loan2Amount)+AB265)),)</f>
        <v>0</v>
      </c>
      <c r="AC271" s="78">
        <f>IF(AND(HasLoan2,L2HasAmort,AC269,AC$5&gt;Loan2OrigMnth+Loan2IOPer),IF(Loan2PmtType=VariablePmt,PPMT(Loan2IntRate/12,AC$5-Loan2OrigMnth-Loan2IOPer,Loan2AmortPer*12,Loan2Amount),-MIN(AC269,PMT(Loan2IntRate/12,Loan2AmortPer*12,-Loan2Amount)+AC265)),)</f>
        <v>0</v>
      </c>
      <c r="AD271" s="78">
        <f>IF(AND(HasLoan2,L2HasAmort,AD269,AD$5&gt;Loan2OrigMnth+Loan2IOPer),IF(Loan2PmtType=VariablePmt,PPMT(Loan2IntRate/12,AD$5-Loan2OrigMnth-Loan2IOPer,Loan2AmortPer*12,Loan2Amount),-MIN(AD269,PMT(Loan2IntRate/12,Loan2AmortPer*12,-Loan2Amount)+AD265)),)</f>
        <v>0</v>
      </c>
      <c r="AE271" s="78">
        <f>IF(AND(HasLoan2,L2HasAmort,AE269,AE$5&gt;Loan2OrigMnth+Loan2IOPer),IF(Loan2PmtType=VariablePmt,PPMT(Loan2IntRate/12,AE$5-Loan2OrigMnth-Loan2IOPer,Loan2AmortPer*12,Loan2Amount),-MIN(AE269,PMT(Loan2IntRate/12,Loan2AmortPer*12,-Loan2Amount)+AE265)),)</f>
        <v>0</v>
      </c>
      <c r="AF271" s="78">
        <f>IF(AND(HasLoan2,L2HasAmort,AF269,AF$5&gt;Loan2OrigMnth+Loan2IOPer),IF(Loan2PmtType=VariablePmt,PPMT(Loan2IntRate/12,AF$5-Loan2OrigMnth-Loan2IOPer,Loan2AmortPer*12,Loan2Amount),-MIN(AF269,PMT(Loan2IntRate/12,Loan2AmortPer*12,-Loan2Amount)+AF265)),)</f>
        <v>0</v>
      </c>
      <c r="AG271" s="78">
        <f>IF(AND(HasLoan2,L2HasAmort,AG269,AG$5&gt;Loan2OrigMnth+Loan2IOPer),IF(Loan2PmtType=VariablePmt,PPMT(Loan2IntRate/12,AG$5-Loan2OrigMnth-Loan2IOPer,Loan2AmortPer*12,Loan2Amount),-MIN(AG269,PMT(Loan2IntRate/12,Loan2AmortPer*12,-Loan2Amount)+AG265)),)</f>
        <v>0</v>
      </c>
      <c r="AH271" s="78">
        <f>IF(AND(HasLoan2,L2HasAmort,AH269,AH$5&gt;Loan2OrigMnth+Loan2IOPer),IF(Loan2PmtType=VariablePmt,PPMT(Loan2IntRate/12,AH$5-Loan2OrigMnth-Loan2IOPer,Loan2AmortPer*12,Loan2Amount),-MIN(AH269,PMT(Loan2IntRate/12,Loan2AmortPer*12,-Loan2Amount)+AH265)),)</f>
        <v>0</v>
      </c>
      <c r="AI271" s="78">
        <f>IF(AND(HasLoan2,L2HasAmort,AI269,AI$5&gt;Loan2OrigMnth+Loan2IOPer),IF(Loan2PmtType=VariablePmt,PPMT(Loan2IntRate/12,AI$5-Loan2OrigMnth-Loan2IOPer,Loan2AmortPer*12,Loan2Amount),-MIN(AI269,PMT(Loan2IntRate/12,Loan2AmortPer*12,-Loan2Amount)+AI265)),)</f>
        <v>0</v>
      </c>
      <c r="AJ271" s="78">
        <f>IF(AND(HasLoan2,L2HasAmort,AJ269,AJ$5&gt;Loan2OrigMnth+Loan2IOPer),IF(Loan2PmtType=VariablePmt,PPMT(Loan2IntRate/12,AJ$5-Loan2OrigMnth-Loan2IOPer,Loan2AmortPer*12,Loan2Amount),-MIN(AJ269,PMT(Loan2IntRate/12,Loan2AmortPer*12,-Loan2Amount)+AJ265)),)</f>
        <v>0</v>
      </c>
      <c r="AK271" s="78">
        <f>IF(AND(HasLoan2,L2HasAmort,AK269,AK$5&gt;Loan2OrigMnth+Loan2IOPer),IF(Loan2PmtType=VariablePmt,PPMT(Loan2IntRate/12,AK$5-Loan2OrigMnth-Loan2IOPer,Loan2AmortPer*12,Loan2Amount),-MIN(AK269,PMT(Loan2IntRate/12,Loan2AmortPer*12,-Loan2Amount)+AK265)),)</f>
        <v>0</v>
      </c>
      <c r="AL271" s="78">
        <f>IF(AND(HasLoan2,L2HasAmort,AL269,AL$5&gt;Loan2OrigMnth+Loan2IOPer),IF(Loan2PmtType=VariablePmt,PPMT(Loan2IntRate/12,AL$5-Loan2OrigMnth-Loan2IOPer,Loan2AmortPer*12,Loan2Amount),-MIN(AL269,PMT(Loan2IntRate/12,Loan2AmortPer*12,-Loan2Amount)+AL265)),)</f>
        <v>0</v>
      </c>
      <c r="AM271" s="78">
        <f>IF(AND(HasLoan2,L2HasAmort,AM269,AM$5&gt;Loan2OrigMnth+Loan2IOPer),IF(Loan2PmtType=VariablePmt,PPMT(Loan2IntRate/12,AM$5-Loan2OrigMnth-Loan2IOPer,Loan2AmortPer*12,Loan2Amount),-MIN(AM269,PMT(Loan2IntRate/12,Loan2AmortPer*12,-Loan2Amount)+AM265)),)</f>
        <v>0</v>
      </c>
      <c r="AN271" s="78">
        <f>IF(AND(HasLoan2,L2HasAmort,AN269,AN$5&gt;Loan2OrigMnth+Loan2IOPer),IF(Loan2PmtType=VariablePmt,PPMT(Loan2IntRate/12,AN$5-Loan2OrigMnth-Loan2IOPer,Loan2AmortPer*12,Loan2Amount),-MIN(AN269,PMT(Loan2IntRate/12,Loan2AmortPer*12,-Loan2Amount)+AN265)),)</f>
        <v>0</v>
      </c>
      <c r="AO271" s="78">
        <f>IF(AND(HasLoan2,L2HasAmort,AO269,AO$5&gt;Loan2OrigMnth+Loan2IOPer),IF(Loan2PmtType=VariablePmt,PPMT(Loan2IntRate/12,AO$5-Loan2OrigMnth-Loan2IOPer,Loan2AmortPer*12,Loan2Amount),-MIN(AO269,PMT(Loan2IntRate/12,Loan2AmortPer*12,-Loan2Amount)+AO265)),)</f>
        <v>0</v>
      </c>
      <c r="AP271" s="78">
        <f>IF(AND(HasLoan2,L2HasAmort,AP269,AP$5&gt;Loan2OrigMnth+Loan2IOPer),IF(Loan2PmtType=VariablePmt,PPMT(Loan2IntRate/12,AP$5-Loan2OrigMnth-Loan2IOPer,Loan2AmortPer*12,Loan2Amount),-MIN(AP269,PMT(Loan2IntRate/12,Loan2AmortPer*12,-Loan2Amount)+AP265)),)</f>
        <v>0</v>
      </c>
      <c r="AQ271" s="78">
        <f>IF(AND(HasLoan2,L2HasAmort,AQ269,AQ$5&gt;Loan2OrigMnth+Loan2IOPer),IF(Loan2PmtType=VariablePmt,PPMT(Loan2IntRate/12,AQ$5-Loan2OrigMnth-Loan2IOPer,Loan2AmortPer*12,Loan2Amount),-MIN(AQ269,PMT(Loan2IntRate/12,Loan2AmortPer*12,-Loan2Amount)+AQ265)),)</f>
        <v>0</v>
      </c>
      <c r="AR271" s="78">
        <f>IF(AND(HasLoan2,L2HasAmort,AR269,AR$5&gt;Loan2OrigMnth+Loan2IOPer),IF(Loan2PmtType=VariablePmt,PPMT(Loan2IntRate/12,AR$5-Loan2OrigMnth-Loan2IOPer,Loan2AmortPer*12,Loan2Amount),-MIN(AR269,PMT(Loan2IntRate/12,Loan2AmortPer*12,-Loan2Amount)+AR265)),)</f>
        <v>0</v>
      </c>
      <c r="AS271" s="78">
        <f>IF(AND(HasLoan2,L2HasAmort,AS269,AS$5&gt;Loan2OrigMnth+Loan2IOPer),IF(Loan2PmtType=VariablePmt,PPMT(Loan2IntRate/12,AS$5-Loan2OrigMnth-Loan2IOPer,Loan2AmortPer*12,Loan2Amount),-MIN(AS269,PMT(Loan2IntRate/12,Loan2AmortPer*12,-Loan2Amount)+AS265)),)</f>
        <v>0</v>
      </c>
      <c r="AT271" s="78">
        <f>IF(AND(HasLoan2,L2HasAmort,AT269,AT$5&gt;Loan2OrigMnth+Loan2IOPer),IF(Loan2PmtType=VariablePmt,PPMT(Loan2IntRate/12,AT$5-Loan2OrigMnth-Loan2IOPer,Loan2AmortPer*12,Loan2Amount),-MIN(AT269,PMT(Loan2IntRate/12,Loan2AmortPer*12,-Loan2Amount)+AT265)),)</f>
        <v>0</v>
      </c>
      <c r="AU271" s="78">
        <f>IF(AND(HasLoan2,L2HasAmort,AU269,AU$5&gt;Loan2OrigMnth+Loan2IOPer),IF(Loan2PmtType=VariablePmt,PPMT(Loan2IntRate/12,AU$5-Loan2OrigMnth-Loan2IOPer,Loan2AmortPer*12,Loan2Amount),-MIN(AU269,PMT(Loan2IntRate/12,Loan2AmortPer*12,-Loan2Amount)+AU265)),)</f>
        <v>0</v>
      </c>
      <c r="AV271" s="78">
        <f>IF(AND(HasLoan2,L2HasAmort,AV269,AV$5&gt;Loan2OrigMnth+Loan2IOPer),IF(Loan2PmtType=VariablePmt,PPMT(Loan2IntRate/12,AV$5-Loan2OrigMnth-Loan2IOPer,Loan2AmortPer*12,Loan2Amount),-MIN(AV269,PMT(Loan2IntRate/12,Loan2AmortPer*12,-Loan2Amount)+AV265)),)</f>
        <v>0</v>
      </c>
      <c r="AW271" s="78">
        <f>IF(AND(HasLoan2,L2HasAmort,AW269,AW$5&gt;Loan2OrigMnth+Loan2IOPer),IF(Loan2PmtType=VariablePmt,PPMT(Loan2IntRate/12,AW$5-Loan2OrigMnth-Loan2IOPer,Loan2AmortPer*12,Loan2Amount),-MIN(AW269,PMT(Loan2IntRate/12,Loan2AmortPer*12,-Loan2Amount)+AW265)),)</f>
        <v>0</v>
      </c>
      <c r="AX271" s="78">
        <f>IF(AND(HasLoan2,L2HasAmort,AX269,AX$5&gt;Loan2OrigMnth+Loan2IOPer),IF(Loan2PmtType=VariablePmt,PPMT(Loan2IntRate/12,AX$5-Loan2OrigMnth-Loan2IOPer,Loan2AmortPer*12,Loan2Amount),-MIN(AX269,PMT(Loan2IntRate/12,Loan2AmortPer*12,-Loan2Amount)+AX265)),)</f>
        <v>0</v>
      </c>
      <c r="AY271" s="78">
        <f>IF(AND(HasLoan2,L2HasAmort,AY269,AY$5&gt;Loan2OrigMnth+Loan2IOPer),IF(Loan2PmtType=VariablePmt,PPMT(Loan2IntRate/12,AY$5-Loan2OrigMnth-Loan2IOPer,Loan2AmortPer*12,Loan2Amount),-MIN(AY269,PMT(Loan2IntRate/12,Loan2AmortPer*12,-Loan2Amount)+AY265)),)</f>
        <v>0</v>
      </c>
      <c r="AZ271" s="78">
        <f>IF(AND(HasLoan2,L2HasAmort,AZ269,AZ$5&gt;Loan2OrigMnth+Loan2IOPer),IF(Loan2PmtType=VariablePmt,PPMT(Loan2IntRate/12,AZ$5-Loan2OrigMnth-Loan2IOPer,Loan2AmortPer*12,Loan2Amount),-MIN(AZ269,PMT(Loan2IntRate/12,Loan2AmortPer*12,-Loan2Amount)+AZ265)),)</f>
        <v>0</v>
      </c>
      <c r="BA271" s="78">
        <f>IF(AND(HasLoan2,L2HasAmort,BA269,BA$5&gt;Loan2OrigMnth+Loan2IOPer),IF(Loan2PmtType=VariablePmt,PPMT(Loan2IntRate/12,BA$5-Loan2OrigMnth-Loan2IOPer,Loan2AmortPer*12,Loan2Amount),-MIN(BA269,PMT(Loan2IntRate/12,Loan2AmortPer*12,-Loan2Amount)+BA265)),)</f>
        <v>0</v>
      </c>
      <c r="BB271" s="78">
        <f>IF(AND(HasLoan2,L2HasAmort,BB269,BB$5&gt;Loan2OrigMnth+Loan2IOPer),IF(Loan2PmtType=VariablePmt,PPMT(Loan2IntRate/12,BB$5-Loan2OrigMnth-Loan2IOPer,Loan2AmortPer*12,Loan2Amount),-MIN(BB269,PMT(Loan2IntRate/12,Loan2AmortPer*12,-Loan2Amount)+BB265)),)</f>
        <v>0</v>
      </c>
      <c r="BC271" s="78">
        <f>IF(AND(HasLoan2,L2HasAmort,BC269,BC$5&gt;Loan2OrigMnth+Loan2IOPer),IF(Loan2PmtType=VariablePmt,PPMT(Loan2IntRate/12,BC$5-Loan2OrigMnth-Loan2IOPer,Loan2AmortPer*12,Loan2Amount),-MIN(BC269,PMT(Loan2IntRate/12,Loan2AmortPer*12,-Loan2Amount)+BC265)),)</f>
        <v>0</v>
      </c>
      <c r="BD271" s="78">
        <f>IF(AND(HasLoan2,L2HasAmort,BD269,BD$5&gt;Loan2OrigMnth+Loan2IOPer),IF(Loan2PmtType=VariablePmt,PPMT(Loan2IntRate/12,BD$5-Loan2OrigMnth-Loan2IOPer,Loan2AmortPer*12,Loan2Amount),-MIN(BD269,PMT(Loan2IntRate/12,Loan2AmortPer*12,-Loan2Amount)+BD265)),)</f>
        <v>0</v>
      </c>
      <c r="BE271" s="78">
        <f>IF(AND(HasLoan2,L2HasAmort,BE269,BE$5&gt;Loan2OrigMnth+Loan2IOPer),IF(Loan2PmtType=VariablePmt,PPMT(Loan2IntRate/12,BE$5-Loan2OrigMnth-Loan2IOPer,Loan2AmortPer*12,Loan2Amount),-MIN(BE269,PMT(Loan2IntRate/12,Loan2AmortPer*12,-Loan2Amount)+BE265)),)</f>
        <v>0</v>
      </c>
      <c r="BF271" s="78">
        <f>IF(AND(HasLoan2,L2HasAmort,BF269,BF$5&gt;Loan2OrigMnth+Loan2IOPer),IF(Loan2PmtType=VariablePmt,PPMT(Loan2IntRate/12,BF$5-Loan2OrigMnth-Loan2IOPer,Loan2AmortPer*12,Loan2Amount),-MIN(BF269,PMT(Loan2IntRate/12,Loan2AmortPer*12,-Loan2Amount)+BF265)),)</f>
        <v>0</v>
      </c>
      <c r="BG271" s="78">
        <f>IF(AND(HasLoan2,L2HasAmort,BG269,BG$5&gt;Loan2OrigMnth+Loan2IOPer),IF(Loan2PmtType=VariablePmt,PPMT(Loan2IntRate/12,BG$5-Loan2OrigMnth-Loan2IOPer,Loan2AmortPer*12,Loan2Amount),-MIN(BG269,PMT(Loan2IntRate/12,Loan2AmortPer*12,-Loan2Amount)+BG265)),)</f>
        <v>0</v>
      </c>
      <c r="BH271" s="78">
        <f>IF(AND(HasLoan2,L2HasAmort,BH269,BH$5&gt;Loan2OrigMnth+Loan2IOPer),IF(Loan2PmtType=VariablePmt,PPMT(Loan2IntRate/12,BH$5-Loan2OrigMnth-Loan2IOPer,Loan2AmortPer*12,Loan2Amount),-MIN(BH269,PMT(Loan2IntRate/12,Loan2AmortPer*12,-Loan2Amount)+BH265)),)</f>
        <v>0</v>
      </c>
      <c r="BI271" s="78">
        <f>IF(AND(HasLoan2,L2HasAmort,BI269,BI$5&gt;Loan2OrigMnth+Loan2IOPer),IF(Loan2PmtType=VariablePmt,PPMT(Loan2IntRate/12,BI$5-Loan2OrigMnth-Loan2IOPer,Loan2AmortPer*12,Loan2Amount),-MIN(BI269,PMT(Loan2IntRate/12,Loan2AmortPer*12,-Loan2Amount)+BI265)),)</f>
        <v>0</v>
      </c>
      <c r="BJ271" s="78">
        <f>IF(AND(HasLoan2,L2HasAmort,BJ269,BJ$5&gt;Loan2OrigMnth+Loan2IOPer),IF(Loan2PmtType=VariablePmt,PPMT(Loan2IntRate/12,BJ$5-Loan2OrigMnth-Loan2IOPer,Loan2AmortPer*12,Loan2Amount),-MIN(BJ269,PMT(Loan2IntRate/12,Loan2AmortPer*12,-Loan2Amount)+BJ265)),)</f>
        <v>0</v>
      </c>
      <c r="BK271" s="78">
        <f>IF(AND(HasLoan2,L2HasAmort,BK269,BK$5&gt;Loan2OrigMnth+Loan2IOPer),IF(Loan2PmtType=VariablePmt,PPMT(Loan2IntRate/12,BK$5-Loan2OrigMnth-Loan2IOPer,Loan2AmortPer*12,Loan2Amount),-MIN(BK269,PMT(Loan2IntRate/12,Loan2AmortPer*12,-Loan2Amount)+BK265)),)</f>
        <v>0</v>
      </c>
      <c r="BL271" s="78">
        <f>IF(AND(HasLoan2,L2HasAmort,BL269,BL$5&gt;Loan2OrigMnth+Loan2IOPer),IF(Loan2PmtType=VariablePmt,PPMT(Loan2IntRate/12,BL$5-Loan2OrigMnth-Loan2IOPer,Loan2AmortPer*12,Loan2Amount),-MIN(BL269,PMT(Loan2IntRate/12,Loan2AmortPer*12,-Loan2Amount)+BL265)),)</f>
        <v>0</v>
      </c>
      <c r="BM271" s="78">
        <f>IF(AND(HasLoan2,L2HasAmort,BM269,BM$5&gt;Loan2OrigMnth+Loan2IOPer),IF(Loan2PmtType=VariablePmt,PPMT(Loan2IntRate/12,BM$5-Loan2OrigMnth-Loan2IOPer,Loan2AmortPer*12,Loan2Amount),-MIN(BM269,PMT(Loan2IntRate/12,Loan2AmortPer*12,-Loan2Amount)+BM265)),)</f>
        <v>0</v>
      </c>
      <c r="BN271" s="78">
        <f>IF(AND(HasLoan2,L2HasAmort,BN269,BN$5&gt;Loan2OrigMnth+Loan2IOPer),IF(Loan2PmtType=VariablePmt,PPMT(Loan2IntRate/12,BN$5-Loan2OrigMnth-Loan2IOPer,Loan2AmortPer*12,Loan2Amount),-MIN(BN269,PMT(Loan2IntRate/12,Loan2AmortPer*12,-Loan2Amount)+BN265)),)</f>
        <v>0</v>
      </c>
      <c r="BO271" s="78">
        <f>IF(AND(HasLoan2,L2HasAmort,BO269,BO$5&gt;Loan2OrigMnth+Loan2IOPer),IF(Loan2PmtType=VariablePmt,PPMT(Loan2IntRate/12,BO$5-Loan2OrigMnth-Loan2IOPer,Loan2AmortPer*12,Loan2Amount),-MIN(BO269,PMT(Loan2IntRate/12,Loan2AmortPer*12,-Loan2Amount)+BO265)),)</f>
        <v>0</v>
      </c>
      <c r="BP271" s="78">
        <f>IF(AND(HasLoan2,L2HasAmort,BP269,BP$5&gt;Loan2OrigMnth+Loan2IOPer),IF(Loan2PmtType=VariablePmt,PPMT(Loan2IntRate/12,BP$5-Loan2OrigMnth-Loan2IOPer,Loan2AmortPer*12,Loan2Amount),-MIN(BP269,PMT(Loan2IntRate/12,Loan2AmortPer*12,-Loan2Amount)+BP265)),)</f>
        <v>0</v>
      </c>
      <c r="BQ271" s="78">
        <f>IF(AND(HasLoan2,L2HasAmort,BQ269,BQ$5&gt;Loan2OrigMnth+Loan2IOPer),IF(Loan2PmtType=VariablePmt,PPMT(Loan2IntRate/12,BQ$5-Loan2OrigMnth-Loan2IOPer,Loan2AmortPer*12,Loan2Amount),-MIN(BQ269,PMT(Loan2IntRate/12,Loan2AmortPer*12,-Loan2Amount)+BQ265)),)</f>
        <v>0</v>
      </c>
      <c r="BR271" s="78">
        <f>IF(AND(HasLoan2,L2HasAmort,BR269,BR$5&gt;Loan2OrigMnth+Loan2IOPer),IF(Loan2PmtType=VariablePmt,PPMT(Loan2IntRate/12,BR$5-Loan2OrigMnth-Loan2IOPer,Loan2AmortPer*12,Loan2Amount),-MIN(BR269,PMT(Loan2IntRate/12,Loan2AmortPer*12,-Loan2Amount)+BR265)),)</f>
        <v>0</v>
      </c>
      <c r="BS271" s="78">
        <f>IF(AND(HasLoan2,L2HasAmort,BS269,BS$5&gt;Loan2OrigMnth+Loan2IOPer),IF(Loan2PmtType=VariablePmt,PPMT(Loan2IntRate/12,BS$5-Loan2OrigMnth-Loan2IOPer,Loan2AmortPer*12,Loan2Amount),-MIN(BS269,PMT(Loan2IntRate/12,Loan2AmortPer*12,-Loan2Amount)+BS265)),)</f>
        <v>0</v>
      </c>
      <c r="BT271" s="78">
        <f>IF(AND(HasLoan2,L2HasAmort,BT269,BT$5&gt;Loan2OrigMnth+Loan2IOPer),IF(Loan2PmtType=VariablePmt,PPMT(Loan2IntRate/12,BT$5-Loan2OrigMnth-Loan2IOPer,Loan2AmortPer*12,Loan2Amount),-MIN(BT269,PMT(Loan2IntRate/12,Loan2AmortPer*12,-Loan2Amount)+BT265)),)</f>
        <v>0</v>
      </c>
      <c r="BU271" s="78">
        <f>IF(AND(HasLoan2,L2HasAmort,BU269,BU$5&gt;Loan2OrigMnth+Loan2IOPer),IF(Loan2PmtType=VariablePmt,PPMT(Loan2IntRate/12,BU$5-Loan2OrigMnth-Loan2IOPer,Loan2AmortPer*12,Loan2Amount),-MIN(BU269,PMT(Loan2IntRate/12,Loan2AmortPer*12,-Loan2Amount)+BU265)),)</f>
        <v>0</v>
      </c>
      <c r="BV271" s="78">
        <f>IF(AND(HasLoan2,L2HasAmort,BV269,BV$5&gt;Loan2OrigMnth+Loan2IOPer),IF(Loan2PmtType=VariablePmt,PPMT(Loan2IntRate/12,BV$5-Loan2OrigMnth-Loan2IOPer,Loan2AmortPer*12,Loan2Amount),-MIN(BV269,PMT(Loan2IntRate/12,Loan2AmortPer*12,-Loan2Amount)+BV265)),)</f>
        <v>0</v>
      </c>
      <c r="BW271" s="78">
        <f>IF(AND(HasLoan2,L2HasAmort,BW269,BW$5&gt;Loan2OrigMnth+Loan2IOPer),IF(Loan2PmtType=VariablePmt,PPMT(Loan2IntRate/12,BW$5-Loan2OrigMnth-Loan2IOPer,Loan2AmortPer*12,Loan2Amount),-MIN(BW269,PMT(Loan2IntRate/12,Loan2AmortPer*12,-Loan2Amount)+BW265)),)</f>
        <v>0</v>
      </c>
      <c r="BX271" s="78">
        <f>IF(AND(HasLoan2,L2HasAmort,BX269,BX$5&gt;Loan2OrigMnth+Loan2IOPer),IF(Loan2PmtType=VariablePmt,PPMT(Loan2IntRate/12,BX$5-Loan2OrigMnth-Loan2IOPer,Loan2AmortPer*12,Loan2Amount),-MIN(BX269,PMT(Loan2IntRate/12,Loan2AmortPer*12,-Loan2Amount)+BX265)),)</f>
        <v>0</v>
      </c>
      <c r="BY271" s="78">
        <f>IF(AND(HasLoan2,L2HasAmort,BY269,BY$5&gt;Loan2OrigMnth+Loan2IOPer),IF(Loan2PmtType=VariablePmt,PPMT(Loan2IntRate/12,BY$5-Loan2OrigMnth-Loan2IOPer,Loan2AmortPer*12,Loan2Amount),-MIN(BY269,PMT(Loan2IntRate/12,Loan2AmortPer*12,-Loan2Amount)+BY265)),)</f>
        <v>0</v>
      </c>
      <c r="BZ271" s="78">
        <f>IF(AND(HasLoan2,L2HasAmort,BZ269,BZ$5&gt;Loan2OrigMnth+Loan2IOPer),IF(Loan2PmtType=VariablePmt,PPMT(Loan2IntRate/12,BZ$5-Loan2OrigMnth-Loan2IOPer,Loan2AmortPer*12,Loan2Amount),-MIN(BZ269,PMT(Loan2IntRate/12,Loan2AmortPer*12,-Loan2Amount)+BZ265)),)</f>
        <v>0</v>
      </c>
      <c r="CA271" s="78">
        <f>IF(AND(HasLoan2,L2HasAmort,CA269,CA$5&gt;Loan2OrigMnth+Loan2IOPer),IF(Loan2PmtType=VariablePmt,PPMT(Loan2IntRate/12,CA$5-Loan2OrigMnth-Loan2IOPer,Loan2AmortPer*12,Loan2Amount),-MIN(CA269,PMT(Loan2IntRate/12,Loan2AmortPer*12,-Loan2Amount)+CA265)),)</f>
        <v>0</v>
      </c>
      <c r="CB271" s="78">
        <f>IF(AND(HasLoan2,L2HasAmort,CB269,CB$5&gt;Loan2OrigMnth+Loan2IOPer),IF(Loan2PmtType=VariablePmt,PPMT(Loan2IntRate/12,CB$5-Loan2OrigMnth-Loan2IOPer,Loan2AmortPer*12,Loan2Amount),-MIN(CB269,PMT(Loan2IntRate/12,Loan2AmortPer*12,-Loan2Amount)+CB265)),)</f>
        <v>0</v>
      </c>
      <c r="CC271" s="78">
        <f>IF(AND(HasLoan2,L2HasAmort,CC269,CC$5&gt;Loan2OrigMnth+Loan2IOPer),IF(Loan2PmtType=VariablePmt,PPMT(Loan2IntRate/12,CC$5-Loan2OrigMnth-Loan2IOPer,Loan2AmortPer*12,Loan2Amount),-MIN(CC269,PMT(Loan2IntRate/12,Loan2AmortPer*12,-Loan2Amount)+CC265)),)</f>
        <v>0</v>
      </c>
      <c r="CD271" s="78">
        <f>IF(AND(HasLoan2,L2HasAmort,CD269,CD$5&gt;Loan2OrigMnth+Loan2IOPer),IF(Loan2PmtType=VariablePmt,PPMT(Loan2IntRate/12,CD$5-Loan2OrigMnth-Loan2IOPer,Loan2AmortPer*12,Loan2Amount),-MIN(CD269,PMT(Loan2IntRate/12,Loan2AmortPer*12,-Loan2Amount)+CD265)),)</f>
        <v>0</v>
      </c>
      <c r="CE271" s="78">
        <f>IF(AND(HasLoan2,L2HasAmort,CE269,CE$5&gt;Loan2OrigMnth+Loan2IOPer),IF(Loan2PmtType=VariablePmt,PPMT(Loan2IntRate/12,CE$5-Loan2OrigMnth-Loan2IOPer,Loan2AmortPer*12,Loan2Amount),-MIN(CE269,PMT(Loan2IntRate/12,Loan2AmortPer*12,-Loan2Amount)+CE265)),)</f>
        <v>0</v>
      </c>
      <c r="CF271" s="78">
        <f>IF(AND(HasLoan2,L2HasAmort,CF269,CF$5&gt;Loan2OrigMnth+Loan2IOPer),IF(Loan2PmtType=VariablePmt,PPMT(Loan2IntRate/12,CF$5-Loan2OrigMnth-Loan2IOPer,Loan2AmortPer*12,Loan2Amount),-MIN(CF269,PMT(Loan2IntRate/12,Loan2AmortPer*12,-Loan2Amount)+CF265)),)</f>
        <v>0</v>
      </c>
      <c r="CG271" s="78">
        <f>IF(AND(HasLoan2,L2HasAmort,CG269,CG$5&gt;Loan2OrigMnth+Loan2IOPer),IF(Loan2PmtType=VariablePmt,PPMT(Loan2IntRate/12,CG$5-Loan2OrigMnth-Loan2IOPer,Loan2AmortPer*12,Loan2Amount),-MIN(CG269,PMT(Loan2IntRate/12,Loan2AmortPer*12,-Loan2Amount)+CG265)),)</f>
        <v>0</v>
      </c>
      <c r="CH271" s="78">
        <f>IF(AND(HasLoan2,L2HasAmort,CH269,CH$5&gt;Loan2OrigMnth+Loan2IOPer),IF(Loan2PmtType=VariablePmt,PPMT(Loan2IntRate/12,CH$5-Loan2OrigMnth-Loan2IOPer,Loan2AmortPer*12,Loan2Amount),-MIN(CH269,PMT(Loan2IntRate/12,Loan2AmortPer*12,-Loan2Amount)+CH265)),)</f>
        <v>0</v>
      </c>
      <c r="CI271" s="78">
        <f>IF(AND(HasLoan2,L2HasAmort,CI269,CI$5&gt;Loan2OrigMnth+Loan2IOPer),IF(Loan2PmtType=VariablePmt,PPMT(Loan2IntRate/12,CI$5-Loan2OrigMnth-Loan2IOPer,Loan2AmortPer*12,Loan2Amount),-MIN(CI269,PMT(Loan2IntRate/12,Loan2AmortPer*12,-Loan2Amount)+CI265)),)</f>
        <v>0</v>
      </c>
      <c r="CJ271" s="78">
        <f>IF(AND(HasLoan2,L2HasAmort,CJ269,CJ$5&gt;Loan2OrigMnth+Loan2IOPer),IF(Loan2PmtType=VariablePmt,PPMT(Loan2IntRate/12,CJ$5-Loan2OrigMnth-Loan2IOPer,Loan2AmortPer*12,Loan2Amount),-MIN(CJ269,PMT(Loan2IntRate/12,Loan2AmortPer*12,-Loan2Amount)+CJ265)),)</f>
        <v>0</v>
      </c>
      <c r="CK271" s="78">
        <f>IF(AND(HasLoan2,L2HasAmort,CK269,CK$5&gt;Loan2OrigMnth+Loan2IOPer),IF(Loan2PmtType=VariablePmt,PPMT(Loan2IntRate/12,CK$5-Loan2OrigMnth-Loan2IOPer,Loan2AmortPer*12,Loan2Amount),-MIN(CK269,PMT(Loan2IntRate/12,Loan2AmortPer*12,-Loan2Amount)+CK265)),)</f>
        <v>0</v>
      </c>
      <c r="CL271" s="78">
        <f>IF(AND(HasLoan2,L2HasAmort,CL269,CL$5&gt;Loan2OrigMnth+Loan2IOPer),IF(Loan2PmtType=VariablePmt,PPMT(Loan2IntRate/12,CL$5-Loan2OrigMnth-Loan2IOPer,Loan2AmortPer*12,Loan2Amount),-MIN(CL269,PMT(Loan2IntRate/12,Loan2AmortPer*12,-Loan2Amount)+CL265)),)</f>
        <v>0</v>
      </c>
      <c r="CM271" s="78">
        <f>IF(AND(HasLoan2,L2HasAmort,CM269,CM$5&gt;Loan2OrigMnth+Loan2IOPer),IF(Loan2PmtType=VariablePmt,PPMT(Loan2IntRate/12,CM$5-Loan2OrigMnth-Loan2IOPer,Loan2AmortPer*12,Loan2Amount),-MIN(CM269,PMT(Loan2IntRate/12,Loan2AmortPer*12,-Loan2Amount)+CM265)),)</f>
        <v>0</v>
      </c>
      <c r="CN271" s="78">
        <f>IF(AND(HasLoan2,L2HasAmort,CN269,CN$5&gt;Loan2OrigMnth+Loan2IOPer),IF(Loan2PmtType=VariablePmt,PPMT(Loan2IntRate/12,CN$5-Loan2OrigMnth-Loan2IOPer,Loan2AmortPer*12,Loan2Amount),-MIN(CN269,PMT(Loan2IntRate/12,Loan2AmortPer*12,-Loan2Amount)+CN265)),)</f>
        <v>0</v>
      </c>
      <c r="CO271" s="78">
        <f>IF(AND(HasLoan2,L2HasAmort,CO269,CO$5&gt;Loan2OrigMnth+Loan2IOPer),IF(Loan2PmtType=VariablePmt,PPMT(Loan2IntRate/12,CO$5-Loan2OrigMnth-Loan2IOPer,Loan2AmortPer*12,Loan2Amount),-MIN(CO269,PMT(Loan2IntRate/12,Loan2AmortPer*12,-Loan2Amount)+CO265)),)</f>
        <v>0</v>
      </c>
      <c r="CP271" s="78">
        <f>IF(AND(HasLoan2,L2HasAmort,CP269,CP$5&gt;Loan2OrigMnth+Loan2IOPer),IF(Loan2PmtType=VariablePmt,PPMT(Loan2IntRate/12,CP$5-Loan2OrigMnth-Loan2IOPer,Loan2AmortPer*12,Loan2Amount),-MIN(CP269,PMT(Loan2IntRate/12,Loan2AmortPer*12,-Loan2Amount)+CP265)),)</f>
        <v>0</v>
      </c>
      <c r="CQ271" s="78">
        <f>IF(AND(HasLoan2,L2HasAmort,CQ269,CQ$5&gt;Loan2OrigMnth+Loan2IOPer),IF(Loan2PmtType=VariablePmt,PPMT(Loan2IntRate/12,CQ$5-Loan2OrigMnth-Loan2IOPer,Loan2AmortPer*12,Loan2Amount),-MIN(CQ269,PMT(Loan2IntRate/12,Loan2AmortPer*12,-Loan2Amount)+CQ265)),)</f>
        <v>0</v>
      </c>
      <c r="CR271" s="78">
        <f>IF(AND(HasLoan2,L2HasAmort,CR269,CR$5&gt;Loan2OrigMnth+Loan2IOPer),IF(Loan2PmtType=VariablePmt,PPMT(Loan2IntRate/12,CR$5-Loan2OrigMnth-Loan2IOPer,Loan2AmortPer*12,Loan2Amount),-MIN(CR269,PMT(Loan2IntRate/12,Loan2AmortPer*12,-Loan2Amount)+CR265)),)</f>
        <v>0</v>
      </c>
      <c r="CS271" s="78">
        <f>IF(AND(HasLoan2,L2HasAmort,CS269,CS$5&gt;Loan2OrigMnth+Loan2IOPer),IF(Loan2PmtType=VariablePmt,PPMT(Loan2IntRate/12,CS$5-Loan2OrigMnth-Loan2IOPer,Loan2AmortPer*12,Loan2Amount),-MIN(CS269,PMT(Loan2IntRate/12,Loan2AmortPer*12,-Loan2Amount)+CS265)),)</f>
        <v>0</v>
      </c>
      <c r="CT271" s="78">
        <f>IF(AND(HasLoan2,L2HasAmort,CT269,CT$5&gt;Loan2OrigMnth+Loan2IOPer),IF(Loan2PmtType=VariablePmt,PPMT(Loan2IntRate/12,CT$5-Loan2OrigMnth-Loan2IOPer,Loan2AmortPer*12,Loan2Amount),-MIN(CT269,PMT(Loan2IntRate/12,Loan2AmortPer*12,-Loan2Amount)+CT265)),)</f>
        <v>0</v>
      </c>
      <c r="CU271" s="78">
        <f>IF(AND(HasLoan2,L2HasAmort,CU269,CU$5&gt;Loan2OrigMnth+Loan2IOPer),IF(Loan2PmtType=VariablePmt,PPMT(Loan2IntRate/12,CU$5-Loan2OrigMnth-Loan2IOPer,Loan2AmortPer*12,Loan2Amount),-MIN(CU269,PMT(Loan2IntRate/12,Loan2AmortPer*12,-Loan2Amount)+CU265)),)</f>
        <v>0</v>
      </c>
      <c r="CV271" s="78">
        <f>IF(AND(HasLoan2,L2HasAmort,CV269,CV$5&gt;Loan2OrigMnth+Loan2IOPer),IF(Loan2PmtType=VariablePmt,PPMT(Loan2IntRate/12,CV$5-Loan2OrigMnth-Loan2IOPer,Loan2AmortPer*12,Loan2Amount),-MIN(CV269,PMT(Loan2IntRate/12,Loan2AmortPer*12,-Loan2Amount)+CV265)),)</f>
        <v>0</v>
      </c>
      <c r="CW271" s="78">
        <f>IF(AND(HasLoan2,L2HasAmort,CW269,CW$5&gt;Loan2OrigMnth+Loan2IOPer),IF(Loan2PmtType=VariablePmt,PPMT(Loan2IntRate/12,CW$5-Loan2OrigMnth-Loan2IOPer,Loan2AmortPer*12,Loan2Amount),-MIN(CW269,PMT(Loan2IntRate/12,Loan2AmortPer*12,-Loan2Amount)+CW265)),)</f>
        <v>0</v>
      </c>
      <c r="CX271" s="78">
        <f>IF(AND(HasLoan2,L2HasAmort,CX269,CX$5&gt;Loan2OrigMnth+Loan2IOPer),IF(Loan2PmtType=VariablePmt,PPMT(Loan2IntRate/12,CX$5-Loan2OrigMnth-Loan2IOPer,Loan2AmortPer*12,Loan2Amount),-MIN(CX269,PMT(Loan2IntRate/12,Loan2AmortPer*12,-Loan2Amount)+CX265)),)</f>
        <v>0</v>
      </c>
      <c r="CY271" s="78">
        <f>IF(AND(HasLoan2,L2HasAmort,CY269,CY$5&gt;Loan2OrigMnth+Loan2IOPer),IF(Loan2PmtType=VariablePmt,PPMT(Loan2IntRate/12,CY$5-Loan2OrigMnth-Loan2IOPer,Loan2AmortPer*12,Loan2Amount),-MIN(CY269,PMT(Loan2IntRate/12,Loan2AmortPer*12,-Loan2Amount)+CY265)),)</f>
        <v>0</v>
      </c>
      <c r="CZ271" s="78">
        <f>IF(AND(HasLoan2,L2HasAmort,CZ269,CZ$5&gt;Loan2OrigMnth+Loan2IOPer),IF(Loan2PmtType=VariablePmt,PPMT(Loan2IntRate/12,CZ$5-Loan2OrigMnth-Loan2IOPer,Loan2AmortPer*12,Loan2Amount),-MIN(CZ269,PMT(Loan2IntRate/12,Loan2AmortPer*12,-Loan2Amount)+CZ265)),)</f>
        <v>0</v>
      </c>
      <c r="DA271" s="78">
        <f>IF(AND(HasLoan2,L2HasAmort,DA269,DA$5&gt;Loan2OrigMnth+Loan2IOPer),IF(Loan2PmtType=VariablePmt,PPMT(Loan2IntRate/12,DA$5-Loan2OrigMnth-Loan2IOPer,Loan2AmortPer*12,Loan2Amount),-MIN(DA269,PMT(Loan2IntRate/12,Loan2AmortPer*12,-Loan2Amount)+DA265)),)</f>
        <v>0</v>
      </c>
      <c r="DB271" s="78">
        <f>IF(AND(HasLoan2,L2HasAmort,DB269,DB$5&gt;Loan2OrigMnth+Loan2IOPer),IF(Loan2PmtType=VariablePmt,PPMT(Loan2IntRate/12,DB$5-Loan2OrigMnth-Loan2IOPer,Loan2AmortPer*12,Loan2Amount),-MIN(DB269,PMT(Loan2IntRate/12,Loan2AmortPer*12,-Loan2Amount)+DB265)),)</f>
        <v>0</v>
      </c>
      <c r="DC271" s="78">
        <f>IF(AND(HasLoan2,L2HasAmort,DC269,DC$5&gt;Loan2OrigMnth+Loan2IOPer),IF(Loan2PmtType=VariablePmt,PPMT(Loan2IntRate/12,DC$5-Loan2OrigMnth-Loan2IOPer,Loan2AmortPer*12,Loan2Amount),-MIN(DC269,PMT(Loan2IntRate/12,Loan2AmortPer*12,-Loan2Amount)+DC265)),)</f>
        <v>0</v>
      </c>
      <c r="DD271" s="78">
        <f>IF(AND(HasLoan2,L2HasAmort,DD269,DD$5&gt;Loan2OrigMnth+Loan2IOPer),IF(Loan2PmtType=VariablePmt,PPMT(Loan2IntRate/12,DD$5-Loan2OrigMnth-Loan2IOPer,Loan2AmortPer*12,Loan2Amount),-MIN(DD269,PMT(Loan2IntRate/12,Loan2AmortPer*12,-Loan2Amount)+DD265)),)</f>
        <v>0</v>
      </c>
      <c r="DE271" s="78">
        <f>IF(AND(HasLoan2,L2HasAmort,DE269,DE$5&gt;Loan2OrigMnth+Loan2IOPer),IF(Loan2PmtType=VariablePmt,PPMT(Loan2IntRate/12,DE$5-Loan2OrigMnth-Loan2IOPer,Loan2AmortPer*12,Loan2Amount),-MIN(DE269,PMT(Loan2IntRate/12,Loan2AmortPer*12,-Loan2Amount)+DE265)),)</f>
        <v>0</v>
      </c>
      <c r="DF271" s="78">
        <f>IF(AND(HasLoan2,L2HasAmort,DF269,DF$5&gt;Loan2OrigMnth+Loan2IOPer),IF(Loan2PmtType=VariablePmt,PPMT(Loan2IntRate/12,DF$5-Loan2OrigMnth-Loan2IOPer,Loan2AmortPer*12,Loan2Amount),-MIN(DF269,PMT(Loan2IntRate/12,Loan2AmortPer*12,-Loan2Amount)+DF265)),)</f>
        <v>0</v>
      </c>
      <c r="DG271" s="78">
        <f>IF(AND(HasLoan2,L2HasAmort,DG269,DG$5&gt;Loan2OrigMnth+Loan2IOPer),IF(Loan2PmtType=VariablePmt,PPMT(Loan2IntRate/12,DG$5-Loan2OrigMnth-Loan2IOPer,Loan2AmortPer*12,Loan2Amount),-MIN(DG269,PMT(Loan2IntRate/12,Loan2AmortPer*12,-Loan2Amount)+DG265)),)</f>
        <v>0</v>
      </c>
      <c r="DH271" s="78">
        <f>IF(AND(HasLoan2,L2HasAmort,DH269,DH$5&gt;Loan2OrigMnth+Loan2IOPer),IF(Loan2PmtType=VariablePmt,PPMT(Loan2IntRate/12,DH$5-Loan2OrigMnth-Loan2IOPer,Loan2AmortPer*12,Loan2Amount),-MIN(DH269,PMT(Loan2IntRate/12,Loan2AmortPer*12,-Loan2Amount)+DH265)),)</f>
        <v>0</v>
      </c>
      <c r="DI271" s="78">
        <f>IF(AND(HasLoan2,L2HasAmort,DI269,DI$5&gt;Loan2OrigMnth+Loan2IOPer),IF(Loan2PmtType=VariablePmt,PPMT(Loan2IntRate/12,DI$5-Loan2OrigMnth-Loan2IOPer,Loan2AmortPer*12,Loan2Amount),-MIN(DI269,PMT(Loan2IntRate/12,Loan2AmortPer*12,-Loan2Amount)+DI265)),)</f>
        <v>0</v>
      </c>
      <c r="DJ271" s="78">
        <f>IF(AND(HasLoan2,L2HasAmort,DJ269,DJ$5&gt;Loan2OrigMnth+Loan2IOPer),IF(Loan2PmtType=VariablePmt,PPMT(Loan2IntRate/12,DJ$5-Loan2OrigMnth-Loan2IOPer,Loan2AmortPer*12,Loan2Amount),-MIN(DJ269,PMT(Loan2IntRate/12,Loan2AmortPer*12,-Loan2Amount)+DJ265)),)</f>
        <v>0</v>
      </c>
      <c r="DK271" s="78">
        <f>IF(AND(HasLoan2,L2HasAmort,DK269,DK$5&gt;Loan2OrigMnth+Loan2IOPer),IF(Loan2PmtType=VariablePmt,PPMT(Loan2IntRate/12,DK$5-Loan2OrigMnth-Loan2IOPer,Loan2AmortPer*12,Loan2Amount),-MIN(DK269,PMT(Loan2IntRate/12,Loan2AmortPer*12,-Loan2Amount)+DK265)),)</f>
        <v>0</v>
      </c>
      <c r="DL271" s="78">
        <f>IF(AND(HasLoan2,L2HasAmort,DL269,DL$5&gt;Loan2OrigMnth+Loan2IOPer),IF(Loan2PmtType=VariablePmt,PPMT(Loan2IntRate/12,DL$5-Loan2OrigMnth-Loan2IOPer,Loan2AmortPer*12,Loan2Amount),-MIN(DL269,PMT(Loan2IntRate/12,Loan2AmortPer*12,-Loan2Amount)+DL265)),)</f>
        <v>0</v>
      </c>
      <c r="DM271" s="78">
        <f>IF(AND(HasLoan2,L2HasAmort,DM269,DM$5&gt;Loan2OrigMnth+Loan2IOPer),IF(Loan2PmtType=VariablePmt,PPMT(Loan2IntRate/12,DM$5-Loan2OrigMnth-Loan2IOPer,Loan2AmortPer*12,Loan2Amount),-MIN(DM269,PMT(Loan2IntRate/12,Loan2AmortPer*12,-Loan2Amount)+DM265)),)</f>
        <v>0</v>
      </c>
      <c r="DN271" s="78">
        <f>IF(AND(HasLoan2,L2HasAmort,DN269,DN$5&gt;Loan2OrigMnth+Loan2IOPer),IF(Loan2PmtType=VariablePmt,PPMT(Loan2IntRate/12,DN$5-Loan2OrigMnth-Loan2IOPer,Loan2AmortPer*12,Loan2Amount),-MIN(DN269,PMT(Loan2IntRate/12,Loan2AmortPer*12,-Loan2Amount)+DN265)),)</f>
        <v>0</v>
      </c>
      <c r="DO271" s="78">
        <f>IF(AND(HasLoan2,L2HasAmort,DO269,DO$5&gt;Loan2OrigMnth+Loan2IOPer),IF(Loan2PmtType=VariablePmt,PPMT(Loan2IntRate/12,DO$5-Loan2OrigMnth-Loan2IOPer,Loan2AmortPer*12,Loan2Amount),-MIN(DO269,PMT(Loan2IntRate/12,Loan2AmortPer*12,-Loan2Amount)+DO265)),)</f>
        <v>0</v>
      </c>
      <c r="DP271" s="78">
        <f>IF(AND(HasLoan2,L2HasAmort,DP269,DP$5&gt;Loan2OrigMnth+Loan2IOPer),IF(Loan2PmtType=VariablePmt,PPMT(Loan2IntRate/12,DP$5-Loan2OrigMnth-Loan2IOPer,Loan2AmortPer*12,Loan2Amount),-MIN(DP269,PMT(Loan2IntRate/12,Loan2AmortPer*12,-Loan2Amount)+DP265)),)</f>
        <v>0</v>
      </c>
      <c r="DQ271" s="78">
        <f>IF(AND(HasLoan2,L2HasAmort,DQ269,DQ$5&gt;Loan2OrigMnth+Loan2IOPer),IF(Loan2PmtType=VariablePmt,PPMT(Loan2IntRate/12,DQ$5-Loan2OrigMnth-Loan2IOPer,Loan2AmortPer*12,Loan2Amount),-MIN(DQ269,PMT(Loan2IntRate/12,Loan2AmortPer*12,-Loan2Amount)+DQ265)),)</f>
        <v>0</v>
      </c>
      <c r="DR271" s="78">
        <f>IF(AND(HasLoan2,L2HasAmort,DR269,DR$5&gt;Loan2OrigMnth+Loan2IOPer),IF(Loan2PmtType=VariablePmt,PPMT(Loan2IntRate/12,DR$5-Loan2OrigMnth-Loan2IOPer,Loan2AmortPer*12,Loan2Amount),-MIN(DR269,PMT(Loan2IntRate/12,Loan2AmortPer*12,-Loan2Amount)+DR265)),)</f>
        <v>0</v>
      </c>
      <c r="DS271" s="78">
        <f>IF(AND(HasLoan2,L2HasAmort,DS269,DS$5&gt;Loan2OrigMnth+Loan2IOPer),IF(Loan2PmtType=VariablePmt,PPMT(Loan2IntRate/12,DS$5-Loan2OrigMnth-Loan2IOPer,Loan2AmortPer*12,Loan2Amount),-MIN(DS269,PMT(Loan2IntRate/12,Loan2AmortPer*12,-Loan2Amount)+DS265)),)</f>
        <v>0</v>
      </c>
      <c r="DT271" s="78">
        <f>IF(AND(HasLoan2,L2HasAmort,DT269,DT$5&gt;Loan2OrigMnth+Loan2IOPer),IF(Loan2PmtType=VariablePmt,PPMT(Loan2IntRate/12,DT$5-Loan2OrigMnth-Loan2IOPer,Loan2AmortPer*12,Loan2Amount),-MIN(DT269,PMT(Loan2IntRate/12,Loan2AmortPer*12,-Loan2Amount)+DT265)),)</f>
        <v>0</v>
      </c>
      <c r="DU271" s="78">
        <f>IF(AND(HasLoan2,L2HasAmort,DU269,DU$5&gt;Loan2OrigMnth+Loan2IOPer),IF(Loan2PmtType=VariablePmt,PPMT(Loan2IntRate/12,DU$5-Loan2OrigMnth-Loan2IOPer,Loan2AmortPer*12,Loan2Amount),-MIN(DU269,PMT(Loan2IntRate/12,Loan2AmortPer*12,-Loan2Amount)+DU265)),)</f>
        <v>0</v>
      </c>
      <c r="DV271" s="78">
        <f>IF(AND(HasLoan2,L2HasAmort,DV269,DV$5&gt;Loan2OrigMnth+Loan2IOPer),IF(Loan2PmtType=VariablePmt,PPMT(Loan2IntRate/12,DV$5-Loan2OrigMnth-Loan2IOPer,Loan2AmortPer*12,Loan2Amount),-MIN(DV269,PMT(Loan2IntRate/12,Loan2AmortPer*12,-Loan2Amount)+DV265)),)</f>
        <v>0</v>
      </c>
      <c r="DW271" s="78">
        <f>IF(AND(HasLoan2,L2HasAmort,DW269,DW$5&gt;Loan2OrigMnth+Loan2IOPer),IF(Loan2PmtType=VariablePmt,PPMT(Loan2IntRate/12,DW$5-Loan2OrigMnth-Loan2IOPer,Loan2AmortPer*12,Loan2Amount),-MIN(DW269,PMT(Loan2IntRate/12,Loan2AmortPer*12,-Loan2Amount)+DW265)),)</f>
        <v>0</v>
      </c>
      <c r="DX271" s="78">
        <f>IF(AND(HasLoan2,L2HasAmort,DX269,DX$5&gt;Loan2OrigMnth+Loan2IOPer),IF(Loan2PmtType=VariablePmt,PPMT(Loan2IntRate/12,DX$5-Loan2OrigMnth-Loan2IOPer,Loan2AmortPer*12,Loan2Amount),-MIN(DX269,PMT(Loan2IntRate/12,Loan2AmortPer*12,-Loan2Amount)+DX265)),)</f>
        <v>0</v>
      </c>
      <c r="DY271" s="78">
        <f>IF(AND(HasLoan2,L2HasAmort,DY269,DY$5&gt;Loan2OrigMnth+Loan2IOPer),IF(Loan2PmtType=VariablePmt,PPMT(Loan2IntRate/12,DY$5-Loan2OrigMnth-Loan2IOPer,Loan2AmortPer*12,Loan2Amount),-MIN(DY269,PMT(Loan2IntRate/12,Loan2AmortPer*12,-Loan2Amount)+DY265)),)</f>
        <v>0</v>
      </c>
      <c r="DZ271" s="78">
        <f>IF(AND(HasLoan2,L2HasAmort,DZ269,DZ$5&gt;Loan2OrigMnth+Loan2IOPer),IF(Loan2PmtType=VariablePmt,PPMT(Loan2IntRate/12,DZ$5-Loan2OrigMnth-Loan2IOPer,Loan2AmortPer*12,Loan2Amount),-MIN(DZ269,PMT(Loan2IntRate/12,Loan2AmortPer*12,-Loan2Amount)+DZ265)),)</f>
        <v>0</v>
      </c>
      <c r="EA271" s="78">
        <f>IF(AND(HasLoan2,L2HasAmort,EA269,EA$5&gt;Loan2OrigMnth+Loan2IOPer),IF(Loan2PmtType=VariablePmt,PPMT(Loan2IntRate/12,EA$5-Loan2OrigMnth-Loan2IOPer,Loan2AmortPer*12,Loan2Amount),-MIN(EA269,PMT(Loan2IntRate/12,Loan2AmortPer*12,-Loan2Amount)+EA265)),)</f>
        <v>0</v>
      </c>
      <c r="EB271" s="78">
        <f>IF(AND(HasLoan2,L2HasAmort,EB269,EB$5&gt;Loan2OrigMnth+Loan2IOPer),IF(Loan2PmtType=VariablePmt,PPMT(Loan2IntRate/12,EB$5-Loan2OrigMnth-Loan2IOPer,Loan2AmortPer*12,Loan2Amount),-MIN(EB269,PMT(Loan2IntRate/12,Loan2AmortPer*12,-Loan2Amount)+EB265)),)</f>
        <v>0</v>
      </c>
      <c r="EC271" s="78">
        <f>IF(AND(HasLoan2,L2HasAmort,EC269,EC$5&gt;Loan2OrigMnth+Loan2IOPer),IF(Loan2PmtType=VariablePmt,PPMT(Loan2IntRate/12,EC$5-Loan2OrigMnth-Loan2IOPer,Loan2AmortPer*12,Loan2Amount),-MIN(EC269,PMT(Loan2IntRate/12,Loan2AmortPer*12,-Loan2Amount)+EC265)),)</f>
        <v>0</v>
      </c>
      <c r="ED271" s="78">
        <f>IF(AND(HasLoan2,L2HasAmort,ED269,ED$5&gt;Loan2OrigMnth+Loan2IOPer),IF(Loan2PmtType=VariablePmt,PPMT(Loan2IntRate/12,ED$5-Loan2OrigMnth-Loan2IOPer,Loan2AmortPer*12,Loan2Amount),-MIN(ED269,PMT(Loan2IntRate/12,Loan2AmortPer*12,-Loan2Amount)+ED265)),)</f>
        <v>0</v>
      </c>
      <c r="EE271" s="78">
        <f>IF(AND(HasLoan2,L2HasAmort,EE269,EE$5&gt;Loan2OrigMnth+Loan2IOPer),IF(Loan2PmtType=VariablePmt,PPMT(Loan2IntRate/12,EE$5-Loan2OrigMnth-Loan2IOPer,Loan2AmortPer*12,Loan2Amount),-MIN(EE269,PMT(Loan2IntRate/12,Loan2AmortPer*12,-Loan2Amount)+EE265)),)</f>
        <v>0</v>
      </c>
      <c r="EF271" s="78">
        <f>IF(AND(HasLoan2,L2HasAmort,EF269,EF$5&gt;Loan2OrigMnth+Loan2IOPer),IF(Loan2PmtType=VariablePmt,PPMT(Loan2IntRate/12,EF$5-Loan2OrigMnth-Loan2IOPer,Loan2AmortPer*12,Loan2Amount),-MIN(EF269,PMT(Loan2IntRate/12,Loan2AmortPer*12,-Loan2Amount)+EF265)),)</f>
        <v>0</v>
      </c>
      <c r="EG271" s="78">
        <f>IF(AND(HasLoan2,L2HasAmort,EG269,EG$5&gt;Loan2OrigMnth+Loan2IOPer),IF(Loan2PmtType=VariablePmt,PPMT(Loan2IntRate/12,EG$5-Loan2OrigMnth-Loan2IOPer,Loan2AmortPer*12,Loan2Amount),-MIN(EG269,PMT(Loan2IntRate/12,Loan2AmortPer*12,-Loan2Amount)+EG265)),)</f>
        <v>0</v>
      </c>
      <c r="EH271" s="78">
        <f>IF(AND(HasLoan2,L2HasAmort,EH269,EH$5&gt;Loan2OrigMnth+Loan2IOPer),IF(Loan2PmtType=VariablePmt,PPMT(Loan2IntRate/12,EH$5-Loan2OrigMnth-Loan2IOPer,Loan2AmortPer*12,Loan2Amount),-MIN(EH269,PMT(Loan2IntRate/12,Loan2AmortPer*12,-Loan2Amount)+EH265)),)</f>
        <v>0</v>
      </c>
      <c r="EI271" s="78">
        <f>IF(AND(HasLoan2,L2HasAmort,EI269,EI$5&gt;Loan2OrigMnth+Loan2IOPer),IF(Loan2PmtType=VariablePmt,PPMT(Loan2IntRate/12,EI$5-Loan2OrigMnth-Loan2IOPer,Loan2AmortPer*12,Loan2Amount),-MIN(EI269,PMT(Loan2IntRate/12,Loan2AmortPer*12,-Loan2Amount)+EI265)),)</f>
        <v>0</v>
      </c>
    </row>
    <row r="272" spans="2:139" ht="12.75" customHeight="1">
      <c r="B272" s="41" t="s">
        <v>184</v>
      </c>
      <c r="C272" s="211"/>
      <c r="D272" s="78">
        <f>SUMIF($S$6:$EI$6,D$5,$S272:$EI272)</f>
        <v>0</v>
      </c>
      <c r="E272" s="78">
        <f t="shared" si="506"/>
        <v>0</v>
      </c>
      <c r="F272" s="78">
        <f t="shared" si="506"/>
        <v>0</v>
      </c>
      <c r="G272" s="78">
        <f t="shared" si="506"/>
        <v>0</v>
      </c>
      <c r="H272" s="78">
        <f t="shared" si="506"/>
        <v>0</v>
      </c>
      <c r="I272" s="78">
        <f t="shared" si="506"/>
        <v>0</v>
      </c>
      <c r="J272" s="78">
        <f t="shared" si="506"/>
        <v>0</v>
      </c>
      <c r="K272" s="78">
        <f t="shared" si="506"/>
        <v>0</v>
      </c>
      <c r="L272" s="78">
        <f t="shared" si="506"/>
        <v>0</v>
      </c>
      <c r="M272" s="78">
        <f t="shared" si="506"/>
        <v>0</v>
      </c>
      <c r="N272" s="78">
        <f t="shared" si="506"/>
        <v>0</v>
      </c>
      <c r="O272" s="145">
        <f>SUM(D272:N272)</f>
        <v>0</v>
      </c>
      <c r="S272" s="78">
        <f>-SUM(S269:S271)*AND(S$5=MIN(Input!$K$196+Input!$K$195,MAX(YrOfExit,1)*12))</f>
        <v>0</v>
      </c>
      <c r="T272" s="78">
        <f>-SUM(T269:T271)*AND(T$5=MIN(Input!$K$196+Input!$K$195,MAX(YrOfExit,1)*12))</f>
        <v>0</v>
      </c>
      <c r="U272" s="78">
        <f>-SUM(U269:U271)*AND(U$5=MIN(Input!$K$196+Input!$K$195,MAX(YrOfExit,1)*12))</f>
        <v>0</v>
      </c>
      <c r="V272" s="78">
        <f>-SUM(V269:V271)*AND(V$5=MIN(Input!$K$196+Input!$K$195,MAX(YrOfExit,1)*12))</f>
        <v>0</v>
      </c>
      <c r="W272" s="78">
        <f>-SUM(W269:W271)*AND(W$5=MIN(Input!$K$196+Input!$K$195,MAX(YrOfExit,1)*12))</f>
        <v>0</v>
      </c>
      <c r="X272" s="78">
        <f>-SUM(X269:X271)*AND(X$5=MIN(Input!$K$196+Input!$K$195,MAX(YrOfExit,1)*12))</f>
        <v>0</v>
      </c>
      <c r="Y272" s="78">
        <f>-SUM(Y269:Y271)*AND(Y$5=MIN(Input!$K$196+Input!$K$195,MAX(YrOfExit,1)*12))</f>
        <v>0</v>
      </c>
      <c r="Z272" s="78">
        <f>-SUM(Z269:Z271)*AND(Z$5=MIN(Input!$K$196+Input!$K$195,MAX(YrOfExit,1)*12))</f>
        <v>0</v>
      </c>
      <c r="AA272" s="78">
        <f>-SUM(AA269:AA271)*AND(AA$5=MIN(Input!$K$196+Input!$K$195,MAX(YrOfExit,1)*12))</f>
        <v>0</v>
      </c>
      <c r="AB272" s="78">
        <f>-SUM(AB269:AB271)*AND(AB$5=MIN(Input!$K$196+Input!$K$195,MAX(YrOfExit,1)*12))</f>
        <v>0</v>
      </c>
      <c r="AC272" s="78">
        <f>-SUM(AC269:AC271)*AND(AC$5=MIN(Input!$K$196+Input!$K$195,MAX(YrOfExit,1)*12))</f>
        <v>0</v>
      </c>
      <c r="AD272" s="78">
        <f>-SUM(AD269:AD271)*AND(AD$5=MIN(Input!$K$196+Input!$K$195,MAX(YrOfExit,1)*12))</f>
        <v>0</v>
      </c>
      <c r="AE272" s="78">
        <f>-SUM(AE269:AE271)*AND(AE$5=MIN(Input!$K$196+Input!$K$195,MAX(YrOfExit,1)*12))</f>
        <v>0</v>
      </c>
      <c r="AF272" s="78">
        <f>-SUM(AF269:AF271)*AND(AF$5=MIN(Input!$K$196+Input!$K$195,MAX(YrOfExit,1)*12))</f>
        <v>0</v>
      </c>
      <c r="AG272" s="78">
        <f>-SUM(AG269:AG271)*AND(AG$5=MIN(Input!$K$196+Input!$K$195,MAX(YrOfExit,1)*12))</f>
        <v>0</v>
      </c>
      <c r="AH272" s="78">
        <f>-SUM(AH269:AH271)*AND(AH$5=MIN(Input!$K$196+Input!$K$195,MAX(YrOfExit,1)*12))</f>
        <v>0</v>
      </c>
      <c r="AI272" s="78">
        <f>-SUM(AI269:AI271)*AND(AI$5=MIN(Input!$K$196+Input!$K$195,MAX(YrOfExit,1)*12))</f>
        <v>0</v>
      </c>
      <c r="AJ272" s="78">
        <f>-SUM(AJ269:AJ271)*AND(AJ$5=MIN(Input!$K$196+Input!$K$195,MAX(YrOfExit,1)*12))</f>
        <v>0</v>
      </c>
      <c r="AK272" s="78">
        <f>-SUM(AK269:AK271)*AND(AK$5=MIN(Input!$K$196+Input!$K$195,MAX(YrOfExit,1)*12))</f>
        <v>0</v>
      </c>
      <c r="AL272" s="78">
        <f>-SUM(AL269:AL271)*AND(AL$5=MIN(Input!$K$196+Input!$K$195,MAX(YrOfExit,1)*12))</f>
        <v>0</v>
      </c>
      <c r="AM272" s="78">
        <f>-SUM(AM269:AM271)*AND(AM$5=MIN(Input!$K$196+Input!$K$195,MAX(YrOfExit,1)*12))</f>
        <v>0</v>
      </c>
      <c r="AN272" s="78">
        <f>-SUM(AN269:AN271)*AND(AN$5=MIN(Input!$K$196+Input!$K$195,MAX(YrOfExit,1)*12))</f>
        <v>0</v>
      </c>
      <c r="AO272" s="78">
        <f>-SUM(AO269:AO271)*AND(AO$5=MIN(Input!$K$196+Input!$K$195,MAX(YrOfExit,1)*12))</f>
        <v>0</v>
      </c>
      <c r="AP272" s="78">
        <f>-SUM(AP269:AP271)*AND(AP$5=MIN(Input!$K$196+Input!$K$195,MAX(YrOfExit,1)*12))</f>
        <v>0</v>
      </c>
      <c r="AQ272" s="78">
        <f>-SUM(AQ269:AQ271)*AND(AQ$5=MIN(Input!$K$196+Input!$K$195,MAX(YrOfExit,1)*12))</f>
        <v>0</v>
      </c>
      <c r="AR272" s="78">
        <f>-SUM(AR269:AR271)*AND(AR$5=MIN(Input!$K$196+Input!$K$195,MAX(YrOfExit,1)*12))</f>
        <v>0</v>
      </c>
      <c r="AS272" s="78">
        <f>-SUM(AS269:AS271)*AND(AS$5=MIN(Input!$K$196+Input!$K$195,MAX(YrOfExit,1)*12))</f>
        <v>0</v>
      </c>
      <c r="AT272" s="78">
        <f>-SUM(AT269:AT271)*AND(AT$5=MIN(Input!$K$196+Input!$K$195,MAX(YrOfExit,1)*12))</f>
        <v>0</v>
      </c>
      <c r="AU272" s="78">
        <f>-SUM(AU269:AU271)*AND(AU$5=MIN(Input!$K$196+Input!$K$195,MAX(YrOfExit,1)*12))</f>
        <v>0</v>
      </c>
      <c r="AV272" s="78">
        <f>-SUM(AV269:AV271)*AND(AV$5=MIN(Input!$K$196+Input!$K$195,MAX(YrOfExit,1)*12))</f>
        <v>0</v>
      </c>
      <c r="AW272" s="78">
        <f>-SUM(AW269:AW271)*AND(AW$5=MIN(Input!$K$196+Input!$K$195,MAX(YrOfExit,1)*12))</f>
        <v>0</v>
      </c>
      <c r="AX272" s="78">
        <f>-SUM(AX269:AX271)*AND(AX$5=MIN(Input!$K$196+Input!$K$195,MAX(YrOfExit,1)*12))</f>
        <v>0</v>
      </c>
      <c r="AY272" s="78">
        <f>-SUM(AY269:AY271)*AND(AY$5=MIN(Input!$K$196+Input!$K$195,MAX(YrOfExit,1)*12))</f>
        <v>0</v>
      </c>
      <c r="AZ272" s="78">
        <f>-SUM(AZ269:AZ271)*AND(AZ$5=MIN(Input!$K$196+Input!$K$195,MAX(YrOfExit,1)*12))</f>
        <v>0</v>
      </c>
      <c r="BA272" s="78">
        <f>-SUM(BA269:BA271)*AND(BA$5=MIN(Input!$K$196+Input!$K$195,MAX(YrOfExit,1)*12))</f>
        <v>0</v>
      </c>
      <c r="BB272" s="78">
        <f>-SUM(BB269:BB271)*AND(BB$5=MIN(Input!$K$196+Input!$K$195,MAX(YrOfExit,1)*12))</f>
        <v>0</v>
      </c>
      <c r="BC272" s="78">
        <f>-SUM(BC269:BC271)*AND(BC$5=MIN(Input!$K$196+Input!$K$195,MAX(YrOfExit,1)*12))</f>
        <v>0</v>
      </c>
      <c r="BD272" s="78">
        <f>-SUM(BD269:BD271)*AND(BD$5=MIN(Input!$K$196+Input!$K$195,MAX(YrOfExit,1)*12))</f>
        <v>0</v>
      </c>
      <c r="BE272" s="78">
        <f>-SUM(BE269:BE271)*AND(BE$5=MIN(Input!$K$196+Input!$K$195,MAX(YrOfExit,1)*12))</f>
        <v>0</v>
      </c>
      <c r="BF272" s="78">
        <f>-SUM(BF269:BF271)*AND(BF$5=MIN(Input!$K$196+Input!$K$195,MAX(YrOfExit,1)*12))</f>
        <v>0</v>
      </c>
      <c r="BG272" s="78">
        <f>-SUM(BG269:BG271)*AND(BG$5=MIN(Input!$K$196+Input!$K$195,MAX(YrOfExit,1)*12))</f>
        <v>0</v>
      </c>
      <c r="BH272" s="78">
        <f>-SUM(BH269:BH271)*AND(BH$5=MIN(Input!$K$196+Input!$K$195,MAX(YrOfExit,1)*12))</f>
        <v>0</v>
      </c>
      <c r="BI272" s="78">
        <f>-SUM(BI269:BI271)*AND(BI$5=MIN(Input!$K$196+Input!$K$195,MAX(YrOfExit,1)*12))</f>
        <v>0</v>
      </c>
      <c r="BJ272" s="78">
        <f>-SUM(BJ269:BJ271)*AND(BJ$5=MIN(Input!$K$196+Input!$K$195,MAX(YrOfExit,1)*12))</f>
        <v>0</v>
      </c>
      <c r="BK272" s="78">
        <f>-SUM(BK269:BK271)*AND(BK$5=MIN(Input!$K$196+Input!$K$195,MAX(YrOfExit,1)*12))</f>
        <v>0</v>
      </c>
      <c r="BL272" s="78">
        <f>-SUM(BL269:BL271)*AND(BL$5=MIN(Input!$K$196+Input!$K$195,MAX(YrOfExit,1)*12))</f>
        <v>0</v>
      </c>
      <c r="BM272" s="78">
        <f>-SUM(BM269:BM271)*AND(BM$5=MIN(Input!$K$196+Input!$K$195,MAX(YrOfExit,1)*12))</f>
        <v>0</v>
      </c>
      <c r="BN272" s="78">
        <f>-SUM(BN269:BN271)*AND(BN$5=MIN(Input!$K$196+Input!$K$195,MAX(YrOfExit,1)*12))</f>
        <v>0</v>
      </c>
      <c r="BO272" s="78">
        <f>-SUM(BO269:BO271)*AND(BO$5=MIN(Input!$K$196+Input!$K$195,MAX(YrOfExit,1)*12))</f>
        <v>0</v>
      </c>
      <c r="BP272" s="78">
        <f>-SUM(BP269:BP271)*AND(BP$5=MIN(Input!$K$196+Input!$K$195,MAX(YrOfExit,1)*12))</f>
        <v>0</v>
      </c>
      <c r="BQ272" s="78">
        <f>-SUM(BQ269:BQ271)*AND(BQ$5=MIN(Input!$K$196+Input!$K$195,MAX(YrOfExit,1)*12))</f>
        <v>0</v>
      </c>
      <c r="BR272" s="78">
        <f>-SUM(BR269:BR271)*AND(BR$5=MIN(Input!$K$196+Input!$K$195,MAX(YrOfExit,1)*12))</f>
        <v>0</v>
      </c>
      <c r="BS272" s="78">
        <f>-SUM(BS269:BS271)*AND(BS$5=MIN(Input!$K$196+Input!$K$195,MAX(YrOfExit,1)*12))</f>
        <v>0</v>
      </c>
      <c r="BT272" s="78">
        <f>-SUM(BT269:BT271)*AND(BT$5=MIN(Input!$K$196+Input!$K$195,MAX(YrOfExit,1)*12))</f>
        <v>0</v>
      </c>
      <c r="BU272" s="78">
        <f>-SUM(BU269:BU271)*AND(BU$5=MIN(Input!$K$196+Input!$K$195,MAX(YrOfExit,1)*12))</f>
        <v>0</v>
      </c>
      <c r="BV272" s="78">
        <f>-SUM(BV269:BV271)*AND(BV$5=MIN(Input!$K$196+Input!$K$195,MAX(YrOfExit,1)*12))</f>
        <v>0</v>
      </c>
      <c r="BW272" s="78">
        <f>-SUM(BW269:BW271)*AND(BW$5=MIN(Input!$K$196+Input!$K$195,MAX(YrOfExit,1)*12))</f>
        <v>0</v>
      </c>
      <c r="BX272" s="78">
        <f>-SUM(BX269:BX271)*AND(BX$5=MIN(Input!$K$196+Input!$K$195,MAX(YrOfExit,1)*12))</f>
        <v>0</v>
      </c>
      <c r="BY272" s="78">
        <f>-SUM(BY269:BY271)*AND(BY$5=MIN(Input!$K$196+Input!$K$195,MAX(YrOfExit,1)*12))</f>
        <v>0</v>
      </c>
      <c r="BZ272" s="78">
        <f>-SUM(BZ269:BZ271)*AND(BZ$5=MIN(Input!$K$196+Input!$K$195,MAX(YrOfExit,1)*12))</f>
        <v>0</v>
      </c>
      <c r="CA272" s="78">
        <f>-SUM(CA269:CA271)*AND(CA$5=MIN(Input!$K$196+Input!$K$195,MAX(YrOfExit,1)*12))</f>
        <v>0</v>
      </c>
      <c r="CB272" s="78">
        <f>-SUM(CB269:CB271)*AND(CB$5=MIN(Input!$K$196+Input!$K$195,MAX(YrOfExit,1)*12))</f>
        <v>0</v>
      </c>
      <c r="CC272" s="78">
        <f>-SUM(CC269:CC271)*AND(CC$5=MIN(Input!$K$196+Input!$K$195,MAX(YrOfExit,1)*12))</f>
        <v>0</v>
      </c>
      <c r="CD272" s="78">
        <f>-SUM(CD269:CD271)*AND(CD$5=MIN(Input!$K$196+Input!$K$195,MAX(YrOfExit,1)*12))</f>
        <v>0</v>
      </c>
      <c r="CE272" s="78">
        <f>-SUM(CE269:CE271)*AND(CE$5=MIN(Input!$K$196+Input!$K$195,MAX(YrOfExit,1)*12))</f>
        <v>0</v>
      </c>
      <c r="CF272" s="78">
        <f>-SUM(CF269:CF271)*AND(CF$5=MIN(Input!$K$196+Input!$K$195,MAX(YrOfExit,1)*12))</f>
        <v>0</v>
      </c>
      <c r="CG272" s="78">
        <f>-SUM(CG269:CG271)*AND(CG$5=MIN(Input!$K$196+Input!$K$195,MAX(YrOfExit,1)*12))</f>
        <v>0</v>
      </c>
      <c r="CH272" s="78">
        <f>-SUM(CH269:CH271)*AND(CH$5=MIN(Input!$K$196+Input!$K$195,MAX(YrOfExit,1)*12))</f>
        <v>0</v>
      </c>
      <c r="CI272" s="78">
        <f>-SUM(CI269:CI271)*AND(CI$5=MIN(Input!$K$196+Input!$K$195,MAX(YrOfExit,1)*12))</f>
        <v>0</v>
      </c>
      <c r="CJ272" s="78">
        <f>-SUM(CJ269:CJ271)*AND(CJ$5=MIN(Input!$K$196+Input!$K$195,MAX(YrOfExit,1)*12))</f>
        <v>0</v>
      </c>
      <c r="CK272" s="78">
        <f>-SUM(CK269:CK271)*AND(CK$5=MIN(Input!$K$196+Input!$K$195,MAX(YrOfExit,1)*12))</f>
        <v>0</v>
      </c>
      <c r="CL272" s="78">
        <f>-SUM(CL269:CL271)*AND(CL$5=MIN(Input!$K$196+Input!$K$195,MAX(YrOfExit,1)*12))</f>
        <v>0</v>
      </c>
      <c r="CM272" s="78">
        <f>-SUM(CM269:CM271)*AND(CM$5=MIN(Input!$K$196+Input!$K$195,MAX(YrOfExit,1)*12))</f>
        <v>0</v>
      </c>
      <c r="CN272" s="78">
        <f>-SUM(CN269:CN271)*AND(CN$5=MIN(Input!$K$196+Input!$K$195,MAX(YrOfExit,1)*12))</f>
        <v>0</v>
      </c>
      <c r="CO272" s="78">
        <f>-SUM(CO269:CO271)*AND(CO$5=MIN(Input!$K$196+Input!$K$195,MAX(YrOfExit,1)*12))</f>
        <v>0</v>
      </c>
      <c r="CP272" s="78">
        <f>-SUM(CP269:CP271)*AND(CP$5=MIN(Input!$K$196+Input!$K$195,MAX(YrOfExit,1)*12))</f>
        <v>0</v>
      </c>
      <c r="CQ272" s="78">
        <f>-SUM(CQ269:CQ271)*AND(CQ$5=MIN(Input!$K$196+Input!$K$195,MAX(YrOfExit,1)*12))</f>
        <v>0</v>
      </c>
      <c r="CR272" s="78">
        <f>-SUM(CR269:CR271)*AND(CR$5=MIN(Input!$K$196+Input!$K$195,MAX(YrOfExit,1)*12))</f>
        <v>0</v>
      </c>
      <c r="CS272" s="78">
        <f>-SUM(CS269:CS271)*AND(CS$5=MIN(Input!$K$196+Input!$K$195,MAX(YrOfExit,1)*12))</f>
        <v>0</v>
      </c>
      <c r="CT272" s="78">
        <f>-SUM(CT269:CT271)*AND(CT$5=MIN(Input!$K$196+Input!$K$195,MAX(YrOfExit,1)*12))</f>
        <v>0</v>
      </c>
      <c r="CU272" s="78">
        <f>-SUM(CU269:CU271)*AND(CU$5=MIN(Input!$K$196+Input!$K$195,MAX(YrOfExit,1)*12))</f>
        <v>0</v>
      </c>
      <c r="CV272" s="78">
        <f>-SUM(CV269:CV271)*AND(CV$5=MIN(Input!$K$196+Input!$K$195,MAX(YrOfExit,1)*12))</f>
        <v>0</v>
      </c>
      <c r="CW272" s="78">
        <f>-SUM(CW269:CW271)*AND(CW$5=MIN(Input!$K$196+Input!$K$195,MAX(YrOfExit,1)*12))</f>
        <v>0</v>
      </c>
      <c r="CX272" s="78">
        <f>-SUM(CX269:CX271)*AND(CX$5=MIN(Input!$K$196+Input!$K$195,MAX(YrOfExit,1)*12))</f>
        <v>0</v>
      </c>
      <c r="CY272" s="78">
        <f>-SUM(CY269:CY271)*AND(CY$5=MIN(Input!$K$196+Input!$K$195,MAX(YrOfExit,1)*12))</f>
        <v>0</v>
      </c>
      <c r="CZ272" s="78">
        <f>-SUM(CZ269:CZ271)*AND(CZ$5=MIN(Input!$K$196+Input!$K$195,MAX(YrOfExit,1)*12))</f>
        <v>0</v>
      </c>
      <c r="DA272" s="78">
        <f>-SUM(DA269:DA271)*AND(DA$5=MIN(Input!$K$196+Input!$K$195,MAX(YrOfExit,1)*12))</f>
        <v>0</v>
      </c>
      <c r="DB272" s="78">
        <f>-SUM(DB269:DB271)*AND(DB$5=MIN(Input!$K$196+Input!$K$195,MAX(YrOfExit,1)*12))</f>
        <v>0</v>
      </c>
      <c r="DC272" s="78">
        <f>-SUM(DC269:DC271)*AND(DC$5=MIN(Input!$K$196+Input!$K$195,MAX(YrOfExit,1)*12))</f>
        <v>0</v>
      </c>
      <c r="DD272" s="78">
        <f>-SUM(DD269:DD271)*AND(DD$5=MIN(Input!$K$196+Input!$K$195,MAX(YrOfExit,1)*12))</f>
        <v>0</v>
      </c>
      <c r="DE272" s="78">
        <f>-SUM(DE269:DE271)*AND(DE$5=MIN(Input!$K$196+Input!$K$195,MAX(YrOfExit,1)*12))</f>
        <v>0</v>
      </c>
      <c r="DF272" s="78">
        <f>-SUM(DF269:DF271)*AND(DF$5=MIN(Input!$K$196+Input!$K$195,MAX(YrOfExit,1)*12))</f>
        <v>0</v>
      </c>
      <c r="DG272" s="78">
        <f>-SUM(DG269:DG271)*AND(DG$5=MIN(Input!$K$196+Input!$K$195,MAX(YrOfExit,1)*12))</f>
        <v>0</v>
      </c>
      <c r="DH272" s="78">
        <f>-SUM(DH269:DH271)*AND(DH$5=MIN(Input!$K$196+Input!$K$195,MAX(YrOfExit,1)*12))</f>
        <v>0</v>
      </c>
      <c r="DI272" s="78">
        <f>-SUM(DI269:DI271)*AND(DI$5=MIN(Input!$K$196+Input!$K$195,MAX(YrOfExit,1)*12))</f>
        <v>0</v>
      </c>
      <c r="DJ272" s="78">
        <f>-SUM(DJ269:DJ271)*AND(DJ$5=MIN(Input!$K$196+Input!$K$195,MAX(YrOfExit,1)*12))</f>
        <v>0</v>
      </c>
      <c r="DK272" s="78">
        <f>-SUM(DK269:DK271)*AND(DK$5=MIN(Input!$K$196+Input!$K$195,MAX(YrOfExit,1)*12))</f>
        <v>0</v>
      </c>
      <c r="DL272" s="78">
        <f>-SUM(DL269:DL271)*AND(DL$5=MIN(Input!$K$196+Input!$K$195,MAX(YrOfExit,1)*12))</f>
        <v>0</v>
      </c>
      <c r="DM272" s="78">
        <f>-SUM(DM269:DM271)*AND(DM$5=MIN(Input!$K$196+Input!$K$195,MAX(YrOfExit,1)*12))</f>
        <v>0</v>
      </c>
      <c r="DN272" s="78">
        <f>-SUM(DN269:DN271)*AND(DN$5=MIN(Input!$K$196+Input!$K$195,MAX(YrOfExit,1)*12))</f>
        <v>0</v>
      </c>
      <c r="DO272" s="78">
        <f>-SUM(DO269:DO271)*AND(DO$5=MIN(Input!$K$196+Input!$K$195,MAX(YrOfExit,1)*12))</f>
        <v>0</v>
      </c>
      <c r="DP272" s="78">
        <f>-SUM(DP269:DP271)*AND(DP$5=MIN(Input!$K$196+Input!$K$195,MAX(YrOfExit,1)*12))</f>
        <v>0</v>
      </c>
      <c r="DQ272" s="78">
        <f>-SUM(DQ269:DQ271)*AND(DQ$5=MIN(Input!$K$196+Input!$K$195,MAX(YrOfExit,1)*12))</f>
        <v>0</v>
      </c>
      <c r="DR272" s="78">
        <f>-SUM(DR269:DR271)*AND(DR$5=MIN(Input!$K$196+Input!$K$195,MAX(YrOfExit,1)*12))</f>
        <v>0</v>
      </c>
      <c r="DS272" s="78">
        <f>-SUM(DS269:DS271)*AND(DS$5=MIN(Input!$K$196+Input!$K$195,MAX(YrOfExit,1)*12))</f>
        <v>0</v>
      </c>
      <c r="DT272" s="78">
        <f>-SUM(DT269:DT271)*AND(DT$5=MIN(Input!$K$196+Input!$K$195,MAX(YrOfExit,1)*12))</f>
        <v>0</v>
      </c>
      <c r="DU272" s="78">
        <f>-SUM(DU269:DU271)*AND(DU$5=MIN(Input!$K$196+Input!$K$195,MAX(YrOfExit,1)*12))</f>
        <v>0</v>
      </c>
      <c r="DV272" s="78">
        <f>-SUM(DV269:DV271)*AND(DV$5=MIN(Input!$K$196+Input!$K$195,MAX(YrOfExit,1)*12))</f>
        <v>0</v>
      </c>
      <c r="DW272" s="78">
        <f>-SUM(DW269:DW271)*AND(DW$5=MIN(Input!$K$196+Input!$K$195,MAX(YrOfExit,1)*12))</f>
        <v>0</v>
      </c>
      <c r="DX272" s="78">
        <f>-SUM(DX269:DX271)*AND(DX$5=MIN(Input!$K$196+Input!$K$195,MAX(YrOfExit,1)*12))</f>
        <v>0</v>
      </c>
      <c r="DY272" s="78">
        <f>-SUM(DY269:DY271)*AND(DY$5=MIN(Input!$K$196+Input!$K$195,MAX(YrOfExit,1)*12))</f>
        <v>0</v>
      </c>
      <c r="DZ272" s="78">
        <f>-SUM(DZ269:DZ271)*AND(DZ$5=MIN(Input!$K$196+Input!$K$195,MAX(YrOfExit,1)*12))</f>
        <v>0</v>
      </c>
      <c r="EA272" s="78">
        <f>-SUM(EA269:EA271)*AND(EA$5=MIN(Input!$K$196+Input!$K$195,MAX(YrOfExit,1)*12))</f>
        <v>0</v>
      </c>
      <c r="EB272" s="78">
        <f>-SUM(EB269:EB271)*AND(EB$5=MIN(Input!$K$196+Input!$K$195,MAX(YrOfExit,1)*12))</f>
        <v>0</v>
      </c>
      <c r="EC272" s="78">
        <f>-SUM(EC269:EC271)*AND(EC$5=MIN(Input!$K$196+Input!$K$195,MAX(YrOfExit,1)*12))</f>
        <v>0</v>
      </c>
      <c r="ED272" s="78">
        <f>-SUM(ED269:ED271)*AND(ED$5=MIN(Input!$K$196+Input!$K$195,MAX(YrOfExit,1)*12))</f>
        <v>0</v>
      </c>
      <c r="EE272" s="78">
        <f>-SUM(EE269:EE271)*AND(EE$5=MIN(Input!$K$196+Input!$K$195,MAX(YrOfExit,1)*12))</f>
        <v>0</v>
      </c>
      <c r="EF272" s="78">
        <f>-SUM(EF269:EF271)*AND(EF$5=MIN(Input!$K$196+Input!$K$195,MAX(YrOfExit,1)*12))</f>
        <v>0</v>
      </c>
      <c r="EG272" s="78">
        <f>-SUM(EG269:EG271)*AND(EG$5=MIN(Input!$K$196+Input!$K$195,MAX(YrOfExit,1)*12))</f>
        <v>0</v>
      </c>
      <c r="EH272" s="78">
        <f>-SUM(EH269:EH271)*AND(EH$5=MIN(Input!$K$196+Input!$K$195,MAX(YrOfExit,1)*12))</f>
        <v>0</v>
      </c>
      <c r="EI272" s="78">
        <f>-SUM(EI269:EI271)*AND(EI$5=MIN(Input!$K$196+Input!$K$195,MAX(YrOfExit,1)*12))</f>
        <v>0</v>
      </c>
    </row>
    <row r="273" spans="2:139" ht="12.75" customHeight="1">
      <c r="B273" s="46" t="s">
        <v>595</v>
      </c>
      <c r="C273" s="209"/>
      <c r="D273" s="694">
        <f t="shared" ref="D273:O273" si="507">SUBTOTAL(9,D269:D272)*(SUM(D269:D272)&gt;1)</f>
        <v>0</v>
      </c>
      <c r="E273" s="694">
        <f t="shared" si="507"/>
        <v>0</v>
      </c>
      <c r="F273" s="694">
        <f t="shared" si="507"/>
        <v>0</v>
      </c>
      <c r="G273" s="694">
        <f t="shared" si="507"/>
        <v>0</v>
      </c>
      <c r="H273" s="694">
        <f t="shared" si="507"/>
        <v>0</v>
      </c>
      <c r="I273" s="694">
        <f t="shared" si="507"/>
        <v>0</v>
      </c>
      <c r="J273" s="694">
        <f t="shared" si="507"/>
        <v>0</v>
      </c>
      <c r="K273" s="694">
        <f t="shared" si="507"/>
        <v>0</v>
      </c>
      <c r="L273" s="694">
        <f t="shared" si="507"/>
        <v>0</v>
      </c>
      <c r="M273" s="694">
        <f t="shared" si="507"/>
        <v>0</v>
      </c>
      <c r="N273" s="694">
        <f t="shared" si="507"/>
        <v>0</v>
      </c>
      <c r="O273" s="713">
        <f t="shared" si="507"/>
        <v>0</v>
      </c>
      <c r="S273" s="694">
        <f t="shared" ref="S273:AX273" si="508">SUBTOTAL(9,S269:S272)*(SUM(S269:S272)&gt;1)</f>
        <v>0</v>
      </c>
      <c r="T273" s="694">
        <f t="shared" si="508"/>
        <v>0</v>
      </c>
      <c r="U273" s="694">
        <f t="shared" si="508"/>
        <v>0</v>
      </c>
      <c r="V273" s="694">
        <f t="shared" si="508"/>
        <v>0</v>
      </c>
      <c r="W273" s="694">
        <f t="shared" si="508"/>
        <v>0</v>
      </c>
      <c r="X273" s="694">
        <f t="shared" si="508"/>
        <v>0</v>
      </c>
      <c r="Y273" s="694">
        <f t="shared" si="508"/>
        <v>0</v>
      </c>
      <c r="Z273" s="694">
        <f t="shared" si="508"/>
        <v>0</v>
      </c>
      <c r="AA273" s="694">
        <f t="shared" si="508"/>
        <v>0</v>
      </c>
      <c r="AB273" s="694">
        <f t="shared" si="508"/>
        <v>0</v>
      </c>
      <c r="AC273" s="694">
        <f t="shared" si="508"/>
        <v>0</v>
      </c>
      <c r="AD273" s="694">
        <f t="shared" si="508"/>
        <v>0</v>
      </c>
      <c r="AE273" s="694">
        <f t="shared" si="508"/>
        <v>0</v>
      </c>
      <c r="AF273" s="694">
        <f t="shared" si="508"/>
        <v>0</v>
      </c>
      <c r="AG273" s="694">
        <f t="shared" si="508"/>
        <v>0</v>
      </c>
      <c r="AH273" s="694">
        <f t="shared" si="508"/>
        <v>0</v>
      </c>
      <c r="AI273" s="694">
        <f t="shared" si="508"/>
        <v>0</v>
      </c>
      <c r="AJ273" s="694">
        <f t="shared" si="508"/>
        <v>0</v>
      </c>
      <c r="AK273" s="694">
        <f t="shared" si="508"/>
        <v>0</v>
      </c>
      <c r="AL273" s="694">
        <f t="shared" si="508"/>
        <v>0</v>
      </c>
      <c r="AM273" s="694">
        <f t="shared" si="508"/>
        <v>0</v>
      </c>
      <c r="AN273" s="694">
        <f t="shared" si="508"/>
        <v>0</v>
      </c>
      <c r="AO273" s="694">
        <f t="shared" si="508"/>
        <v>0</v>
      </c>
      <c r="AP273" s="694">
        <f t="shared" si="508"/>
        <v>0</v>
      </c>
      <c r="AQ273" s="694">
        <f t="shared" si="508"/>
        <v>0</v>
      </c>
      <c r="AR273" s="694">
        <f t="shared" si="508"/>
        <v>0</v>
      </c>
      <c r="AS273" s="694">
        <f t="shared" si="508"/>
        <v>0</v>
      </c>
      <c r="AT273" s="694">
        <f t="shared" si="508"/>
        <v>0</v>
      </c>
      <c r="AU273" s="694">
        <f t="shared" si="508"/>
        <v>0</v>
      </c>
      <c r="AV273" s="694">
        <f t="shared" si="508"/>
        <v>0</v>
      </c>
      <c r="AW273" s="694">
        <f t="shared" si="508"/>
        <v>0</v>
      </c>
      <c r="AX273" s="694">
        <f t="shared" si="508"/>
        <v>0</v>
      </c>
      <c r="AY273" s="694">
        <f t="shared" ref="AY273:CD273" si="509">SUBTOTAL(9,AY269:AY272)*(SUM(AY269:AY272)&gt;1)</f>
        <v>0</v>
      </c>
      <c r="AZ273" s="694">
        <f t="shared" si="509"/>
        <v>0</v>
      </c>
      <c r="BA273" s="694">
        <f t="shared" si="509"/>
        <v>0</v>
      </c>
      <c r="BB273" s="694">
        <f t="shared" si="509"/>
        <v>0</v>
      </c>
      <c r="BC273" s="694">
        <f t="shared" si="509"/>
        <v>0</v>
      </c>
      <c r="BD273" s="694">
        <f t="shared" si="509"/>
        <v>0</v>
      </c>
      <c r="BE273" s="694">
        <f t="shared" si="509"/>
        <v>0</v>
      </c>
      <c r="BF273" s="694">
        <f t="shared" si="509"/>
        <v>0</v>
      </c>
      <c r="BG273" s="694">
        <f t="shared" si="509"/>
        <v>0</v>
      </c>
      <c r="BH273" s="694">
        <f t="shared" si="509"/>
        <v>0</v>
      </c>
      <c r="BI273" s="694">
        <f t="shared" si="509"/>
        <v>0</v>
      </c>
      <c r="BJ273" s="694">
        <f t="shared" si="509"/>
        <v>0</v>
      </c>
      <c r="BK273" s="694">
        <f t="shared" si="509"/>
        <v>0</v>
      </c>
      <c r="BL273" s="694">
        <f t="shared" si="509"/>
        <v>0</v>
      </c>
      <c r="BM273" s="694">
        <f t="shared" si="509"/>
        <v>0</v>
      </c>
      <c r="BN273" s="694">
        <f t="shared" si="509"/>
        <v>0</v>
      </c>
      <c r="BO273" s="694">
        <f t="shared" si="509"/>
        <v>0</v>
      </c>
      <c r="BP273" s="694">
        <f t="shared" si="509"/>
        <v>0</v>
      </c>
      <c r="BQ273" s="694">
        <f t="shared" si="509"/>
        <v>0</v>
      </c>
      <c r="BR273" s="694">
        <f t="shared" si="509"/>
        <v>0</v>
      </c>
      <c r="BS273" s="694">
        <f t="shared" si="509"/>
        <v>0</v>
      </c>
      <c r="BT273" s="694">
        <f t="shared" si="509"/>
        <v>0</v>
      </c>
      <c r="BU273" s="694">
        <f t="shared" si="509"/>
        <v>0</v>
      </c>
      <c r="BV273" s="694">
        <f t="shared" si="509"/>
        <v>0</v>
      </c>
      <c r="BW273" s="694">
        <f t="shared" si="509"/>
        <v>0</v>
      </c>
      <c r="BX273" s="694">
        <f t="shared" si="509"/>
        <v>0</v>
      </c>
      <c r="BY273" s="694">
        <f t="shared" si="509"/>
        <v>0</v>
      </c>
      <c r="BZ273" s="694">
        <f t="shared" si="509"/>
        <v>0</v>
      </c>
      <c r="CA273" s="694">
        <f t="shared" si="509"/>
        <v>0</v>
      </c>
      <c r="CB273" s="694">
        <f t="shared" si="509"/>
        <v>0</v>
      </c>
      <c r="CC273" s="694">
        <f t="shared" si="509"/>
        <v>0</v>
      </c>
      <c r="CD273" s="694">
        <f t="shared" si="509"/>
        <v>0</v>
      </c>
      <c r="CE273" s="694">
        <f t="shared" ref="CE273:DJ273" si="510">SUBTOTAL(9,CE269:CE272)*(SUM(CE269:CE272)&gt;1)</f>
        <v>0</v>
      </c>
      <c r="CF273" s="694">
        <f t="shared" si="510"/>
        <v>0</v>
      </c>
      <c r="CG273" s="694">
        <f t="shared" si="510"/>
        <v>0</v>
      </c>
      <c r="CH273" s="694">
        <f t="shared" si="510"/>
        <v>0</v>
      </c>
      <c r="CI273" s="694">
        <f t="shared" si="510"/>
        <v>0</v>
      </c>
      <c r="CJ273" s="694">
        <f t="shared" si="510"/>
        <v>0</v>
      </c>
      <c r="CK273" s="694">
        <f t="shared" si="510"/>
        <v>0</v>
      </c>
      <c r="CL273" s="694">
        <f t="shared" si="510"/>
        <v>0</v>
      </c>
      <c r="CM273" s="694">
        <f t="shared" si="510"/>
        <v>0</v>
      </c>
      <c r="CN273" s="694">
        <f t="shared" si="510"/>
        <v>0</v>
      </c>
      <c r="CO273" s="694">
        <f t="shared" si="510"/>
        <v>0</v>
      </c>
      <c r="CP273" s="694">
        <f t="shared" si="510"/>
        <v>0</v>
      </c>
      <c r="CQ273" s="694">
        <f t="shared" si="510"/>
        <v>0</v>
      </c>
      <c r="CR273" s="694">
        <f t="shared" si="510"/>
        <v>0</v>
      </c>
      <c r="CS273" s="694">
        <f t="shared" si="510"/>
        <v>0</v>
      </c>
      <c r="CT273" s="694">
        <f t="shared" si="510"/>
        <v>0</v>
      </c>
      <c r="CU273" s="694">
        <f t="shared" si="510"/>
        <v>0</v>
      </c>
      <c r="CV273" s="694">
        <f t="shared" si="510"/>
        <v>0</v>
      </c>
      <c r="CW273" s="694">
        <f t="shared" si="510"/>
        <v>0</v>
      </c>
      <c r="CX273" s="694">
        <f t="shared" si="510"/>
        <v>0</v>
      </c>
      <c r="CY273" s="694">
        <f t="shared" si="510"/>
        <v>0</v>
      </c>
      <c r="CZ273" s="694">
        <f t="shared" si="510"/>
        <v>0</v>
      </c>
      <c r="DA273" s="694">
        <f t="shared" si="510"/>
        <v>0</v>
      </c>
      <c r="DB273" s="694">
        <f t="shared" si="510"/>
        <v>0</v>
      </c>
      <c r="DC273" s="694">
        <f t="shared" si="510"/>
        <v>0</v>
      </c>
      <c r="DD273" s="694">
        <f t="shared" si="510"/>
        <v>0</v>
      </c>
      <c r="DE273" s="694">
        <f t="shared" si="510"/>
        <v>0</v>
      </c>
      <c r="DF273" s="694">
        <f t="shared" si="510"/>
        <v>0</v>
      </c>
      <c r="DG273" s="694">
        <f t="shared" si="510"/>
        <v>0</v>
      </c>
      <c r="DH273" s="694">
        <f t="shared" si="510"/>
        <v>0</v>
      </c>
      <c r="DI273" s="694">
        <f t="shared" si="510"/>
        <v>0</v>
      </c>
      <c r="DJ273" s="694">
        <f t="shared" si="510"/>
        <v>0</v>
      </c>
      <c r="DK273" s="694">
        <f t="shared" ref="DK273:EP273" si="511">SUBTOTAL(9,DK269:DK272)*(SUM(DK269:DK272)&gt;1)</f>
        <v>0</v>
      </c>
      <c r="DL273" s="694">
        <f t="shared" si="511"/>
        <v>0</v>
      </c>
      <c r="DM273" s="694">
        <f t="shared" si="511"/>
        <v>0</v>
      </c>
      <c r="DN273" s="694">
        <f t="shared" si="511"/>
        <v>0</v>
      </c>
      <c r="DO273" s="694">
        <f t="shared" si="511"/>
        <v>0</v>
      </c>
      <c r="DP273" s="694">
        <f t="shared" si="511"/>
        <v>0</v>
      </c>
      <c r="DQ273" s="694">
        <f t="shared" si="511"/>
        <v>0</v>
      </c>
      <c r="DR273" s="694">
        <f t="shared" si="511"/>
        <v>0</v>
      </c>
      <c r="DS273" s="694">
        <f t="shared" si="511"/>
        <v>0</v>
      </c>
      <c r="DT273" s="694">
        <f t="shared" si="511"/>
        <v>0</v>
      </c>
      <c r="DU273" s="694">
        <f t="shared" si="511"/>
        <v>0</v>
      </c>
      <c r="DV273" s="694">
        <f t="shared" si="511"/>
        <v>0</v>
      </c>
      <c r="DW273" s="694">
        <f t="shared" si="511"/>
        <v>0</v>
      </c>
      <c r="DX273" s="694">
        <f t="shared" si="511"/>
        <v>0</v>
      </c>
      <c r="DY273" s="694">
        <f t="shared" si="511"/>
        <v>0</v>
      </c>
      <c r="DZ273" s="694">
        <f t="shared" si="511"/>
        <v>0</v>
      </c>
      <c r="EA273" s="694">
        <f t="shared" si="511"/>
        <v>0</v>
      </c>
      <c r="EB273" s="694">
        <f t="shared" si="511"/>
        <v>0</v>
      </c>
      <c r="EC273" s="694">
        <f t="shared" si="511"/>
        <v>0</v>
      </c>
      <c r="ED273" s="694">
        <f t="shared" si="511"/>
        <v>0</v>
      </c>
      <c r="EE273" s="694">
        <f t="shared" si="511"/>
        <v>0</v>
      </c>
      <c r="EF273" s="694">
        <f t="shared" si="511"/>
        <v>0</v>
      </c>
      <c r="EG273" s="694">
        <f t="shared" si="511"/>
        <v>0</v>
      </c>
      <c r="EH273" s="694">
        <f t="shared" si="511"/>
        <v>0</v>
      </c>
      <c r="EI273" s="694">
        <f t="shared" si="511"/>
        <v>0</v>
      </c>
    </row>
    <row r="274" spans="2:139" ht="12.75" customHeight="1">
      <c r="B274" s="46"/>
      <c r="C274" s="209"/>
      <c r="D274" s="169"/>
      <c r="E274" s="169"/>
      <c r="F274" s="169"/>
      <c r="G274" s="169"/>
      <c r="H274" s="169"/>
      <c r="I274" s="169"/>
      <c r="J274" s="169"/>
      <c r="K274" s="169"/>
      <c r="L274" s="169"/>
      <c r="M274" s="169"/>
      <c r="N274" s="169"/>
      <c r="O274" s="91"/>
      <c r="S274" s="169"/>
      <c r="T274" s="169"/>
      <c r="U274" s="169"/>
      <c r="V274" s="169"/>
      <c r="W274" s="169"/>
      <c r="X274" s="169"/>
      <c r="Y274" s="169"/>
      <c r="Z274" s="169"/>
      <c r="AA274" s="169"/>
      <c r="AB274" s="169"/>
      <c r="AC274" s="169"/>
      <c r="AD274" s="169"/>
      <c r="AE274" s="169"/>
      <c r="AF274" s="169"/>
      <c r="AG274" s="169"/>
      <c r="AH274" s="169"/>
      <c r="AI274" s="169"/>
      <c r="AJ274" s="169"/>
      <c r="AK274" s="169"/>
      <c r="AL274" s="169"/>
      <c r="AM274" s="169"/>
      <c r="AN274" s="169"/>
      <c r="AO274" s="169"/>
      <c r="AP274" s="169"/>
      <c r="AQ274" s="169"/>
      <c r="AR274" s="169"/>
      <c r="AS274" s="169"/>
      <c r="AT274" s="169"/>
      <c r="AU274" s="169"/>
      <c r="AV274" s="169"/>
      <c r="AW274" s="169"/>
      <c r="AX274" s="169"/>
      <c r="AY274" s="169"/>
      <c r="AZ274" s="169"/>
      <c r="BA274" s="169"/>
      <c r="BB274" s="169"/>
      <c r="BC274" s="169"/>
      <c r="BD274" s="169"/>
      <c r="BE274" s="169"/>
      <c r="BF274" s="169"/>
      <c r="BG274" s="169"/>
      <c r="BH274" s="169"/>
      <c r="BI274" s="169"/>
      <c r="BJ274" s="169"/>
      <c r="BK274" s="169"/>
      <c r="BL274" s="169"/>
      <c r="BM274" s="169"/>
      <c r="BN274" s="169"/>
      <c r="BO274" s="169"/>
      <c r="BP274" s="169"/>
      <c r="BQ274" s="169"/>
      <c r="BR274" s="169"/>
      <c r="BS274" s="169"/>
      <c r="BT274" s="169"/>
      <c r="BU274" s="169"/>
      <c r="BV274" s="169"/>
      <c r="BW274" s="169"/>
      <c r="BX274" s="169"/>
      <c r="BY274" s="169"/>
      <c r="BZ274" s="169"/>
      <c r="CA274" s="169"/>
      <c r="CB274" s="169"/>
      <c r="CC274" s="169"/>
      <c r="CD274" s="169"/>
      <c r="CE274" s="169"/>
      <c r="CF274" s="169"/>
      <c r="CG274" s="169"/>
      <c r="CH274" s="169"/>
      <c r="CI274" s="169"/>
      <c r="CJ274" s="169"/>
      <c r="CK274" s="169"/>
      <c r="CL274" s="169"/>
      <c r="CM274" s="169"/>
      <c r="CN274" s="169"/>
      <c r="CO274" s="169"/>
      <c r="CP274" s="169"/>
      <c r="CQ274" s="169"/>
      <c r="CR274" s="169"/>
      <c r="CS274" s="169"/>
      <c r="CT274" s="169"/>
      <c r="CU274" s="169"/>
      <c r="CV274" s="169"/>
      <c r="CW274" s="169"/>
      <c r="CX274" s="169"/>
      <c r="CY274" s="169"/>
      <c r="CZ274" s="169"/>
      <c r="DA274" s="169"/>
      <c r="DB274" s="169"/>
      <c r="DC274" s="169"/>
      <c r="DD274" s="169"/>
      <c r="DE274" s="169"/>
      <c r="DF274" s="169"/>
      <c r="DG274" s="169"/>
      <c r="DH274" s="169"/>
      <c r="DI274" s="169"/>
      <c r="DJ274" s="169"/>
      <c r="DK274" s="169"/>
      <c r="DL274" s="169"/>
      <c r="DM274" s="169"/>
      <c r="DN274" s="169"/>
      <c r="DO274" s="169"/>
      <c r="DP274" s="169"/>
      <c r="DQ274" s="169"/>
      <c r="DR274" s="169"/>
      <c r="DS274" s="169"/>
      <c r="DT274" s="169"/>
      <c r="DU274" s="169"/>
      <c r="DV274" s="169"/>
      <c r="DW274" s="169"/>
      <c r="DX274" s="169"/>
      <c r="DY274" s="169"/>
      <c r="DZ274" s="169"/>
      <c r="EA274" s="169"/>
      <c r="EB274" s="169"/>
      <c r="EC274" s="169"/>
      <c r="ED274" s="169"/>
      <c r="EE274" s="169"/>
      <c r="EF274" s="169"/>
      <c r="EG274" s="169"/>
      <c r="EH274" s="169"/>
      <c r="EI274" s="169"/>
    </row>
    <row r="275" spans="2:139" ht="12.75" customHeight="1">
      <c r="B275" s="1045" t="s">
        <v>48</v>
      </c>
      <c r="C275" s="211"/>
      <c r="D275" s="78"/>
      <c r="E275" s="78"/>
      <c r="F275" s="78"/>
      <c r="G275" s="78"/>
      <c r="H275" s="78"/>
      <c r="I275" s="78"/>
      <c r="J275" s="78"/>
      <c r="K275" s="78"/>
      <c r="L275" s="78"/>
      <c r="M275" s="78"/>
      <c r="N275" s="78"/>
      <c r="O275" s="145"/>
      <c r="S275" s="78"/>
      <c r="T275" s="78"/>
      <c r="U275" s="78"/>
      <c r="V275" s="78"/>
      <c r="W275" s="78"/>
      <c r="X275" s="78"/>
      <c r="Y275" s="78"/>
      <c r="Z275" s="78"/>
      <c r="AA275" s="78"/>
      <c r="AB275" s="78"/>
      <c r="AC275" s="78"/>
      <c r="AD275" s="78"/>
      <c r="AE275" s="78"/>
      <c r="AF275" s="78"/>
      <c r="AG275" s="78"/>
      <c r="AH275" s="78"/>
      <c r="AI275" s="78"/>
      <c r="AJ275" s="78"/>
      <c r="AK275" s="78"/>
      <c r="AL275" s="78"/>
      <c r="AM275" s="78"/>
      <c r="AN275" s="78"/>
      <c r="AO275" s="78"/>
      <c r="AP275" s="78"/>
      <c r="AQ275" s="78"/>
      <c r="AR275" s="78"/>
      <c r="AS275" s="78"/>
      <c r="AT275" s="78"/>
      <c r="AU275" s="78"/>
      <c r="AV275" s="78"/>
      <c r="AW275" s="78"/>
      <c r="AX275" s="78"/>
      <c r="AY275" s="78"/>
      <c r="AZ275" s="78"/>
      <c r="BA275" s="78"/>
      <c r="BB275" s="78"/>
      <c r="BC275" s="78"/>
      <c r="BD275" s="78"/>
      <c r="BE275" s="78"/>
      <c r="BF275" s="78"/>
      <c r="BG275" s="78"/>
      <c r="BH275" s="78"/>
      <c r="BI275" s="78"/>
      <c r="BJ275" s="78"/>
      <c r="BK275" s="78"/>
      <c r="BL275" s="78"/>
      <c r="BM275" s="78"/>
      <c r="BN275" s="78"/>
      <c r="BO275" s="78"/>
      <c r="BP275" s="78"/>
      <c r="BQ275" s="78"/>
      <c r="BR275" s="78"/>
      <c r="BS275" s="78"/>
      <c r="BT275" s="78"/>
      <c r="BU275" s="78"/>
      <c r="BV275" s="78"/>
      <c r="BW275" s="78"/>
      <c r="BX275" s="78"/>
      <c r="BY275" s="78"/>
      <c r="BZ275" s="78"/>
      <c r="CA275" s="78"/>
      <c r="CB275" s="78"/>
      <c r="CC275" s="78"/>
      <c r="CD275" s="78"/>
      <c r="CE275" s="78"/>
      <c r="CF275" s="78"/>
      <c r="CG275" s="78"/>
      <c r="CH275" s="78"/>
      <c r="CI275" s="78"/>
      <c r="CJ275" s="78"/>
      <c r="CK275" s="78"/>
      <c r="CL275" s="78"/>
      <c r="CM275" s="78"/>
      <c r="CN275" s="78"/>
      <c r="CO275" s="78"/>
      <c r="CP275" s="78"/>
      <c r="CQ275" s="78"/>
      <c r="CR275" s="78"/>
      <c r="CS275" s="78"/>
      <c r="CT275" s="78"/>
      <c r="CU275" s="78"/>
      <c r="CV275" s="78"/>
      <c r="CW275" s="78"/>
      <c r="CX275" s="78"/>
      <c r="CY275" s="78"/>
      <c r="CZ275" s="78"/>
      <c r="DA275" s="78"/>
      <c r="DB275" s="78"/>
      <c r="DC275" s="78"/>
      <c r="DD275" s="78"/>
      <c r="DE275" s="78"/>
      <c r="DF275" s="78"/>
      <c r="DG275" s="78"/>
      <c r="DH275" s="78"/>
      <c r="DI275" s="78"/>
      <c r="DJ275" s="78"/>
      <c r="DK275" s="78"/>
      <c r="DL275" s="78"/>
      <c r="DM275" s="78"/>
      <c r="DN275" s="78"/>
      <c r="DO275" s="78"/>
      <c r="DP275" s="78"/>
      <c r="DQ275" s="78"/>
      <c r="DR275" s="78"/>
      <c r="DS275" s="78"/>
      <c r="DT275" s="78"/>
      <c r="DU275" s="78"/>
      <c r="DV275" s="78"/>
      <c r="DW275" s="78"/>
      <c r="DX275" s="78"/>
      <c r="DY275" s="78"/>
      <c r="DZ275" s="78"/>
      <c r="EA275" s="78"/>
      <c r="EB275" s="78"/>
      <c r="EC275" s="78"/>
      <c r="ED275" s="78"/>
      <c r="EE275" s="78"/>
      <c r="EF275" s="78"/>
      <c r="EG275" s="78"/>
      <c r="EH275" s="78"/>
      <c r="EI275" s="78"/>
    </row>
    <row r="276" spans="2:139" ht="12.75" customHeight="1">
      <c r="B276" s="41" t="str">
        <f>IF(Loan2IntType=FixedInterest,B278,"Interest Rate before Floor/Cap")</f>
        <v>Loan 2 Interest Rate</v>
      </c>
      <c r="C276" s="211"/>
      <c r="D276" s="78"/>
      <c r="E276" s="40">
        <f>IF(Input!$K$207=FixedInterest,Input!$K$214,(SUMIF(Input!$S$196:$S$205,E$4,Input!$W$196:$W$205)+Input!$K$213/10000))*AND(Input!$K$195&lt;&gt;"",E$4&gt;Input!$K$194,E$269+E$270&gt;0)</f>
        <v>0</v>
      </c>
      <c r="F276" s="40">
        <f>IF(Input!$K$207=FixedInterest,Input!$K$214,(SUMIF(Input!$S$196:$S$205,F$4,Input!$W$196:$W$205)+Input!$K$213/10000))*AND(Input!$K$195&lt;&gt;"",F$4&gt;Input!$K$194,F$269+F$270&gt;0)</f>
        <v>0</v>
      </c>
      <c r="G276" s="40">
        <f>IF(Input!$K$207=FixedInterest,Input!$K$214,(SUMIF(Input!$S$196:$S$205,G$4,Input!$W$196:$W$205)+Input!$K$213/10000))*AND(Input!$K$195&lt;&gt;"",G$4&gt;Input!$K$194,G$269+G$270&gt;0)</f>
        <v>0</v>
      </c>
      <c r="H276" s="40">
        <f>IF(Input!$K$207=FixedInterest,Input!$K$214,(SUMIF(Input!$S$196:$S$205,H$4,Input!$W$196:$W$205)+Input!$K$213/10000))*AND(Input!$K$195&lt;&gt;"",H$4&gt;Input!$K$194,H$269+H$270&gt;0)</f>
        <v>0</v>
      </c>
      <c r="I276" s="40">
        <f>IF(Input!$K$207=FixedInterest,Input!$K$214,(SUMIF(Input!$S$196:$S$205,I$4,Input!$W$196:$W$205)+Input!$K$213/10000))*AND(Input!$K$195&lt;&gt;"",I$4&gt;Input!$K$194,I$269+I$270&gt;0)</f>
        <v>0</v>
      </c>
      <c r="J276" s="40">
        <f>IF(Input!$K$207=FixedInterest,Input!$K$214,(SUMIF(Input!$S$196:$S$205,J$4,Input!$W$196:$W$205)+Input!$K$213/10000))*AND(Input!$K$195&lt;&gt;"",J$4&gt;Input!$K$194,J$269+J$270&gt;0)</f>
        <v>0</v>
      </c>
      <c r="K276" s="40">
        <f>IF(Input!$K$207=FixedInterest,Input!$K$214,(SUMIF(Input!$S$196:$S$205,K$4,Input!$W$196:$W$205)+Input!$K$213/10000))*AND(Input!$K$195&lt;&gt;"",K$4&gt;Input!$K$194,K$269+K$270&gt;0)</f>
        <v>0</v>
      </c>
      <c r="L276" s="40">
        <f>IF(Input!$K$207=FixedInterest,Input!$K$214,(SUMIF(Input!$S$196:$S$205,L$4,Input!$W$196:$W$205)+Input!$K$213/10000))*AND(Input!$K$195&lt;&gt;"",L$4&gt;Input!$K$194,L$269+L$270&gt;0)</f>
        <v>0</v>
      </c>
      <c r="M276" s="40">
        <f>IF(Input!$K$207=FixedInterest,Input!$K$214,(SUMIF(Input!$S$196:$S$205,M$4,Input!$W$196:$W$205)+Input!$K$213/10000))*AND(Input!$K$195&lt;&gt;"",M$4&gt;Input!$K$194,M$269+M$270&gt;0)</f>
        <v>0</v>
      </c>
      <c r="N276" s="40">
        <f>IF(Input!$K$207=FixedInterest,Input!$K$214,(SUMIF(Input!$S$196:$S$205,N$4,Input!$W$196:$W$205)+Input!$K$213/10000))*AND(Input!$K$195&lt;&gt;"",N$4&gt;Input!$K$194,N$269+N$270&gt;0)</f>
        <v>0</v>
      </c>
      <c r="O276" s="145"/>
      <c r="S276" s="78"/>
      <c r="T276" s="40">
        <f t="shared" ref="T276:AY276" si="512">SUMIF($D$5:$N$5,T$6,$D276:$N276)*(T269+T270&gt;0)</f>
        <v>0</v>
      </c>
      <c r="U276" s="40">
        <f t="shared" si="512"/>
        <v>0</v>
      </c>
      <c r="V276" s="40">
        <f t="shared" si="512"/>
        <v>0</v>
      </c>
      <c r="W276" s="40">
        <f t="shared" si="512"/>
        <v>0</v>
      </c>
      <c r="X276" s="40">
        <f t="shared" si="512"/>
        <v>0</v>
      </c>
      <c r="Y276" s="40">
        <f t="shared" si="512"/>
        <v>0</v>
      </c>
      <c r="Z276" s="40">
        <f t="shared" si="512"/>
        <v>0</v>
      </c>
      <c r="AA276" s="40">
        <f t="shared" si="512"/>
        <v>0</v>
      </c>
      <c r="AB276" s="40">
        <f t="shared" si="512"/>
        <v>0</v>
      </c>
      <c r="AC276" s="40">
        <f t="shared" si="512"/>
        <v>0</v>
      </c>
      <c r="AD276" s="40">
        <f t="shared" si="512"/>
        <v>0</v>
      </c>
      <c r="AE276" s="40">
        <f t="shared" si="512"/>
        <v>0</v>
      </c>
      <c r="AF276" s="40">
        <f t="shared" si="512"/>
        <v>0</v>
      </c>
      <c r="AG276" s="40">
        <f t="shared" si="512"/>
        <v>0</v>
      </c>
      <c r="AH276" s="40">
        <f t="shared" si="512"/>
        <v>0</v>
      </c>
      <c r="AI276" s="40">
        <f t="shared" si="512"/>
        <v>0</v>
      </c>
      <c r="AJ276" s="40">
        <f t="shared" si="512"/>
        <v>0</v>
      </c>
      <c r="AK276" s="40">
        <f t="shared" si="512"/>
        <v>0</v>
      </c>
      <c r="AL276" s="40">
        <f t="shared" si="512"/>
        <v>0</v>
      </c>
      <c r="AM276" s="40">
        <f t="shared" si="512"/>
        <v>0</v>
      </c>
      <c r="AN276" s="40">
        <f t="shared" si="512"/>
        <v>0</v>
      </c>
      <c r="AO276" s="40">
        <f t="shared" si="512"/>
        <v>0</v>
      </c>
      <c r="AP276" s="40">
        <f t="shared" si="512"/>
        <v>0</v>
      </c>
      <c r="AQ276" s="40">
        <f t="shared" si="512"/>
        <v>0</v>
      </c>
      <c r="AR276" s="40">
        <f t="shared" si="512"/>
        <v>0</v>
      </c>
      <c r="AS276" s="40">
        <f t="shared" si="512"/>
        <v>0</v>
      </c>
      <c r="AT276" s="40">
        <f t="shared" si="512"/>
        <v>0</v>
      </c>
      <c r="AU276" s="40">
        <f t="shared" si="512"/>
        <v>0</v>
      </c>
      <c r="AV276" s="40">
        <f t="shared" si="512"/>
        <v>0</v>
      </c>
      <c r="AW276" s="40">
        <f t="shared" si="512"/>
        <v>0</v>
      </c>
      <c r="AX276" s="40">
        <f t="shared" si="512"/>
        <v>0</v>
      </c>
      <c r="AY276" s="40">
        <f t="shared" si="512"/>
        <v>0</v>
      </c>
      <c r="AZ276" s="40">
        <f t="shared" ref="AZ276:CE276" si="513">SUMIF($D$5:$N$5,AZ$6,$D276:$N276)*(AZ269+AZ270&gt;0)</f>
        <v>0</v>
      </c>
      <c r="BA276" s="40">
        <f t="shared" si="513"/>
        <v>0</v>
      </c>
      <c r="BB276" s="40">
        <f t="shared" si="513"/>
        <v>0</v>
      </c>
      <c r="BC276" s="40">
        <f t="shared" si="513"/>
        <v>0</v>
      </c>
      <c r="BD276" s="40">
        <f t="shared" si="513"/>
        <v>0</v>
      </c>
      <c r="BE276" s="40">
        <f t="shared" si="513"/>
        <v>0</v>
      </c>
      <c r="BF276" s="40">
        <f t="shared" si="513"/>
        <v>0</v>
      </c>
      <c r="BG276" s="40">
        <f t="shared" si="513"/>
        <v>0</v>
      </c>
      <c r="BH276" s="40">
        <f t="shared" si="513"/>
        <v>0</v>
      </c>
      <c r="BI276" s="40">
        <f t="shared" si="513"/>
        <v>0</v>
      </c>
      <c r="BJ276" s="40">
        <f t="shared" si="513"/>
        <v>0</v>
      </c>
      <c r="BK276" s="40">
        <f t="shared" si="513"/>
        <v>0</v>
      </c>
      <c r="BL276" s="40">
        <f t="shared" si="513"/>
        <v>0</v>
      </c>
      <c r="BM276" s="40">
        <f t="shared" si="513"/>
        <v>0</v>
      </c>
      <c r="BN276" s="40">
        <f t="shared" si="513"/>
        <v>0</v>
      </c>
      <c r="BO276" s="40">
        <f t="shared" si="513"/>
        <v>0</v>
      </c>
      <c r="BP276" s="40">
        <f t="shared" si="513"/>
        <v>0</v>
      </c>
      <c r="BQ276" s="40">
        <f t="shared" si="513"/>
        <v>0</v>
      </c>
      <c r="BR276" s="40">
        <f t="shared" si="513"/>
        <v>0</v>
      </c>
      <c r="BS276" s="40">
        <f t="shared" si="513"/>
        <v>0</v>
      </c>
      <c r="BT276" s="40">
        <f t="shared" si="513"/>
        <v>0</v>
      </c>
      <c r="BU276" s="40">
        <f t="shared" si="513"/>
        <v>0</v>
      </c>
      <c r="BV276" s="40">
        <f t="shared" si="513"/>
        <v>0</v>
      </c>
      <c r="BW276" s="40">
        <f t="shared" si="513"/>
        <v>0</v>
      </c>
      <c r="BX276" s="40">
        <f t="shared" si="513"/>
        <v>0</v>
      </c>
      <c r="BY276" s="40">
        <f t="shared" si="513"/>
        <v>0</v>
      </c>
      <c r="BZ276" s="40">
        <f t="shared" si="513"/>
        <v>0</v>
      </c>
      <c r="CA276" s="40">
        <f t="shared" si="513"/>
        <v>0</v>
      </c>
      <c r="CB276" s="40">
        <f t="shared" si="513"/>
        <v>0</v>
      </c>
      <c r="CC276" s="40">
        <f t="shared" si="513"/>
        <v>0</v>
      </c>
      <c r="CD276" s="40">
        <f t="shared" si="513"/>
        <v>0</v>
      </c>
      <c r="CE276" s="40">
        <f t="shared" si="513"/>
        <v>0</v>
      </c>
      <c r="CF276" s="40">
        <f t="shared" ref="CF276:DK276" si="514">SUMIF($D$5:$N$5,CF$6,$D276:$N276)*(CF269+CF270&gt;0)</f>
        <v>0</v>
      </c>
      <c r="CG276" s="40">
        <f t="shared" si="514"/>
        <v>0</v>
      </c>
      <c r="CH276" s="40">
        <f t="shared" si="514"/>
        <v>0</v>
      </c>
      <c r="CI276" s="40">
        <f t="shared" si="514"/>
        <v>0</v>
      </c>
      <c r="CJ276" s="40">
        <f t="shared" si="514"/>
        <v>0</v>
      </c>
      <c r="CK276" s="40">
        <f t="shared" si="514"/>
        <v>0</v>
      </c>
      <c r="CL276" s="40">
        <f t="shared" si="514"/>
        <v>0</v>
      </c>
      <c r="CM276" s="40">
        <f t="shared" si="514"/>
        <v>0</v>
      </c>
      <c r="CN276" s="40">
        <f t="shared" si="514"/>
        <v>0</v>
      </c>
      <c r="CO276" s="40">
        <f t="shared" si="514"/>
        <v>0</v>
      </c>
      <c r="CP276" s="40">
        <f t="shared" si="514"/>
        <v>0</v>
      </c>
      <c r="CQ276" s="40">
        <f t="shared" si="514"/>
        <v>0</v>
      </c>
      <c r="CR276" s="40">
        <f t="shared" si="514"/>
        <v>0</v>
      </c>
      <c r="CS276" s="40">
        <f t="shared" si="514"/>
        <v>0</v>
      </c>
      <c r="CT276" s="40">
        <f t="shared" si="514"/>
        <v>0</v>
      </c>
      <c r="CU276" s="40">
        <f t="shared" si="514"/>
        <v>0</v>
      </c>
      <c r="CV276" s="40">
        <f t="shared" si="514"/>
        <v>0</v>
      </c>
      <c r="CW276" s="40">
        <f t="shared" si="514"/>
        <v>0</v>
      </c>
      <c r="CX276" s="40">
        <f t="shared" si="514"/>
        <v>0</v>
      </c>
      <c r="CY276" s="40">
        <f t="shared" si="514"/>
        <v>0</v>
      </c>
      <c r="CZ276" s="40">
        <f t="shared" si="514"/>
        <v>0</v>
      </c>
      <c r="DA276" s="40">
        <f t="shared" si="514"/>
        <v>0</v>
      </c>
      <c r="DB276" s="40">
        <f t="shared" si="514"/>
        <v>0</v>
      </c>
      <c r="DC276" s="40">
        <f t="shared" si="514"/>
        <v>0</v>
      </c>
      <c r="DD276" s="40">
        <f t="shared" si="514"/>
        <v>0</v>
      </c>
      <c r="DE276" s="40">
        <f t="shared" si="514"/>
        <v>0</v>
      </c>
      <c r="DF276" s="40">
        <f t="shared" si="514"/>
        <v>0</v>
      </c>
      <c r="DG276" s="40">
        <f t="shared" si="514"/>
        <v>0</v>
      </c>
      <c r="DH276" s="40">
        <f t="shared" si="514"/>
        <v>0</v>
      </c>
      <c r="DI276" s="40">
        <f t="shared" si="514"/>
        <v>0</v>
      </c>
      <c r="DJ276" s="40">
        <f t="shared" si="514"/>
        <v>0</v>
      </c>
      <c r="DK276" s="40">
        <f t="shared" si="514"/>
        <v>0</v>
      </c>
      <c r="DL276" s="40">
        <f t="shared" ref="DL276:EI276" si="515">SUMIF($D$5:$N$5,DL$6,$D276:$N276)*(DL269+DL270&gt;0)</f>
        <v>0</v>
      </c>
      <c r="DM276" s="40">
        <f t="shared" si="515"/>
        <v>0</v>
      </c>
      <c r="DN276" s="40">
        <f t="shared" si="515"/>
        <v>0</v>
      </c>
      <c r="DO276" s="40">
        <f t="shared" si="515"/>
        <v>0</v>
      </c>
      <c r="DP276" s="40">
        <f t="shared" si="515"/>
        <v>0</v>
      </c>
      <c r="DQ276" s="40">
        <f t="shared" si="515"/>
        <v>0</v>
      </c>
      <c r="DR276" s="40">
        <f t="shared" si="515"/>
        <v>0</v>
      </c>
      <c r="DS276" s="40">
        <f t="shared" si="515"/>
        <v>0</v>
      </c>
      <c r="DT276" s="40">
        <f t="shared" si="515"/>
        <v>0</v>
      </c>
      <c r="DU276" s="40">
        <f t="shared" si="515"/>
        <v>0</v>
      </c>
      <c r="DV276" s="40">
        <f t="shared" si="515"/>
        <v>0</v>
      </c>
      <c r="DW276" s="40">
        <f t="shared" si="515"/>
        <v>0</v>
      </c>
      <c r="DX276" s="40">
        <f t="shared" si="515"/>
        <v>0</v>
      </c>
      <c r="DY276" s="40">
        <f t="shared" si="515"/>
        <v>0</v>
      </c>
      <c r="DZ276" s="40">
        <f t="shared" si="515"/>
        <v>0</v>
      </c>
      <c r="EA276" s="40">
        <f t="shared" si="515"/>
        <v>0</v>
      </c>
      <c r="EB276" s="40">
        <f t="shared" si="515"/>
        <v>0</v>
      </c>
      <c r="EC276" s="40">
        <f t="shared" si="515"/>
        <v>0</v>
      </c>
      <c r="ED276" s="40">
        <f t="shared" si="515"/>
        <v>0</v>
      </c>
      <c r="EE276" s="40">
        <f t="shared" si="515"/>
        <v>0</v>
      </c>
      <c r="EF276" s="40">
        <f t="shared" si="515"/>
        <v>0</v>
      </c>
      <c r="EG276" s="40">
        <f t="shared" si="515"/>
        <v>0</v>
      </c>
      <c r="EH276" s="40">
        <f t="shared" si="515"/>
        <v>0</v>
      </c>
      <c r="EI276" s="40">
        <f t="shared" si="515"/>
        <v>0</v>
      </c>
    </row>
    <row r="277" spans="2:139" ht="12.75" hidden="1" customHeight="1">
      <c r="B277" s="41" t="s">
        <v>596</v>
      </c>
      <c r="C277" s="211"/>
      <c r="D277" s="78"/>
      <c r="E277" s="40">
        <f t="shared" ref="E277:N277" si="516">E278-E276</f>
        <v>0</v>
      </c>
      <c r="F277" s="40">
        <f t="shared" si="516"/>
        <v>0</v>
      </c>
      <c r="G277" s="40">
        <f t="shared" si="516"/>
        <v>0</v>
      </c>
      <c r="H277" s="40">
        <f t="shared" si="516"/>
        <v>0</v>
      </c>
      <c r="I277" s="40">
        <f t="shared" si="516"/>
        <v>0</v>
      </c>
      <c r="J277" s="40">
        <f t="shared" si="516"/>
        <v>0</v>
      </c>
      <c r="K277" s="40">
        <f t="shared" si="516"/>
        <v>0</v>
      </c>
      <c r="L277" s="40">
        <f t="shared" si="516"/>
        <v>0</v>
      </c>
      <c r="M277" s="40">
        <f t="shared" si="516"/>
        <v>0</v>
      </c>
      <c r="N277" s="40">
        <f t="shared" si="516"/>
        <v>0</v>
      </c>
      <c r="O277" s="145"/>
      <c r="S277" s="78"/>
      <c r="T277" s="40">
        <f t="shared" ref="T277:AY277" si="517">T278-T276</f>
        <v>0</v>
      </c>
      <c r="U277" s="40">
        <f t="shared" si="517"/>
        <v>0</v>
      </c>
      <c r="V277" s="40">
        <f t="shared" si="517"/>
        <v>0</v>
      </c>
      <c r="W277" s="40">
        <f t="shared" si="517"/>
        <v>0</v>
      </c>
      <c r="X277" s="40">
        <f t="shared" si="517"/>
        <v>0</v>
      </c>
      <c r="Y277" s="40">
        <f t="shared" si="517"/>
        <v>0</v>
      </c>
      <c r="Z277" s="40">
        <f t="shared" si="517"/>
        <v>0</v>
      </c>
      <c r="AA277" s="40">
        <f t="shared" si="517"/>
        <v>0</v>
      </c>
      <c r="AB277" s="40">
        <f t="shared" si="517"/>
        <v>0</v>
      </c>
      <c r="AC277" s="40">
        <f t="shared" si="517"/>
        <v>0</v>
      </c>
      <c r="AD277" s="40">
        <f t="shared" si="517"/>
        <v>0</v>
      </c>
      <c r="AE277" s="40">
        <f t="shared" si="517"/>
        <v>0</v>
      </c>
      <c r="AF277" s="40">
        <f t="shared" si="517"/>
        <v>0</v>
      </c>
      <c r="AG277" s="40">
        <f t="shared" si="517"/>
        <v>0</v>
      </c>
      <c r="AH277" s="40">
        <f t="shared" si="517"/>
        <v>0</v>
      </c>
      <c r="AI277" s="40">
        <f t="shared" si="517"/>
        <v>0</v>
      </c>
      <c r="AJ277" s="40">
        <f t="shared" si="517"/>
        <v>0</v>
      </c>
      <c r="AK277" s="40">
        <f t="shared" si="517"/>
        <v>0</v>
      </c>
      <c r="AL277" s="40">
        <f t="shared" si="517"/>
        <v>0</v>
      </c>
      <c r="AM277" s="40">
        <f t="shared" si="517"/>
        <v>0</v>
      </c>
      <c r="AN277" s="40">
        <f t="shared" si="517"/>
        <v>0</v>
      </c>
      <c r="AO277" s="40">
        <f t="shared" si="517"/>
        <v>0</v>
      </c>
      <c r="AP277" s="40">
        <f t="shared" si="517"/>
        <v>0</v>
      </c>
      <c r="AQ277" s="40">
        <f t="shared" si="517"/>
        <v>0</v>
      </c>
      <c r="AR277" s="40">
        <f t="shared" si="517"/>
        <v>0</v>
      </c>
      <c r="AS277" s="40">
        <f t="shared" si="517"/>
        <v>0</v>
      </c>
      <c r="AT277" s="40">
        <f t="shared" si="517"/>
        <v>0</v>
      </c>
      <c r="AU277" s="40">
        <f t="shared" si="517"/>
        <v>0</v>
      </c>
      <c r="AV277" s="40">
        <f t="shared" si="517"/>
        <v>0</v>
      </c>
      <c r="AW277" s="40">
        <f t="shared" si="517"/>
        <v>0</v>
      </c>
      <c r="AX277" s="40">
        <f t="shared" si="517"/>
        <v>0</v>
      </c>
      <c r="AY277" s="40">
        <f t="shared" si="517"/>
        <v>0</v>
      </c>
      <c r="AZ277" s="40">
        <f t="shared" ref="AZ277:CE277" si="518">AZ278-AZ276</f>
        <v>0</v>
      </c>
      <c r="BA277" s="40">
        <f t="shared" si="518"/>
        <v>0</v>
      </c>
      <c r="BB277" s="40">
        <f t="shared" si="518"/>
        <v>0</v>
      </c>
      <c r="BC277" s="40">
        <f t="shared" si="518"/>
        <v>0</v>
      </c>
      <c r="BD277" s="40">
        <f t="shared" si="518"/>
        <v>0</v>
      </c>
      <c r="BE277" s="40">
        <f t="shared" si="518"/>
        <v>0</v>
      </c>
      <c r="BF277" s="40">
        <f t="shared" si="518"/>
        <v>0</v>
      </c>
      <c r="BG277" s="40">
        <f t="shared" si="518"/>
        <v>0</v>
      </c>
      <c r="BH277" s="40">
        <f t="shared" si="518"/>
        <v>0</v>
      </c>
      <c r="BI277" s="40">
        <f t="shared" si="518"/>
        <v>0</v>
      </c>
      <c r="BJ277" s="40">
        <f t="shared" si="518"/>
        <v>0</v>
      </c>
      <c r="BK277" s="40">
        <f t="shared" si="518"/>
        <v>0</v>
      </c>
      <c r="BL277" s="40">
        <f t="shared" si="518"/>
        <v>0</v>
      </c>
      <c r="BM277" s="40">
        <f t="shared" si="518"/>
        <v>0</v>
      </c>
      <c r="BN277" s="40">
        <f t="shared" si="518"/>
        <v>0</v>
      </c>
      <c r="BO277" s="40">
        <f t="shared" si="518"/>
        <v>0</v>
      </c>
      <c r="BP277" s="40">
        <f t="shared" si="518"/>
        <v>0</v>
      </c>
      <c r="BQ277" s="40">
        <f t="shared" si="518"/>
        <v>0</v>
      </c>
      <c r="BR277" s="40">
        <f t="shared" si="518"/>
        <v>0</v>
      </c>
      <c r="BS277" s="40">
        <f t="shared" si="518"/>
        <v>0</v>
      </c>
      <c r="BT277" s="40">
        <f t="shared" si="518"/>
        <v>0</v>
      </c>
      <c r="BU277" s="40">
        <f t="shared" si="518"/>
        <v>0</v>
      </c>
      <c r="BV277" s="40">
        <f t="shared" si="518"/>
        <v>0</v>
      </c>
      <c r="BW277" s="40">
        <f t="shared" si="518"/>
        <v>0</v>
      </c>
      <c r="BX277" s="40">
        <f t="shared" si="518"/>
        <v>0</v>
      </c>
      <c r="BY277" s="40">
        <f t="shared" si="518"/>
        <v>0</v>
      </c>
      <c r="BZ277" s="40">
        <f t="shared" si="518"/>
        <v>0</v>
      </c>
      <c r="CA277" s="40">
        <f t="shared" si="518"/>
        <v>0</v>
      </c>
      <c r="CB277" s="40">
        <f t="shared" si="518"/>
        <v>0</v>
      </c>
      <c r="CC277" s="40">
        <f t="shared" si="518"/>
        <v>0</v>
      </c>
      <c r="CD277" s="40">
        <f t="shared" si="518"/>
        <v>0</v>
      </c>
      <c r="CE277" s="40">
        <f t="shared" si="518"/>
        <v>0</v>
      </c>
      <c r="CF277" s="40">
        <f t="shared" ref="CF277:DK277" si="519">CF278-CF276</f>
        <v>0</v>
      </c>
      <c r="CG277" s="40">
        <f t="shared" si="519"/>
        <v>0</v>
      </c>
      <c r="CH277" s="40">
        <f t="shared" si="519"/>
        <v>0</v>
      </c>
      <c r="CI277" s="40">
        <f t="shared" si="519"/>
        <v>0</v>
      </c>
      <c r="CJ277" s="40">
        <f t="shared" si="519"/>
        <v>0</v>
      </c>
      <c r="CK277" s="40">
        <f t="shared" si="519"/>
        <v>0</v>
      </c>
      <c r="CL277" s="40">
        <f t="shared" si="519"/>
        <v>0</v>
      </c>
      <c r="CM277" s="40">
        <f t="shared" si="519"/>
        <v>0</v>
      </c>
      <c r="CN277" s="40">
        <f t="shared" si="519"/>
        <v>0</v>
      </c>
      <c r="CO277" s="40">
        <f t="shared" si="519"/>
        <v>0</v>
      </c>
      <c r="CP277" s="40">
        <f t="shared" si="519"/>
        <v>0</v>
      </c>
      <c r="CQ277" s="40">
        <f t="shared" si="519"/>
        <v>0</v>
      </c>
      <c r="CR277" s="40">
        <f t="shared" si="519"/>
        <v>0</v>
      </c>
      <c r="CS277" s="40">
        <f t="shared" si="519"/>
        <v>0</v>
      </c>
      <c r="CT277" s="40">
        <f t="shared" si="519"/>
        <v>0</v>
      </c>
      <c r="CU277" s="40">
        <f t="shared" si="519"/>
        <v>0</v>
      </c>
      <c r="CV277" s="40">
        <f t="shared" si="519"/>
        <v>0</v>
      </c>
      <c r="CW277" s="40">
        <f t="shared" si="519"/>
        <v>0</v>
      </c>
      <c r="CX277" s="40">
        <f t="shared" si="519"/>
        <v>0</v>
      </c>
      <c r="CY277" s="40">
        <f t="shared" si="519"/>
        <v>0</v>
      </c>
      <c r="CZ277" s="40">
        <f t="shared" si="519"/>
        <v>0</v>
      </c>
      <c r="DA277" s="40">
        <f t="shared" si="519"/>
        <v>0</v>
      </c>
      <c r="DB277" s="40">
        <f t="shared" si="519"/>
        <v>0</v>
      </c>
      <c r="DC277" s="40">
        <f t="shared" si="519"/>
        <v>0</v>
      </c>
      <c r="DD277" s="40">
        <f t="shared" si="519"/>
        <v>0</v>
      </c>
      <c r="DE277" s="40">
        <f t="shared" si="519"/>
        <v>0</v>
      </c>
      <c r="DF277" s="40">
        <f t="shared" si="519"/>
        <v>0</v>
      </c>
      <c r="DG277" s="40">
        <f t="shared" si="519"/>
        <v>0</v>
      </c>
      <c r="DH277" s="40">
        <f t="shared" si="519"/>
        <v>0</v>
      </c>
      <c r="DI277" s="40">
        <f t="shared" si="519"/>
        <v>0</v>
      </c>
      <c r="DJ277" s="40">
        <f t="shared" si="519"/>
        <v>0</v>
      </c>
      <c r="DK277" s="40">
        <f t="shared" si="519"/>
        <v>0</v>
      </c>
      <c r="DL277" s="40">
        <f t="shared" ref="DL277:EQ277" si="520">DL278-DL276</f>
        <v>0</v>
      </c>
      <c r="DM277" s="40">
        <f t="shared" si="520"/>
        <v>0</v>
      </c>
      <c r="DN277" s="40">
        <f t="shared" si="520"/>
        <v>0</v>
      </c>
      <c r="DO277" s="40">
        <f t="shared" si="520"/>
        <v>0</v>
      </c>
      <c r="DP277" s="40">
        <f t="shared" si="520"/>
        <v>0</v>
      </c>
      <c r="DQ277" s="40">
        <f t="shared" si="520"/>
        <v>0</v>
      </c>
      <c r="DR277" s="40">
        <f t="shared" si="520"/>
        <v>0</v>
      </c>
      <c r="DS277" s="40">
        <f t="shared" si="520"/>
        <v>0</v>
      </c>
      <c r="DT277" s="40">
        <f t="shared" si="520"/>
        <v>0</v>
      </c>
      <c r="DU277" s="40">
        <f t="shared" si="520"/>
        <v>0</v>
      </c>
      <c r="DV277" s="40">
        <f t="shared" si="520"/>
        <v>0</v>
      </c>
      <c r="DW277" s="40">
        <f t="shared" si="520"/>
        <v>0</v>
      </c>
      <c r="DX277" s="40">
        <f t="shared" si="520"/>
        <v>0</v>
      </c>
      <c r="DY277" s="40">
        <f t="shared" si="520"/>
        <v>0</v>
      </c>
      <c r="DZ277" s="40">
        <f t="shared" si="520"/>
        <v>0</v>
      </c>
      <c r="EA277" s="40">
        <f t="shared" si="520"/>
        <v>0</v>
      </c>
      <c r="EB277" s="40">
        <f t="shared" si="520"/>
        <v>0</v>
      </c>
      <c r="EC277" s="40">
        <f t="shared" si="520"/>
        <v>0</v>
      </c>
      <c r="ED277" s="40">
        <f t="shared" si="520"/>
        <v>0</v>
      </c>
      <c r="EE277" s="40">
        <f t="shared" si="520"/>
        <v>0</v>
      </c>
      <c r="EF277" s="40">
        <f t="shared" si="520"/>
        <v>0</v>
      </c>
      <c r="EG277" s="40">
        <f t="shared" si="520"/>
        <v>0</v>
      </c>
      <c r="EH277" s="40">
        <f t="shared" si="520"/>
        <v>0</v>
      </c>
      <c r="EI277" s="40">
        <f t="shared" si="520"/>
        <v>0</v>
      </c>
    </row>
    <row r="278" spans="2:139" ht="12.75" hidden="1" customHeight="1" collapsed="1">
      <c r="B278" s="46" t="s">
        <v>621</v>
      </c>
      <c r="C278" s="209"/>
      <c r="D278" s="78"/>
      <c r="E278" s="714">
        <f>IF(Input!$K$207=FixedInterest,E276,MIN(MAX(E276,Input!$W$207),Input!$W$208))*AND(Input!$K$195&lt;&gt;"",E$4&gt;Input!$K$194,E$269+E$270&gt;0)</f>
        <v>0</v>
      </c>
      <c r="F278" s="714">
        <f>IF(Input!$K$207=FixedInterest,F276,MIN(MAX(F276,Input!$W$207),Input!$W$208))*AND(Input!$K$195&lt;&gt;"",F$4&gt;Input!$K$194,F$269+F$270&gt;0)</f>
        <v>0</v>
      </c>
      <c r="G278" s="714">
        <f>IF(Input!$K$207=FixedInterest,G276,MIN(MAX(G276,Input!$W$207),Input!$W$208))*AND(Input!$K$195&lt;&gt;"",G$4&gt;Input!$K$194,G$269+G$270&gt;0)</f>
        <v>0</v>
      </c>
      <c r="H278" s="714">
        <f>IF(Input!$K$207=FixedInterest,H276,MIN(MAX(H276,Input!$W$207),Input!$W$208))*AND(Input!$K$195&lt;&gt;"",H$4&gt;Input!$K$194,H$269+H$270&gt;0)</f>
        <v>0</v>
      </c>
      <c r="I278" s="714">
        <f>IF(Input!$K$207=FixedInterest,I276,MIN(MAX(I276,Input!$W$207),Input!$W$208))*AND(Input!$K$195&lt;&gt;"",I$4&gt;Input!$K$194,I$269+I$270&gt;0)</f>
        <v>0</v>
      </c>
      <c r="J278" s="714">
        <f>IF(Input!$K$207=FixedInterest,J276,MIN(MAX(J276,Input!$W$207),Input!$W$208))*AND(Input!$K$195&lt;&gt;"",J$4&gt;Input!$K$194,J$269+J$270&gt;0)</f>
        <v>0</v>
      </c>
      <c r="K278" s="714">
        <f>IF(Input!$K$207=FixedInterest,K276,MIN(MAX(K276,Input!$W$207),Input!$W$208))*AND(Input!$K$195&lt;&gt;"",K$4&gt;Input!$K$194,K$269+K$270&gt;0)</f>
        <v>0</v>
      </c>
      <c r="L278" s="714">
        <f>IF(Input!$K$207=FixedInterest,L276,MIN(MAX(L276,Input!$W$207),Input!$W$208))*AND(Input!$K$195&lt;&gt;"",L$4&gt;Input!$K$194,L$269+L$270&gt;0)</f>
        <v>0</v>
      </c>
      <c r="M278" s="714">
        <f>IF(Input!$K$207=FixedInterest,M276,MIN(MAX(M276,Input!$W$207),Input!$W$208))*AND(Input!$K$195&lt;&gt;"",M$4&gt;Input!$K$194,M$269+M$270&gt;0)</f>
        <v>0</v>
      </c>
      <c r="N278" s="714">
        <f>IF(Input!$K$207=FixedInterest,N276,MIN(MAX(N276,Input!$W$207),Input!$W$208))*AND(Input!$K$195&lt;&gt;"",N$4&gt;Input!$K$194,N$269+N$270&gt;0)</f>
        <v>0</v>
      </c>
      <c r="O278" s="873"/>
      <c r="S278" s="78"/>
      <c r="T278" s="714">
        <f t="shared" ref="T278:AY278" si="521">SUMIF($D$5:$N$5,T$6,$D278:$N278)*(T269+T270&gt;0)</f>
        <v>0</v>
      </c>
      <c r="U278" s="714">
        <f t="shared" si="521"/>
        <v>0</v>
      </c>
      <c r="V278" s="714">
        <f t="shared" si="521"/>
        <v>0</v>
      </c>
      <c r="W278" s="714">
        <f t="shared" si="521"/>
        <v>0</v>
      </c>
      <c r="X278" s="714">
        <f t="shared" si="521"/>
        <v>0</v>
      </c>
      <c r="Y278" s="714">
        <f t="shared" si="521"/>
        <v>0</v>
      </c>
      <c r="Z278" s="714">
        <f t="shared" si="521"/>
        <v>0</v>
      </c>
      <c r="AA278" s="714">
        <f t="shared" si="521"/>
        <v>0</v>
      </c>
      <c r="AB278" s="714">
        <f t="shared" si="521"/>
        <v>0</v>
      </c>
      <c r="AC278" s="714">
        <f t="shared" si="521"/>
        <v>0</v>
      </c>
      <c r="AD278" s="714">
        <f t="shared" si="521"/>
        <v>0</v>
      </c>
      <c r="AE278" s="714">
        <f t="shared" si="521"/>
        <v>0</v>
      </c>
      <c r="AF278" s="714">
        <f t="shared" si="521"/>
        <v>0</v>
      </c>
      <c r="AG278" s="714">
        <f t="shared" si="521"/>
        <v>0</v>
      </c>
      <c r="AH278" s="714">
        <f t="shared" si="521"/>
        <v>0</v>
      </c>
      <c r="AI278" s="714">
        <f t="shared" si="521"/>
        <v>0</v>
      </c>
      <c r="AJ278" s="714">
        <f t="shared" si="521"/>
        <v>0</v>
      </c>
      <c r="AK278" s="714">
        <f t="shared" si="521"/>
        <v>0</v>
      </c>
      <c r="AL278" s="714">
        <f t="shared" si="521"/>
        <v>0</v>
      </c>
      <c r="AM278" s="714">
        <f t="shared" si="521"/>
        <v>0</v>
      </c>
      <c r="AN278" s="714">
        <f t="shared" si="521"/>
        <v>0</v>
      </c>
      <c r="AO278" s="714">
        <f t="shared" si="521"/>
        <v>0</v>
      </c>
      <c r="AP278" s="714">
        <f t="shared" si="521"/>
        <v>0</v>
      </c>
      <c r="AQ278" s="714">
        <f t="shared" si="521"/>
        <v>0</v>
      </c>
      <c r="AR278" s="714">
        <f t="shared" si="521"/>
        <v>0</v>
      </c>
      <c r="AS278" s="714">
        <f t="shared" si="521"/>
        <v>0</v>
      </c>
      <c r="AT278" s="714">
        <f t="shared" si="521"/>
        <v>0</v>
      </c>
      <c r="AU278" s="714">
        <f t="shared" si="521"/>
        <v>0</v>
      </c>
      <c r="AV278" s="714">
        <f t="shared" si="521"/>
        <v>0</v>
      </c>
      <c r="AW278" s="714">
        <f t="shared" si="521"/>
        <v>0</v>
      </c>
      <c r="AX278" s="714">
        <f t="shared" si="521"/>
        <v>0</v>
      </c>
      <c r="AY278" s="714">
        <f t="shared" si="521"/>
        <v>0</v>
      </c>
      <c r="AZ278" s="714">
        <f t="shared" ref="AZ278:CE278" si="522">SUMIF($D$5:$N$5,AZ$6,$D278:$N278)*(AZ269+AZ270&gt;0)</f>
        <v>0</v>
      </c>
      <c r="BA278" s="714">
        <f t="shared" si="522"/>
        <v>0</v>
      </c>
      <c r="BB278" s="714">
        <f t="shared" si="522"/>
        <v>0</v>
      </c>
      <c r="BC278" s="714">
        <f t="shared" si="522"/>
        <v>0</v>
      </c>
      <c r="BD278" s="714">
        <f t="shared" si="522"/>
        <v>0</v>
      </c>
      <c r="BE278" s="714">
        <f t="shared" si="522"/>
        <v>0</v>
      </c>
      <c r="BF278" s="714">
        <f t="shared" si="522"/>
        <v>0</v>
      </c>
      <c r="BG278" s="714">
        <f t="shared" si="522"/>
        <v>0</v>
      </c>
      <c r="BH278" s="714">
        <f t="shared" si="522"/>
        <v>0</v>
      </c>
      <c r="BI278" s="714">
        <f t="shared" si="522"/>
        <v>0</v>
      </c>
      <c r="BJ278" s="714">
        <f t="shared" si="522"/>
        <v>0</v>
      </c>
      <c r="BK278" s="714">
        <f t="shared" si="522"/>
        <v>0</v>
      </c>
      <c r="BL278" s="714">
        <f t="shared" si="522"/>
        <v>0</v>
      </c>
      <c r="BM278" s="714">
        <f t="shared" si="522"/>
        <v>0</v>
      </c>
      <c r="BN278" s="714">
        <f t="shared" si="522"/>
        <v>0</v>
      </c>
      <c r="BO278" s="714">
        <f t="shared" si="522"/>
        <v>0</v>
      </c>
      <c r="BP278" s="714">
        <f t="shared" si="522"/>
        <v>0</v>
      </c>
      <c r="BQ278" s="714">
        <f t="shared" si="522"/>
        <v>0</v>
      </c>
      <c r="BR278" s="714">
        <f t="shared" si="522"/>
        <v>0</v>
      </c>
      <c r="BS278" s="714">
        <f t="shared" si="522"/>
        <v>0</v>
      </c>
      <c r="BT278" s="714">
        <f t="shared" si="522"/>
        <v>0</v>
      </c>
      <c r="BU278" s="714">
        <f t="shared" si="522"/>
        <v>0</v>
      </c>
      <c r="BV278" s="714">
        <f t="shared" si="522"/>
        <v>0</v>
      </c>
      <c r="BW278" s="714">
        <f t="shared" si="522"/>
        <v>0</v>
      </c>
      <c r="BX278" s="714">
        <f t="shared" si="522"/>
        <v>0</v>
      </c>
      <c r="BY278" s="714">
        <f t="shared" si="522"/>
        <v>0</v>
      </c>
      <c r="BZ278" s="714">
        <f t="shared" si="522"/>
        <v>0</v>
      </c>
      <c r="CA278" s="714">
        <f t="shared" si="522"/>
        <v>0</v>
      </c>
      <c r="CB278" s="714">
        <f t="shared" si="522"/>
        <v>0</v>
      </c>
      <c r="CC278" s="714">
        <f t="shared" si="522"/>
        <v>0</v>
      </c>
      <c r="CD278" s="714">
        <f t="shared" si="522"/>
        <v>0</v>
      </c>
      <c r="CE278" s="714">
        <f t="shared" si="522"/>
        <v>0</v>
      </c>
      <c r="CF278" s="714">
        <f t="shared" ref="CF278:DK278" si="523">SUMIF($D$5:$N$5,CF$6,$D278:$N278)*(CF269+CF270&gt;0)</f>
        <v>0</v>
      </c>
      <c r="CG278" s="714">
        <f t="shared" si="523"/>
        <v>0</v>
      </c>
      <c r="CH278" s="714">
        <f t="shared" si="523"/>
        <v>0</v>
      </c>
      <c r="CI278" s="714">
        <f t="shared" si="523"/>
        <v>0</v>
      </c>
      <c r="CJ278" s="714">
        <f t="shared" si="523"/>
        <v>0</v>
      </c>
      <c r="CK278" s="714">
        <f t="shared" si="523"/>
        <v>0</v>
      </c>
      <c r="CL278" s="714">
        <f t="shared" si="523"/>
        <v>0</v>
      </c>
      <c r="CM278" s="714">
        <f t="shared" si="523"/>
        <v>0</v>
      </c>
      <c r="CN278" s="714">
        <f t="shared" si="523"/>
        <v>0</v>
      </c>
      <c r="CO278" s="714">
        <f t="shared" si="523"/>
        <v>0</v>
      </c>
      <c r="CP278" s="714">
        <f t="shared" si="523"/>
        <v>0</v>
      </c>
      <c r="CQ278" s="714">
        <f t="shared" si="523"/>
        <v>0</v>
      </c>
      <c r="CR278" s="714">
        <f t="shared" si="523"/>
        <v>0</v>
      </c>
      <c r="CS278" s="714">
        <f t="shared" si="523"/>
        <v>0</v>
      </c>
      <c r="CT278" s="714">
        <f t="shared" si="523"/>
        <v>0</v>
      </c>
      <c r="CU278" s="714">
        <f t="shared" si="523"/>
        <v>0</v>
      </c>
      <c r="CV278" s="714">
        <f t="shared" si="523"/>
        <v>0</v>
      </c>
      <c r="CW278" s="714">
        <f t="shared" si="523"/>
        <v>0</v>
      </c>
      <c r="CX278" s="714">
        <f t="shared" si="523"/>
        <v>0</v>
      </c>
      <c r="CY278" s="714">
        <f t="shared" si="523"/>
        <v>0</v>
      </c>
      <c r="CZ278" s="714">
        <f t="shared" si="523"/>
        <v>0</v>
      </c>
      <c r="DA278" s="714">
        <f t="shared" si="523"/>
        <v>0</v>
      </c>
      <c r="DB278" s="714">
        <f t="shared" si="523"/>
        <v>0</v>
      </c>
      <c r="DC278" s="714">
        <f t="shared" si="523"/>
        <v>0</v>
      </c>
      <c r="DD278" s="714">
        <f t="shared" si="523"/>
        <v>0</v>
      </c>
      <c r="DE278" s="714">
        <f t="shared" si="523"/>
        <v>0</v>
      </c>
      <c r="DF278" s="714">
        <f t="shared" si="523"/>
        <v>0</v>
      </c>
      <c r="DG278" s="714">
        <f t="shared" si="523"/>
        <v>0</v>
      </c>
      <c r="DH278" s="714">
        <f t="shared" si="523"/>
        <v>0</v>
      </c>
      <c r="DI278" s="714">
        <f t="shared" si="523"/>
        <v>0</v>
      </c>
      <c r="DJ278" s="714">
        <f t="shared" si="523"/>
        <v>0</v>
      </c>
      <c r="DK278" s="714">
        <f t="shared" si="523"/>
        <v>0</v>
      </c>
      <c r="DL278" s="714">
        <f t="shared" ref="DL278:EI278" si="524">SUMIF($D$5:$N$5,DL$6,$D278:$N278)*(DL269+DL270&gt;0)</f>
        <v>0</v>
      </c>
      <c r="DM278" s="714">
        <f t="shared" si="524"/>
        <v>0</v>
      </c>
      <c r="DN278" s="714">
        <f t="shared" si="524"/>
        <v>0</v>
      </c>
      <c r="DO278" s="714">
        <f t="shared" si="524"/>
        <v>0</v>
      </c>
      <c r="DP278" s="714">
        <f t="shared" si="524"/>
        <v>0</v>
      </c>
      <c r="DQ278" s="714">
        <f t="shared" si="524"/>
        <v>0</v>
      </c>
      <c r="DR278" s="714">
        <f t="shared" si="524"/>
        <v>0</v>
      </c>
      <c r="DS278" s="714">
        <f t="shared" si="524"/>
        <v>0</v>
      </c>
      <c r="DT278" s="714">
        <f t="shared" si="524"/>
        <v>0</v>
      </c>
      <c r="DU278" s="714">
        <f t="shared" si="524"/>
        <v>0</v>
      </c>
      <c r="DV278" s="714">
        <f t="shared" si="524"/>
        <v>0</v>
      </c>
      <c r="DW278" s="714">
        <f t="shared" si="524"/>
        <v>0</v>
      </c>
      <c r="DX278" s="714">
        <f t="shared" si="524"/>
        <v>0</v>
      </c>
      <c r="DY278" s="714">
        <f t="shared" si="524"/>
        <v>0</v>
      </c>
      <c r="DZ278" s="714">
        <f t="shared" si="524"/>
        <v>0</v>
      </c>
      <c r="EA278" s="714">
        <f t="shared" si="524"/>
        <v>0</v>
      </c>
      <c r="EB278" s="714">
        <f t="shared" si="524"/>
        <v>0</v>
      </c>
      <c r="EC278" s="714">
        <f t="shared" si="524"/>
        <v>0</v>
      </c>
      <c r="ED278" s="714">
        <f t="shared" si="524"/>
        <v>0</v>
      </c>
      <c r="EE278" s="714">
        <f t="shared" si="524"/>
        <v>0</v>
      </c>
      <c r="EF278" s="714">
        <f t="shared" si="524"/>
        <v>0</v>
      </c>
      <c r="EG278" s="714">
        <f t="shared" si="524"/>
        <v>0</v>
      </c>
      <c r="EH278" s="714">
        <f t="shared" si="524"/>
        <v>0</v>
      </c>
      <c r="EI278" s="714">
        <f t="shared" si="524"/>
        <v>0</v>
      </c>
    </row>
    <row r="279" spans="2:139" ht="12.75" customHeight="1">
      <c r="B279" s="46"/>
      <c r="C279" s="209"/>
      <c r="D279" s="169"/>
      <c r="E279" s="169"/>
      <c r="F279" s="169"/>
      <c r="G279" s="169"/>
      <c r="H279" s="169"/>
      <c r="I279" s="169"/>
      <c r="J279" s="169"/>
      <c r="K279" s="169"/>
      <c r="L279" s="169"/>
      <c r="M279" s="169"/>
      <c r="N279" s="169"/>
      <c r="O279" s="91"/>
      <c r="S279" s="169"/>
      <c r="T279" s="169"/>
      <c r="U279" s="169"/>
      <c r="V279" s="169"/>
      <c r="W279" s="169"/>
      <c r="X279" s="169"/>
      <c r="Y279" s="169"/>
      <c r="Z279" s="169"/>
      <c r="AA279" s="169"/>
      <c r="AB279" s="169"/>
      <c r="AC279" s="169"/>
      <c r="AD279" s="169"/>
      <c r="AE279" s="169"/>
      <c r="AF279" s="169"/>
      <c r="AG279" s="169"/>
      <c r="AH279" s="169"/>
      <c r="AI279" s="169"/>
      <c r="AJ279" s="169"/>
      <c r="AK279" s="169"/>
      <c r="AL279" s="169"/>
      <c r="AM279" s="169"/>
      <c r="AN279" s="169"/>
      <c r="AO279" s="169"/>
      <c r="AP279" s="169"/>
      <c r="AQ279" s="169"/>
      <c r="AR279" s="169"/>
      <c r="AS279" s="169"/>
      <c r="AT279" s="169"/>
      <c r="AU279" s="169"/>
      <c r="AV279" s="169"/>
      <c r="AW279" s="169"/>
      <c r="AX279" s="169"/>
      <c r="AY279" s="169"/>
      <c r="AZ279" s="169"/>
      <c r="BA279" s="169"/>
      <c r="BB279" s="169"/>
      <c r="BC279" s="169"/>
      <c r="BD279" s="169"/>
      <c r="BE279" s="169"/>
      <c r="BF279" s="169"/>
      <c r="BG279" s="169"/>
      <c r="BH279" s="169"/>
      <c r="BI279" s="169"/>
      <c r="BJ279" s="169"/>
      <c r="BK279" s="169"/>
      <c r="BL279" s="169"/>
      <c r="BM279" s="169"/>
      <c r="BN279" s="169"/>
      <c r="BO279" s="169"/>
      <c r="BP279" s="169"/>
      <c r="BQ279" s="169"/>
      <c r="BR279" s="169"/>
      <c r="BS279" s="169"/>
      <c r="BT279" s="169"/>
      <c r="BU279" s="169"/>
      <c r="BV279" s="169"/>
      <c r="BW279" s="169"/>
      <c r="BX279" s="169"/>
      <c r="BY279" s="169"/>
      <c r="BZ279" s="169"/>
      <c r="CA279" s="169"/>
      <c r="CB279" s="169"/>
      <c r="CC279" s="169"/>
      <c r="CD279" s="169"/>
      <c r="CE279" s="169"/>
      <c r="CF279" s="169"/>
      <c r="CG279" s="169"/>
      <c r="CH279" s="169"/>
      <c r="CI279" s="169"/>
      <c r="CJ279" s="169"/>
      <c r="CK279" s="169"/>
      <c r="CL279" s="169"/>
      <c r="CM279" s="169"/>
      <c r="CN279" s="169"/>
      <c r="CO279" s="169"/>
      <c r="CP279" s="169"/>
      <c r="CQ279" s="169"/>
      <c r="CR279" s="169"/>
      <c r="CS279" s="169"/>
      <c r="CT279" s="169"/>
      <c r="CU279" s="169"/>
      <c r="CV279" s="169"/>
      <c r="CW279" s="169"/>
      <c r="CX279" s="169"/>
      <c r="CY279" s="169"/>
      <c r="CZ279" s="169"/>
      <c r="DA279" s="169"/>
      <c r="DB279" s="169"/>
      <c r="DC279" s="169"/>
      <c r="DD279" s="169"/>
      <c r="DE279" s="169"/>
      <c r="DF279" s="169"/>
      <c r="DG279" s="169"/>
      <c r="DH279" s="169"/>
      <c r="DI279" s="169"/>
      <c r="DJ279" s="169"/>
      <c r="DK279" s="169"/>
      <c r="DL279" s="169"/>
      <c r="DM279" s="169"/>
      <c r="DN279" s="169"/>
      <c r="DO279" s="169"/>
      <c r="DP279" s="169"/>
      <c r="DQ279" s="169"/>
      <c r="DR279" s="169"/>
      <c r="DS279" s="169"/>
      <c r="DT279" s="169"/>
      <c r="DU279" s="169"/>
      <c r="DV279" s="169"/>
      <c r="DW279" s="169"/>
      <c r="DX279" s="169"/>
      <c r="DY279" s="169"/>
      <c r="DZ279" s="169"/>
      <c r="EA279" s="169"/>
      <c r="EB279" s="169"/>
      <c r="EC279" s="169"/>
      <c r="ED279" s="169"/>
      <c r="EE279" s="169"/>
      <c r="EF279" s="169"/>
      <c r="EG279" s="169"/>
      <c r="EH279" s="169"/>
      <c r="EI279" s="169"/>
    </row>
    <row r="280" spans="2:139" ht="12.75" customHeight="1">
      <c r="B280" s="32" t="s">
        <v>598</v>
      </c>
      <c r="C280" s="209"/>
      <c r="D280" s="84"/>
      <c r="E280" s="848">
        <f t="shared" ref="E280:N280" si="525">SUMPRODUCT($S$4:$EI$4*(E$5=$S$6:$EI$6)*($S280:$EI280=1))</f>
        <v>0</v>
      </c>
      <c r="F280" s="848">
        <f t="shared" si="525"/>
        <v>0</v>
      </c>
      <c r="G280" s="848">
        <f t="shared" si="525"/>
        <v>0</v>
      </c>
      <c r="H280" s="848">
        <f t="shared" si="525"/>
        <v>0</v>
      </c>
      <c r="I280" s="848">
        <f t="shared" si="525"/>
        <v>0</v>
      </c>
      <c r="J280" s="848">
        <f t="shared" si="525"/>
        <v>0</v>
      </c>
      <c r="K280" s="848">
        <f t="shared" si="525"/>
        <v>0</v>
      </c>
      <c r="L280" s="848">
        <f t="shared" si="525"/>
        <v>0</v>
      </c>
      <c r="M280" s="848">
        <f t="shared" si="525"/>
        <v>0</v>
      </c>
      <c r="N280" s="848">
        <f t="shared" si="525"/>
        <v>0</v>
      </c>
      <c r="O280" s="91"/>
      <c r="S280" s="32"/>
      <c r="T280" s="32">
        <f t="shared" ref="T280:AY280" si="526">AND(T272*1,OR(T206,T292))*1</f>
        <v>0</v>
      </c>
      <c r="U280" s="32">
        <f t="shared" si="526"/>
        <v>0</v>
      </c>
      <c r="V280" s="32">
        <f t="shared" si="526"/>
        <v>0</v>
      </c>
      <c r="W280" s="32">
        <f t="shared" si="526"/>
        <v>0</v>
      </c>
      <c r="X280" s="32">
        <f t="shared" si="526"/>
        <v>0</v>
      </c>
      <c r="Y280" s="32">
        <f t="shared" si="526"/>
        <v>0</v>
      </c>
      <c r="Z280" s="32">
        <f t="shared" si="526"/>
        <v>0</v>
      </c>
      <c r="AA280" s="32">
        <f t="shared" si="526"/>
        <v>0</v>
      </c>
      <c r="AB280" s="32">
        <f t="shared" si="526"/>
        <v>0</v>
      </c>
      <c r="AC280" s="32">
        <f t="shared" si="526"/>
        <v>0</v>
      </c>
      <c r="AD280" s="32">
        <f t="shared" si="526"/>
        <v>0</v>
      </c>
      <c r="AE280" s="32">
        <f t="shared" si="526"/>
        <v>0</v>
      </c>
      <c r="AF280" s="32">
        <f t="shared" si="526"/>
        <v>0</v>
      </c>
      <c r="AG280" s="32">
        <f t="shared" si="526"/>
        <v>0</v>
      </c>
      <c r="AH280" s="32">
        <f t="shared" si="526"/>
        <v>0</v>
      </c>
      <c r="AI280" s="32">
        <f t="shared" si="526"/>
        <v>0</v>
      </c>
      <c r="AJ280" s="32">
        <f t="shared" si="526"/>
        <v>0</v>
      </c>
      <c r="AK280" s="32">
        <f t="shared" si="526"/>
        <v>0</v>
      </c>
      <c r="AL280" s="32">
        <f t="shared" si="526"/>
        <v>0</v>
      </c>
      <c r="AM280" s="32">
        <f t="shared" si="526"/>
        <v>0</v>
      </c>
      <c r="AN280" s="32">
        <f t="shared" si="526"/>
        <v>0</v>
      </c>
      <c r="AO280" s="32">
        <f t="shared" si="526"/>
        <v>0</v>
      </c>
      <c r="AP280" s="32">
        <f t="shared" si="526"/>
        <v>0</v>
      </c>
      <c r="AQ280" s="32">
        <f t="shared" si="526"/>
        <v>0</v>
      </c>
      <c r="AR280" s="32">
        <f t="shared" si="526"/>
        <v>0</v>
      </c>
      <c r="AS280" s="32">
        <f t="shared" si="526"/>
        <v>0</v>
      </c>
      <c r="AT280" s="32">
        <f t="shared" si="526"/>
        <v>0</v>
      </c>
      <c r="AU280" s="32">
        <f t="shared" si="526"/>
        <v>0</v>
      </c>
      <c r="AV280" s="32">
        <f t="shared" si="526"/>
        <v>0</v>
      </c>
      <c r="AW280" s="32">
        <f t="shared" si="526"/>
        <v>0</v>
      </c>
      <c r="AX280" s="32">
        <f t="shared" si="526"/>
        <v>0</v>
      </c>
      <c r="AY280" s="32">
        <f t="shared" si="526"/>
        <v>0</v>
      </c>
      <c r="AZ280" s="32">
        <f t="shared" ref="AZ280:CE280" si="527">AND(AZ272*1,OR(AZ206,AZ292))*1</f>
        <v>0</v>
      </c>
      <c r="BA280" s="32">
        <f t="shared" si="527"/>
        <v>0</v>
      </c>
      <c r="BB280" s="32">
        <f t="shared" si="527"/>
        <v>0</v>
      </c>
      <c r="BC280" s="32">
        <f t="shared" si="527"/>
        <v>0</v>
      </c>
      <c r="BD280" s="32">
        <f t="shared" si="527"/>
        <v>0</v>
      </c>
      <c r="BE280" s="32">
        <f t="shared" si="527"/>
        <v>0</v>
      </c>
      <c r="BF280" s="32">
        <f t="shared" si="527"/>
        <v>0</v>
      </c>
      <c r="BG280" s="32">
        <f t="shared" si="527"/>
        <v>0</v>
      </c>
      <c r="BH280" s="32">
        <f t="shared" si="527"/>
        <v>0</v>
      </c>
      <c r="BI280" s="32">
        <f t="shared" si="527"/>
        <v>0</v>
      </c>
      <c r="BJ280" s="32">
        <f t="shared" si="527"/>
        <v>0</v>
      </c>
      <c r="BK280" s="32">
        <f t="shared" si="527"/>
        <v>0</v>
      </c>
      <c r="BL280" s="32">
        <f t="shared" si="527"/>
        <v>0</v>
      </c>
      <c r="BM280" s="32">
        <f t="shared" si="527"/>
        <v>0</v>
      </c>
      <c r="BN280" s="32">
        <f t="shared" si="527"/>
        <v>0</v>
      </c>
      <c r="BO280" s="32">
        <f t="shared" si="527"/>
        <v>0</v>
      </c>
      <c r="BP280" s="32">
        <f t="shared" si="527"/>
        <v>0</v>
      </c>
      <c r="BQ280" s="32">
        <f t="shared" si="527"/>
        <v>0</v>
      </c>
      <c r="BR280" s="32">
        <f t="shared" si="527"/>
        <v>0</v>
      </c>
      <c r="BS280" s="32">
        <f t="shared" si="527"/>
        <v>0</v>
      </c>
      <c r="BT280" s="32">
        <f t="shared" si="527"/>
        <v>0</v>
      </c>
      <c r="BU280" s="32">
        <f t="shared" si="527"/>
        <v>0</v>
      </c>
      <c r="BV280" s="32">
        <f t="shared" si="527"/>
        <v>0</v>
      </c>
      <c r="BW280" s="32">
        <f t="shared" si="527"/>
        <v>0</v>
      </c>
      <c r="BX280" s="32">
        <f t="shared" si="527"/>
        <v>0</v>
      </c>
      <c r="BY280" s="32">
        <f t="shared" si="527"/>
        <v>0</v>
      </c>
      <c r="BZ280" s="32">
        <f t="shared" si="527"/>
        <v>0</v>
      </c>
      <c r="CA280" s="32">
        <f t="shared" si="527"/>
        <v>0</v>
      </c>
      <c r="CB280" s="32">
        <f t="shared" si="527"/>
        <v>0</v>
      </c>
      <c r="CC280" s="32">
        <f t="shared" si="527"/>
        <v>0</v>
      </c>
      <c r="CD280" s="32">
        <f t="shared" si="527"/>
        <v>0</v>
      </c>
      <c r="CE280" s="32">
        <f t="shared" si="527"/>
        <v>0</v>
      </c>
      <c r="CF280" s="32">
        <f t="shared" ref="CF280:DK280" si="528">AND(CF272*1,OR(CF206,CF292))*1</f>
        <v>0</v>
      </c>
      <c r="CG280" s="32">
        <f t="shared" si="528"/>
        <v>0</v>
      </c>
      <c r="CH280" s="32">
        <f t="shared" si="528"/>
        <v>0</v>
      </c>
      <c r="CI280" s="32">
        <f t="shared" si="528"/>
        <v>0</v>
      </c>
      <c r="CJ280" s="32">
        <f t="shared" si="528"/>
        <v>0</v>
      </c>
      <c r="CK280" s="32">
        <f t="shared" si="528"/>
        <v>0</v>
      </c>
      <c r="CL280" s="32">
        <f t="shared" si="528"/>
        <v>0</v>
      </c>
      <c r="CM280" s="32">
        <f t="shared" si="528"/>
        <v>0</v>
      </c>
      <c r="CN280" s="32">
        <f t="shared" si="528"/>
        <v>0</v>
      </c>
      <c r="CO280" s="32">
        <f t="shared" si="528"/>
        <v>0</v>
      </c>
      <c r="CP280" s="32">
        <f t="shared" si="528"/>
        <v>0</v>
      </c>
      <c r="CQ280" s="32">
        <f t="shared" si="528"/>
        <v>0</v>
      </c>
      <c r="CR280" s="32">
        <f t="shared" si="528"/>
        <v>0</v>
      </c>
      <c r="CS280" s="32">
        <f t="shared" si="528"/>
        <v>0</v>
      </c>
      <c r="CT280" s="32">
        <f t="shared" si="528"/>
        <v>0</v>
      </c>
      <c r="CU280" s="32">
        <f t="shared" si="528"/>
        <v>0</v>
      </c>
      <c r="CV280" s="32">
        <f t="shared" si="528"/>
        <v>0</v>
      </c>
      <c r="CW280" s="32">
        <f t="shared" si="528"/>
        <v>0</v>
      </c>
      <c r="CX280" s="32">
        <f t="shared" si="528"/>
        <v>0</v>
      </c>
      <c r="CY280" s="32">
        <f t="shared" si="528"/>
        <v>0</v>
      </c>
      <c r="CZ280" s="32">
        <f t="shared" si="528"/>
        <v>0</v>
      </c>
      <c r="DA280" s="32">
        <f t="shared" si="528"/>
        <v>0</v>
      </c>
      <c r="DB280" s="32">
        <f t="shared" si="528"/>
        <v>0</v>
      </c>
      <c r="DC280" s="32">
        <f t="shared" si="528"/>
        <v>0</v>
      </c>
      <c r="DD280" s="32">
        <f t="shared" si="528"/>
        <v>0</v>
      </c>
      <c r="DE280" s="32">
        <f t="shared" si="528"/>
        <v>0</v>
      </c>
      <c r="DF280" s="32">
        <f t="shared" si="528"/>
        <v>0</v>
      </c>
      <c r="DG280" s="32">
        <f t="shared" si="528"/>
        <v>0</v>
      </c>
      <c r="DH280" s="32">
        <f t="shared" si="528"/>
        <v>0</v>
      </c>
      <c r="DI280" s="32">
        <f t="shared" si="528"/>
        <v>0</v>
      </c>
      <c r="DJ280" s="32">
        <f t="shared" si="528"/>
        <v>0</v>
      </c>
      <c r="DK280" s="32">
        <f t="shared" si="528"/>
        <v>0</v>
      </c>
      <c r="DL280" s="32">
        <f t="shared" ref="DL280:EI280" si="529">AND(DL272*1,OR(DL206,DL292))*1</f>
        <v>0</v>
      </c>
      <c r="DM280" s="32">
        <f t="shared" si="529"/>
        <v>0</v>
      </c>
      <c r="DN280" s="32">
        <f t="shared" si="529"/>
        <v>0</v>
      </c>
      <c r="DO280" s="32">
        <f t="shared" si="529"/>
        <v>0</v>
      </c>
      <c r="DP280" s="32">
        <f t="shared" si="529"/>
        <v>0</v>
      </c>
      <c r="DQ280" s="32">
        <f t="shared" si="529"/>
        <v>0</v>
      </c>
      <c r="DR280" s="32">
        <f t="shared" si="529"/>
        <v>0</v>
      </c>
      <c r="DS280" s="32">
        <f t="shared" si="529"/>
        <v>0</v>
      </c>
      <c r="DT280" s="32">
        <f t="shared" si="529"/>
        <v>0</v>
      </c>
      <c r="DU280" s="32">
        <f t="shared" si="529"/>
        <v>0</v>
      </c>
      <c r="DV280" s="32">
        <f t="shared" si="529"/>
        <v>0</v>
      </c>
      <c r="DW280" s="32">
        <f t="shared" si="529"/>
        <v>0</v>
      </c>
      <c r="DX280" s="32">
        <f t="shared" si="529"/>
        <v>0</v>
      </c>
      <c r="DY280" s="32">
        <f t="shared" si="529"/>
        <v>0</v>
      </c>
      <c r="DZ280" s="32">
        <f t="shared" si="529"/>
        <v>0</v>
      </c>
      <c r="EA280" s="32">
        <f t="shared" si="529"/>
        <v>0</v>
      </c>
      <c r="EB280" s="32">
        <f t="shared" si="529"/>
        <v>0</v>
      </c>
      <c r="EC280" s="32">
        <f t="shared" si="529"/>
        <v>0</v>
      </c>
      <c r="ED280" s="32">
        <f t="shared" si="529"/>
        <v>0</v>
      </c>
      <c r="EE280" s="32">
        <f t="shared" si="529"/>
        <v>0</v>
      </c>
      <c r="EF280" s="32">
        <f t="shared" si="529"/>
        <v>0</v>
      </c>
      <c r="EG280" s="32">
        <f t="shared" si="529"/>
        <v>0</v>
      </c>
      <c r="EH280" s="32">
        <f t="shared" si="529"/>
        <v>0</v>
      </c>
      <c r="EI280" s="32">
        <f t="shared" si="529"/>
        <v>0</v>
      </c>
    </row>
    <row r="281" spans="2:139" ht="12.75" customHeight="1">
      <c r="B281" s="46"/>
      <c r="C281" s="209"/>
      <c r="D281" s="169"/>
      <c r="E281" s="169"/>
      <c r="F281" s="169"/>
      <c r="G281" s="169"/>
      <c r="H281" s="169"/>
      <c r="I281" s="169"/>
      <c r="J281" s="169"/>
      <c r="K281" s="169"/>
      <c r="L281" s="169"/>
      <c r="M281" s="169"/>
      <c r="N281" s="169"/>
      <c r="O281" s="91"/>
      <c r="S281" s="169"/>
      <c r="T281" s="169"/>
      <c r="U281" s="169"/>
      <c r="V281" s="169"/>
      <c r="W281" s="169"/>
      <c r="X281" s="169"/>
      <c r="Y281" s="169"/>
      <c r="Z281" s="169"/>
      <c r="AA281" s="169"/>
      <c r="AB281" s="169"/>
      <c r="AC281" s="169"/>
      <c r="AD281" s="169"/>
      <c r="AE281" s="169"/>
      <c r="AF281" s="169"/>
      <c r="AG281" s="169"/>
      <c r="AH281" s="169"/>
      <c r="AI281" s="169"/>
      <c r="AJ281" s="169"/>
      <c r="AK281" s="169"/>
      <c r="AL281" s="169"/>
      <c r="AM281" s="169"/>
      <c r="AN281" s="169"/>
      <c r="AO281" s="169"/>
      <c r="AP281" s="169"/>
      <c r="AQ281" s="169"/>
      <c r="AR281" s="169"/>
      <c r="AS281" s="169"/>
      <c r="AT281" s="169"/>
      <c r="AU281" s="169"/>
      <c r="AV281" s="169"/>
      <c r="AW281" s="169"/>
      <c r="AX281" s="169"/>
      <c r="AY281" s="169"/>
      <c r="AZ281" s="169"/>
      <c r="BA281" s="169"/>
      <c r="BB281" s="169"/>
      <c r="BC281" s="169"/>
      <c r="BD281" s="169"/>
      <c r="BE281" s="169"/>
      <c r="BF281" s="169"/>
      <c r="BG281" s="169"/>
      <c r="BH281" s="169"/>
      <c r="BI281" s="169"/>
      <c r="BJ281" s="169"/>
      <c r="BK281" s="169"/>
      <c r="BL281" s="169"/>
      <c r="BM281" s="169"/>
      <c r="BN281" s="169"/>
      <c r="BO281" s="169"/>
      <c r="BP281" s="169"/>
      <c r="BQ281" s="169"/>
      <c r="BR281" s="169"/>
      <c r="BS281" s="169"/>
      <c r="BT281" s="169"/>
      <c r="BU281" s="169"/>
      <c r="BV281" s="169"/>
      <c r="BW281" s="169"/>
      <c r="BX281" s="169"/>
      <c r="BY281" s="169"/>
      <c r="BZ281" s="169"/>
      <c r="CA281" s="169"/>
      <c r="CB281" s="169"/>
      <c r="CC281" s="169"/>
      <c r="CD281" s="169"/>
      <c r="CE281" s="169"/>
      <c r="CF281" s="169"/>
      <c r="CG281" s="169"/>
      <c r="CH281" s="169"/>
      <c r="CI281" s="169"/>
      <c r="CJ281" s="169"/>
      <c r="CK281" s="169"/>
      <c r="CL281" s="169"/>
      <c r="CM281" s="169"/>
      <c r="CN281" s="169"/>
      <c r="CO281" s="169"/>
      <c r="CP281" s="169"/>
      <c r="CQ281" s="169"/>
      <c r="CR281" s="169"/>
      <c r="CS281" s="169"/>
      <c r="CT281" s="169"/>
      <c r="CU281" s="169"/>
      <c r="CV281" s="169"/>
      <c r="CW281" s="169"/>
      <c r="CX281" s="169"/>
      <c r="CY281" s="169"/>
      <c r="CZ281" s="169"/>
      <c r="DA281" s="169"/>
      <c r="DB281" s="169"/>
      <c r="DC281" s="169"/>
      <c r="DD281" s="169"/>
      <c r="DE281" s="169"/>
      <c r="DF281" s="169"/>
      <c r="DG281" s="169"/>
      <c r="DH281" s="169"/>
      <c r="DI281" s="169"/>
      <c r="DJ281" s="169"/>
      <c r="DK281" s="169"/>
      <c r="DL281" s="169"/>
      <c r="DM281" s="169"/>
      <c r="DN281" s="169"/>
      <c r="DO281" s="169"/>
      <c r="DP281" s="169"/>
      <c r="DQ281" s="169"/>
      <c r="DR281" s="169"/>
      <c r="DS281" s="169"/>
      <c r="DT281" s="169"/>
      <c r="DU281" s="169"/>
      <c r="DV281" s="169"/>
      <c r="DW281" s="169"/>
      <c r="DX281" s="169"/>
      <c r="DY281" s="169"/>
      <c r="DZ281" s="169"/>
      <c r="EA281" s="169"/>
      <c r="EB281" s="169"/>
      <c r="EC281" s="169"/>
      <c r="ED281" s="169"/>
      <c r="EE281" s="169"/>
      <c r="EF281" s="169"/>
      <c r="EG281" s="169"/>
      <c r="EH281" s="169"/>
      <c r="EI281" s="169"/>
    </row>
    <row r="284" spans="2:139" s="192" customFormat="1" ht="14.25" customHeight="1">
      <c r="B284" s="1043" t="s">
        <v>622</v>
      </c>
      <c r="C284" s="196"/>
      <c r="D284" s="196"/>
      <c r="E284" s="196"/>
      <c r="F284" s="197"/>
      <c r="G284" s="197"/>
      <c r="H284" s="197"/>
      <c r="I284" s="197"/>
      <c r="J284" s="197"/>
      <c r="K284" s="197"/>
      <c r="L284" s="197"/>
      <c r="M284" s="197"/>
      <c r="N284" s="197"/>
      <c r="O284" s="197"/>
      <c r="P284"/>
      <c r="Q284"/>
      <c r="R284"/>
      <c r="S284" s="197"/>
      <c r="T284" s="197"/>
      <c r="U284" s="197"/>
      <c r="V284" s="197"/>
      <c r="W284" s="197"/>
      <c r="X284" s="197"/>
      <c r="Y284" s="197"/>
      <c r="Z284" s="197"/>
      <c r="AA284" s="197"/>
      <c r="AB284" s="197"/>
      <c r="AC284" s="197"/>
      <c r="AD284" s="197"/>
      <c r="AE284" s="197"/>
      <c r="AF284" s="197"/>
      <c r="AG284" s="197"/>
      <c r="AH284" s="197"/>
      <c r="AI284" s="197"/>
      <c r="AJ284" s="197"/>
      <c r="AK284" s="197"/>
      <c r="AL284" s="197"/>
      <c r="AM284" s="197"/>
      <c r="AN284" s="197"/>
      <c r="AO284" s="197"/>
      <c r="AP284" s="197"/>
      <c r="AQ284" s="197"/>
      <c r="AR284" s="197"/>
      <c r="AS284" s="197"/>
      <c r="AT284" s="197"/>
      <c r="AU284" s="197"/>
      <c r="AV284" s="197"/>
      <c r="AW284" s="197"/>
      <c r="AX284" s="197"/>
      <c r="AY284" s="197"/>
      <c r="AZ284" s="197"/>
      <c r="BA284" s="197"/>
      <c r="BB284" s="197"/>
      <c r="BC284" s="197"/>
      <c r="BD284" s="197"/>
      <c r="BE284" s="197"/>
      <c r="BF284" s="197"/>
      <c r="BG284" s="197"/>
      <c r="BH284" s="197"/>
      <c r="BI284" s="197"/>
      <c r="BJ284" s="197"/>
      <c r="BK284" s="197"/>
      <c r="BL284" s="197"/>
      <c r="BM284" s="197"/>
      <c r="BN284" s="197"/>
      <c r="BO284" s="197"/>
      <c r="BP284" s="197"/>
      <c r="BQ284" s="197"/>
      <c r="BR284" s="197"/>
      <c r="BS284" s="197"/>
      <c r="BT284" s="197"/>
      <c r="BU284" s="197"/>
      <c r="BV284" s="197"/>
      <c r="BW284" s="197"/>
      <c r="BX284" s="197"/>
      <c r="BY284" s="197"/>
      <c r="BZ284" s="197"/>
      <c r="CA284" s="197"/>
      <c r="CB284" s="197"/>
      <c r="CC284" s="197"/>
      <c r="CD284" s="197"/>
      <c r="CE284" s="197"/>
      <c r="CF284" s="197"/>
      <c r="CG284" s="197"/>
      <c r="CH284" s="197"/>
      <c r="CI284" s="197"/>
      <c r="CJ284" s="197"/>
      <c r="CK284" s="197"/>
      <c r="CL284" s="197"/>
      <c r="CM284" s="197"/>
      <c r="CN284" s="197"/>
      <c r="CO284" s="197"/>
      <c r="CP284" s="197"/>
      <c r="CQ284" s="197"/>
      <c r="CR284" s="197"/>
      <c r="CS284" s="197"/>
      <c r="CT284" s="197"/>
      <c r="CU284" s="197"/>
      <c r="CV284" s="197"/>
      <c r="CW284" s="197"/>
      <c r="CX284" s="197"/>
      <c r="CY284" s="197"/>
      <c r="CZ284" s="197"/>
      <c r="DA284" s="197"/>
      <c r="DB284" s="197"/>
      <c r="DC284" s="197"/>
      <c r="DD284" s="197"/>
      <c r="DE284" s="197"/>
      <c r="DF284" s="197"/>
      <c r="DG284" s="197"/>
      <c r="DH284" s="197"/>
      <c r="DI284" s="197"/>
      <c r="DJ284" s="197"/>
      <c r="DK284" s="197"/>
      <c r="DL284" s="197"/>
      <c r="DM284" s="197"/>
      <c r="DN284" s="197"/>
      <c r="DO284" s="197"/>
      <c r="DP284" s="197"/>
      <c r="DQ284" s="197"/>
      <c r="DR284" s="197"/>
      <c r="DS284" s="197"/>
      <c r="DT284" s="197"/>
      <c r="DU284" s="197"/>
      <c r="DV284" s="197"/>
      <c r="DW284" s="197"/>
      <c r="DX284" s="197"/>
      <c r="DY284" s="197"/>
      <c r="DZ284" s="197"/>
      <c r="EA284" s="197"/>
      <c r="EB284" s="197"/>
      <c r="EC284" s="197"/>
      <c r="ED284" s="197"/>
      <c r="EE284" s="197"/>
      <c r="EF284" s="197"/>
      <c r="EG284" s="197"/>
      <c r="EH284" s="197"/>
      <c r="EI284" s="197"/>
    </row>
    <row r="285" spans="2:139" ht="12.75" customHeight="1">
      <c r="B285" s="1045" t="s">
        <v>227</v>
      </c>
      <c r="C285" s="211"/>
      <c r="D285" s="78"/>
      <c r="E285" s="78"/>
      <c r="F285" s="78"/>
      <c r="G285" s="78"/>
      <c r="H285" s="78"/>
      <c r="I285" s="78"/>
      <c r="J285" s="78"/>
      <c r="K285" s="78"/>
      <c r="L285" s="78"/>
      <c r="M285" s="78"/>
      <c r="N285" s="78"/>
      <c r="O285" s="145"/>
      <c r="S285" s="78"/>
      <c r="T285" s="78"/>
      <c r="U285" s="78"/>
      <c r="V285" s="78"/>
      <c r="W285" s="78"/>
      <c r="X285" s="78"/>
      <c r="Y285" s="78"/>
      <c r="Z285" s="78"/>
      <c r="AA285" s="78"/>
      <c r="AB285" s="78"/>
      <c r="AC285" s="78"/>
      <c r="AD285" s="78"/>
      <c r="AE285" s="78"/>
      <c r="AF285" s="78"/>
      <c r="AG285" s="78"/>
      <c r="AH285" s="78"/>
      <c r="AI285" s="78"/>
      <c r="AJ285" s="78"/>
      <c r="AK285" s="78"/>
      <c r="AL285" s="78"/>
      <c r="AM285" s="78"/>
      <c r="AN285" s="78"/>
      <c r="AO285" s="78"/>
      <c r="AP285" s="78"/>
      <c r="AQ285" s="78"/>
      <c r="AR285" s="78"/>
      <c r="AS285" s="78"/>
      <c r="AT285" s="78"/>
      <c r="AU285" s="78"/>
      <c r="AV285" s="78"/>
      <c r="AW285" s="78"/>
      <c r="AX285" s="78"/>
      <c r="AY285" s="78"/>
      <c r="AZ285" s="78"/>
      <c r="BA285" s="78"/>
      <c r="BB285" s="78"/>
      <c r="BC285" s="78"/>
      <c r="BD285" s="78"/>
      <c r="BE285" s="78"/>
      <c r="BF285" s="78"/>
      <c r="BG285" s="78"/>
      <c r="BH285" s="78"/>
      <c r="BI285" s="78"/>
      <c r="BJ285" s="78"/>
      <c r="BK285" s="78"/>
      <c r="BL285" s="78"/>
      <c r="BM285" s="78"/>
      <c r="BN285" s="78"/>
      <c r="BO285" s="78"/>
      <c r="BP285" s="78"/>
      <c r="BQ285" s="78"/>
      <c r="BR285" s="78"/>
      <c r="BS285" s="78"/>
      <c r="BT285" s="78"/>
      <c r="BU285" s="78"/>
      <c r="BV285" s="78"/>
      <c r="BW285" s="78"/>
      <c r="BX285" s="78"/>
      <c r="BY285" s="78"/>
      <c r="BZ285" s="78"/>
      <c r="CA285" s="78"/>
      <c r="CB285" s="78"/>
      <c r="CC285" s="78"/>
      <c r="CD285" s="78"/>
      <c r="CE285" s="78"/>
      <c r="CF285" s="78"/>
      <c r="CG285" s="78"/>
      <c r="CH285" s="78"/>
      <c r="CI285" s="78"/>
      <c r="CJ285" s="78"/>
      <c r="CK285" s="78"/>
      <c r="CL285" s="78"/>
      <c r="CM285" s="78"/>
      <c r="CN285" s="78"/>
      <c r="CO285" s="78"/>
      <c r="CP285" s="78"/>
      <c r="CQ285" s="78"/>
      <c r="CR285" s="78"/>
      <c r="CS285" s="78"/>
      <c r="CT285" s="78"/>
      <c r="CU285" s="78"/>
      <c r="CV285" s="78"/>
      <c r="CW285" s="78"/>
      <c r="CX285" s="78"/>
      <c r="CY285" s="78"/>
      <c r="CZ285" s="78"/>
      <c r="DA285" s="78"/>
      <c r="DB285" s="78"/>
      <c r="DC285" s="78"/>
      <c r="DD285" s="78"/>
      <c r="DE285" s="78"/>
      <c r="DF285" s="78"/>
      <c r="DG285" s="78"/>
      <c r="DH285" s="78"/>
      <c r="DI285" s="78"/>
      <c r="DJ285" s="78"/>
      <c r="DK285" s="78"/>
      <c r="DL285" s="78"/>
      <c r="DM285" s="78"/>
      <c r="DN285" s="78"/>
      <c r="DO285" s="78"/>
      <c r="DP285" s="78"/>
      <c r="DQ285" s="78"/>
      <c r="DR285" s="78"/>
      <c r="DS285" s="78"/>
      <c r="DT285" s="78"/>
      <c r="DU285" s="78"/>
      <c r="DV285" s="78"/>
      <c r="DW285" s="78"/>
      <c r="DX285" s="78"/>
      <c r="DY285" s="78"/>
      <c r="DZ285" s="78"/>
      <c r="EA285" s="78"/>
      <c r="EB285" s="78"/>
      <c r="EC285" s="78"/>
      <c r="ED285" s="78"/>
      <c r="EE285" s="78"/>
      <c r="EF285" s="78"/>
      <c r="EG285" s="78"/>
      <c r="EH285" s="78"/>
      <c r="EI285" s="78"/>
    </row>
    <row r="286" spans="2:139" ht="12.75" customHeight="1">
      <c r="B286" s="41" t="s">
        <v>229</v>
      </c>
      <c r="C286" s="211"/>
      <c r="D286" s="78">
        <f t="shared" ref="D286:N286" si="530">SUMIF($S$6:$EI$6,D$5,$S286:$EI286)</f>
        <v>0</v>
      </c>
      <c r="E286" s="78">
        <f t="shared" si="530"/>
        <v>0</v>
      </c>
      <c r="F286" s="78">
        <f t="shared" si="530"/>
        <v>0</v>
      </c>
      <c r="G286" s="78">
        <f t="shared" si="530"/>
        <v>0</v>
      </c>
      <c r="H286" s="78">
        <f t="shared" si="530"/>
        <v>0</v>
      </c>
      <c r="I286" s="78">
        <f t="shared" si="530"/>
        <v>0</v>
      </c>
      <c r="J286" s="78">
        <f t="shared" si="530"/>
        <v>0</v>
      </c>
      <c r="K286" s="78">
        <f t="shared" si="530"/>
        <v>0</v>
      </c>
      <c r="L286" s="78">
        <f t="shared" si="530"/>
        <v>0</v>
      </c>
      <c r="M286" s="78">
        <f t="shared" si="530"/>
        <v>0</v>
      </c>
      <c r="N286" s="78">
        <f t="shared" si="530"/>
        <v>0</v>
      </c>
      <c r="O286" s="145">
        <f>SUM(D286:N286)</f>
        <v>0</v>
      </c>
      <c r="S286" s="78">
        <f>-(Input!$M$217+Input!$M$218)*S292</f>
        <v>0</v>
      </c>
      <c r="T286" s="78">
        <f>-(Input!$M$217+Input!$M$218)*T292</f>
        <v>0</v>
      </c>
      <c r="U286" s="78">
        <f>-(Input!$M$217+Input!$M$218)*U292</f>
        <v>0</v>
      </c>
      <c r="V286" s="78">
        <f>-(Input!$M$217+Input!$M$218)*V292</f>
        <v>0</v>
      </c>
      <c r="W286" s="78">
        <f>-(Input!$M$217+Input!$M$218)*W292</f>
        <v>0</v>
      </c>
      <c r="X286" s="78">
        <f>-(Input!$M$217+Input!$M$218)*X292</f>
        <v>0</v>
      </c>
      <c r="Y286" s="78">
        <f>-(Input!$M$217+Input!$M$218)*Y292</f>
        <v>0</v>
      </c>
      <c r="Z286" s="78">
        <f>-(Input!$M$217+Input!$M$218)*Z292</f>
        <v>0</v>
      </c>
      <c r="AA286" s="78">
        <f>-(Input!$M$217+Input!$M$218)*AA292</f>
        <v>0</v>
      </c>
      <c r="AB286" s="78">
        <f>-(Input!$M$217+Input!$M$218)*AB292</f>
        <v>0</v>
      </c>
      <c r="AC286" s="78">
        <f>-(Input!$M$217+Input!$M$218)*AC292</f>
        <v>0</v>
      </c>
      <c r="AD286" s="78">
        <f>-(Input!$M$217+Input!$M$218)*AD292</f>
        <v>0</v>
      </c>
      <c r="AE286" s="78">
        <f>-(Input!$M$217+Input!$M$218)*AE292</f>
        <v>0</v>
      </c>
      <c r="AF286" s="78">
        <f>-(Input!$M$217+Input!$M$218)*AF292</f>
        <v>0</v>
      </c>
      <c r="AG286" s="78">
        <f>-(Input!$M$217+Input!$M$218)*AG292</f>
        <v>0</v>
      </c>
      <c r="AH286" s="78">
        <f>-(Input!$M$217+Input!$M$218)*AH292</f>
        <v>0</v>
      </c>
      <c r="AI286" s="78">
        <f>-(Input!$M$217+Input!$M$218)*AI292</f>
        <v>0</v>
      </c>
      <c r="AJ286" s="78">
        <f>-(Input!$M$217+Input!$M$218)*AJ292</f>
        <v>0</v>
      </c>
      <c r="AK286" s="78">
        <f>-(Input!$M$217+Input!$M$218)*AK292</f>
        <v>0</v>
      </c>
      <c r="AL286" s="78">
        <f>-(Input!$M$217+Input!$M$218)*AL292</f>
        <v>0</v>
      </c>
      <c r="AM286" s="78">
        <f>-(Input!$M$217+Input!$M$218)*AM292</f>
        <v>0</v>
      </c>
      <c r="AN286" s="78">
        <f>-(Input!$M$217+Input!$M$218)*AN292</f>
        <v>0</v>
      </c>
      <c r="AO286" s="78">
        <f>-(Input!$M$217+Input!$M$218)*AO292</f>
        <v>0</v>
      </c>
      <c r="AP286" s="78">
        <f>-(Input!$M$217+Input!$M$218)*AP292</f>
        <v>0</v>
      </c>
      <c r="AQ286" s="78">
        <f>-(Input!$M$217+Input!$M$218)*AQ292</f>
        <v>0</v>
      </c>
      <c r="AR286" s="78">
        <f>-(Input!$M$217+Input!$M$218)*AR292</f>
        <v>0</v>
      </c>
      <c r="AS286" s="78">
        <f>-(Input!$M$217+Input!$M$218)*AS292</f>
        <v>0</v>
      </c>
      <c r="AT286" s="78">
        <f>-(Input!$M$217+Input!$M$218)*AT292</f>
        <v>0</v>
      </c>
      <c r="AU286" s="78">
        <f>-(Input!$M$217+Input!$M$218)*AU292</f>
        <v>0</v>
      </c>
      <c r="AV286" s="78">
        <f>-(Input!$M$217+Input!$M$218)*AV292</f>
        <v>0</v>
      </c>
      <c r="AW286" s="78">
        <f>-(Input!$M$217+Input!$M$218)*AW292</f>
        <v>0</v>
      </c>
      <c r="AX286" s="78">
        <f>-(Input!$M$217+Input!$M$218)*AX292</f>
        <v>0</v>
      </c>
      <c r="AY286" s="78">
        <f>-(Input!$M$217+Input!$M$218)*AY292</f>
        <v>0</v>
      </c>
      <c r="AZ286" s="78">
        <f>-(Input!$M$217+Input!$M$218)*AZ292</f>
        <v>0</v>
      </c>
      <c r="BA286" s="78">
        <f>-(Input!$M$217+Input!$M$218)*BA292</f>
        <v>0</v>
      </c>
      <c r="BB286" s="78">
        <f>-(Input!$M$217+Input!$M$218)*BB292</f>
        <v>0</v>
      </c>
      <c r="BC286" s="78">
        <f>-(Input!$M$217+Input!$M$218)*BC292</f>
        <v>0</v>
      </c>
      <c r="BD286" s="78">
        <f>-(Input!$M$217+Input!$M$218)*BD292</f>
        <v>0</v>
      </c>
      <c r="BE286" s="78">
        <f>-(Input!$M$217+Input!$M$218)*BE292</f>
        <v>0</v>
      </c>
      <c r="BF286" s="78">
        <f>-(Input!$M$217+Input!$M$218)*BF292</f>
        <v>0</v>
      </c>
      <c r="BG286" s="78">
        <f>-(Input!$M$217+Input!$M$218)*BG292</f>
        <v>0</v>
      </c>
      <c r="BH286" s="78">
        <f>-(Input!$M$217+Input!$M$218)*BH292</f>
        <v>0</v>
      </c>
      <c r="BI286" s="78">
        <f>-(Input!$M$217+Input!$M$218)*BI292</f>
        <v>0</v>
      </c>
      <c r="BJ286" s="78">
        <f>-(Input!$M$217+Input!$M$218)*BJ292</f>
        <v>0</v>
      </c>
      <c r="BK286" s="78">
        <f>-(Input!$M$217+Input!$M$218)*BK292</f>
        <v>0</v>
      </c>
      <c r="BL286" s="78">
        <f>-(Input!$M$217+Input!$M$218)*BL292</f>
        <v>0</v>
      </c>
      <c r="BM286" s="78">
        <f>-(Input!$M$217+Input!$M$218)*BM292</f>
        <v>0</v>
      </c>
      <c r="BN286" s="78">
        <f>-(Input!$M$217+Input!$M$218)*BN292</f>
        <v>0</v>
      </c>
      <c r="BO286" s="78">
        <f>-(Input!$M$217+Input!$M$218)*BO292</f>
        <v>0</v>
      </c>
      <c r="BP286" s="78">
        <f>-(Input!$M$217+Input!$M$218)*BP292</f>
        <v>0</v>
      </c>
      <c r="BQ286" s="78">
        <f>-(Input!$M$217+Input!$M$218)*BQ292</f>
        <v>0</v>
      </c>
      <c r="BR286" s="78">
        <f>-(Input!$M$217+Input!$M$218)*BR292</f>
        <v>0</v>
      </c>
      <c r="BS286" s="78">
        <f>-(Input!$M$217+Input!$M$218)*BS292</f>
        <v>0</v>
      </c>
      <c r="BT286" s="78">
        <f>-(Input!$M$217+Input!$M$218)*BT292</f>
        <v>0</v>
      </c>
      <c r="BU286" s="78">
        <f>-(Input!$M$217+Input!$M$218)*BU292</f>
        <v>0</v>
      </c>
      <c r="BV286" s="78">
        <f>-(Input!$M$217+Input!$M$218)*BV292</f>
        <v>0</v>
      </c>
      <c r="BW286" s="78">
        <f>-(Input!$M$217+Input!$M$218)*BW292</f>
        <v>0</v>
      </c>
      <c r="BX286" s="78">
        <f>-(Input!$M$217+Input!$M$218)*BX292</f>
        <v>0</v>
      </c>
      <c r="BY286" s="78">
        <f>-(Input!$M$217+Input!$M$218)*BY292</f>
        <v>0</v>
      </c>
      <c r="BZ286" s="78">
        <f>-(Input!$M$217+Input!$M$218)*BZ292</f>
        <v>0</v>
      </c>
      <c r="CA286" s="78">
        <f>-(Input!$M$217+Input!$M$218)*CA292</f>
        <v>0</v>
      </c>
      <c r="CB286" s="78">
        <f>-(Input!$M$217+Input!$M$218)*CB292</f>
        <v>0</v>
      </c>
      <c r="CC286" s="78">
        <f>-(Input!$M$217+Input!$M$218)*CC292</f>
        <v>0</v>
      </c>
      <c r="CD286" s="78">
        <f>-(Input!$M$217+Input!$M$218)*CD292</f>
        <v>0</v>
      </c>
      <c r="CE286" s="78">
        <f>-(Input!$M$217+Input!$M$218)*CE292</f>
        <v>0</v>
      </c>
      <c r="CF286" s="78">
        <f>-(Input!$M$217+Input!$M$218)*CF292</f>
        <v>0</v>
      </c>
      <c r="CG286" s="78">
        <f>-(Input!$M$217+Input!$M$218)*CG292</f>
        <v>0</v>
      </c>
      <c r="CH286" s="78">
        <f>-(Input!$M$217+Input!$M$218)*CH292</f>
        <v>0</v>
      </c>
      <c r="CI286" s="78">
        <f>-(Input!$M$217+Input!$M$218)*CI292</f>
        <v>0</v>
      </c>
      <c r="CJ286" s="78">
        <f>-(Input!$M$217+Input!$M$218)*CJ292</f>
        <v>0</v>
      </c>
      <c r="CK286" s="78">
        <f>-(Input!$M$217+Input!$M$218)*CK292</f>
        <v>0</v>
      </c>
      <c r="CL286" s="78">
        <f>-(Input!$M$217+Input!$M$218)*CL292</f>
        <v>0</v>
      </c>
      <c r="CM286" s="78">
        <f>-(Input!$M$217+Input!$M$218)*CM292</f>
        <v>0</v>
      </c>
      <c r="CN286" s="78">
        <f>-(Input!$M$217+Input!$M$218)*CN292</f>
        <v>0</v>
      </c>
      <c r="CO286" s="78">
        <f>-(Input!$M$217+Input!$M$218)*CO292</f>
        <v>0</v>
      </c>
      <c r="CP286" s="78">
        <f>-(Input!$M$217+Input!$M$218)*CP292</f>
        <v>0</v>
      </c>
      <c r="CQ286" s="78">
        <f>-(Input!$M$217+Input!$M$218)*CQ292</f>
        <v>0</v>
      </c>
      <c r="CR286" s="78">
        <f>-(Input!$M$217+Input!$M$218)*CR292</f>
        <v>0</v>
      </c>
      <c r="CS286" s="78">
        <f>-(Input!$M$217+Input!$M$218)*CS292</f>
        <v>0</v>
      </c>
      <c r="CT286" s="78">
        <f>-(Input!$M$217+Input!$M$218)*CT292</f>
        <v>0</v>
      </c>
      <c r="CU286" s="78">
        <f>-(Input!$M$217+Input!$M$218)*CU292</f>
        <v>0</v>
      </c>
      <c r="CV286" s="78">
        <f>-(Input!$M$217+Input!$M$218)*CV292</f>
        <v>0</v>
      </c>
      <c r="CW286" s="78">
        <f>-(Input!$M$217+Input!$M$218)*CW292</f>
        <v>0</v>
      </c>
      <c r="CX286" s="78">
        <f>-(Input!$M$217+Input!$M$218)*CX292</f>
        <v>0</v>
      </c>
      <c r="CY286" s="78">
        <f>-(Input!$M$217+Input!$M$218)*CY292</f>
        <v>0</v>
      </c>
      <c r="CZ286" s="78">
        <f>-(Input!$M$217+Input!$M$218)*CZ292</f>
        <v>0</v>
      </c>
      <c r="DA286" s="78">
        <f>-(Input!$M$217+Input!$M$218)*DA292</f>
        <v>0</v>
      </c>
      <c r="DB286" s="78">
        <f>-(Input!$M$217+Input!$M$218)*DB292</f>
        <v>0</v>
      </c>
      <c r="DC286" s="78">
        <f>-(Input!$M$217+Input!$M$218)*DC292</f>
        <v>0</v>
      </c>
      <c r="DD286" s="78">
        <f>-(Input!$M$217+Input!$M$218)*DD292</f>
        <v>0</v>
      </c>
      <c r="DE286" s="78">
        <f>-(Input!$M$217+Input!$M$218)*DE292</f>
        <v>0</v>
      </c>
      <c r="DF286" s="78">
        <f>-(Input!$M$217+Input!$M$218)*DF292</f>
        <v>0</v>
      </c>
      <c r="DG286" s="78">
        <f>-(Input!$M$217+Input!$M$218)*DG292</f>
        <v>0</v>
      </c>
      <c r="DH286" s="78">
        <f>-(Input!$M$217+Input!$M$218)*DH292</f>
        <v>0</v>
      </c>
      <c r="DI286" s="78">
        <f>-(Input!$M$217+Input!$M$218)*DI292</f>
        <v>0</v>
      </c>
      <c r="DJ286" s="78">
        <f>-(Input!$M$217+Input!$M$218)*DJ292</f>
        <v>0</v>
      </c>
      <c r="DK286" s="78">
        <f>-(Input!$M$217+Input!$M$218)*DK292</f>
        <v>0</v>
      </c>
      <c r="DL286" s="78">
        <f>-(Input!$M$217+Input!$M$218)*DL292</f>
        <v>0</v>
      </c>
      <c r="DM286" s="78">
        <f>-(Input!$M$217+Input!$M$218)*DM292</f>
        <v>0</v>
      </c>
      <c r="DN286" s="78">
        <f>-(Input!$M$217+Input!$M$218)*DN292</f>
        <v>0</v>
      </c>
      <c r="DO286" s="78">
        <f>-(Input!$M$217+Input!$M$218)*DO292</f>
        <v>0</v>
      </c>
      <c r="DP286" s="78">
        <f>-(Input!$M$217+Input!$M$218)*DP292</f>
        <v>0</v>
      </c>
      <c r="DQ286" s="78">
        <f>-(Input!$M$217+Input!$M$218)*DQ292</f>
        <v>0</v>
      </c>
      <c r="DR286" s="78">
        <f>-(Input!$M$217+Input!$M$218)*DR292</f>
        <v>0</v>
      </c>
      <c r="DS286" s="78">
        <f>-(Input!$M$217+Input!$M$218)*DS292</f>
        <v>0</v>
      </c>
      <c r="DT286" s="78">
        <f>-(Input!$M$217+Input!$M$218)*DT292</f>
        <v>0</v>
      </c>
      <c r="DU286" s="78">
        <f>-(Input!$M$217+Input!$M$218)*DU292</f>
        <v>0</v>
      </c>
      <c r="DV286" s="78">
        <f>-(Input!$M$217+Input!$M$218)*DV292</f>
        <v>0</v>
      </c>
      <c r="DW286" s="78">
        <f>-(Input!$M$217+Input!$M$218)*DW292</f>
        <v>0</v>
      </c>
      <c r="DX286" s="78">
        <f>-(Input!$M$217+Input!$M$218)*DX292</f>
        <v>0</v>
      </c>
      <c r="DY286" s="78">
        <f>-(Input!$M$217+Input!$M$218)*DY292</f>
        <v>0</v>
      </c>
      <c r="DZ286" s="78">
        <f>-(Input!$M$217+Input!$M$218)*DZ292</f>
        <v>0</v>
      </c>
      <c r="EA286" s="78">
        <f>-(Input!$M$217+Input!$M$218)*EA292</f>
        <v>0</v>
      </c>
      <c r="EB286" s="78">
        <f>-(Input!$M$217+Input!$M$218)*EB292</f>
        <v>0</v>
      </c>
      <c r="EC286" s="78">
        <f>-(Input!$M$217+Input!$M$218)*EC292</f>
        <v>0</v>
      </c>
      <c r="ED286" s="78">
        <f>-(Input!$M$217+Input!$M$218)*ED292</f>
        <v>0</v>
      </c>
      <c r="EE286" s="78">
        <f>-(Input!$M$217+Input!$M$218)*EE292</f>
        <v>0</v>
      </c>
      <c r="EF286" s="78">
        <f>-(Input!$M$217+Input!$M$218)*EF292</f>
        <v>0</v>
      </c>
      <c r="EG286" s="78">
        <f>-(Input!$M$217+Input!$M$218)*EG292</f>
        <v>0</v>
      </c>
      <c r="EH286" s="78">
        <f>-(Input!$M$217+Input!$M$218)*EH292</f>
        <v>0</v>
      </c>
      <c r="EI286" s="78">
        <f>-(Input!$M$217+Input!$M$218)*EI292</f>
        <v>0</v>
      </c>
    </row>
    <row r="287" spans="2:139" ht="12.75" customHeight="1">
      <c r="B287" s="41" t="s">
        <v>590</v>
      </c>
      <c r="C287" s="211"/>
      <c r="D287" s="78"/>
      <c r="E287" s="78">
        <f t="shared" ref="E287:N287" si="531">SUMIF($S$6:$EI$6,E$5,$S287:$EI287)</f>
        <v>0</v>
      </c>
      <c r="F287" s="78">
        <f t="shared" si="531"/>
        <v>0</v>
      </c>
      <c r="G287" s="78">
        <f t="shared" si="531"/>
        <v>0</v>
      </c>
      <c r="H287" s="78">
        <f t="shared" si="531"/>
        <v>0</v>
      </c>
      <c r="I287" s="78">
        <f t="shared" si="531"/>
        <v>0</v>
      </c>
      <c r="J287" s="78">
        <f t="shared" si="531"/>
        <v>0</v>
      </c>
      <c r="K287" s="78">
        <f t="shared" si="531"/>
        <v>0</v>
      </c>
      <c r="L287" s="78">
        <f t="shared" si="531"/>
        <v>0</v>
      </c>
      <c r="M287" s="78">
        <f t="shared" si="531"/>
        <v>0</v>
      </c>
      <c r="N287" s="78">
        <f t="shared" si="531"/>
        <v>0</v>
      </c>
      <c r="O287" s="145">
        <f>SUM(D287:N287)</f>
        <v>0</v>
      </c>
      <c r="S287" s="78"/>
      <c r="T287" s="78">
        <f t="shared" ref="T287:AY287" si="532">-T300*T291/12</f>
        <v>0</v>
      </c>
      <c r="U287" s="78">
        <f t="shared" si="532"/>
        <v>0</v>
      </c>
      <c r="V287" s="78">
        <f t="shared" si="532"/>
        <v>0</v>
      </c>
      <c r="W287" s="78">
        <f t="shared" si="532"/>
        <v>0</v>
      </c>
      <c r="X287" s="78">
        <f t="shared" si="532"/>
        <v>0</v>
      </c>
      <c r="Y287" s="78">
        <f t="shared" si="532"/>
        <v>0</v>
      </c>
      <c r="Z287" s="78">
        <f t="shared" si="532"/>
        <v>0</v>
      </c>
      <c r="AA287" s="78">
        <f t="shared" si="532"/>
        <v>0</v>
      </c>
      <c r="AB287" s="78">
        <f t="shared" si="532"/>
        <v>0</v>
      </c>
      <c r="AC287" s="78">
        <f t="shared" si="532"/>
        <v>0</v>
      </c>
      <c r="AD287" s="78">
        <f t="shared" si="532"/>
        <v>0</v>
      </c>
      <c r="AE287" s="78">
        <f t="shared" si="532"/>
        <v>0</v>
      </c>
      <c r="AF287" s="78">
        <f t="shared" si="532"/>
        <v>0</v>
      </c>
      <c r="AG287" s="78">
        <f t="shared" si="532"/>
        <v>0</v>
      </c>
      <c r="AH287" s="78">
        <f t="shared" si="532"/>
        <v>0</v>
      </c>
      <c r="AI287" s="78">
        <f t="shared" si="532"/>
        <v>0</v>
      </c>
      <c r="AJ287" s="78">
        <f t="shared" si="532"/>
        <v>0</v>
      </c>
      <c r="AK287" s="78">
        <f t="shared" si="532"/>
        <v>0</v>
      </c>
      <c r="AL287" s="78">
        <f t="shared" si="532"/>
        <v>0</v>
      </c>
      <c r="AM287" s="78">
        <f t="shared" si="532"/>
        <v>0</v>
      </c>
      <c r="AN287" s="78">
        <f t="shared" si="532"/>
        <v>0</v>
      </c>
      <c r="AO287" s="78">
        <f t="shared" si="532"/>
        <v>0</v>
      </c>
      <c r="AP287" s="78">
        <f t="shared" si="532"/>
        <v>0</v>
      </c>
      <c r="AQ287" s="78">
        <f t="shared" si="532"/>
        <v>0</v>
      </c>
      <c r="AR287" s="78">
        <f t="shared" si="532"/>
        <v>0</v>
      </c>
      <c r="AS287" s="78">
        <f t="shared" si="532"/>
        <v>0</v>
      </c>
      <c r="AT287" s="78">
        <f t="shared" si="532"/>
        <v>0</v>
      </c>
      <c r="AU287" s="78">
        <f t="shared" si="532"/>
        <v>0</v>
      </c>
      <c r="AV287" s="78">
        <f t="shared" si="532"/>
        <v>0</v>
      </c>
      <c r="AW287" s="78">
        <f t="shared" si="532"/>
        <v>0</v>
      </c>
      <c r="AX287" s="78">
        <f t="shared" si="532"/>
        <v>0</v>
      </c>
      <c r="AY287" s="78">
        <f t="shared" si="532"/>
        <v>0</v>
      </c>
      <c r="AZ287" s="78">
        <f t="shared" ref="AZ287:CE287" si="533">-AZ300*AZ291/12</f>
        <v>0</v>
      </c>
      <c r="BA287" s="78">
        <f t="shared" si="533"/>
        <v>0</v>
      </c>
      <c r="BB287" s="78">
        <f t="shared" si="533"/>
        <v>0</v>
      </c>
      <c r="BC287" s="78">
        <f t="shared" si="533"/>
        <v>0</v>
      </c>
      <c r="BD287" s="78">
        <f t="shared" si="533"/>
        <v>0</v>
      </c>
      <c r="BE287" s="78">
        <f t="shared" si="533"/>
        <v>0</v>
      </c>
      <c r="BF287" s="78">
        <f t="shared" si="533"/>
        <v>0</v>
      </c>
      <c r="BG287" s="78">
        <f t="shared" si="533"/>
        <v>0</v>
      </c>
      <c r="BH287" s="78">
        <f t="shared" si="533"/>
        <v>0</v>
      </c>
      <c r="BI287" s="78">
        <f t="shared" si="533"/>
        <v>0</v>
      </c>
      <c r="BJ287" s="78">
        <f t="shared" si="533"/>
        <v>0</v>
      </c>
      <c r="BK287" s="78">
        <f t="shared" si="533"/>
        <v>0</v>
      </c>
      <c r="BL287" s="78">
        <f t="shared" si="533"/>
        <v>0</v>
      </c>
      <c r="BM287" s="78">
        <f t="shared" si="533"/>
        <v>0</v>
      </c>
      <c r="BN287" s="78">
        <f t="shared" si="533"/>
        <v>0</v>
      </c>
      <c r="BO287" s="78">
        <f t="shared" si="533"/>
        <v>0</v>
      </c>
      <c r="BP287" s="78">
        <f t="shared" si="533"/>
        <v>0</v>
      </c>
      <c r="BQ287" s="78">
        <f t="shared" si="533"/>
        <v>0</v>
      </c>
      <c r="BR287" s="78">
        <f t="shared" si="533"/>
        <v>0</v>
      </c>
      <c r="BS287" s="78">
        <f t="shared" si="533"/>
        <v>0</v>
      </c>
      <c r="BT287" s="78">
        <f t="shared" si="533"/>
        <v>0</v>
      </c>
      <c r="BU287" s="78">
        <f t="shared" si="533"/>
        <v>0</v>
      </c>
      <c r="BV287" s="78">
        <f t="shared" si="533"/>
        <v>0</v>
      </c>
      <c r="BW287" s="78">
        <f t="shared" si="533"/>
        <v>0</v>
      </c>
      <c r="BX287" s="78">
        <f t="shared" si="533"/>
        <v>0</v>
      </c>
      <c r="BY287" s="78">
        <f t="shared" si="533"/>
        <v>0</v>
      </c>
      <c r="BZ287" s="78">
        <f t="shared" si="533"/>
        <v>0</v>
      </c>
      <c r="CA287" s="78">
        <f t="shared" si="533"/>
        <v>0</v>
      </c>
      <c r="CB287" s="78">
        <f t="shared" si="533"/>
        <v>0</v>
      </c>
      <c r="CC287" s="78">
        <f t="shared" si="533"/>
        <v>0</v>
      </c>
      <c r="CD287" s="78">
        <f t="shared" si="533"/>
        <v>0</v>
      </c>
      <c r="CE287" s="78">
        <f t="shared" si="533"/>
        <v>0</v>
      </c>
      <c r="CF287" s="78">
        <f t="shared" ref="CF287:DK287" si="534">-CF300*CF291/12</f>
        <v>0</v>
      </c>
      <c r="CG287" s="78">
        <f t="shared" si="534"/>
        <v>0</v>
      </c>
      <c r="CH287" s="78">
        <f t="shared" si="534"/>
        <v>0</v>
      </c>
      <c r="CI287" s="78">
        <f t="shared" si="534"/>
        <v>0</v>
      </c>
      <c r="CJ287" s="78">
        <f t="shared" si="534"/>
        <v>0</v>
      </c>
      <c r="CK287" s="78">
        <f t="shared" si="534"/>
        <v>0</v>
      </c>
      <c r="CL287" s="78">
        <f t="shared" si="534"/>
        <v>0</v>
      </c>
      <c r="CM287" s="78">
        <f t="shared" si="534"/>
        <v>0</v>
      </c>
      <c r="CN287" s="78">
        <f t="shared" si="534"/>
        <v>0</v>
      </c>
      <c r="CO287" s="78">
        <f t="shared" si="534"/>
        <v>0</v>
      </c>
      <c r="CP287" s="78">
        <f t="shared" si="534"/>
        <v>0</v>
      </c>
      <c r="CQ287" s="78">
        <f t="shared" si="534"/>
        <v>0</v>
      </c>
      <c r="CR287" s="78">
        <f t="shared" si="534"/>
        <v>0</v>
      </c>
      <c r="CS287" s="78">
        <f t="shared" si="534"/>
        <v>0</v>
      </c>
      <c r="CT287" s="78">
        <f t="shared" si="534"/>
        <v>0</v>
      </c>
      <c r="CU287" s="78">
        <f t="shared" si="534"/>
        <v>0</v>
      </c>
      <c r="CV287" s="78">
        <f t="shared" si="534"/>
        <v>0</v>
      </c>
      <c r="CW287" s="78">
        <f t="shared" si="534"/>
        <v>0</v>
      </c>
      <c r="CX287" s="78">
        <f t="shared" si="534"/>
        <v>0</v>
      </c>
      <c r="CY287" s="78">
        <f t="shared" si="534"/>
        <v>0</v>
      </c>
      <c r="CZ287" s="78">
        <f t="shared" si="534"/>
        <v>0</v>
      </c>
      <c r="DA287" s="78">
        <f t="shared" si="534"/>
        <v>0</v>
      </c>
      <c r="DB287" s="78">
        <f t="shared" si="534"/>
        <v>0</v>
      </c>
      <c r="DC287" s="78">
        <f t="shared" si="534"/>
        <v>0</v>
      </c>
      <c r="DD287" s="78">
        <f t="shared" si="534"/>
        <v>0</v>
      </c>
      <c r="DE287" s="78">
        <f t="shared" si="534"/>
        <v>0</v>
      </c>
      <c r="DF287" s="78">
        <f t="shared" si="534"/>
        <v>0</v>
      </c>
      <c r="DG287" s="78">
        <f t="shared" si="534"/>
        <v>0</v>
      </c>
      <c r="DH287" s="78">
        <f t="shared" si="534"/>
        <v>0</v>
      </c>
      <c r="DI287" s="78">
        <f t="shared" si="534"/>
        <v>0</v>
      </c>
      <c r="DJ287" s="78">
        <f t="shared" si="534"/>
        <v>0</v>
      </c>
      <c r="DK287" s="78">
        <f t="shared" si="534"/>
        <v>0</v>
      </c>
      <c r="DL287" s="78">
        <f t="shared" ref="DL287:EI287" si="535">-DL300*DL291/12</f>
        <v>0</v>
      </c>
      <c r="DM287" s="78">
        <f t="shared" si="535"/>
        <v>0</v>
      </c>
      <c r="DN287" s="78">
        <f t="shared" si="535"/>
        <v>0</v>
      </c>
      <c r="DO287" s="78">
        <f t="shared" si="535"/>
        <v>0</v>
      </c>
      <c r="DP287" s="78">
        <f t="shared" si="535"/>
        <v>0</v>
      </c>
      <c r="DQ287" s="78">
        <f t="shared" si="535"/>
        <v>0</v>
      </c>
      <c r="DR287" s="78">
        <f t="shared" si="535"/>
        <v>0</v>
      </c>
      <c r="DS287" s="78">
        <f t="shared" si="535"/>
        <v>0</v>
      </c>
      <c r="DT287" s="78">
        <f t="shared" si="535"/>
        <v>0</v>
      </c>
      <c r="DU287" s="78">
        <f t="shared" si="535"/>
        <v>0</v>
      </c>
      <c r="DV287" s="78">
        <f t="shared" si="535"/>
        <v>0</v>
      </c>
      <c r="DW287" s="78">
        <f t="shared" si="535"/>
        <v>0</v>
      </c>
      <c r="DX287" s="78">
        <f t="shared" si="535"/>
        <v>0</v>
      </c>
      <c r="DY287" s="78">
        <f t="shared" si="535"/>
        <v>0</v>
      </c>
      <c r="DZ287" s="78">
        <f t="shared" si="535"/>
        <v>0</v>
      </c>
      <c r="EA287" s="78">
        <f t="shared" si="535"/>
        <v>0</v>
      </c>
      <c r="EB287" s="78">
        <f t="shared" si="535"/>
        <v>0</v>
      </c>
      <c r="EC287" s="78">
        <f t="shared" si="535"/>
        <v>0</v>
      </c>
      <c r="ED287" s="78">
        <f t="shared" si="535"/>
        <v>0</v>
      </c>
      <c r="EE287" s="78">
        <f t="shared" si="535"/>
        <v>0</v>
      </c>
      <c r="EF287" s="78">
        <f t="shared" si="535"/>
        <v>0</v>
      </c>
      <c r="EG287" s="78">
        <f t="shared" si="535"/>
        <v>0</v>
      </c>
      <c r="EH287" s="78">
        <f t="shared" si="535"/>
        <v>0</v>
      </c>
      <c r="EI287" s="78">
        <f t="shared" si="535"/>
        <v>0</v>
      </c>
    </row>
    <row r="288" spans="2:139" ht="12.75" customHeight="1">
      <c r="B288" s="46" t="s">
        <v>231</v>
      </c>
      <c r="C288" s="209"/>
      <c r="D288" s="694">
        <f t="shared" ref="D288:N288" si="536">SUBTOTAL(9,D286:D287)</f>
        <v>0</v>
      </c>
      <c r="E288" s="694">
        <f t="shared" si="536"/>
        <v>0</v>
      </c>
      <c r="F288" s="694">
        <f t="shared" si="536"/>
        <v>0</v>
      </c>
      <c r="G288" s="694">
        <f t="shared" si="536"/>
        <v>0</v>
      </c>
      <c r="H288" s="694">
        <f t="shared" si="536"/>
        <v>0</v>
      </c>
      <c r="I288" s="694">
        <f t="shared" si="536"/>
        <v>0</v>
      </c>
      <c r="J288" s="694">
        <f t="shared" si="536"/>
        <v>0</v>
      </c>
      <c r="K288" s="694">
        <f t="shared" si="536"/>
        <v>0</v>
      </c>
      <c r="L288" s="694">
        <f t="shared" si="536"/>
        <v>0</v>
      </c>
      <c r="M288" s="694">
        <f t="shared" si="536"/>
        <v>0</v>
      </c>
      <c r="N288" s="694">
        <f t="shared" si="536"/>
        <v>0</v>
      </c>
      <c r="O288" s="713">
        <f>SUM(D288:N288)</f>
        <v>0</v>
      </c>
      <c r="S288" s="694">
        <f t="shared" ref="S288:AX288" si="537">SUBTOTAL(9,S286:S287)</f>
        <v>0</v>
      </c>
      <c r="T288" s="694">
        <f t="shared" si="537"/>
        <v>0</v>
      </c>
      <c r="U288" s="694">
        <f t="shared" si="537"/>
        <v>0</v>
      </c>
      <c r="V288" s="694">
        <f t="shared" si="537"/>
        <v>0</v>
      </c>
      <c r="W288" s="694">
        <f t="shared" si="537"/>
        <v>0</v>
      </c>
      <c r="X288" s="694">
        <f t="shared" si="537"/>
        <v>0</v>
      </c>
      <c r="Y288" s="694">
        <f t="shared" si="537"/>
        <v>0</v>
      </c>
      <c r="Z288" s="694">
        <f t="shared" si="537"/>
        <v>0</v>
      </c>
      <c r="AA288" s="694">
        <f t="shared" si="537"/>
        <v>0</v>
      </c>
      <c r="AB288" s="694">
        <f t="shared" si="537"/>
        <v>0</v>
      </c>
      <c r="AC288" s="694">
        <f t="shared" si="537"/>
        <v>0</v>
      </c>
      <c r="AD288" s="694">
        <f t="shared" si="537"/>
        <v>0</v>
      </c>
      <c r="AE288" s="694">
        <f t="shared" si="537"/>
        <v>0</v>
      </c>
      <c r="AF288" s="694">
        <f t="shared" si="537"/>
        <v>0</v>
      </c>
      <c r="AG288" s="694">
        <f t="shared" si="537"/>
        <v>0</v>
      </c>
      <c r="AH288" s="694">
        <f t="shared" si="537"/>
        <v>0</v>
      </c>
      <c r="AI288" s="694">
        <f t="shared" si="537"/>
        <v>0</v>
      </c>
      <c r="AJ288" s="694">
        <f t="shared" si="537"/>
        <v>0</v>
      </c>
      <c r="AK288" s="694">
        <f t="shared" si="537"/>
        <v>0</v>
      </c>
      <c r="AL288" s="694">
        <f t="shared" si="537"/>
        <v>0</v>
      </c>
      <c r="AM288" s="694">
        <f t="shared" si="537"/>
        <v>0</v>
      </c>
      <c r="AN288" s="694">
        <f t="shared" si="537"/>
        <v>0</v>
      </c>
      <c r="AO288" s="694">
        <f t="shared" si="537"/>
        <v>0</v>
      </c>
      <c r="AP288" s="694">
        <f t="shared" si="537"/>
        <v>0</v>
      </c>
      <c r="AQ288" s="694">
        <f t="shared" si="537"/>
        <v>0</v>
      </c>
      <c r="AR288" s="694">
        <f t="shared" si="537"/>
        <v>0</v>
      </c>
      <c r="AS288" s="694">
        <f t="shared" si="537"/>
        <v>0</v>
      </c>
      <c r="AT288" s="694">
        <f t="shared" si="537"/>
        <v>0</v>
      </c>
      <c r="AU288" s="694">
        <f t="shared" si="537"/>
        <v>0</v>
      </c>
      <c r="AV288" s="694">
        <f t="shared" si="537"/>
        <v>0</v>
      </c>
      <c r="AW288" s="694">
        <f t="shared" si="537"/>
        <v>0</v>
      </c>
      <c r="AX288" s="694">
        <f t="shared" si="537"/>
        <v>0</v>
      </c>
      <c r="AY288" s="694">
        <f t="shared" ref="AY288:CD288" si="538">SUBTOTAL(9,AY286:AY287)</f>
        <v>0</v>
      </c>
      <c r="AZ288" s="694">
        <f t="shared" si="538"/>
        <v>0</v>
      </c>
      <c r="BA288" s="694">
        <f t="shared" si="538"/>
        <v>0</v>
      </c>
      <c r="BB288" s="694">
        <f t="shared" si="538"/>
        <v>0</v>
      </c>
      <c r="BC288" s="694">
        <f t="shared" si="538"/>
        <v>0</v>
      </c>
      <c r="BD288" s="694">
        <f t="shared" si="538"/>
        <v>0</v>
      </c>
      <c r="BE288" s="694">
        <f t="shared" si="538"/>
        <v>0</v>
      </c>
      <c r="BF288" s="694">
        <f t="shared" si="538"/>
        <v>0</v>
      </c>
      <c r="BG288" s="694">
        <f t="shared" si="538"/>
        <v>0</v>
      </c>
      <c r="BH288" s="694">
        <f t="shared" si="538"/>
        <v>0</v>
      </c>
      <c r="BI288" s="694">
        <f t="shared" si="538"/>
        <v>0</v>
      </c>
      <c r="BJ288" s="694">
        <f t="shared" si="538"/>
        <v>0</v>
      </c>
      <c r="BK288" s="694">
        <f t="shared" si="538"/>
        <v>0</v>
      </c>
      <c r="BL288" s="694">
        <f t="shared" si="538"/>
        <v>0</v>
      </c>
      <c r="BM288" s="694">
        <f t="shared" si="538"/>
        <v>0</v>
      </c>
      <c r="BN288" s="694">
        <f t="shared" si="538"/>
        <v>0</v>
      </c>
      <c r="BO288" s="694">
        <f t="shared" si="538"/>
        <v>0</v>
      </c>
      <c r="BP288" s="694">
        <f t="shared" si="538"/>
        <v>0</v>
      </c>
      <c r="BQ288" s="694">
        <f t="shared" si="538"/>
        <v>0</v>
      </c>
      <c r="BR288" s="694">
        <f t="shared" si="538"/>
        <v>0</v>
      </c>
      <c r="BS288" s="694">
        <f t="shared" si="538"/>
        <v>0</v>
      </c>
      <c r="BT288" s="694">
        <f t="shared" si="538"/>
        <v>0</v>
      </c>
      <c r="BU288" s="694">
        <f t="shared" si="538"/>
        <v>0</v>
      </c>
      <c r="BV288" s="694">
        <f t="shared" si="538"/>
        <v>0</v>
      </c>
      <c r="BW288" s="694">
        <f t="shared" si="538"/>
        <v>0</v>
      </c>
      <c r="BX288" s="694">
        <f t="shared" si="538"/>
        <v>0</v>
      </c>
      <c r="BY288" s="694">
        <f t="shared" si="538"/>
        <v>0</v>
      </c>
      <c r="BZ288" s="694">
        <f t="shared" si="538"/>
        <v>0</v>
      </c>
      <c r="CA288" s="694">
        <f t="shared" si="538"/>
        <v>0</v>
      </c>
      <c r="CB288" s="694">
        <f t="shared" si="538"/>
        <v>0</v>
      </c>
      <c r="CC288" s="694">
        <f t="shared" si="538"/>
        <v>0</v>
      </c>
      <c r="CD288" s="694">
        <f t="shared" si="538"/>
        <v>0</v>
      </c>
      <c r="CE288" s="694">
        <f t="shared" ref="CE288:DJ288" si="539">SUBTOTAL(9,CE286:CE287)</f>
        <v>0</v>
      </c>
      <c r="CF288" s="694">
        <f t="shared" si="539"/>
        <v>0</v>
      </c>
      <c r="CG288" s="694">
        <f t="shared" si="539"/>
        <v>0</v>
      </c>
      <c r="CH288" s="694">
        <f t="shared" si="539"/>
        <v>0</v>
      </c>
      <c r="CI288" s="694">
        <f t="shared" si="539"/>
        <v>0</v>
      </c>
      <c r="CJ288" s="694">
        <f t="shared" si="539"/>
        <v>0</v>
      </c>
      <c r="CK288" s="694">
        <f t="shared" si="539"/>
        <v>0</v>
      </c>
      <c r="CL288" s="694">
        <f t="shared" si="539"/>
        <v>0</v>
      </c>
      <c r="CM288" s="694">
        <f t="shared" si="539"/>
        <v>0</v>
      </c>
      <c r="CN288" s="694">
        <f t="shared" si="539"/>
        <v>0</v>
      </c>
      <c r="CO288" s="694">
        <f t="shared" si="539"/>
        <v>0</v>
      </c>
      <c r="CP288" s="694">
        <f t="shared" si="539"/>
        <v>0</v>
      </c>
      <c r="CQ288" s="694">
        <f t="shared" si="539"/>
        <v>0</v>
      </c>
      <c r="CR288" s="694">
        <f t="shared" si="539"/>
        <v>0</v>
      </c>
      <c r="CS288" s="694">
        <f t="shared" si="539"/>
        <v>0</v>
      </c>
      <c r="CT288" s="694">
        <f t="shared" si="539"/>
        <v>0</v>
      </c>
      <c r="CU288" s="694">
        <f t="shared" si="539"/>
        <v>0</v>
      </c>
      <c r="CV288" s="694">
        <f t="shared" si="539"/>
        <v>0</v>
      </c>
      <c r="CW288" s="694">
        <f t="shared" si="539"/>
        <v>0</v>
      </c>
      <c r="CX288" s="694">
        <f t="shared" si="539"/>
        <v>0</v>
      </c>
      <c r="CY288" s="694">
        <f t="shared" si="539"/>
        <v>0</v>
      </c>
      <c r="CZ288" s="694">
        <f t="shared" si="539"/>
        <v>0</v>
      </c>
      <c r="DA288" s="694">
        <f t="shared" si="539"/>
        <v>0</v>
      </c>
      <c r="DB288" s="694">
        <f t="shared" si="539"/>
        <v>0</v>
      </c>
      <c r="DC288" s="694">
        <f t="shared" si="539"/>
        <v>0</v>
      </c>
      <c r="DD288" s="694">
        <f t="shared" si="539"/>
        <v>0</v>
      </c>
      <c r="DE288" s="694">
        <f t="shared" si="539"/>
        <v>0</v>
      </c>
      <c r="DF288" s="694">
        <f t="shared" si="539"/>
        <v>0</v>
      </c>
      <c r="DG288" s="694">
        <f t="shared" si="539"/>
        <v>0</v>
      </c>
      <c r="DH288" s="694">
        <f t="shared" si="539"/>
        <v>0</v>
      </c>
      <c r="DI288" s="694">
        <f t="shared" si="539"/>
        <v>0</v>
      </c>
      <c r="DJ288" s="694">
        <f t="shared" si="539"/>
        <v>0</v>
      </c>
      <c r="DK288" s="694">
        <f t="shared" ref="DK288:EP288" si="540">SUBTOTAL(9,DK286:DK287)</f>
        <v>0</v>
      </c>
      <c r="DL288" s="694">
        <f t="shared" si="540"/>
        <v>0</v>
      </c>
      <c r="DM288" s="694">
        <f t="shared" si="540"/>
        <v>0</v>
      </c>
      <c r="DN288" s="694">
        <f t="shared" si="540"/>
        <v>0</v>
      </c>
      <c r="DO288" s="694">
        <f t="shared" si="540"/>
        <v>0</v>
      </c>
      <c r="DP288" s="694">
        <f t="shared" si="540"/>
        <v>0</v>
      </c>
      <c r="DQ288" s="694">
        <f t="shared" si="540"/>
        <v>0</v>
      </c>
      <c r="DR288" s="694">
        <f t="shared" si="540"/>
        <v>0</v>
      </c>
      <c r="DS288" s="694">
        <f t="shared" si="540"/>
        <v>0</v>
      </c>
      <c r="DT288" s="694">
        <f t="shared" si="540"/>
        <v>0</v>
      </c>
      <c r="DU288" s="694">
        <f t="shared" si="540"/>
        <v>0</v>
      </c>
      <c r="DV288" s="694">
        <f t="shared" si="540"/>
        <v>0</v>
      </c>
      <c r="DW288" s="694">
        <f t="shared" si="540"/>
        <v>0</v>
      </c>
      <c r="DX288" s="694">
        <f t="shared" si="540"/>
        <v>0</v>
      </c>
      <c r="DY288" s="694">
        <f t="shared" si="540"/>
        <v>0</v>
      </c>
      <c r="DZ288" s="694">
        <f t="shared" si="540"/>
        <v>0</v>
      </c>
      <c r="EA288" s="694">
        <f t="shared" si="540"/>
        <v>0</v>
      </c>
      <c r="EB288" s="694">
        <f t="shared" si="540"/>
        <v>0</v>
      </c>
      <c r="EC288" s="694">
        <f t="shared" si="540"/>
        <v>0</v>
      </c>
      <c r="ED288" s="694">
        <f t="shared" si="540"/>
        <v>0</v>
      </c>
      <c r="EE288" s="694">
        <f t="shared" si="540"/>
        <v>0</v>
      </c>
      <c r="EF288" s="694">
        <f t="shared" si="540"/>
        <v>0</v>
      </c>
      <c r="EG288" s="694">
        <f t="shared" si="540"/>
        <v>0</v>
      </c>
      <c r="EH288" s="694">
        <f t="shared" si="540"/>
        <v>0</v>
      </c>
      <c r="EI288" s="694">
        <f t="shared" si="540"/>
        <v>0</v>
      </c>
    </row>
    <row r="289" spans="2:139" ht="12.75" customHeight="1">
      <c r="B289" s="46"/>
      <c r="C289" s="209"/>
      <c r="D289" s="169"/>
      <c r="E289" s="169"/>
      <c r="F289" s="169"/>
      <c r="G289" s="169"/>
      <c r="H289" s="169"/>
      <c r="I289" s="169"/>
      <c r="J289" s="169"/>
      <c r="K289" s="169"/>
      <c r="L289" s="169"/>
      <c r="M289" s="169"/>
      <c r="N289" s="169"/>
      <c r="O289" s="91"/>
      <c r="S289" s="169"/>
      <c r="T289" s="169"/>
      <c r="U289" s="169"/>
      <c r="V289" s="169"/>
      <c r="W289" s="169"/>
      <c r="X289" s="169"/>
      <c r="Y289" s="169"/>
      <c r="Z289" s="169"/>
      <c r="AA289" s="169"/>
      <c r="AB289" s="169"/>
      <c r="AC289" s="169"/>
      <c r="AD289" s="169"/>
      <c r="AE289" s="169"/>
      <c r="AF289" s="169"/>
      <c r="AG289" s="169"/>
      <c r="AH289" s="169"/>
      <c r="AI289" s="169"/>
      <c r="AJ289" s="169"/>
      <c r="AK289" s="169"/>
      <c r="AL289" s="169"/>
      <c r="AM289" s="169"/>
      <c r="AN289" s="169"/>
      <c r="AO289" s="169"/>
      <c r="AP289" s="169"/>
      <c r="AQ289" s="169"/>
      <c r="AR289" s="169"/>
      <c r="AS289" s="169"/>
      <c r="AT289" s="169"/>
      <c r="AU289" s="169"/>
      <c r="AV289" s="169"/>
      <c r="AW289" s="169"/>
      <c r="AX289" s="169"/>
      <c r="AY289" s="169"/>
      <c r="AZ289" s="169"/>
      <c r="BA289" s="169"/>
      <c r="BB289" s="169"/>
      <c r="BC289" s="169"/>
      <c r="BD289" s="169"/>
      <c r="BE289" s="169"/>
      <c r="BF289" s="169"/>
      <c r="BG289" s="169"/>
      <c r="BH289" s="169"/>
      <c r="BI289" s="169"/>
      <c r="BJ289" s="169"/>
      <c r="BK289" s="169"/>
      <c r="BL289" s="169"/>
      <c r="BM289" s="169"/>
      <c r="BN289" s="169"/>
      <c r="BO289" s="169"/>
      <c r="BP289" s="169"/>
      <c r="BQ289" s="169"/>
      <c r="BR289" s="169"/>
      <c r="BS289" s="169"/>
      <c r="BT289" s="169"/>
      <c r="BU289" s="169"/>
      <c r="BV289" s="169"/>
      <c r="BW289" s="169"/>
      <c r="BX289" s="169"/>
      <c r="BY289" s="169"/>
      <c r="BZ289" s="169"/>
      <c r="CA289" s="169"/>
      <c r="CB289" s="169"/>
      <c r="CC289" s="169"/>
      <c r="CD289" s="169"/>
      <c r="CE289" s="169"/>
      <c r="CF289" s="169"/>
      <c r="CG289" s="169"/>
      <c r="CH289" s="169"/>
      <c r="CI289" s="169"/>
      <c r="CJ289" s="169"/>
      <c r="CK289" s="169"/>
      <c r="CL289" s="169"/>
      <c r="CM289" s="169"/>
      <c r="CN289" s="169"/>
      <c r="CO289" s="169"/>
      <c r="CP289" s="169"/>
      <c r="CQ289" s="169"/>
      <c r="CR289" s="169"/>
      <c r="CS289" s="169"/>
      <c r="CT289" s="169"/>
      <c r="CU289" s="169"/>
      <c r="CV289" s="169"/>
      <c r="CW289" s="169"/>
      <c r="CX289" s="169"/>
      <c r="CY289" s="169"/>
      <c r="CZ289" s="169"/>
      <c r="DA289" s="169"/>
      <c r="DB289" s="169"/>
      <c r="DC289" s="169"/>
      <c r="DD289" s="169"/>
      <c r="DE289" s="169"/>
      <c r="DF289" s="169"/>
      <c r="DG289" s="169"/>
      <c r="DH289" s="169"/>
      <c r="DI289" s="169"/>
      <c r="DJ289" s="169"/>
      <c r="DK289" s="169"/>
      <c r="DL289" s="169"/>
      <c r="DM289" s="169"/>
      <c r="DN289" s="169"/>
      <c r="DO289" s="169"/>
      <c r="DP289" s="169"/>
      <c r="DQ289" s="169"/>
      <c r="DR289" s="169"/>
      <c r="DS289" s="169"/>
      <c r="DT289" s="169"/>
      <c r="DU289" s="169"/>
      <c r="DV289" s="169"/>
      <c r="DW289" s="169"/>
      <c r="DX289" s="169"/>
      <c r="DY289" s="169"/>
      <c r="DZ289" s="169"/>
      <c r="EA289" s="169"/>
      <c r="EB289" s="169"/>
      <c r="EC289" s="169"/>
      <c r="ED289" s="169"/>
      <c r="EE289" s="169"/>
      <c r="EF289" s="169"/>
      <c r="EG289" s="169"/>
      <c r="EH289" s="169"/>
      <c r="EI289" s="169"/>
    </row>
    <row r="290" spans="2:139" ht="12.75" customHeight="1">
      <c r="B290" s="1045" t="s">
        <v>592</v>
      </c>
      <c r="C290" s="211"/>
      <c r="D290" s="78"/>
      <c r="E290" s="78"/>
      <c r="F290" s="78"/>
      <c r="G290" s="78"/>
      <c r="H290" s="78"/>
      <c r="I290" s="78"/>
      <c r="J290" s="78"/>
      <c r="K290" s="78"/>
      <c r="L290" s="78"/>
      <c r="M290" s="78"/>
      <c r="N290" s="78"/>
      <c r="O290" s="145"/>
      <c r="S290" s="78"/>
      <c r="T290" s="78"/>
      <c r="U290" s="78"/>
      <c r="V290" s="78"/>
      <c r="W290" s="78"/>
      <c r="X290" s="78"/>
      <c r="Y290" s="78"/>
      <c r="Z290" s="78"/>
      <c r="AA290" s="78"/>
      <c r="AB290" s="78"/>
      <c r="AC290" s="78"/>
      <c r="AD290" s="78"/>
      <c r="AE290" s="78"/>
      <c r="AF290" s="78"/>
      <c r="AG290" s="78"/>
      <c r="AH290" s="78"/>
      <c r="AI290" s="78"/>
      <c r="AJ290" s="78"/>
      <c r="AK290" s="78"/>
      <c r="AL290" s="78"/>
      <c r="AM290" s="78"/>
      <c r="AN290" s="78"/>
      <c r="AO290" s="78"/>
      <c r="AP290" s="78"/>
      <c r="AQ290" s="78"/>
      <c r="AR290" s="78"/>
      <c r="AS290" s="78"/>
      <c r="AT290" s="78"/>
      <c r="AU290" s="78"/>
      <c r="AV290" s="78"/>
      <c r="AW290" s="78"/>
      <c r="AX290" s="78"/>
      <c r="AY290" s="78"/>
      <c r="AZ290" s="78"/>
      <c r="BA290" s="78"/>
      <c r="BB290" s="78"/>
      <c r="BC290" s="78"/>
      <c r="BD290" s="78"/>
      <c r="BE290" s="78"/>
      <c r="BF290" s="78"/>
      <c r="BG290" s="78"/>
      <c r="BH290" s="78"/>
      <c r="BI290" s="78"/>
      <c r="BJ290" s="78"/>
      <c r="BK290" s="78"/>
      <c r="BL290" s="78"/>
      <c r="BM290" s="78"/>
      <c r="BN290" s="78"/>
      <c r="BO290" s="78"/>
      <c r="BP290" s="78"/>
      <c r="BQ290" s="78"/>
      <c r="BR290" s="78"/>
      <c r="BS290" s="78"/>
      <c r="BT290" s="78"/>
      <c r="BU290" s="78"/>
      <c r="BV290" s="78"/>
      <c r="BW290" s="78"/>
      <c r="BX290" s="78"/>
      <c r="BY290" s="78"/>
      <c r="BZ290" s="78"/>
      <c r="CA290" s="78"/>
      <c r="CB290" s="78"/>
      <c r="CC290" s="78"/>
      <c r="CD290" s="78"/>
      <c r="CE290" s="78"/>
      <c r="CF290" s="78"/>
      <c r="CG290" s="78"/>
      <c r="CH290" s="78"/>
      <c r="CI290" s="78"/>
      <c r="CJ290" s="78"/>
      <c r="CK290" s="78"/>
      <c r="CL290" s="78"/>
      <c r="CM290" s="78"/>
      <c r="CN290" s="78"/>
      <c r="CO290" s="78"/>
      <c r="CP290" s="78"/>
      <c r="CQ290" s="78"/>
      <c r="CR290" s="78"/>
      <c r="CS290" s="78"/>
      <c r="CT290" s="78"/>
      <c r="CU290" s="78"/>
      <c r="CV290" s="78"/>
      <c r="CW290" s="78"/>
      <c r="CX290" s="78"/>
      <c r="CY290" s="78"/>
      <c r="CZ290" s="78"/>
      <c r="DA290" s="78"/>
      <c r="DB290" s="78"/>
      <c r="DC290" s="78"/>
      <c r="DD290" s="78"/>
      <c r="DE290" s="78"/>
      <c r="DF290" s="78"/>
      <c r="DG290" s="78"/>
      <c r="DH290" s="78"/>
      <c r="DI290" s="78"/>
      <c r="DJ290" s="78"/>
      <c r="DK290" s="78"/>
      <c r="DL290" s="78"/>
      <c r="DM290" s="78"/>
      <c r="DN290" s="78"/>
      <c r="DO290" s="78"/>
      <c r="DP290" s="78"/>
      <c r="DQ290" s="78"/>
      <c r="DR290" s="78"/>
      <c r="DS290" s="78"/>
      <c r="DT290" s="78"/>
      <c r="DU290" s="78"/>
      <c r="DV290" s="78"/>
      <c r="DW290" s="78"/>
      <c r="DX290" s="78"/>
      <c r="DY290" s="78"/>
      <c r="DZ290" s="78"/>
      <c r="EA290" s="78"/>
      <c r="EB290" s="78"/>
      <c r="EC290" s="78"/>
      <c r="ED290" s="78"/>
      <c r="EE290" s="78"/>
      <c r="EF290" s="78"/>
      <c r="EG290" s="78"/>
      <c r="EH290" s="78"/>
      <c r="EI290" s="78"/>
    </row>
    <row r="291" spans="2:139" ht="12.75" customHeight="1">
      <c r="B291" s="41" t="s">
        <v>593</v>
      </c>
      <c r="C291" s="211"/>
      <c r="D291" s="78"/>
      <c r="E291" s="78">
        <f t="shared" ref="E291:N291" si="541">D295</f>
        <v>0</v>
      </c>
      <c r="F291" s="78">
        <f t="shared" si="541"/>
        <v>0</v>
      </c>
      <c r="G291" s="78">
        <f t="shared" si="541"/>
        <v>0</v>
      </c>
      <c r="H291" s="78">
        <f t="shared" si="541"/>
        <v>0</v>
      </c>
      <c r="I291" s="78">
        <f t="shared" si="541"/>
        <v>0</v>
      </c>
      <c r="J291" s="78">
        <f t="shared" si="541"/>
        <v>0</v>
      </c>
      <c r="K291" s="78">
        <f t="shared" si="541"/>
        <v>0</v>
      </c>
      <c r="L291" s="78">
        <f t="shared" si="541"/>
        <v>0</v>
      </c>
      <c r="M291" s="78">
        <f t="shared" si="541"/>
        <v>0</v>
      </c>
      <c r="N291" s="78">
        <f t="shared" si="541"/>
        <v>0</v>
      </c>
      <c r="O291" s="145"/>
      <c r="S291" s="78"/>
      <c r="T291" s="78">
        <f t="shared" ref="T291:AY291" si="542">S295</f>
        <v>0</v>
      </c>
      <c r="U291" s="78">
        <f t="shared" si="542"/>
        <v>0</v>
      </c>
      <c r="V291" s="78">
        <f t="shared" si="542"/>
        <v>0</v>
      </c>
      <c r="W291" s="78">
        <f t="shared" si="542"/>
        <v>0</v>
      </c>
      <c r="X291" s="78">
        <f t="shared" si="542"/>
        <v>0</v>
      </c>
      <c r="Y291" s="78">
        <f t="shared" si="542"/>
        <v>0</v>
      </c>
      <c r="Z291" s="78">
        <f t="shared" si="542"/>
        <v>0</v>
      </c>
      <c r="AA291" s="78">
        <f t="shared" si="542"/>
        <v>0</v>
      </c>
      <c r="AB291" s="78">
        <f t="shared" si="542"/>
        <v>0</v>
      </c>
      <c r="AC291" s="78">
        <f t="shared" si="542"/>
        <v>0</v>
      </c>
      <c r="AD291" s="78">
        <f t="shared" si="542"/>
        <v>0</v>
      </c>
      <c r="AE291" s="78">
        <f t="shared" si="542"/>
        <v>0</v>
      </c>
      <c r="AF291" s="78">
        <f t="shared" si="542"/>
        <v>0</v>
      </c>
      <c r="AG291" s="78">
        <f t="shared" si="542"/>
        <v>0</v>
      </c>
      <c r="AH291" s="78">
        <f t="shared" si="542"/>
        <v>0</v>
      </c>
      <c r="AI291" s="78">
        <f t="shared" si="542"/>
        <v>0</v>
      </c>
      <c r="AJ291" s="78">
        <f t="shared" si="542"/>
        <v>0</v>
      </c>
      <c r="AK291" s="78">
        <f t="shared" si="542"/>
        <v>0</v>
      </c>
      <c r="AL291" s="78">
        <f t="shared" si="542"/>
        <v>0</v>
      </c>
      <c r="AM291" s="78">
        <f t="shared" si="542"/>
        <v>0</v>
      </c>
      <c r="AN291" s="78">
        <f t="shared" si="542"/>
        <v>0</v>
      </c>
      <c r="AO291" s="78">
        <f t="shared" si="542"/>
        <v>0</v>
      </c>
      <c r="AP291" s="78">
        <f t="shared" si="542"/>
        <v>0</v>
      </c>
      <c r="AQ291" s="78">
        <f t="shared" si="542"/>
        <v>0</v>
      </c>
      <c r="AR291" s="78">
        <f t="shared" si="542"/>
        <v>0</v>
      </c>
      <c r="AS291" s="78">
        <f t="shared" si="542"/>
        <v>0</v>
      </c>
      <c r="AT291" s="78">
        <f t="shared" si="542"/>
        <v>0</v>
      </c>
      <c r="AU291" s="78">
        <f t="shared" si="542"/>
        <v>0</v>
      </c>
      <c r="AV291" s="78">
        <f t="shared" si="542"/>
        <v>0</v>
      </c>
      <c r="AW291" s="78">
        <f t="shared" si="542"/>
        <v>0</v>
      </c>
      <c r="AX291" s="78">
        <f t="shared" si="542"/>
        <v>0</v>
      </c>
      <c r="AY291" s="78">
        <f t="shared" si="542"/>
        <v>0</v>
      </c>
      <c r="AZ291" s="78">
        <f t="shared" ref="AZ291:CE291" si="543">AY295</f>
        <v>0</v>
      </c>
      <c r="BA291" s="78">
        <f t="shared" si="543"/>
        <v>0</v>
      </c>
      <c r="BB291" s="78">
        <f t="shared" si="543"/>
        <v>0</v>
      </c>
      <c r="BC291" s="78">
        <f t="shared" si="543"/>
        <v>0</v>
      </c>
      <c r="BD291" s="78">
        <f t="shared" si="543"/>
        <v>0</v>
      </c>
      <c r="BE291" s="78">
        <f t="shared" si="543"/>
        <v>0</v>
      </c>
      <c r="BF291" s="78">
        <f t="shared" si="543"/>
        <v>0</v>
      </c>
      <c r="BG291" s="78">
        <f t="shared" si="543"/>
        <v>0</v>
      </c>
      <c r="BH291" s="78">
        <f t="shared" si="543"/>
        <v>0</v>
      </c>
      <c r="BI291" s="78">
        <f t="shared" si="543"/>
        <v>0</v>
      </c>
      <c r="BJ291" s="78">
        <f t="shared" si="543"/>
        <v>0</v>
      </c>
      <c r="BK291" s="78">
        <f t="shared" si="543"/>
        <v>0</v>
      </c>
      <c r="BL291" s="78">
        <f t="shared" si="543"/>
        <v>0</v>
      </c>
      <c r="BM291" s="78">
        <f t="shared" si="543"/>
        <v>0</v>
      </c>
      <c r="BN291" s="78">
        <f t="shared" si="543"/>
        <v>0</v>
      </c>
      <c r="BO291" s="78">
        <f t="shared" si="543"/>
        <v>0</v>
      </c>
      <c r="BP291" s="78">
        <f t="shared" si="543"/>
        <v>0</v>
      </c>
      <c r="BQ291" s="78">
        <f t="shared" si="543"/>
        <v>0</v>
      </c>
      <c r="BR291" s="78">
        <f t="shared" si="543"/>
        <v>0</v>
      </c>
      <c r="BS291" s="78">
        <f t="shared" si="543"/>
        <v>0</v>
      </c>
      <c r="BT291" s="78">
        <f t="shared" si="543"/>
        <v>0</v>
      </c>
      <c r="BU291" s="78">
        <f t="shared" si="543"/>
        <v>0</v>
      </c>
      <c r="BV291" s="78">
        <f t="shared" si="543"/>
        <v>0</v>
      </c>
      <c r="BW291" s="78">
        <f t="shared" si="543"/>
        <v>0</v>
      </c>
      <c r="BX291" s="78">
        <f t="shared" si="543"/>
        <v>0</v>
      </c>
      <c r="BY291" s="78">
        <f t="shared" si="543"/>
        <v>0</v>
      </c>
      <c r="BZ291" s="78">
        <f t="shared" si="543"/>
        <v>0</v>
      </c>
      <c r="CA291" s="78">
        <f t="shared" si="543"/>
        <v>0</v>
      </c>
      <c r="CB291" s="78">
        <f t="shared" si="543"/>
        <v>0</v>
      </c>
      <c r="CC291" s="78">
        <f t="shared" si="543"/>
        <v>0</v>
      </c>
      <c r="CD291" s="78">
        <f t="shared" si="543"/>
        <v>0</v>
      </c>
      <c r="CE291" s="78">
        <f t="shared" si="543"/>
        <v>0</v>
      </c>
      <c r="CF291" s="78">
        <f t="shared" ref="CF291:DK291" si="544">CE295</f>
        <v>0</v>
      </c>
      <c r="CG291" s="78">
        <f t="shared" si="544"/>
        <v>0</v>
      </c>
      <c r="CH291" s="78">
        <f t="shared" si="544"/>
        <v>0</v>
      </c>
      <c r="CI291" s="78">
        <f t="shared" si="544"/>
        <v>0</v>
      </c>
      <c r="CJ291" s="78">
        <f t="shared" si="544"/>
        <v>0</v>
      </c>
      <c r="CK291" s="78">
        <f t="shared" si="544"/>
        <v>0</v>
      </c>
      <c r="CL291" s="78">
        <f t="shared" si="544"/>
        <v>0</v>
      </c>
      <c r="CM291" s="78">
        <f t="shared" si="544"/>
        <v>0</v>
      </c>
      <c r="CN291" s="78">
        <f t="shared" si="544"/>
        <v>0</v>
      </c>
      <c r="CO291" s="78">
        <f t="shared" si="544"/>
        <v>0</v>
      </c>
      <c r="CP291" s="78">
        <f t="shared" si="544"/>
        <v>0</v>
      </c>
      <c r="CQ291" s="78">
        <f t="shared" si="544"/>
        <v>0</v>
      </c>
      <c r="CR291" s="78">
        <f t="shared" si="544"/>
        <v>0</v>
      </c>
      <c r="CS291" s="78">
        <f t="shared" si="544"/>
        <v>0</v>
      </c>
      <c r="CT291" s="78">
        <f t="shared" si="544"/>
        <v>0</v>
      </c>
      <c r="CU291" s="78">
        <f t="shared" si="544"/>
        <v>0</v>
      </c>
      <c r="CV291" s="78">
        <f t="shared" si="544"/>
        <v>0</v>
      </c>
      <c r="CW291" s="78">
        <f t="shared" si="544"/>
        <v>0</v>
      </c>
      <c r="CX291" s="78">
        <f t="shared" si="544"/>
        <v>0</v>
      </c>
      <c r="CY291" s="78">
        <f t="shared" si="544"/>
        <v>0</v>
      </c>
      <c r="CZ291" s="78">
        <f t="shared" si="544"/>
        <v>0</v>
      </c>
      <c r="DA291" s="78">
        <f t="shared" si="544"/>
        <v>0</v>
      </c>
      <c r="DB291" s="78">
        <f t="shared" si="544"/>
        <v>0</v>
      </c>
      <c r="DC291" s="78">
        <f t="shared" si="544"/>
        <v>0</v>
      </c>
      <c r="DD291" s="78">
        <f t="shared" si="544"/>
        <v>0</v>
      </c>
      <c r="DE291" s="78">
        <f t="shared" si="544"/>
        <v>0</v>
      </c>
      <c r="DF291" s="78">
        <f t="shared" si="544"/>
        <v>0</v>
      </c>
      <c r="DG291" s="78">
        <f t="shared" si="544"/>
        <v>0</v>
      </c>
      <c r="DH291" s="78">
        <f t="shared" si="544"/>
        <v>0</v>
      </c>
      <c r="DI291" s="78">
        <f t="shared" si="544"/>
        <v>0</v>
      </c>
      <c r="DJ291" s="78">
        <f t="shared" si="544"/>
        <v>0</v>
      </c>
      <c r="DK291" s="78">
        <f t="shared" si="544"/>
        <v>0</v>
      </c>
      <c r="DL291" s="78">
        <f t="shared" ref="DL291:EI291" si="545">DK295</f>
        <v>0</v>
      </c>
      <c r="DM291" s="78">
        <f t="shared" si="545"/>
        <v>0</v>
      </c>
      <c r="DN291" s="78">
        <f t="shared" si="545"/>
        <v>0</v>
      </c>
      <c r="DO291" s="78">
        <f t="shared" si="545"/>
        <v>0</v>
      </c>
      <c r="DP291" s="78">
        <f t="shared" si="545"/>
        <v>0</v>
      </c>
      <c r="DQ291" s="78">
        <f t="shared" si="545"/>
        <v>0</v>
      </c>
      <c r="DR291" s="78">
        <f t="shared" si="545"/>
        <v>0</v>
      </c>
      <c r="DS291" s="78">
        <f t="shared" si="545"/>
        <v>0</v>
      </c>
      <c r="DT291" s="78">
        <f t="shared" si="545"/>
        <v>0</v>
      </c>
      <c r="DU291" s="78">
        <f t="shared" si="545"/>
        <v>0</v>
      </c>
      <c r="DV291" s="78">
        <f t="shared" si="545"/>
        <v>0</v>
      </c>
      <c r="DW291" s="78">
        <f t="shared" si="545"/>
        <v>0</v>
      </c>
      <c r="DX291" s="78">
        <f t="shared" si="545"/>
        <v>0</v>
      </c>
      <c r="DY291" s="78">
        <f t="shared" si="545"/>
        <v>0</v>
      </c>
      <c r="DZ291" s="78">
        <f t="shared" si="545"/>
        <v>0</v>
      </c>
      <c r="EA291" s="78">
        <f t="shared" si="545"/>
        <v>0</v>
      </c>
      <c r="EB291" s="78">
        <f t="shared" si="545"/>
        <v>0</v>
      </c>
      <c r="EC291" s="78">
        <f t="shared" si="545"/>
        <v>0</v>
      </c>
      <c r="ED291" s="78">
        <f t="shared" si="545"/>
        <v>0</v>
      </c>
      <c r="EE291" s="78">
        <f t="shared" si="545"/>
        <v>0</v>
      </c>
      <c r="EF291" s="78">
        <f t="shared" si="545"/>
        <v>0</v>
      </c>
      <c r="EG291" s="78">
        <f t="shared" si="545"/>
        <v>0</v>
      </c>
      <c r="EH291" s="78">
        <f t="shared" si="545"/>
        <v>0</v>
      </c>
      <c r="EI291" s="78">
        <f t="shared" si="545"/>
        <v>0</v>
      </c>
    </row>
    <row r="292" spans="2:139" ht="12.75" customHeight="1">
      <c r="B292" s="41" t="s">
        <v>180</v>
      </c>
      <c r="C292" s="211"/>
      <c r="D292" s="78">
        <f t="shared" ref="D292:N292" si="546">SUMIF($S$6:$EI$6,D$5,$S292:$EI292)</f>
        <v>0</v>
      </c>
      <c r="E292" s="78">
        <f t="shared" si="546"/>
        <v>0</v>
      </c>
      <c r="F292" s="78">
        <f t="shared" si="546"/>
        <v>0</v>
      </c>
      <c r="G292" s="78">
        <f t="shared" si="546"/>
        <v>0</v>
      </c>
      <c r="H292" s="78">
        <f t="shared" si="546"/>
        <v>0</v>
      </c>
      <c r="I292" s="78">
        <f t="shared" si="546"/>
        <v>0</v>
      </c>
      <c r="J292" s="78">
        <f t="shared" si="546"/>
        <v>0</v>
      </c>
      <c r="K292" s="78">
        <f t="shared" si="546"/>
        <v>0</v>
      </c>
      <c r="L292" s="78">
        <f t="shared" si="546"/>
        <v>0</v>
      </c>
      <c r="M292" s="78">
        <f t="shared" si="546"/>
        <v>0</v>
      </c>
      <c r="N292" s="78">
        <f t="shared" si="546"/>
        <v>0</v>
      </c>
      <c r="O292" s="145">
        <f>SUM(D292:N292)</f>
        <v>0</v>
      </c>
      <c r="S292" s="78">
        <f t="shared" ref="S292:AX292" si="547">Loan3Amount*AND(HasLoan3,Loan3OrigMnth=S$5)</f>
        <v>0</v>
      </c>
      <c r="T292" s="78">
        <f t="shared" si="547"/>
        <v>0</v>
      </c>
      <c r="U292" s="78">
        <f t="shared" si="547"/>
        <v>0</v>
      </c>
      <c r="V292" s="78">
        <f t="shared" si="547"/>
        <v>0</v>
      </c>
      <c r="W292" s="78">
        <f t="shared" si="547"/>
        <v>0</v>
      </c>
      <c r="X292" s="78">
        <f t="shared" si="547"/>
        <v>0</v>
      </c>
      <c r="Y292" s="78">
        <f t="shared" si="547"/>
        <v>0</v>
      </c>
      <c r="Z292" s="78">
        <f t="shared" si="547"/>
        <v>0</v>
      </c>
      <c r="AA292" s="78">
        <f t="shared" si="547"/>
        <v>0</v>
      </c>
      <c r="AB292" s="78">
        <f t="shared" si="547"/>
        <v>0</v>
      </c>
      <c r="AC292" s="78">
        <f t="shared" si="547"/>
        <v>0</v>
      </c>
      <c r="AD292" s="78">
        <f t="shared" si="547"/>
        <v>0</v>
      </c>
      <c r="AE292" s="78">
        <f t="shared" si="547"/>
        <v>0</v>
      </c>
      <c r="AF292" s="78">
        <f t="shared" si="547"/>
        <v>0</v>
      </c>
      <c r="AG292" s="78">
        <f t="shared" si="547"/>
        <v>0</v>
      </c>
      <c r="AH292" s="78">
        <f t="shared" si="547"/>
        <v>0</v>
      </c>
      <c r="AI292" s="78">
        <f t="shared" si="547"/>
        <v>0</v>
      </c>
      <c r="AJ292" s="78">
        <f t="shared" si="547"/>
        <v>0</v>
      </c>
      <c r="AK292" s="78">
        <f t="shared" si="547"/>
        <v>0</v>
      </c>
      <c r="AL292" s="78">
        <f t="shared" si="547"/>
        <v>0</v>
      </c>
      <c r="AM292" s="78">
        <f t="shared" si="547"/>
        <v>0</v>
      </c>
      <c r="AN292" s="78">
        <f t="shared" si="547"/>
        <v>0</v>
      </c>
      <c r="AO292" s="78">
        <f t="shared" si="547"/>
        <v>0</v>
      </c>
      <c r="AP292" s="78">
        <f t="shared" si="547"/>
        <v>0</v>
      </c>
      <c r="AQ292" s="78">
        <f t="shared" si="547"/>
        <v>0</v>
      </c>
      <c r="AR292" s="78">
        <f t="shared" si="547"/>
        <v>0</v>
      </c>
      <c r="AS292" s="78">
        <f t="shared" si="547"/>
        <v>0</v>
      </c>
      <c r="AT292" s="78">
        <f t="shared" si="547"/>
        <v>0</v>
      </c>
      <c r="AU292" s="78">
        <f t="shared" si="547"/>
        <v>0</v>
      </c>
      <c r="AV292" s="78">
        <f t="shared" si="547"/>
        <v>0</v>
      </c>
      <c r="AW292" s="78">
        <f t="shared" si="547"/>
        <v>0</v>
      </c>
      <c r="AX292" s="78">
        <f t="shared" si="547"/>
        <v>0</v>
      </c>
      <c r="AY292" s="78">
        <f t="shared" ref="AY292:CD292" si="548">Loan3Amount*AND(HasLoan3,Loan3OrigMnth=AY$5)</f>
        <v>0</v>
      </c>
      <c r="AZ292" s="78">
        <f t="shared" si="548"/>
        <v>0</v>
      </c>
      <c r="BA292" s="78">
        <f t="shared" si="548"/>
        <v>0</v>
      </c>
      <c r="BB292" s="78">
        <f t="shared" si="548"/>
        <v>0</v>
      </c>
      <c r="BC292" s="78">
        <f t="shared" si="548"/>
        <v>0</v>
      </c>
      <c r="BD292" s="78">
        <f t="shared" si="548"/>
        <v>0</v>
      </c>
      <c r="BE292" s="78">
        <f t="shared" si="548"/>
        <v>0</v>
      </c>
      <c r="BF292" s="78">
        <f t="shared" si="548"/>
        <v>0</v>
      </c>
      <c r="BG292" s="78">
        <f t="shared" si="548"/>
        <v>0</v>
      </c>
      <c r="BH292" s="78">
        <f t="shared" si="548"/>
        <v>0</v>
      </c>
      <c r="BI292" s="78">
        <f t="shared" si="548"/>
        <v>0</v>
      </c>
      <c r="BJ292" s="78">
        <f t="shared" si="548"/>
        <v>0</v>
      </c>
      <c r="BK292" s="78">
        <f t="shared" si="548"/>
        <v>0</v>
      </c>
      <c r="BL292" s="78">
        <f t="shared" si="548"/>
        <v>0</v>
      </c>
      <c r="BM292" s="78">
        <f t="shared" si="548"/>
        <v>0</v>
      </c>
      <c r="BN292" s="78">
        <f t="shared" si="548"/>
        <v>0</v>
      </c>
      <c r="BO292" s="78">
        <f t="shared" si="548"/>
        <v>0</v>
      </c>
      <c r="BP292" s="78">
        <f t="shared" si="548"/>
        <v>0</v>
      </c>
      <c r="BQ292" s="78">
        <f t="shared" si="548"/>
        <v>0</v>
      </c>
      <c r="BR292" s="78">
        <f t="shared" si="548"/>
        <v>0</v>
      </c>
      <c r="BS292" s="78">
        <f t="shared" si="548"/>
        <v>0</v>
      </c>
      <c r="BT292" s="78">
        <f t="shared" si="548"/>
        <v>0</v>
      </c>
      <c r="BU292" s="78">
        <f t="shared" si="548"/>
        <v>0</v>
      </c>
      <c r="BV292" s="78">
        <f t="shared" si="548"/>
        <v>0</v>
      </c>
      <c r="BW292" s="78">
        <f t="shared" si="548"/>
        <v>0</v>
      </c>
      <c r="BX292" s="78">
        <f t="shared" si="548"/>
        <v>0</v>
      </c>
      <c r="BY292" s="78">
        <f t="shared" si="548"/>
        <v>0</v>
      </c>
      <c r="BZ292" s="78">
        <f t="shared" si="548"/>
        <v>0</v>
      </c>
      <c r="CA292" s="78">
        <f t="shared" si="548"/>
        <v>0</v>
      </c>
      <c r="CB292" s="78">
        <f t="shared" si="548"/>
        <v>0</v>
      </c>
      <c r="CC292" s="78">
        <f t="shared" si="548"/>
        <v>0</v>
      </c>
      <c r="CD292" s="78">
        <f t="shared" si="548"/>
        <v>0</v>
      </c>
      <c r="CE292" s="78">
        <f t="shared" ref="CE292:DJ292" si="549">Loan3Amount*AND(HasLoan3,Loan3OrigMnth=CE$5)</f>
        <v>0</v>
      </c>
      <c r="CF292" s="78">
        <f t="shared" si="549"/>
        <v>0</v>
      </c>
      <c r="CG292" s="78">
        <f t="shared" si="549"/>
        <v>0</v>
      </c>
      <c r="CH292" s="78">
        <f t="shared" si="549"/>
        <v>0</v>
      </c>
      <c r="CI292" s="78">
        <f t="shared" si="549"/>
        <v>0</v>
      </c>
      <c r="CJ292" s="78">
        <f t="shared" si="549"/>
        <v>0</v>
      </c>
      <c r="CK292" s="78">
        <f t="shared" si="549"/>
        <v>0</v>
      </c>
      <c r="CL292" s="78">
        <f t="shared" si="549"/>
        <v>0</v>
      </c>
      <c r="CM292" s="78">
        <f t="shared" si="549"/>
        <v>0</v>
      </c>
      <c r="CN292" s="78">
        <f t="shared" si="549"/>
        <v>0</v>
      </c>
      <c r="CO292" s="78">
        <f t="shared" si="549"/>
        <v>0</v>
      </c>
      <c r="CP292" s="78">
        <f t="shared" si="549"/>
        <v>0</v>
      </c>
      <c r="CQ292" s="78">
        <f t="shared" si="549"/>
        <v>0</v>
      </c>
      <c r="CR292" s="78">
        <f t="shared" si="549"/>
        <v>0</v>
      </c>
      <c r="CS292" s="78">
        <f t="shared" si="549"/>
        <v>0</v>
      </c>
      <c r="CT292" s="78">
        <f t="shared" si="549"/>
        <v>0</v>
      </c>
      <c r="CU292" s="78">
        <f t="shared" si="549"/>
        <v>0</v>
      </c>
      <c r="CV292" s="78">
        <f t="shared" si="549"/>
        <v>0</v>
      </c>
      <c r="CW292" s="78">
        <f t="shared" si="549"/>
        <v>0</v>
      </c>
      <c r="CX292" s="78">
        <f t="shared" si="549"/>
        <v>0</v>
      </c>
      <c r="CY292" s="78">
        <f t="shared" si="549"/>
        <v>0</v>
      </c>
      <c r="CZ292" s="78">
        <f t="shared" si="549"/>
        <v>0</v>
      </c>
      <c r="DA292" s="78">
        <f t="shared" si="549"/>
        <v>0</v>
      </c>
      <c r="DB292" s="78">
        <f t="shared" si="549"/>
        <v>0</v>
      </c>
      <c r="DC292" s="78">
        <f t="shared" si="549"/>
        <v>0</v>
      </c>
      <c r="DD292" s="78">
        <f t="shared" si="549"/>
        <v>0</v>
      </c>
      <c r="DE292" s="78">
        <f t="shared" si="549"/>
        <v>0</v>
      </c>
      <c r="DF292" s="78">
        <f t="shared" si="549"/>
        <v>0</v>
      </c>
      <c r="DG292" s="78">
        <f t="shared" si="549"/>
        <v>0</v>
      </c>
      <c r="DH292" s="78">
        <f t="shared" si="549"/>
        <v>0</v>
      </c>
      <c r="DI292" s="78">
        <f t="shared" si="549"/>
        <v>0</v>
      </c>
      <c r="DJ292" s="78">
        <f t="shared" si="549"/>
        <v>0</v>
      </c>
      <c r="DK292" s="78">
        <f t="shared" ref="DK292:EI292" si="550">Loan3Amount*AND(HasLoan3,Loan3OrigMnth=DK$5)</f>
        <v>0</v>
      </c>
      <c r="DL292" s="78">
        <f t="shared" si="550"/>
        <v>0</v>
      </c>
      <c r="DM292" s="78">
        <f t="shared" si="550"/>
        <v>0</v>
      </c>
      <c r="DN292" s="78">
        <f t="shared" si="550"/>
        <v>0</v>
      </c>
      <c r="DO292" s="78">
        <f t="shared" si="550"/>
        <v>0</v>
      </c>
      <c r="DP292" s="78">
        <f t="shared" si="550"/>
        <v>0</v>
      </c>
      <c r="DQ292" s="78">
        <f t="shared" si="550"/>
        <v>0</v>
      </c>
      <c r="DR292" s="78">
        <f t="shared" si="550"/>
        <v>0</v>
      </c>
      <c r="DS292" s="78">
        <f t="shared" si="550"/>
        <v>0</v>
      </c>
      <c r="DT292" s="78">
        <f t="shared" si="550"/>
        <v>0</v>
      </c>
      <c r="DU292" s="78">
        <f t="shared" si="550"/>
        <v>0</v>
      </c>
      <c r="DV292" s="78">
        <f t="shared" si="550"/>
        <v>0</v>
      </c>
      <c r="DW292" s="78">
        <f t="shared" si="550"/>
        <v>0</v>
      </c>
      <c r="DX292" s="78">
        <f t="shared" si="550"/>
        <v>0</v>
      </c>
      <c r="DY292" s="78">
        <f t="shared" si="550"/>
        <v>0</v>
      </c>
      <c r="DZ292" s="78">
        <f t="shared" si="550"/>
        <v>0</v>
      </c>
      <c r="EA292" s="78">
        <f t="shared" si="550"/>
        <v>0</v>
      </c>
      <c r="EB292" s="78">
        <f t="shared" si="550"/>
        <v>0</v>
      </c>
      <c r="EC292" s="78">
        <f t="shared" si="550"/>
        <v>0</v>
      </c>
      <c r="ED292" s="78">
        <f t="shared" si="550"/>
        <v>0</v>
      </c>
      <c r="EE292" s="78">
        <f t="shared" si="550"/>
        <v>0</v>
      </c>
      <c r="EF292" s="78">
        <f t="shared" si="550"/>
        <v>0</v>
      </c>
      <c r="EG292" s="78">
        <f t="shared" si="550"/>
        <v>0</v>
      </c>
      <c r="EH292" s="78">
        <f t="shared" si="550"/>
        <v>0</v>
      </c>
      <c r="EI292" s="78">
        <f t="shared" si="550"/>
        <v>0</v>
      </c>
    </row>
    <row r="293" spans="2:139" ht="12.75" customHeight="1">
      <c r="B293" s="41" t="s">
        <v>594</v>
      </c>
      <c r="C293" s="211"/>
      <c r="D293" s="78"/>
      <c r="E293" s="78">
        <f t="shared" ref="E293:N294" si="551">SUMIF($S$6:$EI$6,E$5,$S293:$EI293)</f>
        <v>0</v>
      </c>
      <c r="F293" s="78">
        <f t="shared" si="551"/>
        <v>0</v>
      </c>
      <c r="G293" s="78">
        <f t="shared" si="551"/>
        <v>0</v>
      </c>
      <c r="H293" s="78">
        <f t="shared" si="551"/>
        <v>0</v>
      </c>
      <c r="I293" s="78">
        <f t="shared" si="551"/>
        <v>0</v>
      </c>
      <c r="J293" s="78">
        <f t="shared" si="551"/>
        <v>0</v>
      </c>
      <c r="K293" s="78">
        <f t="shared" si="551"/>
        <v>0</v>
      </c>
      <c r="L293" s="78">
        <f t="shared" si="551"/>
        <v>0</v>
      </c>
      <c r="M293" s="78">
        <f t="shared" si="551"/>
        <v>0</v>
      </c>
      <c r="N293" s="78">
        <f t="shared" si="551"/>
        <v>0</v>
      </c>
      <c r="O293" s="145">
        <f>SUM(D293:N293)</f>
        <v>0</v>
      </c>
      <c r="S293" s="78"/>
      <c r="T293" s="78">
        <f>IF(AND(HasLoan3,L3HasAmort,T291,T$5&gt;Loan3OrigMnth+Loan3IOPer),IF(Loan3PmtType=VariablePmt,PPMT(Loan3IntRate/12,T$5-Loan3OrigMnth-Loan3IOPer,Loan3AmortPer*12,Loan3Amount),-MIN(T291,PMT(Loan3IntRate/12,Loan3AmortPer*12,-Loan3Amount)+T287)),)</f>
        <v>0</v>
      </c>
      <c r="U293" s="78">
        <f>IF(AND(HasLoan3,L3HasAmort,U291,U$5&gt;Loan3OrigMnth+Loan3IOPer),IF(Loan3PmtType=VariablePmt,PPMT(Loan3IntRate/12,U$5-Loan3OrigMnth-Loan3IOPer,Loan3AmortPer*12,Loan3Amount),-MIN(U291,PMT(Loan3IntRate/12,Loan3AmortPer*12,-Loan3Amount)+U287)),)</f>
        <v>0</v>
      </c>
      <c r="V293" s="78">
        <f>IF(AND(HasLoan3,L3HasAmort,V291,V$5&gt;Loan3OrigMnth+Loan3IOPer),IF(Loan3PmtType=VariablePmt,PPMT(Loan3IntRate/12,V$5-Loan3OrigMnth-Loan3IOPer,Loan3AmortPer*12,Loan3Amount),-MIN(V291,PMT(Loan3IntRate/12,Loan3AmortPer*12,-Loan3Amount)+V287)),)</f>
        <v>0</v>
      </c>
      <c r="W293" s="78">
        <f>IF(AND(HasLoan3,L3HasAmort,W291,W$5&gt;Loan3OrigMnth+Loan3IOPer),IF(Loan3PmtType=VariablePmt,PPMT(Loan3IntRate/12,W$5-Loan3OrigMnth-Loan3IOPer,Loan3AmortPer*12,Loan3Amount),-MIN(W291,PMT(Loan3IntRate/12,Loan3AmortPer*12,-Loan3Amount)+W287)),)</f>
        <v>0</v>
      </c>
      <c r="X293" s="78">
        <f>IF(AND(HasLoan3,L3HasAmort,X291,X$5&gt;Loan3OrigMnth+Loan3IOPer),IF(Loan3PmtType=VariablePmt,PPMT(Loan3IntRate/12,X$5-Loan3OrigMnth-Loan3IOPer,Loan3AmortPer*12,Loan3Amount),-MIN(X291,PMT(Loan3IntRate/12,Loan3AmortPer*12,-Loan3Amount)+X287)),)</f>
        <v>0</v>
      </c>
      <c r="Y293" s="78">
        <f>IF(AND(HasLoan3,L3HasAmort,Y291,Y$5&gt;Loan3OrigMnth+Loan3IOPer),IF(Loan3PmtType=VariablePmt,PPMT(Loan3IntRate/12,Y$5-Loan3OrigMnth-Loan3IOPer,Loan3AmortPer*12,Loan3Amount),-MIN(Y291,PMT(Loan3IntRate/12,Loan3AmortPer*12,-Loan3Amount)+Y287)),)</f>
        <v>0</v>
      </c>
      <c r="Z293" s="78">
        <f>IF(AND(HasLoan3,L3HasAmort,Z291,Z$5&gt;Loan3OrigMnth+Loan3IOPer),IF(Loan3PmtType=VariablePmt,PPMT(Loan3IntRate/12,Z$5-Loan3OrigMnth-Loan3IOPer,Loan3AmortPer*12,Loan3Amount),-MIN(Z291,PMT(Loan3IntRate/12,Loan3AmortPer*12,-Loan3Amount)+Z287)),)</f>
        <v>0</v>
      </c>
      <c r="AA293" s="78">
        <f>IF(AND(HasLoan3,L3HasAmort,AA291,AA$5&gt;Loan3OrigMnth+Loan3IOPer),IF(Loan3PmtType=VariablePmt,PPMT(Loan3IntRate/12,AA$5-Loan3OrigMnth-Loan3IOPer,Loan3AmortPer*12,Loan3Amount),-MIN(AA291,PMT(Loan3IntRate/12,Loan3AmortPer*12,-Loan3Amount)+AA287)),)</f>
        <v>0</v>
      </c>
      <c r="AB293" s="78">
        <f>IF(AND(HasLoan3,L3HasAmort,AB291,AB$5&gt;Loan3OrigMnth+Loan3IOPer),IF(Loan3PmtType=VariablePmt,PPMT(Loan3IntRate/12,AB$5-Loan3OrigMnth-Loan3IOPer,Loan3AmortPer*12,Loan3Amount),-MIN(AB291,PMT(Loan3IntRate/12,Loan3AmortPer*12,-Loan3Amount)+AB287)),)</f>
        <v>0</v>
      </c>
      <c r="AC293" s="78">
        <f>IF(AND(HasLoan3,L3HasAmort,AC291,AC$5&gt;Loan3OrigMnth+Loan3IOPer),IF(Loan3PmtType=VariablePmt,PPMT(Loan3IntRate/12,AC$5-Loan3OrigMnth-Loan3IOPer,Loan3AmortPer*12,Loan3Amount),-MIN(AC291,PMT(Loan3IntRate/12,Loan3AmortPer*12,-Loan3Amount)+AC287)),)</f>
        <v>0</v>
      </c>
      <c r="AD293" s="78">
        <f>IF(AND(HasLoan3,L3HasAmort,AD291,AD$5&gt;Loan3OrigMnth+Loan3IOPer),IF(Loan3PmtType=VariablePmt,PPMT(Loan3IntRate/12,AD$5-Loan3OrigMnth-Loan3IOPer,Loan3AmortPer*12,Loan3Amount),-MIN(AD291,PMT(Loan3IntRate/12,Loan3AmortPer*12,-Loan3Amount)+AD287)),)</f>
        <v>0</v>
      </c>
      <c r="AE293" s="78">
        <f>IF(AND(HasLoan3,L3HasAmort,AE291,AE$5&gt;Loan3OrigMnth+Loan3IOPer),IF(Loan3PmtType=VariablePmt,PPMT(Loan3IntRate/12,AE$5-Loan3OrigMnth-Loan3IOPer,Loan3AmortPer*12,Loan3Amount),-MIN(AE291,PMT(Loan3IntRate/12,Loan3AmortPer*12,-Loan3Amount)+AE287)),)</f>
        <v>0</v>
      </c>
      <c r="AF293" s="78">
        <f>IF(AND(HasLoan3,L3HasAmort,AF291,AF$5&gt;Loan3OrigMnth+Loan3IOPer),IF(Loan3PmtType=VariablePmt,PPMT(Loan3IntRate/12,AF$5-Loan3OrigMnth-Loan3IOPer,Loan3AmortPer*12,Loan3Amount),-MIN(AF291,PMT(Loan3IntRate/12,Loan3AmortPer*12,-Loan3Amount)+AF287)),)</f>
        <v>0</v>
      </c>
      <c r="AG293" s="78">
        <f>IF(AND(HasLoan3,L3HasAmort,AG291,AG$5&gt;Loan3OrigMnth+Loan3IOPer),IF(Loan3PmtType=VariablePmt,PPMT(Loan3IntRate/12,AG$5-Loan3OrigMnth-Loan3IOPer,Loan3AmortPer*12,Loan3Amount),-MIN(AG291,PMT(Loan3IntRate/12,Loan3AmortPer*12,-Loan3Amount)+AG287)),)</f>
        <v>0</v>
      </c>
      <c r="AH293" s="78">
        <f>IF(AND(HasLoan3,L3HasAmort,AH291,AH$5&gt;Loan3OrigMnth+Loan3IOPer),IF(Loan3PmtType=VariablePmt,PPMT(Loan3IntRate/12,AH$5-Loan3OrigMnth-Loan3IOPer,Loan3AmortPer*12,Loan3Amount),-MIN(AH291,PMT(Loan3IntRate/12,Loan3AmortPer*12,-Loan3Amount)+AH287)),)</f>
        <v>0</v>
      </c>
      <c r="AI293" s="78">
        <f>IF(AND(HasLoan3,L3HasAmort,AI291,AI$5&gt;Loan3OrigMnth+Loan3IOPer),IF(Loan3PmtType=VariablePmt,PPMT(Loan3IntRate/12,AI$5-Loan3OrigMnth-Loan3IOPer,Loan3AmortPer*12,Loan3Amount),-MIN(AI291,PMT(Loan3IntRate/12,Loan3AmortPer*12,-Loan3Amount)+AI287)),)</f>
        <v>0</v>
      </c>
      <c r="AJ293" s="78">
        <f>IF(AND(HasLoan3,L3HasAmort,AJ291,AJ$5&gt;Loan3OrigMnth+Loan3IOPer),IF(Loan3PmtType=VariablePmt,PPMT(Loan3IntRate/12,AJ$5-Loan3OrigMnth-Loan3IOPer,Loan3AmortPer*12,Loan3Amount),-MIN(AJ291,PMT(Loan3IntRate/12,Loan3AmortPer*12,-Loan3Amount)+AJ287)),)</f>
        <v>0</v>
      </c>
      <c r="AK293" s="78">
        <f>IF(AND(HasLoan3,L3HasAmort,AK291,AK$5&gt;Loan3OrigMnth+Loan3IOPer),IF(Loan3PmtType=VariablePmt,PPMT(Loan3IntRate/12,AK$5-Loan3OrigMnth-Loan3IOPer,Loan3AmortPer*12,Loan3Amount),-MIN(AK291,PMT(Loan3IntRate/12,Loan3AmortPer*12,-Loan3Amount)+AK287)),)</f>
        <v>0</v>
      </c>
      <c r="AL293" s="78">
        <f>IF(AND(HasLoan3,L3HasAmort,AL291,AL$5&gt;Loan3OrigMnth+Loan3IOPer),IF(Loan3PmtType=VariablePmt,PPMT(Loan3IntRate/12,AL$5-Loan3OrigMnth-Loan3IOPer,Loan3AmortPer*12,Loan3Amount),-MIN(AL291,PMT(Loan3IntRate/12,Loan3AmortPer*12,-Loan3Amount)+AL287)),)</f>
        <v>0</v>
      </c>
      <c r="AM293" s="78">
        <f>IF(AND(HasLoan3,L3HasAmort,AM291,AM$5&gt;Loan3OrigMnth+Loan3IOPer),IF(Loan3PmtType=VariablePmt,PPMT(Loan3IntRate/12,AM$5-Loan3OrigMnth-Loan3IOPer,Loan3AmortPer*12,Loan3Amount),-MIN(AM291,PMT(Loan3IntRate/12,Loan3AmortPer*12,-Loan3Amount)+AM287)),)</f>
        <v>0</v>
      </c>
      <c r="AN293" s="78">
        <f>IF(AND(HasLoan3,L3HasAmort,AN291,AN$5&gt;Loan3OrigMnth+Loan3IOPer),IF(Loan3PmtType=VariablePmt,PPMT(Loan3IntRate/12,AN$5-Loan3OrigMnth-Loan3IOPer,Loan3AmortPer*12,Loan3Amount),-MIN(AN291,PMT(Loan3IntRate/12,Loan3AmortPer*12,-Loan3Amount)+AN287)),)</f>
        <v>0</v>
      </c>
      <c r="AO293" s="78">
        <f>IF(AND(HasLoan3,L3HasAmort,AO291,AO$5&gt;Loan3OrigMnth+Loan3IOPer),IF(Loan3PmtType=VariablePmt,PPMT(Loan3IntRate/12,AO$5-Loan3OrigMnth-Loan3IOPer,Loan3AmortPer*12,Loan3Amount),-MIN(AO291,PMT(Loan3IntRate/12,Loan3AmortPer*12,-Loan3Amount)+AO287)),)</f>
        <v>0</v>
      </c>
      <c r="AP293" s="78">
        <f>IF(AND(HasLoan3,L3HasAmort,AP291,AP$5&gt;Loan3OrigMnth+Loan3IOPer),IF(Loan3PmtType=VariablePmt,PPMT(Loan3IntRate/12,AP$5-Loan3OrigMnth-Loan3IOPer,Loan3AmortPer*12,Loan3Amount),-MIN(AP291,PMT(Loan3IntRate/12,Loan3AmortPer*12,-Loan3Amount)+AP287)),)</f>
        <v>0</v>
      </c>
      <c r="AQ293" s="78">
        <f>IF(AND(HasLoan3,L3HasAmort,AQ291,AQ$5&gt;Loan3OrigMnth+Loan3IOPer),IF(Loan3PmtType=VariablePmt,PPMT(Loan3IntRate/12,AQ$5-Loan3OrigMnth-Loan3IOPer,Loan3AmortPer*12,Loan3Amount),-MIN(AQ291,PMT(Loan3IntRate/12,Loan3AmortPer*12,-Loan3Amount)+AQ287)),)</f>
        <v>0</v>
      </c>
      <c r="AR293" s="78">
        <f>IF(AND(HasLoan3,L3HasAmort,AR291,AR$5&gt;Loan3OrigMnth+Loan3IOPer),IF(Loan3PmtType=VariablePmt,PPMT(Loan3IntRate/12,AR$5-Loan3OrigMnth-Loan3IOPer,Loan3AmortPer*12,Loan3Amount),-MIN(AR291,PMT(Loan3IntRate/12,Loan3AmortPer*12,-Loan3Amount)+AR287)),)</f>
        <v>0</v>
      </c>
      <c r="AS293" s="78">
        <f>IF(AND(HasLoan3,L3HasAmort,AS291,AS$5&gt;Loan3OrigMnth+Loan3IOPer),IF(Loan3PmtType=VariablePmt,PPMT(Loan3IntRate/12,AS$5-Loan3OrigMnth-Loan3IOPer,Loan3AmortPer*12,Loan3Amount),-MIN(AS291,PMT(Loan3IntRate/12,Loan3AmortPer*12,-Loan3Amount)+AS287)),)</f>
        <v>0</v>
      </c>
      <c r="AT293" s="78">
        <f>IF(AND(HasLoan3,L3HasAmort,AT291,AT$5&gt;Loan3OrigMnth+Loan3IOPer),IF(Loan3PmtType=VariablePmt,PPMT(Loan3IntRate/12,AT$5-Loan3OrigMnth-Loan3IOPer,Loan3AmortPer*12,Loan3Amount),-MIN(AT291,PMT(Loan3IntRate/12,Loan3AmortPer*12,-Loan3Amount)+AT287)),)</f>
        <v>0</v>
      </c>
      <c r="AU293" s="78">
        <f>IF(AND(HasLoan3,L3HasAmort,AU291,AU$5&gt;Loan3OrigMnth+Loan3IOPer),IF(Loan3PmtType=VariablePmt,PPMT(Loan3IntRate/12,AU$5-Loan3OrigMnth-Loan3IOPer,Loan3AmortPer*12,Loan3Amount),-MIN(AU291,PMT(Loan3IntRate/12,Loan3AmortPer*12,-Loan3Amount)+AU287)),)</f>
        <v>0</v>
      </c>
      <c r="AV293" s="78">
        <f>IF(AND(HasLoan3,L3HasAmort,AV291,AV$5&gt;Loan3OrigMnth+Loan3IOPer),IF(Loan3PmtType=VariablePmt,PPMT(Loan3IntRate/12,AV$5-Loan3OrigMnth-Loan3IOPer,Loan3AmortPer*12,Loan3Amount),-MIN(AV291,PMT(Loan3IntRate/12,Loan3AmortPer*12,-Loan3Amount)+AV287)),)</f>
        <v>0</v>
      </c>
      <c r="AW293" s="78">
        <f>IF(AND(HasLoan3,L3HasAmort,AW291,AW$5&gt;Loan3OrigMnth+Loan3IOPer),IF(Loan3PmtType=VariablePmt,PPMT(Loan3IntRate/12,AW$5-Loan3OrigMnth-Loan3IOPer,Loan3AmortPer*12,Loan3Amount),-MIN(AW291,PMT(Loan3IntRate/12,Loan3AmortPer*12,-Loan3Amount)+AW287)),)</f>
        <v>0</v>
      </c>
      <c r="AX293" s="78">
        <f>IF(AND(HasLoan3,L3HasAmort,AX291,AX$5&gt;Loan3OrigMnth+Loan3IOPer),IF(Loan3PmtType=VariablePmt,PPMT(Loan3IntRate/12,AX$5-Loan3OrigMnth-Loan3IOPer,Loan3AmortPer*12,Loan3Amount),-MIN(AX291,PMT(Loan3IntRate/12,Loan3AmortPer*12,-Loan3Amount)+AX287)),)</f>
        <v>0</v>
      </c>
      <c r="AY293" s="78">
        <f>IF(AND(HasLoan3,L3HasAmort,AY291,AY$5&gt;Loan3OrigMnth+Loan3IOPer),IF(Loan3PmtType=VariablePmt,PPMT(Loan3IntRate/12,AY$5-Loan3OrigMnth-Loan3IOPer,Loan3AmortPer*12,Loan3Amount),-MIN(AY291,PMT(Loan3IntRate/12,Loan3AmortPer*12,-Loan3Amount)+AY287)),)</f>
        <v>0</v>
      </c>
      <c r="AZ293" s="78">
        <f>IF(AND(HasLoan3,L3HasAmort,AZ291,AZ$5&gt;Loan3OrigMnth+Loan3IOPer),IF(Loan3PmtType=VariablePmt,PPMT(Loan3IntRate/12,AZ$5-Loan3OrigMnth-Loan3IOPer,Loan3AmortPer*12,Loan3Amount),-MIN(AZ291,PMT(Loan3IntRate/12,Loan3AmortPer*12,-Loan3Amount)+AZ287)),)</f>
        <v>0</v>
      </c>
      <c r="BA293" s="78">
        <f>IF(AND(HasLoan3,L3HasAmort,BA291,BA$5&gt;Loan3OrigMnth+Loan3IOPer),IF(Loan3PmtType=VariablePmt,PPMT(Loan3IntRate/12,BA$5-Loan3OrigMnth-Loan3IOPer,Loan3AmortPer*12,Loan3Amount),-MIN(BA291,PMT(Loan3IntRate/12,Loan3AmortPer*12,-Loan3Amount)+BA287)),)</f>
        <v>0</v>
      </c>
      <c r="BB293" s="78">
        <f>IF(AND(HasLoan3,L3HasAmort,BB291,BB$5&gt;Loan3OrigMnth+Loan3IOPer),IF(Loan3PmtType=VariablePmt,PPMT(Loan3IntRate/12,BB$5-Loan3OrigMnth-Loan3IOPer,Loan3AmortPer*12,Loan3Amount),-MIN(BB291,PMT(Loan3IntRate/12,Loan3AmortPer*12,-Loan3Amount)+BB287)),)</f>
        <v>0</v>
      </c>
      <c r="BC293" s="78">
        <f>IF(AND(HasLoan3,L3HasAmort,BC291,BC$5&gt;Loan3OrigMnth+Loan3IOPer),IF(Loan3PmtType=VariablePmt,PPMT(Loan3IntRate/12,BC$5-Loan3OrigMnth-Loan3IOPer,Loan3AmortPer*12,Loan3Amount),-MIN(BC291,PMT(Loan3IntRate/12,Loan3AmortPer*12,-Loan3Amount)+BC287)),)</f>
        <v>0</v>
      </c>
      <c r="BD293" s="78">
        <f>IF(AND(HasLoan3,L3HasAmort,BD291,BD$5&gt;Loan3OrigMnth+Loan3IOPer),IF(Loan3PmtType=VariablePmt,PPMT(Loan3IntRate/12,BD$5-Loan3OrigMnth-Loan3IOPer,Loan3AmortPer*12,Loan3Amount),-MIN(BD291,PMT(Loan3IntRate/12,Loan3AmortPer*12,-Loan3Amount)+BD287)),)</f>
        <v>0</v>
      </c>
      <c r="BE293" s="78">
        <f>IF(AND(HasLoan3,L3HasAmort,BE291,BE$5&gt;Loan3OrigMnth+Loan3IOPer),IF(Loan3PmtType=VariablePmt,PPMT(Loan3IntRate/12,BE$5-Loan3OrigMnth-Loan3IOPer,Loan3AmortPer*12,Loan3Amount),-MIN(BE291,PMT(Loan3IntRate/12,Loan3AmortPer*12,-Loan3Amount)+BE287)),)</f>
        <v>0</v>
      </c>
      <c r="BF293" s="78">
        <f>IF(AND(HasLoan3,L3HasAmort,BF291,BF$5&gt;Loan3OrigMnth+Loan3IOPer),IF(Loan3PmtType=VariablePmt,PPMT(Loan3IntRate/12,BF$5-Loan3OrigMnth-Loan3IOPer,Loan3AmortPer*12,Loan3Amount),-MIN(BF291,PMT(Loan3IntRate/12,Loan3AmortPer*12,-Loan3Amount)+BF287)),)</f>
        <v>0</v>
      </c>
      <c r="BG293" s="78">
        <f>IF(AND(HasLoan3,L3HasAmort,BG291,BG$5&gt;Loan3OrigMnth+Loan3IOPer),IF(Loan3PmtType=VariablePmt,PPMT(Loan3IntRate/12,BG$5-Loan3OrigMnth-Loan3IOPer,Loan3AmortPer*12,Loan3Amount),-MIN(BG291,PMT(Loan3IntRate/12,Loan3AmortPer*12,-Loan3Amount)+BG287)),)</f>
        <v>0</v>
      </c>
      <c r="BH293" s="78">
        <f>IF(AND(HasLoan3,L3HasAmort,BH291,BH$5&gt;Loan3OrigMnth+Loan3IOPer),IF(Loan3PmtType=VariablePmt,PPMT(Loan3IntRate/12,BH$5-Loan3OrigMnth-Loan3IOPer,Loan3AmortPer*12,Loan3Amount),-MIN(BH291,PMT(Loan3IntRate/12,Loan3AmortPer*12,-Loan3Amount)+BH287)),)</f>
        <v>0</v>
      </c>
      <c r="BI293" s="78">
        <f>IF(AND(HasLoan3,L3HasAmort,BI291,BI$5&gt;Loan3OrigMnth+Loan3IOPer),IF(Loan3PmtType=VariablePmt,PPMT(Loan3IntRate/12,BI$5-Loan3OrigMnth-Loan3IOPer,Loan3AmortPer*12,Loan3Amount),-MIN(BI291,PMT(Loan3IntRate/12,Loan3AmortPer*12,-Loan3Amount)+BI287)),)</f>
        <v>0</v>
      </c>
      <c r="BJ293" s="78">
        <f>IF(AND(HasLoan3,L3HasAmort,BJ291,BJ$5&gt;Loan3OrigMnth+Loan3IOPer),IF(Loan3PmtType=VariablePmt,PPMT(Loan3IntRate/12,BJ$5-Loan3OrigMnth-Loan3IOPer,Loan3AmortPer*12,Loan3Amount),-MIN(BJ291,PMT(Loan3IntRate/12,Loan3AmortPer*12,-Loan3Amount)+BJ287)),)</f>
        <v>0</v>
      </c>
      <c r="BK293" s="78">
        <f>IF(AND(HasLoan3,L3HasAmort,BK291,BK$5&gt;Loan3OrigMnth+Loan3IOPer),IF(Loan3PmtType=VariablePmt,PPMT(Loan3IntRate/12,BK$5-Loan3OrigMnth-Loan3IOPer,Loan3AmortPer*12,Loan3Amount),-MIN(BK291,PMT(Loan3IntRate/12,Loan3AmortPer*12,-Loan3Amount)+BK287)),)</f>
        <v>0</v>
      </c>
      <c r="BL293" s="78">
        <f>IF(AND(HasLoan3,L3HasAmort,BL291,BL$5&gt;Loan3OrigMnth+Loan3IOPer),IF(Loan3PmtType=VariablePmt,PPMT(Loan3IntRate/12,BL$5-Loan3OrigMnth-Loan3IOPer,Loan3AmortPer*12,Loan3Amount),-MIN(BL291,PMT(Loan3IntRate/12,Loan3AmortPer*12,-Loan3Amount)+BL287)),)</f>
        <v>0</v>
      </c>
      <c r="BM293" s="78">
        <f>IF(AND(HasLoan3,L3HasAmort,BM291,BM$5&gt;Loan3OrigMnth+Loan3IOPer),IF(Loan3PmtType=VariablePmt,PPMT(Loan3IntRate/12,BM$5-Loan3OrigMnth-Loan3IOPer,Loan3AmortPer*12,Loan3Amount),-MIN(BM291,PMT(Loan3IntRate/12,Loan3AmortPer*12,-Loan3Amount)+BM287)),)</f>
        <v>0</v>
      </c>
      <c r="BN293" s="78">
        <f>IF(AND(HasLoan3,L3HasAmort,BN291,BN$5&gt;Loan3OrigMnth+Loan3IOPer),IF(Loan3PmtType=VariablePmt,PPMT(Loan3IntRate/12,BN$5-Loan3OrigMnth-Loan3IOPer,Loan3AmortPer*12,Loan3Amount),-MIN(BN291,PMT(Loan3IntRate/12,Loan3AmortPer*12,-Loan3Amount)+BN287)),)</f>
        <v>0</v>
      </c>
      <c r="BO293" s="78">
        <f>IF(AND(HasLoan3,L3HasAmort,BO291,BO$5&gt;Loan3OrigMnth+Loan3IOPer),IF(Loan3PmtType=VariablePmt,PPMT(Loan3IntRate/12,BO$5-Loan3OrigMnth-Loan3IOPer,Loan3AmortPer*12,Loan3Amount),-MIN(BO291,PMT(Loan3IntRate/12,Loan3AmortPer*12,-Loan3Amount)+BO287)),)</f>
        <v>0</v>
      </c>
      <c r="BP293" s="78">
        <f>IF(AND(HasLoan3,L3HasAmort,BP291,BP$5&gt;Loan3OrigMnth+Loan3IOPer),IF(Loan3PmtType=VariablePmt,PPMT(Loan3IntRate/12,BP$5-Loan3OrigMnth-Loan3IOPer,Loan3AmortPer*12,Loan3Amount),-MIN(BP291,PMT(Loan3IntRate/12,Loan3AmortPer*12,-Loan3Amount)+BP287)),)</f>
        <v>0</v>
      </c>
      <c r="BQ293" s="78">
        <f>IF(AND(HasLoan3,L3HasAmort,BQ291,BQ$5&gt;Loan3OrigMnth+Loan3IOPer),IF(Loan3PmtType=VariablePmt,PPMT(Loan3IntRate/12,BQ$5-Loan3OrigMnth-Loan3IOPer,Loan3AmortPer*12,Loan3Amount),-MIN(BQ291,PMT(Loan3IntRate/12,Loan3AmortPer*12,-Loan3Amount)+BQ287)),)</f>
        <v>0</v>
      </c>
      <c r="BR293" s="78">
        <f>IF(AND(HasLoan3,L3HasAmort,BR291,BR$5&gt;Loan3OrigMnth+Loan3IOPer),IF(Loan3PmtType=VariablePmt,PPMT(Loan3IntRate/12,BR$5-Loan3OrigMnth-Loan3IOPer,Loan3AmortPer*12,Loan3Amount),-MIN(BR291,PMT(Loan3IntRate/12,Loan3AmortPer*12,-Loan3Amount)+BR287)),)</f>
        <v>0</v>
      </c>
      <c r="BS293" s="78">
        <f>IF(AND(HasLoan3,L3HasAmort,BS291,BS$5&gt;Loan3OrigMnth+Loan3IOPer),IF(Loan3PmtType=VariablePmt,PPMT(Loan3IntRate/12,BS$5-Loan3OrigMnth-Loan3IOPer,Loan3AmortPer*12,Loan3Amount),-MIN(BS291,PMT(Loan3IntRate/12,Loan3AmortPer*12,-Loan3Amount)+BS287)),)</f>
        <v>0</v>
      </c>
      <c r="BT293" s="78">
        <f>IF(AND(HasLoan3,L3HasAmort,BT291,BT$5&gt;Loan3OrigMnth+Loan3IOPer),IF(Loan3PmtType=VariablePmt,PPMT(Loan3IntRate/12,BT$5-Loan3OrigMnth-Loan3IOPer,Loan3AmortPer*12,Loan3Amount),-MIN(BT291,PMT(Loan3IntRate/12,Loan3AmortPer*12,-Loan3Amount)+BT287)),)</f>
        <v>0</v>
      </c>
      <c r="BU293" s="78">
        <f>IF(AND(HasLoan3,L3HasAmort,BU291,BU$5&gt;Loan3OrigMnth+Loan3IOPer),IF(Loan3PmtType=VariablePmt,PPMT(Loan3IntRate/12,BU$5-Loan3OrigMnth-Loan3IOPer,Loan3AmortPer*12,Loan3Amount),-MIN(BU291,PMT(Loan3IntRate/12,Loan3AmortPer*12,-Loan3Amount)+BU287)),)</f>
        <v>0</v>
      </c>
      <c r="BV293" s="78">
        <f>IF(AND(HasLoan3,L3HasAmort,BV291,BV$5&gt;Loan3OrigMnth+Loan3IOPer),IF(Loan3PmtType=VariablePmt,PPMT(Loan3IntRate/12,BV$5-Loan3OrigMnth-Loan3IOPer,Loan3AmortPer*12,Loan3Amount),-MIN(BV291,PMT(Loan3IntRate/12,Loan3AmortPer*12,-Loan3Amount)+BV287)),)</f>
        <v>0</v>
      </c>
      <c r="BW293" s="78">
        <f>IF(AND(HasLoan3,L3HasAmort,BW291,BW$5&gt;Loan3OrigMnth+Loan3IOPer),IF(Loan3PmtType=VariablePmt,PPMT(Loan3IntRate/12,BW$5-Loan3OrigMnth-Loan3IOPer,Loan3AmortPer*12,Loan3Amount),-MIN(BW291,PMT(Loan3IntRate/12,Loan3AmortPer*12,-Loan3Amount)+BW287)),)</f>
        <v>0</v>
      </c>
      <c r="BX293" s="78">
        <f>IF(AND(HasLoan3,L3HasAmort,BX291,BX$5&gt;Loan3OrigMnth+Loan3IOPer),IF(Loan3PmtType=VariablePmt,PPMT(Loan3IntRate/12,BX$5-Loan3OrigMnth-Loan3IOPer,Loan3AmortPer*12,Loan3Amount),-MIN(BX291,PMT(Loan3IntRate/12,Loan3AmortPer*12,-Loan3Amount)+BX287)),)</f>
        <v>0</v>
      </c>
      <c r="BY293" s="78">
        <f>IF(AND(HasLoan3,L3HasAmort,BY291,BY$5&gt;Loan3OrigMnth+Loan3IOPer),IF(Loan3PmtType=VariablePmt,PPMT(Loan3IntRate/12,BY$5-Loan3OrigMnth-Loan3IOPer,Loan3AmortPer*12,Loan3Amount),-MIN(BY291,PMT(Loan3IntRate/12,Loan3AmortPer*12,-Loan3Amount)+BY287)),)</f>
        <v>0</v>
      </c>
      <c r="BZ293" s="78">
        <f>IF(AND(HasLoan3,L3HasAmort,BZ291,BZ$5&gt;Loan3OrigMnth+Loan3IOPer),IF(Loan3PmtType=VariablePmt,PPMT(Loan3IntRate/12,BZ$5-Loan3OrigMnth-Loan3IOPer,Loan3AmortPer*12,Loan3Amount),-MIN(BZ291,PMT(Loan3IntRate/12,Loan3AmortPer*12,-Loan3Amount)+BZ287)),)</f>
        <v>0</v>
      </c>
      <c r="CA293" s="78">
        <f>IF(AND(HasLoan3,L3HasAmort,CA291,CA$5&gt;Loan3OrigMnth+Loan3IOPer),IF(Loan3PmtType=VariablePmt,PPMT(Loan3IntRate/12,CA$5-Loan3OrigMnth-Loan3IOPer,Loan3AmortPer*12,Loan3Amount),-MIN(CA291,PMT(Loan3IntRate/12,Loan3AmortPer*12,-Loan3Amount)+CA287)),)</f>
        <v>0</v>
      </c>
      <c r="CB293" s="78">
        <f>IF(AND(HasLoan3,L3HasAmort,CB291,CB$5&gt;Loan3OrigMnth+Loan3IOPer),IF(Loan3PmtType=VariablePmt,PPMT(Loan3IntRate/12,CB$5-Loan3OrigMnth-Loan3IOPer,Loan3AmortPer*12,Loan3Amount),-MIN(CB291,PMT(Loan3IntRate/12,Loan3AmortPer*12,-Loan3Amount)+CB287)),)</f>
        <v>0</v>
      </c>
      <c r="CC293" s="78">
        <f>IF(AND(HasLoan3,L3HasAmort,CC291,CC$5&gt;Loan3OrigMnth+Loan3IOPer),IF(Loan3PmtType=VariablePmt,PPMT(Loan3IntRate/12,CC$5-Loan3OrigMnth-Loan3IOPer,Loan3AmortPer*12,Loan3Amount),-MIN(CC291,PMT(Loan3IntRate/12,Loan3AmortPer*12,-Loan3Amount)+CC287)),)</f>
        <v>0</v>
      </c>
      <c r="CD293" s="78">
        <f>IF(AND(HasLoan3,L3HasAmort,CD291,CD$5&gt;Loan3OrigMnth+Loan3IOPer),IF(Loan3PmtType=VariablePmt,PPMT(Loan3IntRate/12,CD$5-Loan3OrigMnth-Loan3IOPer,Loan3AmortPer*12,Loan3Amount),-MIN(CD291,PMT(Loan3IntRate/12,Loan3AmortPer*12,-Loan3Amount)+CD287)),)</f>
        <v>0</v>
      </c>
      <c r="CE293" s="78">
        <f>IF(AND(HasLoan3,L3HasAmort,CE291,CE$5&gt;Loan3OrigMnth+Loan3IOPer),IF(Loan3PmtType=VariablePmt,PPMT(Loan3IntRate/12,CE$5-Loan3OrigMnth-Loan3IOPer,Loan3AmortPer*12,Loan3Amount),-MIN(CE291,PMT(Loan3IntRate/12,Loan3AmortPer*12,-Loan3Amount)+CE287)),)</f>
        <v>0</v>
      </c>
      <c r="CF293" s="78">
        <f>IF(AND(HasLoan3,L3HasAmort,CF291,CF$5&gt;Loan3OrigMnth+Loan3IOPer),IF(Loan3PmtType=VariablePmt,PPMT(Loan3IntRate/12,CF$5-Loan3OrigMnth-Loan3IOPer,Loan3AmortPer*12,Loan3Amount),-MIN(CF291,PMT(Loan3IntRate/12,Loan3AmortPer*12,-Loan3Amount)+CF287)),)</f>
        <v>0</v>
      </c>
      <c r="CG293" s="78">
        <f>IF(AND(HasLoan3,L3HasAmort,CG291,CG$5&gt;Loan3OrigMnth+Loan3IOPer),IF(Loan3PmtType=VariablePmt,PPMT(Loan3IntRate/12,CG$5-Loan3OrigMnth-Loan3IOPer,Loan3AmortPer*12,Loan3Amount),-MIN(CG291,PMT(Loan3IntRate/12,Loan3AmortPer*12,-Loan3Amount)+CG287)),)</f>
        <v>0</v>
      </c>
      <c r="CH293" s="78">
        <f>IF(AND(HasLoan3,L3HasAmort,CH291,CH$5&gt;Loan3OrigMnth+Loan3IOPer),IF(Loan3PmtType=VariablePmt,PPMT(Loan3IntRate/12,CH$5-Loan3OrigMnth-Loan3IOPer,Loan3AmortPer*12,Loan3Amount),-MIN(CH291,PMT(Loan3IntRate/12,Loan3AmortPer*12,-Loan3Amount)+CH287)),)</f>
        <v>0</v>
      </c>
      <c r="CI293" s="78">
        <f>IF(AND(HasLoan3,L3HasAmort,CI291,CI$5&gt;Loan3OrigMnth+Loan3IOPer),IF(Loan3PmtType=VariablePmt,PPMT(Loan3IntRate/12,CI$5-Loan3OrigMnth-Loan3IOPer,Loan3AmortPer*12,Loan3Amount),-MIN(CI291,PMT(Loan3IntRate/12,Loan3AmortPer*12,-Loan3Amount)+CI287)),)</f>
        <v>0</v>
      </c>
      <c r="CJ293" s="78">
        <f>IF(AND(HasLoan3,L3HasAmort,CJ291,CJ$5&gt;Loan3OrigMnth+Loan3IOPer),IF(Loan3PmtType=VariablePmt,PPMT(Loan3IntRate/12,CJ$5-Loan3OrigMnth-Loan3IOPer,Loan3AmortPer*12,Loan3Amount),-MIN(CJ291,PMT(Loan3IntRate/12,Loan3AmortPer*12,-Loan3Amount)+CJ287)),)</f>
        <v>0</v>
      </c>
      <c r="CK293" s="78">
        <f>IF(AND(HasLoan3,L3HasAmort,CK291,CK$5&gt;Loan3OrigMnth+Loan3IOPer),IF(Loan3PmtType=VariablePmt,PPMT(Loan3IntRate/12,CK$5-Loan3OrigMnth-Loan3IOPer,Loan3AmortPer*12,Loan3Amount),-MIN(CK291,PMT(Loan3IntRate/12,Loan3AmortPer*12,-Loan3Amount)+CK287)),)</f>
        <v>0</v>
      </c>
      <c r="CL293" s="78">
        <f>IF(AND(HasLoan3,L3HasAmort,CL291,CL$5&gt;Loan3OrigMnth+Loan3IOPer),IF(Loan3PmtType=VariablePmt,PPMT(Loan3IntRate/12,CL$5-Loan3OrigMnth-Loan3IOPer,Loan3AmortPer*12,Loan3Amount),-MIN(CL291,PMT(Loan3IntRate/12,Loan3AmortPer*12,-Loan3Amount)+CL287)),)</f>
        <v>0</v>
      </c>
      <c r="CM293" s="78">
        <f>IF(AND(HasLoan3,L3HasAmort,CM291,CM$5&gt;Loan3OrigMnth+Loan3IOPer),IF(Loan3PmtType=VariablePmt,PPMT(Loan3IntRate/12,CM$5-Loan3OrigMnth-Loan3IOPer,Loan3AmortPer*12,Loan3Amount),-MIN(CM291,PMT(Loan3IntRate/12,Loan3AmortPer*12,-Loan3Amount)+CM287)),)</f>
        <v>0</v>
      </c>
      <c r="CN293" s="78">
        <f>IF(AND(HasLoan3,L3HasAmort,CN291,CN$5&gt;Loan3OrigMnth+Loan3IOPer),IF(Loan3PmtType=VariablePmt,PPMT(Loan3IntRate/12,CN$5-Loan3OrigMnth-Loan3IOPer,Loan3AmortPer*12,Loan3Amount),-MIN(CN291,PMT(Loan3IntRate/12,Loan3AmortPer*12,-Loan3Amount)+CN287)),)</f>
        <v>0</v>
      </c>
      <c r="CO293" s="78">
        <f>IF(AND(HasLoan3,L3HasAmort,CO291,CO$5&gt;Loan3OrigMnth+Loan3IOPer),IF(Loan3PmtType=VariablePmt,PPMT(Loan3IntRate/12,CO$5-Loan3OrigMnth-Loan3IOPer,Loan3AmortPer*12,Loan3Amount),-MIN(CO291,PMT(Loan3IntRate/12,Loan3AmortPer*12,-Loan3Amount)+CO287)),)</f>
        <v>0</v>
      </c>
      <c r="CP293" s="78">
        <f>IF(AND(HasLoan3,L3HasAmort,CP291,CP$5&gt;Loan3OrigMnth+Loan3IOPer),IF(Loan3PmtType=VariablePmt,PPMT(Loan3IntRate/12,CP$5-Loan3OrigMnth-Loan3IOPer,Loan3AmortPer*12,Loan3Amount),-MIN(CP291,PMT(Loan3IntRate/12,Loan3AmortPer*12,-Loan3Amount)+CP287)),)</f>
        <v>0</v>
      </c>
      <c r="CQ293" s="78">
        <f>IF(AND(HasLoan3,L3HasAmort,CQ291,CQ$5&gt;Loan3OrigMnth+Loan3IOPer),IF(Loan3PmtType=VariablePmt,PPMT(Loan3IntRate/12,CQ$5-Loan3OrigMnth-Loan3IOPer,Loan3AmortPer*12,Loan3Amount),-MIN(CQ291,PMT(Loan3IntRate/12,Loan3AmortPer*12,-Loan3Amount)+CQ287)),)</f>
        <v>0</v>
      </c>
      <c r="CR293" s="78">
        <f>IF(AND(HasLoan3,L3HasAmort,CR291,CR$5&gt;Loan3OrigMnth+Loan3IOPer),IF(Loan3PmtType=VariablePmt,PPMT(Loan3IntRate/12,CR$5-Loan3OrigMnth-Loan3IOPer,Loan3AmortPer*12,Loan3Amount),-MIN(CR291,PMT(Loan3IntRate/12,Loan3AmortPer*12,-Loan3Amount)+CR287)),)</f>
        <v>0</v>
      </c>
      <c r="CS293" s="78">
        <f>IF(AND(HasLoan3,L3HasAmort,CS291,CS$5&gt;Loan3OrigMnth+Loan3IOPer),IF(Loan3PmtType=VariablePmt,PPMT(Loan3IntRate/12,CS$5-Loan3OrigMnth-Loan3IOPer,Loan3AmortPer*12,Loan3Amount),-MIN(CS291,PMT(Loan3IntRate/12,Loan3AmortPer*12,-Loan3Amount)+CS287)),)</f>
        <v>0</v>
      </c>
      <c r="CT293" s="78">
        <f>IF(AND(HasLoan3,L3HasAmort,CT291,CT$5&gt;Loan3OrigMnth+Loan3IOPer),IF(Loan3PmtType=VariablePmt,PPMT(Loan3IntRate/12,CT$5-Loan3OrigMnth-Loan3IOPer,Loan3AmortPer*12,Loan3Amount),-MIN(CT291,PMT(Loan3IntRate/12,Loan3AmortPer*12,-Loan3Amount)+CT287)),)</f>
        <v>0</v>
      </c>
      <c r="CU293" s="78">
        <f>IF(AND(HasLoan3,L3HasAmort,CU291,CU$5&gt;Loan3OrigMnth+Loan3IOPer),IF(Loan3PmtType=VariablePmt,PPMT(Loan3IntRate/12,CU$5-Loan3OrigMnth-Loan3IOPer,Loan3AmortPer*12,Loan3Amount),-MIN(CU291,PMT(Loan3IntRate/12,Loan3AmortPer*12,-Loan3Amount)+CU287)),)</f>
        <v>0</v>
      </c>
      <c r="CV293" s="78">
        <f>IF(AND(HasLoan3,L3HasAmort,CV291,CV$5&gt;Loan3OrigMnth+Loan3IOPer),IF(Loan3PmtType=VariablePmt,PPMT(Loan3IntRate/12,CV$5-Loan3OrigMnth-Loan3IOPer,Loan3AmortPer*12,Loan3Amount),-MIN(CV291,PMT(Loan3IntRate/12,Loan3AmortPer*12,-Loan3Amount)+CV287)),)</f>
        <v>0</v>
      </c>
      <c r="CW293" s="78">
        <f>IF(AND(HasLoan3,L3HasAmort,CW291,CW$5&gt;Loan3OrigMnth+Loan3IOPer),IF(Loan3PmtType=VariablePmt,PPMT(Loan3IntRate/12,CW$5-Loan3OrigMnth-Loan3IOPer,Loan3AmortPer*12,Loan3Amount),-MIN(CW291,PMT(Loan3IntRate/12,Loan3AmortPer*12,-Loan3Amount)+CW287)),)</f>
        <v>0</v>
      </c>
      <c r="CX293" s="78">
        <f>IF(AND(HasLoan3,L3HasAmort,CX291,CX$5&gt;Loan3OrigMnth+Loan3IOPer),IF(Loan3PmtType=VariablePmt,PPMT(Loan3IntRate/12,CX$5-Loan3OrigMnth-Loan3IOPer,Loan3AmortPer*12,Loan3Amount),-MIN(CX291,PMT(Loan3IntRate/12,Loan3AmortPer*12,-Loan3Amount)+CX287)),)</f>
        <v>0</v>
      </c>
      <c r="CY293" s="78">
        <f>IF(AND(HasLoan3,L3HasAmort,CY291,CY$5&gt;Loan3OrigMnth+Loan3IOPer),IF(Loan3PmtType=VariablePmt,PPMT(Loan3IntRate/12,CY$5-Loan3OrigMnth-Loan3IOPer,Loan3AmortPer*12,Loan3Amount),-MIN(CY291,PMT(Loan3IntRate/12,Loan3AmortPer*12,-Loan3Amount)+CY287)),)</f>
        <v>0</v>
      </c>
      <c r="CZ293" s="78">
        <f>IF(AND(HasLoan3,L3HasAmort,CZ291,CZ$5&gt;Loan3OrigMnth+Loan3IOPer),IF(Loan3PmtType=VariablePmt,PPMT(Loan3IntRate/12,CZ$5-Loan3OrigMnth-Loan3IOPer,Loan3AmortPer*12,Loan3Amount),-MIN(CZ291,PMT(Loan3IntRate/12,Loan3AmortPer*12,-Loan3Amount)+CZ287)),)</f>
        <v>0</v>
      </c>
      <c r="DA293" s="78">
        <f>IF(AND(HasLoan3,L3HasAmort,DA291,DA$5&gt;Loan3OrigMnth+Loan3IOPer),IF(Loan3PmtType=VariablePmt,PPMT(Loan3IntRate/12,DA$5-Loan3OrigMnth-Loan3IOPer,Loan3AmortPer*12,Loan3Amount),-MIN(DA291,PMT(Loan3IntRate/12,Loan3AmortPer*12,-Loan3Amount)+DA287)),)</f>
        <v>0</v>
      </c>
      <c r="DB293" s="78">
        <f>IF(AND(HasLoan3,L3HasAmort,DB291,DB$5&gt;Loan3OrigMnth+Loan3IOPer),IF(Loan3PmtType=VariablePmt,PPMT(Loan3IntRate/12,DB$5-Loan3OrigMnth-Loan3IOPer,Loan3AmortPer*12,Loan3Amount),-MIN(DB291,PMT(Loan3IntRate/12,Loan3AmortPer*12,-Loan3Amount)+DB287)),)</f>
        <v>0</v>
      </c>
      <c r="DC293" s="78">
        <f>IF(AND(HasLoan3,L3HasAmort,DC291,DC$5&gt;Loan3OrigMnth+Loan3IOPer),IF(Loan3PmtType=VariablePmt,PPMT(Loan3IntRate/12,DC$5-Loan3OrigMnth-Loan3IOPer,Loan3AmortPer*12,Loan3Amount),-MIN(DC291,PMT(Loan3IntRate/12,Loan3AmortPer*12,-Loan3Amount)+DC287)),)</f>
        <v>0</v>
      </c>
      <c r="DD293" s="78">
        <f>IF(AND(HasLoan3,L3HasAmort,DD291,DD$5&gt;Loan3OrigMnth+Loan3IOPer),IF(Loan3PmtType=VariablePmt,PPMT(Loan3IntRate/12,DD$5-Loan3OrigMnth-Loan3IOPer,Loan3AmortPer*12,Loan3Amount),-MIN(DD291,PMT(Loan3IntRate/12,Loan3AmortPer*12,-Loan3Amount)+DD287)),)</f>
        <v>0</v>
      </c>
      <c r="DE293" s="78">
        <f>IF(AND(HasLoan3,L3HasAmort,DE291,DE$5&gt;Loan3OrigMnth+Loan3IOPer),IF(Loan3PmtType=VariablePmt,PPMT(Loan3IntRate/12,DE$5-Loan3OrigMnth-Loan3IOPer,Loan3AmortPer*12,Loan3Amount),-MIN(DE291,PMT(Loan3IntRate/12,Loan3AmortPer*12,-Loan3Amount)+DE287)),)</f>
        <v>0</v>
      </c>
      <c r="DF293" s="78">
        <f>IF(AND(HasLoan3,L3HasAmort,DF291,DF$5&gt;Loan3OrigMnth+Loan3IOPer),IF(Loan3PmtType=VariablePmt,PPMT(Loan3IntRate/12,DF$5-Loan3OrigMnth-Loan3IOPer,Loan3AmortPer*12,Loan3Amount),-MIN(DF291,PMT(Loan3IntRate/12,Loan3AmortPer*12,-Loan3Amount)+DF287)),)</f>
        <v>0</v>
      </c>
      <c r="DG293" s="78">
        <f>IF(AND(HasLoan3,L3HasAmort,DG291,DG$5&gt;Loan3OrigMnth+Loan3IOPer),IF(Loan3PmtType=VariablePmt,PPMT(Loan3IntRate/12,DG$5-Loan3OrigMnth-Loan3IOPer,Loan3AmortPer*12,Loan3Amount),-MIN(DG291,PMT(Loan3IntRate/12,Loan3AmortPer*12,-Loan3Amount)+DG287)),)</f>
        <v>0</v>
      </c>
      <c r="DH293" s="78">
        <f>IF(AND(HasLoan3,L3HasAmort,DH291,DH$5&gt;Loan3OrigMnth+Loan3IOPer),IF(Loan3PmtType=VariablePmt,PPMT(Loan3IntRate/12,DH$5-Loan3OrigMnth-Loan3IOPer,Loan3AmortPer*12,Loan3Amount),-MIN(DH291,PMT(Loan3IntRate/12,Loan3AmortPer*12,-Loan3Amount)+DH287)),)</f>
        <v>0</v>
      </c>
      <c r="DI293" s="78">
        <f>IF(AND(HasLoan3,L3HasAmort,DI291,DI$5&gt;Loan3OrigMnth+Loan3IOPer),IF(Loan3PmtType=VariablePmt,PPMT(Loan3IntRate/12,DI$5-Loan3OrigMnth-Loan3IOPer,Loan3AmortPer*12,Loan3Amount),-MIN(DI291,PMT(Loan3IntRate/12,Loan3AmortPer*12,-Loan3Amount)+DI287)),)</f>
        <v>0</v>
      </c>
      <c r="DJ293" s="78">
        <f>IF(AND(HasLoan3,L3HasAmort,DJ291,DJ$5&gt;Loan3OrigMnth+Loan3IOPer),IF(Loan3PmtType=VariablePmt,PPMT(Loan3IntRate/12,DJ$5-Loan3OrigMnth-Loan3IOPer,Loan3AmortPer*12,Loan3Amount),-MIN(DJ291,PMT(Loan3IntRate/12,Loan3AmortPer*12,-Loan3Amount)+DJ287)),)</f>
        <v>0</v>
      </c>
      <c r="DK293" s="78">
        <f>IF(AND(HasLoan3,L3HasAmort,DK291,DK$5&gt;Loan3OrigMnth+Loan3IOPer),IF(Loan3PmtType=VariablePmt,PPMT(Loan3IntRate/12,DK$5-Loan3OrigMnth-Loan3IOPer,Loan3AmortPer*12,Loan3Amount),-MIN(DK291,PMT(Loan3IntRate/12,Loan3AmortPer*12,-Loan3Amount)+DK287)),)</f>
        <v>0</v>
      </c>
      <c r="DL293" s="78">
        <f>IF(AND(HasLoan3,L3HasAmort,DL291,DL$5&gt;Loan3OrigMnth+Loan3IOPer),IF(Loan3PmtType=VariablePmt,PPMT(Loan3IntRate/12,DL$5-Loan3OrigMnth-Loan3IOPer,Loan3AmortPer*12,Loan3Amount),-MIN(DL291,PMT(Loan3IntRate/12,Loan3AmortPer*12,-Loan3Amount)+DL287)),)</f>
        <v>0</v>
      </c>
      <c r="DM293" s="78">
        <f>IF(AND(HasLoan3,L3HasAmort,DM291,DM$5&gt;Loan3OrigMnth+Loan3IOPer),IF(Loan3PmtType=VariablePmt,PPMT(Loan3IntRate/12,DM$5-Loan3OrigMnth-Loan3IOPer,Loan3AmortPer*12,Loan3Amount),-MIN(DM291,PMT(Loan3IntRate/12,Loan3AmortPer*12,-Loan3Amount)+DM287)),)</f>
        <v>0</v>
      </c>
      <c r="DN293" s="78">
        <f>IF(AND(HasLoan3,L3HasAmort,DN291,DN$5&gt;Loan3OrigMnth+Loan3IOPer),IF(Loan3PmtType=VariablePmt,PPMT(Loan3IntRate/12,DN$5-Loan3OrigMnth-Loan3IOPer,Loan3AmortPer*12,Loan3Amount),-MIN(DN291,PMT(Loan3IntRate/12,Loan3AmortPer*12,-Loan3Amount)+DN287)),)</f>
        <v>0</v>
      </c>
      <c r="DO293" s="78">
        <f>IF(AND(HasLoan3,L3HasAmort,DO291,DO$5&gt;Loan3OrigMnth+Loan3IOPer),IF(Loan3PmtType=VariablePmt,PPMT(Loan3IntRate/12,DO$5-Loan3OrigMnth-Loan3IOPer,Loan3AmortPer*12,Loan3Amount),-MIN(DO291,PMT(Loan3IntRate/12,Loan3AmortPer*12,-Loan3Amount)+DO287)),)</f>
        <v>0</v>
      </c>
      <c r="DP293" s="78">
        <f>IF(AND(HasLoan3,L3HasAmort,DP291,DP$5&gt;Loan3OrigMnth+Loan3IOPer),IF(Loan3PmtType=VariablePmt,PPMT(Loan3IntRate/12,DP$5-Loan3OrigMnth-Loan3IOPer,Loan3AmortPer*12,Loan3Amount),-MIN(DP291,PMT(Loan3IntRate/12,Loan3AmortPer*12,-Loan3Amount)+DP287)),)</f>
        <v>0</v>
      </c>
      <c r="DQ293" s="78">
        <f>IF(AND(HasLoan3,L3HasAmort,DQ291,DQ$5&gt;Loan3OrigMnth+Loan3IOPer),IF(Loan3PmtType=VariablePmt,PPMT(Loan3IntRate/12,DQ$5-Loan3OrigMnth-Loan3IOPer,Loan3AmortPer*12,Loan3Amount),-MIN(DQ291,PMT(Loan3IntRate/12,Loan3AmortPer*12,-Loan3Amount)+DQ287)),)</f>
        <v>0</v>
      </c>
      <c r="DR293" s="78">
        <f>IF(AND(HasLoan3,L3HasAmort,DR291,DR$5&gt;Loan3OrigMnth+Loan3IOPer),IF(Loan3PmtType=VariablePmt,PPMT(Loan3IntRate/12,DR$5-Loan3OrigMnth-Loan3IOPer,Loan3AmortPer*12,Loan3Amount),-MIN(DR291,PMT(Loan3IntRate/12,Loan3AmortPer*12,-Loan3Amount)+DR287)),)</f>
        <v>0</v>
      </c>
      <c r="DS293" s="78">
        <f>IF(AND(HasLoan3,L3HasAmort,DS291,DS$5&gt;Loan3OrigMnth+Loan3IOPer),IF(Loan3PmtType=VariablePmt,PPMT(Loan3IntRate/12,DS$5-Loan3OrigMnth-Loan3IOPer,Loan3AmortPer*12,Loan3Amount),-MIN(DS291,PMT(Loan3IntRate/12,Loan3AmortPer*12,-Loan3Amount)+DS287)),)</f>
        <v>0</v>
      </c>
      <c r="DT293" s="78">
        <f>IF(AND(HasLoan3,L3HasAmort,DT291,DT$5&gt;Loan3OrigMnth+Loan3IOPer),IF(Loan3PmtType=VariablePmt,PPMT(Loan3IntRate/12,DT$5-Loan3OrigMnth-Loan3IOPer,Loan3AmortPer*12,Loan3Amount),-MIN(DT291,PMT(Loan3IntRate/12,Loan3AmortPer*12,-Loan3Amount)+DT287)),)</f>
        <v>0</v>
      </c>
      <c r="DU293" s="78">
        <f>IF(AND(HasLoan3,L3HasAmort,DU291,DU$5&gt;Loan3OrigMnth+Loan3IOPer),IF(Loan3PmtType=VariablePmt,PPMT(Loan3IntRate/12,DU$5-Loan3OrigMnth-Loan3IOPer,Loan3AmortPer*12,Loan3Amount),-MIN(DU291,PMT(Loan3IntRate/12,Loan3AmortPer*12,-Loan3Amount)+DU287)),)</f>
        <v>0</v>
      </c>
      <c r="DV293" s="78">
        <f>IF(AND(HasLoan3,L3HasAmort,DV291,DV$5&gt;Loan3OrigMnth+Loan3IOPer),IF(Loan3PmtType=VariablePmt,PPMT(Loan3IntRate/12,DV$5-Loan3OrigMnth-Loan3IOPer,Loan3AmortPer*12,Loan3Amount),-MIN(DV291,PMT(Loan3IntRate/12,Loan3AmortPer*12,-Loan3Amount)+DV287)),)</f>
        <v>0</v>
      </c>
      <c r="DW293" s="78">
        <f>IF(AND(HasLoan3,L3HasAmort,DW291,DW$5&gt;Loan3OrigMnth+Loan3IOPer),IF(Loan3PmtType=VariablePmt,PPMT(Loan3IntRate/12,DW$5-Loan3OrigMnth-Loan3IOPer,Loan3AmortPer*12,Loan3Amount),-MIN(DW291,PMT(Loan3IntRate/12,Loan3AmortPer*12,-Loan3Amount)+DW287)),)</f>
        <v>0</v>
      </c>
      <c r="DX293" s="78">
        <f>IF(AND(HasLoan3,L3HasAmort,DX291,DX$5&gt;Loan3OrigMnth+Loan3IOPer),IF(Loan3PmtType=VariablePmt,PPMT(Loan3IntRate/12,DX$5-Loan3OrigMnth-Loan3IOPer,Loan3AmortPer*12,Loan3Amount),-MIN(DX291,PMT(Loan3IntRate/12,Loan3AmortPer*12,-Loan3Amount)+DX287)),)</f>
        <v>0</v>
      </c>
      <c r="DY293" s="78">
        <f>IF(AND(HasLoan3,L3HasAmort,DY291,DY$5&gt;Loan3OrigMnth+Loan3IOPer),IF(Loan3PmtType=VariablePmt,PPMT(Loan3IntRate/12,DY$5-Loan3OrigMnth-Loan3IOPer,Loan3AmortPer*12,Loan3Amount),-MIN(DY291,PMT(Loan3IntRate/12,Loan3AmortPer*12,-Loan3Amount)+DY287)),)</f>
        <v>0</v>
      </c>
      <c r="DZ293" s="78">
        <f>IF(AND(HasLoan3,L3HasAmort,DZ291,DZ$5&gt;Loan3OrigMnth+Loan3IOPer),IF(Loan3PmtType=VariablePmt,PPMT(Loan3IntRate/12,DZ$5-Loan3OrigMnth-Loan3IOPer,Loan3AmortPer*12,Loan3Amount),-MIN(DZ291,PMT(Loan3IntRate/12,Loan3AmortPer*12,-Loan3Amount)+DZ287)),)</f>
        <v>0</v>
      </c>
      <c r="EA293" s="78">
        <f>IF(AND(HasLoan3,L3HasAmort,EA291,EA$5&gt;Loan3OrigMnth+Loan3IOPer),IF(Loan3PmtType=VariablePmt,PPMT(Loan3IntRate/12,EA$5-Loan3OrigMnth-Loan3IOPer,Loan3AmortPer*12,Loan3Amount),-MIN(EA291,PMT(Loan3IntRate/12,Loan3AmortPer*12,-Loan3Amount)+EA287)),)</f>
        <v>0</v>
      </c>
      <c r="EB293" s="78">
        <f>IF(AND(HasLoan3,L3HasAmort,EB291,EB$5&gt;Loan3OrigMnth+Loan3IOPer),IF(Loan3PmtType=VariablePmt,PPMT(Loan3IntRate/12,EB$5-Loan3OrigMnth-Loan3IOPer,Loan3AmortPer*12,Loan3Amount),-MIN(EB291,PMT(Loan3IntRate/12,Loan3AmortPer*12,-Loan3Amount)+EB287)),)</f>
        <v>0</v>
      </c>
      <c r="EC293" s="78">
        <f>IF(AND(HasLoan3,L3HasAmort,EC291,EC$5&gt;Loan3OrigMnth+Loan3IOPer),IF(Loan3PmtType=VariablePmt,PPMT(Loan3IntRate/12,EC$5-Loan3OrigMnth-Loan3IOPer,Loan3AmortPer*12,Loan3Amount),-MIN(EC291,PMT(Loan3IntRate/12,Loan3AmortPer*12,-Loan3Amount)+EC287)),)</f>
        <v>0</v>
      </c>
      <c r="ED293" s="78">
        <f>IF(AND(HasLoan3,L3HasAmort,ED291,ED$5&gt;Loan3OrigMnth+Loan3IOPer),IF(Loan3PmtType=VariablePmt,PPMT(Loan3IntRate/12,ED$5-Loan3OrigMnth-Loan3IOPer,Loan3AmortPer*12,Loan3Amount),-MIN(ED291,PMT(Loan3IntRate/12,Loan3AmortPer*12,-Loan3Amount)+ED287)),)</f>
        <v>0</v>
      </c>
      <c r="EE293" s="78">
        <f>IF(AND(HasLoan3,L3HasAmort,EE291,EE$5&gt;Loan3OrigMnth+Loan3IOPer),IF(Loan3PmtType=VariablePmt,PPMT(Loan3IntRate/12,EE$5-Loan3OrigMnth-Loan3IOPer,Loan3AmortPer*12,Loan3Amount),-MIN(EE291,PMT(Loan3IntRate/12,Loan3AmortPer*12,-Loan3Amount)+EE287)),)</f>
        <v>0</v>
      </c>
      <c r="EF293" s="78">
        <f>IF(AND(HasLoan3,L3HasAmort,EF291,EF$5&gt;Loan3OrigMnth+Loan3IOPer),IF(Loan3PmtType=VariablePmt,PPMT(Loan3IntRate/12,EF$5-Loan3OrigMnth-Loan3IOPer,Loan3AmortPer*12,Loan3Amount),-MIN(EF291,PMT(Loan3IntRate/12,Loan3AmortPer*12,-Loan3Amount)+EF287)),)</f>
        <v>0</v>
      </c>
      <c r="EG293" s="78">
        <f>IF(AND(HasLoan3,L3HasAmort,EG291,EG$5&gt;Loan3OrigMnth+Loan3IOPer),IF(Loan3PmtType=VariablePmt,PPMT(Loan3IntRate/12,EG$5-Loan3OrigMnth-Loan3IOPer,Loan3AmortPer*12,Loan3Amount),-MIN(EG291,PMT(Loan3IntRate/12,Loan3AmortPer*12,-Loan3Amount)+EG287)),)</f>
        <v>0</v>
      </c>
      <c r="EH293" s="78">
        <f>IF(AND(HasLoan3,L3HasAmort,EH291,EH$5&gt;Loan3OrigMnth+Loan3IOPer),IF(Loan3PmtType=VariablePmt,PPMT(Loan3IntRate/12,EH$5-Loan3OrigMnth-Loan3IOPer,Loan3AmortPer*12,Loan3Amount),-MIN(EH291,PMT(Loan3IntRate/12,Loan3AmortPer*12,-Loan3Amount)+EH287)),)</f>
        <v>0</v>
      </c>
      <c r="EI293" s="78">
        <f>IF(AND(HasLoan3,L3HasAmort,EI291,EI$5&gt;Loan3OrigMnth+Loan3IOPer),IF(Loan3PmtType=VariablePmt,PPMT(Loan3IntRate/12,EI$5-Loan3OrigMnth-Loan3IOPer,Loan3AmortPer*12,Loan3Amount),-MIN(EI291,PMT(Loan3IntRate/12,Loan3AmortPer*12,-Loan3Amount)+EI287)),)</f>
        <v>0</v>
      </c>
    </row>
    <row r="294" spans="2:139" ht="12.75" customHeight="1">
      <c r="B294" s="41" t="s">
        <v>184</v>
      </c>
      <c r="C294" s="211"/>
      <c r="D294" s="78">
        <f>SUMIF($S$6:$EI$6,D$5,$S294:$EI294)</f>
        <v>0</v>
      </c>
      <c r="E294" s="78">
        <f t="shared" si="551"/>
        <v>0</v>
      </c>
      <c r="F294" s="78">
        <f t="shared" si="551"/>
        <v>0</v>
      </c>
      <c r="G294" s="78">
        <f t="shared" si="551"/>
        <v>0</v>
      </c>
      <c r="H294" s="78">
        <f t="shared" si="551"/>
        <v>0</v>
      </c>
      <c r="I294" s="78">
        <f t="shared" si="551"/>
        <v>0</v>
      </c>
      <c r="J294" s="78">
        <f t="shared" si="551"/>
        <v>0</v>
      </c>
      <c r="K294" s="78">
        <f t="shared" si="551"/>
        <v>0</v>
      </c>
      <c r="L294" s="78">
        <f t="shared" si="551"/>
        <v>0</v>
      </c>
      <c r="M294" s="78">
        <f t="shared" si="551"/>
        <v>0</v>
      </c>
      <c r="N294" s="78">
        <f t="shared" si="551"/>
        <v>0</v>
      </c>
      <c r="O294" s="145">
        <f>SUM(D294:N294)</f>
        <v>0</v>
      </c>
      <c r="S294" s="78">
        <f>-SUM(S291:S293)*AND(S$5=MIN(Input!$M$196+Input!$M$195,MAX(YrOfExit,1)*12))</f>
        <v>0</v>
      </c>
      <c r="T294" s="78">
        <f>-SUM(T291:T293)*AND(T$5=MIN(Input!$M$196+Input!$M$195,MAX(YrOfExit,1)*12))</f>
        <v>0</v>
      </c>
      <c r="U294" s="78">
        <f>-SUM(U291:U293)*AND(U$5=MIN(Input!$M$196+Input!$M$195,MAX(YrOfExit,1)*12))</f>
        <v>0</v>
      </c>
      <c r="V294" s="78">
        <f>-SUM(V291:V293)*AND(V$5=MIN(Input!$M$196+Input!$M$195,MAX(YrOfExit,1)*12))</f>
        <v>0</v>
      </c>
      <c r="W294" s="78">
        <f>-SUM(W291:W293)*AND(W$5=MIN(Input!$M$196+Input!$M$195,MAX(YrOfExit,1)*12))</f>
        <v>0</v>
      </c>
      <c r="X294" s="78">
        <f>-SUM(X291:X293)*AND(X$5=MIN(Input!$M$196+Input!$M$195,MAX(YrOfExit,1)*12))</f>
        <v>0</v>
      </c>
      <c r="Y294" s="78">
        <f>-SUM(Y291:Y293)*AND(Y$5=MIN(Input!$M$196+Input!$M$195,MAX(YrOfExit,1)*12))</f>
        <v>0</v>
      </c>
      <c r="Z294" s="78">
        <f>-SUM(Z291:Z293)*AND(Z$5=MIN(Input!$M$196+Input!$M$195,MAX(YrOfExit,1)*12))</f>
        <v>0</v>
      </c>
      <c r="AA294" s="78">
        <f>-SUM(AA291:AA293)*AND(AA$5=MIN(Input!$M$196+Input!$M$195,MAX(YrOfExit,1)*12))</f>
        <v>0</v>
      </c>
      <c r="AB294" s="78">
        <f>-SUM(AB291:AB293)*AND(AB$5=MIN(Input!$M$196+Input!$M$195,MAX(YrOfExit,1)*12))</f>
        <v>0</v>
      </c>
      <c r="AC294" s="78">
        <f>-SUM(AC291:AC293)*AND(AC$5=MIN(Input!$M$196+Input!$M$195,MAX(YrOfExit,1)*12))</f>
        <v>0</v>
      </c>
      <c r="AD294" s="78">
        <f>-SUM(AD291:AD293)*AND(AD$5=MIN(Input!$M$196+Input!$M$195,MAX(YrOfExit,1)*12))</f>
        <v>0</v>
      </c>
      <c r="AE294" s="78">
        <f>-SUM(AE291:AE293)*AND(AE$5=MIN(Input!$M$196+Input!$M$195,MAX(YrOfExit,1)*12))</f>
        <v>0</v>
      </c>
      <c r="AF294" s="78">
        <f>-SUM(AF291:AF293)*AND(AF$5=MIN(Input!$M$196+Input!$M$195,MAX(YrOfExit,1)*12))</f>
        <v>0</v>
      </c>
      <c r="AG294" s="78">
        <f>-SUM(AG291:AG293)*AND(AG$5=MIN(Input!$M$196+Input!$M$195,MAX(YrOfExit,1)*12))</f>
        <v>0</v>
      </c>
      <c r="AH294" s="78">
        <f>-SUM(AH291:AH293)*AND(AH$5=MIN(Input!$M$196+Input!$M$195,MAX(YrOfExit,1)*12))</f>
        <v>0</v>
      </c>
      <c r="AI294" s="78">
        <f>-SUM(AI291:AI293)*AND(AI$5=MIN(Input!$M$196+Input!$M$195,MAX(YrOfExit,1)*12))</f>
        <v>0</v>
      </c>
      <c r="AJ294" s="78">
        <f>-SUM(AJ291:AJ293)*AND(AJ$5=MIN(Input!$M$196+Input!$M$195,MAX(YrOfExit,1)*12))</f>
        <v>0</v>
      </c>
      <c r="AK294" s="78">
        <f>-SUM(AK291:AK293)*AND(AK$5=MIN(Input!$M$196+Input!$M$195,MAX(YrOfExit,1)*12))</f>
        <v>0</v>
      </c>
      <c r="AL294" s="78">
        <f>-SUM(AL291:AL293)*AND(AL$5=MIN(Input!$M$196+Input!$M$195,MAX(YrOfExit,1)*12))</f>
        <v>0</v>
      </c>
      <c r="AM294" s="78">
        <f>-SUM(AM291:AM293)*AND(AM$5=MIN(Input!$M$196+Input!$M$195,MAX(YrOfExit,1)*12))</f>
        <v>0</v>
      </c>
      <c r="AN294" s="78">
        <f>-SUM(AN291:AN293)*AND(AN$5=MIN(Input!$M$196+Input!$M$195,MAX(YrOfExit,1)*12))</f>
        <v>0</v>
      </c>
      <c r="AO294" s="78">
        <f>-SUM(AO291:AO293)*AND(AO$5=MIN(Input!$M$196+Input!$M$195,MAX(YrOfExit,1)*12))</f>
        <v>0</v>
      </c>
      <c r="AP294" s="78">
        <f>-SUM(AP291:AP293)*AND(AP$5=MIN(Input!$M$196+Input!$M$195,MAX(YrOfExit,1)*12))</f>
        <v>0</v>
      </c>
      <c r="AQ294" s="78">
        <f>-SUM(AQ291:AQ293)*AND(AQ$5=MIN(Input!$M$196+Input!$M$195,MAX(YrOfExit,1)*12))</f>
        <v>0</v>
      </c>
      <c r="AR294" s="78">
        <f>-SUM(AR291:AR293)*AND(AR$5=MIN(Input!$M$196+Input!$M$195,MAX(YrOfExit,1)*12))</f>
        <v>0</v>
      </c>
      <c r="AS294" s="78">
        <f>-SUM(AS291:AS293)*AND(AS$5=MIN(Input!$M$196+Input!$M$195,MAX(YrOfExit,1)*12))</f>
        <v>0</v>
      </c>
      <c r="AT294" s="78">
        <f>-SUM(AT291:AT293)*AND(AT$5=MIN(Input!$M$196+Input!$M$195,MAX(YrOfExit,1)*12))</f>
        <v>0</v>
      </c>
      <c r="AU294" s="78">
        <f>-SUM(AU291:AU293)*AND(AU$5=MIN(Input!$M$196+Input!$M$195,MAX(YrOfExit,1)*12))</f>
        <v>0</v>
      </c>
      <c r="AV294" s="78">
        <f>-SUM(AV291:AV293)*AND(AV$5=MIN(Input!$M$196+Input!$M$195,MAX(YrOfExit,1)*12))</f>
        <v>0</v>
      </c>
      <c r="AW294" s="78">
        <f>-SUM(AW291:AW293)*AND(AW$5=MIN(Input!$M$196+Input!$M$195,MAX(YrOfExit,1)*12))</f>
        <v>0</v>
      </c>
      <c r="AX294" s="78">
        <f>-SUM(AX291:AX293)*AND(AX$5=MIN(Input!$M$196+Input!$M$195,MAX(YrOfExit,1)*12))</f>
        <v>0</v>
      </c>
      <c r="AY294" s="78">
        <f>-SUM(AY291:AY293)*AND(AY$5=MIN(Input!$M$196+Input!$M$195,MAX(YrOfExit,1)*12))</f>
        <v>0</v>
      </c>
      <c r="AZ294" s="78">
        <f>-SUM(AZ291:AZ293)*AND(AZ$5=MIN(Input!$M$196+Input!$M$195,MAX(YrOfExit,1)*12))</f>
        <v>0</v>
      </c>
      <c r="BA294" s="78">
        <f>-SUM(BA291:BA293)*AND(BA$5=MIN(Input!$M$196+Input!$M$195,MAX(YrOfExit,1)*12))</f>
        <v>0</v>
      </c>
      <c r="BB294" s="78">
        <f>-SUM(BB291:BB293)*AND(BB$5=MIN(Input!$M$196+Input!$M$195,MAX(YrOfExit,1)*12))</f>
        <v>0</v>
      </c>
      <c r="BC294" s="78">
        <f>-SUM(BC291:BC293)*AND(BC$5=MIN(Input!$M$196+Input!$M$195,MAX(YrOfExit,1)*12))</f>
        <v>0</v>
      </c>
      <c r="BD294" s="78">
        <f>-SUM(BD291:BD293)*AND(BD$5=MIN(Input!$M$196+Input!$M$195,MAX(YrOfExit,1)*12))</f>
        <v>0</v>
      </c>
      <c r="BE294" s="78">
        <f>-SUM(BE291:BE293)*AND(BE$5=MIN(Input!$M$196+Input!$M$195,MAX(YrOfExit,1)*12))</f>
        <v>0</v>
      </c>
      <c r="BF294" s="78">
        <f>-SUM(BF291:BF293)*AND(BF$5=MIN(Input!$M$196+Input!$M$195,MAX(YrOfExit,1)*12))</f>
        <v>0</v>
      </c>
      <c r="BG294" s="78">
        <f>-SUM(BG291:BG293)*AND(BG$5=MIN(Input!$M$196+Input!$M$195,MAX(YrOfExit,1)*12))</f>
        <v>0</v>
      </c>
      <c r="BH294" s="78">
        <f>-SUM(BH291:BH293)*AND(BH$5=MIN(Input!$M$196+Input!$M$195,MAX(YrOfExit,1)*12))</f>
        <v>0</v>
      </c>
      <c r="BI294" s="78">
        <f>-SUM(BI291:BI293)*AND(BI$5=MIN(Input!$M$196+Input!$M$195,MAX(YrOfExit,1)*12))</f>
        <v>0</v>
      </c>
      <c r="BJ294" s="78">
        <f>-SUM(BJ291:BJ293)*AND(BJ$5=MIN(Input!$M$196+Input!$M$195,MAX(YrOfExit,1)*12))</f>
        <v>0</v>
      </c>
      <c r="BK294" s="78">
        <f>-SUM(BK291:BK293)*AND(BK$5=MIN(Input!$M$196+Input!$M$195,MAX(YrOfExit,1)*12))</f>
        <v>0</v>
      </c>
      <c r="BL294" s="78">
        <f>-SUM(BL291:BL293)*AND(BL$5=MIN(Input!$M$196+Input!$M$195,MAX(YrOfExit,1)*12))</f>
        <v>0</v>
      </c>
      <c r="BM294" s="78">
        <f>-SUM(BM291:BM293)*AND(BM$5=MIN(Input!$M$196+Input!$M$195,MAX(YrOfExit,1)*12))</f>
        <v>0</v>
      </c>
      <c r="BN294" s="78">
        <f>-SUM(BN291:BN293)*AND(BN$5=MIN(Input!$M$196+Input!$M$195,MAX(YrOfExit,1)*12))</f>
        <v>0</v>
      </c>
      <c r="BO294" s="78">
        <f>-SUM(BO291:BO293)*AND(BO$5=MIN(Input!$M$196+Input!$M$195,MAX(YrOfExit,1)*12))</f>
        <v>0</v>
      </c>
      <c r="BP294" s="78">
        <f>-SUM(BP291:BP293)*AND(BP$5=MIN(Input!$M$196+Input!$M$195,MAX(YrOfExit,1)*12))</f>
        <v>0</v>
      </c>
      <c r="BQ294" s="78">
        <f>-SUM(BQ291:BQ293)*AND(BQ$5=MIN(Input!$M$196+Input!$M$195,MAX(YrOfExit,1)*12))</f>
        <v>0</v>
      </c>
      <c r="BR294" s="78">
        <f>-SUM(BR291:BR293)*AND(BR$5=MIN(Input!$M$196+Input!$M$195,MAX(YrOfExit,1)*12))</f>
        <v>0</v>
      </c>
      <c r="BS294" s="78">
        <f>-SUM(BS291:BS293)*AND(BS$5=MIN(Input!$M$196+Input!$M$195,MAX(YrOfExit,1)*12))</f>
        <v>0</v>
      </c>
      <c r="BT294" s="78">
        <f>-SUM(BT291:BT293)*AND(BT$5=MIN(Input!$M$196+Input!$M$195,MAX(YrOfExit,1)*12))</f>
        <v>0</v>
      </c>
      <c r="BU294" s="78">
        <f>-SUM(BU291:BU293)*AND(BU$5=MIN(Input!$M$196+Input!$M$195,MAX(YrOfExit,1)*12))</f>
        <v>0</v>
      </c>
      <c r="BV294" s="78">
        <f>-SUM(BV291:BV293)*AND(BV$5=MIN(Input!$M$196+Input!$M$195,MAX(YrOfExit,1)*12))</f>
        <v>0</v>
      </c>
      <c r="BW294" s="78">
        <f>-SUM(BW291:BW293)*AND(BW$5=MIN(Input!$M$196+Input!$M$195,MAX(YrOfExit,1)*12))</f>
        <v>0</v>
      </c>
      <c r="BX294" s="78">
        <f>-SUM(BX291:BX293)*AND(BX$5=MIN(Input!$M$196+Input!$M$195,MAX(YrOfExit,1)*12))</f>
        <v>0</v>
      </c>
      <c r="BY294" s="78">
        <f>-SUM(BY291:BY293)*AND(BY$5=MIN(Input!$M$196+Input!$M$195,MAX(YrOfExit,1)*12))</f>
        <v>0</v>
      </c>
      <c r="BZ294" s="78">
        <f>-SUM(BZ291:BZ293)*AND(BZ$5=MIN(Input!$M$196+Input!$M$195,MAX(YrOfExit,1)*12))</f>
        <v>0</v>
      </c>
      <c r="CA294" s="78">
        <f>-SUM(CA291:CA293)*AND(CA$5=MIN(Input!$M$196+Input!$M$195,MAX(YrOfExit,1)*12))</f>
        <v>0</v>
      </c>
      <c r="CB294" s="78">
        <f>-SUM(CB291:CB293)*AND(CB$5=MIN(Input!$M$196+Input!$M$195,MAX(YrOfExit,1)*12))</f>
        <v>0</v>
      </c>
      <c r="CC294" s="78">
        <f>-SUM(CC291:CC293)*AND(CC$5=MIN(Input!$M$196+Input!$M$195,MAX(YrOfExit,1)*12))</f>
        <v>0</v>
      </c>
      <c r="CD294" s="78">
        <f>-SUM(CD291:CD293)*AND(CD$5=MIN(Input!$M$196+Input!$M$195,MAX(YrOfExit,1)*12))</f>
        <v>0</v>
      </c>
      <c r="CE294" s="78">
        <f>-SUM(CE291:CE293)*AND(CE$5=MIN(Input!$M$196+Input!$M$195,MAX(YrOfExit,1)*12))</f>
        <v>0</v>
      </c>
      <c r="CF294" s="78">
        <f>-SUM(CF291:CF293)*AND(CF$5=MIN(Input!$M$196+Input!$M$195,MAX(YrOfExit,1)*12))</f>
        <v>0</v>
      </c>
      <c r="CG294" s="78">
        <f>-SUM(CG291:CG293)*AND(CG$5=MIN(Input!$M$196+Input!$M$195,MAX(YrOfExit,1)*12))</f>
        <v>0</v>
      </c>
      <c r="CH294" s="78">
        <f>-SUM(CH291:CH293)*AND(CH$5=MIN(Input!$M$196+Input!$M$195,MAX(YrOfExit,1)*12))</f>
        <v>0</v>
      </c>
      <c r="CI294" s="78">
        <f>-SUM(CI291:CI293)*AND(CI$5=MIN(Input!$M$196+Input!$M$195,MAX(YrOfExit,1)*12))</f>
        <v>0</v>
      </c>
      <c r="CJ294" s="78">
        <f>-SUM(CJ291:CJ293)*AND(CJ$5=MIN(Input!$M$196+Input!$M$195,MAX(YrOfExit,1)*12))</f>
        <v>0</v>
      </c>
      <c r="CK294" s="78">
        <f>-SUM(CK291:CK293)*AND(CK$5=MIN(Input!$M$196+Input!$M$195,MAX(YrOfExit,1)*12))</f>
        <v>0</v>
      </c>
      <c r="CL294" s="78">
        <f>-SUM(CL291:CL293)*AND(CL$5=MIN(Input!$M$196+Input!$M$195,MAX(YrOfExit,1)*12))</f>
        <v>0</v>
      </c>
      <c r="CM294" s="78">
        <f>-SUM(CM291:CM293)*AND(CM$5=MIN(Input!$M$196+Input!$M$195,MAX(YrOfExit,1)*12))</f>
        <v>0</v>
      </c>
      <c r="CN294" s="78">
        <f>-SUM(CN291:CN293)*AND(CN$5=MIN(Input!$M$196+Input!$M$195,MAX(YrOfExit,1)*12))</f>
        <v>0</v>
      </c>
      <c r="CO294" s="78">
        <f>-SUM(CO291:CO293)*AND(CO$5=MIN(Input!$M$196+Input!$M$195,MAX(YrOfExit,1)*12))</f>
        <v>0</v>
      </c>
      <c r="CP294" s="78">
        <f>-SUM(CP291:CP293)*AND(CP$5=MIN(Input!$M$196+Input!$M$195,MAX(YrOfExit,1)*12))</f>
        <v>0</v>
      </c>
      <c r="CQ294" s="78">
        <f>-SUM(CQ291:CQ293)*AND(CQ$5=MIN(Input!$M$196+Input!$M$195,MAX(YrOfExit,1)*12))</f>
        <v>0</v>
      </c>
      <c r="CR294" s="78">
        <f>-SUM(CR291:CR293)*AND(CR$5=MIN(Input!$M$196+Input!$M$195,MAX(YrOfExit,1)*12))</f>
        <v>0</v>
      </c>
      <c r="CS294" s="78">
        <f>-SUM(CS291:CS293)*AND(CS$5=MIN(Input!$M$196+Input!$M$195,MAX(YrOfExit,1)*12))</f>
        <v>0</v>
      </c>
      <c r="CT294" s="78">
        <f>-SUM(CT291:CT293)*AND(CT$5=MIN(Input!$M$196+Input!$M$195,MAX(YrOfExit,1)*12))</f>
        <v>0</v>
      </c>
      <c r="CU294" s="78">
        <f>-SUM(CU291:CU293)*AND(CU$5=MIN(Input!$M$196+Input!$M$195,MAX(YrOfExit,1)*12))</f>
        <v>0</v>
      </c>
      <c r="CV294" s="78">
        <f>-SUM(CV291:CV293)*AND(CV$5=MIN(Input!$M$196+Input!$M$195,MAX(YrOfExit,1)*12))</f>
        <v>0</v>
      </c>
      <c r="CW294" s="78">
        <f>-SUM(CW291:CW293)*AND(CW$5=MIN(Input!$M$196+Input!$M$195,MAX(YrOfExit,1)*12))</f>
        <v>0</v>
      </c>
      <c r="CX294" s="78">
        <f>-SUM(CX291:CX293)*AND(CX$5=MIN(Input!$M$196+Input!$M$195,MAX(YrOfExit,1)*12))</f>
        <v>0</v>
      </c>
      <c r="CY294" s="78">
        <f>-SUM(CY291:CY293)*AND(CY$5=MIN(Input!$M$196+Input!$M$195,MAX(YrOfExit,1)*12))</f>
        <v>0</v>
      </c>
      <c r="CZ294" s="78">
        <f>-SUM(CZ291:CZ293)*AND(CZ$5=MIN(Input!$M$196+Input!$M$195,MAX(YrOfExit,1)*12))</f>
        <v>0</v>
      </c>
      <c r="DA294" s="78">
        <f>-SUM(DA291:DA293)*AND(DA$5=MIN(Input!$M$196+Input!$M$195,MAX(YrOfExit,1)*12))</f>
        <v>0</v>
      </c>
      <c r="DB294" s="78">
        <f>-SUM(DB291:DB293)*AND(DB$5=MIN(Input!$M$196+Input!$M$195,MAX(YrOfExit,1)*12))</f>
        <v>0</v>
      </c>
      <c r="DC294" s="78">
        <f>-SUM(DC291:DC293)*AND(DC$5=MIN(Input!$M$196+Input!$M$195,MAX(YrOfExit,1)*12))</f>
        <v>0</v>
      </c>
      <c r="DD294" s="78">
        <f>-SUM(DD291:DD293)*AND(DD$5=MIN(Input!$M$196+Input!$M$195,MAX(YrOfExit,1)*12))</f>
        <v>0</v>
      </c>
      <c r="DE294" s="78">
        <f>-SUM(DE291:DE293)*AND(DE$5=MIN(Input!$M$196+Input!$M$195,MAX(YrOfExit,1)*12))</f>
        <v>0</v>
      </c>
      <c r="DF294" s="78">
        <f>-SUM(DF291:DF293)*AND(DF$5=MIN(Input!$M$196+Input!$M$195,MAX(YrOfExit,1)*12))</f>
        <v>0</v>
      </c>
      <c r="DG294" s="78">
        <f>-SUM(DG291:DG293)*AND(DG$5=MIN(Input!$M$196+Input!$M$195,MAX(YrOfExit,1)*12))</f>
        <v>0</v>
      </c>
      <c r="DH294" s="78">
        <f>-SUM(DH291:DH293)*AND(DH$5=MIN(Input!$M$196+Input!$M$195,MAX(YrOfExit,1)*12))</f>
        <v>0</v>
      </c>
      <c r="DI294" s="78">
        <f>-SUM(DI291:DI293)*AND(DI$5=MIN(Input!$M$196+Input!$M$195,MAX(YrOfExit,1)*12))</f>
        <v>0</v>
      </c>
      <c r="DJ294" s="78">
        <f>-SUM(DJ291:DJ293)*AND(DJ$5=MIN(Input!$M$196+Input!$M$195,MAX(YrOfExit,1)*12))</f>
        <v>0</v>
      </c>
      <c r="DK294" s="78">
        <f>-SUM(DK291:DK293)*AND(DK$5=MIN(Input!$M$196+Input!$M$195,MAX(YrOfExit,1)*12))</f>
        <v>0</v>
      </c>
      <c r="DL294" s="78">
        <f>-SUM(DL291:DL293)*AND(DL$5=MIN(Input!$M$196+Input!$M$195,MAX(YrOfExit,1)*12))</f>
        <v>0</v>
      </c>
      <c r="DM294" s="78">
        <f>-SUM(DM291:DM293)*AND(DM$5=MIN(Input!$M$196+Input!$M$195,MAX(YrOfExit,1)*12))</f>
        <v>0</v>
      </c>
      <c r="DN294" s="78">
        <f>-SUM(DN291:DN293)*AND(DN$5=MIN(Input!$M$196+Input!$M$195,MAX(YrOfExit,1)*12))</f>
        <v>0</v>
      </c>
      <c r="DO294" s="78">
        <f>-SUM(DO291:DO293)*AND(DO$5=MIN(Input!$M$196+Input!$M$195,MAX(YrOfExit,1)*12))</f>
        <v>0</v>
      </c>
      <c r="DP294" s="78">
        <f>-SUM(DP291:DP293)*AND(DP$5=MIN(Input!$M$196+Input!$M$195,MAX(YrOfExit,1)*12))</f>
        <v>0</v>
      </c>
      <c r="DQ294" s="78">
        <f>-SUM(DQ291:DQ293)*AND(DQ$5=MIN(Input!$M$196+Input!$M$195,MAX(YrOfExit,1)*12))</f>
        <v>0</v>
      </c>
      <c r="DR294" s="78">
        <f>-SUM(DR291:DR293)*AND(DR$5=MIN(Input!$M$196+Input!$M$195,MAX(YrOfExit,1)*12))</f>
        <v>0</v>
      </c>
      <c r="DS294" s="78">
        <f>-SUM(DS291:DS293)*AND(DS$5=MIN(Input!$M$196+Input!$M$195,MAX(YrOfExit,1)*12))</f>
        <v>0</v>
      </c>
      <c r="DT294" s="78">
        <f>-SUM(DT291:DT293)*AND(DT$5=MIN(Input!$M$196+Input!$M$195,MAX(YrOfExit,1)*12))</f>
        <v>0</v>
      </c>
      <c r="DU294" s="78">
        <f>-SUM(DU291:DU293)*AND(DU$5=MIN(Input!$M$196+Input!$M$195,MAX(YrOfExit,1)*12))</f>
        <v>0</v>
      </c>
      <c r="DV294" s="78">
        <f>-SUM(DV291:DV293)*AND(DV$5=MIN(Input!$M$196+Input!$M$195,MAX(YrOfExit,1)*12))</f>
        <v>0</v>
      </c>
      <c r="DW294" s="78">
        <f>-SUM(DW291:DW293)*AND(DW$5=MIN(Input!$M$196+Input!$M$195,MAX(YrOfExit,1)*12))</f>
        <v>0</v>
      </c>
      <c r="DX294" s="78">
        <f>-SUM(DX291:DX293)*AND(DX$5=MIN(Input!$M$196+Input!$M$195,MAX(YrOfExit,1)*12))</f>
        <v>0</v>
      </c>
      <c r="DY294" s="78">
        <f>-SUM(DY291:DY293)*AND(DY$5=MIN(Input!$M$196+Input!$M$195,MAX(YrOfExit,1)*12))</f>
        <v>0</v>
      </c>
      <c r="DZ294" s="78">
        <f>-SUM(DZ291:DZ293)*AND(DZ$5=MIN(Input!$M$196+Input!$M$195,MAX(YrOfExit,1)*12))</f>
        <v>0</v>
      </c>
      <c r="EA294" s="78">
        <f>-SUM(EA291:EA293)*AND(EA$5=MIN(Input!$M$196+Input!$M$195,MAX(YrOfExit,1)*12))</f>
        <v>0</v>
      </c>
      <c r="EB294" s="78">
        <f>-SUM(EB291:EB293)*AND(EB$5=MIN(Input!$M$196+Input!$M$195,MAX(YrOfExit,1)*12))</f>
        <v>0</v>
      </c>
      <c r="EC294" s="78">
        <f>-SUM(EC291:EC293)*AND(EC$5=MIN(Input!$M$196+Input!$M$195,MAX(YrOfExit,1)*12))</f>
        <v>0</v>
      </c>
      <c r="ED294" s="78">
        <f>-SUM(ED291:ED293)*AND(ED$5=MIN(Input!$M$196+Input!$M$195,MAX(YrOfExit,1)*12))</f>
        <v>0</v>
      </c>
      <c r="EE294" s="78">
        <f>-SUM(EE291:EE293)*AND(EE$5=MIN(Input!$M$196+Input!$M$195,MAX(YrOfExit,1)*12))</f>
        <v>0</v>
      </c>
      <c r="EF294" s="78">
        <f>-SUM(EF291:EF293)*AND(EF$5=MIN(Input!$M$196+Input!$M$195,MAX(YrOfExit,1)*12))</f>
        <v>0</v>
      </c>
      <c r="EG294" s="78">
        <f>-SUM(EG291:EG293)*AND(EG$5=MIN(Input!$M$196+Input!$M$195,MAX(YrOfExit,1)*12))</f>
        <v>0</v>
      </c>
      <c r="EH294" s="78">
        <f>-SUM(EH291:EH293)*AND(EH$5=MIN(Input!$M$196+Input!$M$195,MAX(YrOfExit,1)*12))</f>
        <v>0</v>
      </c>
      <c r="EI294" s="78">
        <f>-SUM(EI291:EI293)*AND(EI$5=MIN(Input!$M$196+Input!$M$195,MAX(YrOfExit,1)*12))</f>
        <v>0</v>
      </c>
    </row>
    <row r="295" spans="2:139" ht="12.75" customHeight="1">
      <c r="B295" s="46" t="s">
        <v>595</v>
      </c>
      <c r="C295" s="209"/>
      <c r="D295" s="694">
        <f t="shared" ref="D295:O295" si="552">SUBTOTAL(9,D291:D294)*(SUM(D291:D294)&gt;1)</f>
        <v>0</v>
      </c>
      <c r="E295" s="694">
        <f t="shared" si="552"/>
        <v>0</v>
      </c>
      <c r="F295" s="694">
        <f t="shared" si="552"/>
        <v>0</v>
      </c>
      <c r="G295" s="694">
        <f t="shared" si="552"/>
        <v>0</v>
      </c>
      <c r="H295" s="694">
        <f t="shared" si="552"/>
        <v>0</v>
      </c>
      <c r="I295" s="694">
        <f t="shared" si="552"/>
        <v>0</v>
      </c>
      <c r="J295" s="694">
        <f t="shared" si="552"/>
        <v>0</v>
      </c>
      <c r="K295" s="694">
        <f t="shared" si="552"/>
        <v>0</v>
      </c>
      <c r="L295" s="694">
        <f t="shared" si="552"/>
        <v>0</v>
      </c>
      <c r="M295" s="694">
        <f t="shared" si="552"/>
        <v>0</v>
      </c>
      <c r="N295" s="694">
        <f t="shared" si="552"/>
        <v>0</v>
      </c>
      <c r="O295" s="713">
        <f t="shared" si="552"/>
        <v>0</v>
      </c>
      <c r="S295" s="694">
        <f t="shared" ref="S295:AX295" si="553">SUBTOTAL(9,S291:S294)*(SUM(S291:S294)&gt;1)</f>
        <v>0</v>
      </c>
      <c r="T295" s="694">
        <f t="shared" si="553"/>
        <v>0</v>
      </c>
      <c r="U295" s="694">
        <f t="shared" si="553"/>
        <v>0</v>
      </c>
      <c r="V295" s="694">
        <f t="shared" si="553"/>
        <v>0</v>
      </c>
      <c r="W295" s="694">
        <f t="shared" si="553"/>
        <v>0</v>
      </c>
      <c r="X295" s="694">
        <f t="shared" si="553"/>
        <v>0</v>
      </c>
      <c r="Y295" s="694">
        <f t="shared" si="553"/>
        <v>0</v>
      </c>
      <c r="Z295" s="694">
        <f t="shared" si="553"/>
        <v>0</v>
      </c>
      <c r="AA295" s="694">
        <f t="shared" si="553"/>
        <v>0</v>
      </c>
      <c r="AB295" s="694">
        <f t="shared" si="553"/>
        <v>0</v>
      </c>
      <c r="AC295" s="694">
        <f t="shared" si="553"/>
        <v>0</v>
      </c>
      <c r="AD295" s="694">
        <f t="shared" si="553"/>
        <v>0</v>
      </c>
      <c r="AE295" s="694">
        <f t="shared" si="553"/>
        <v>0</v>
      </c>
      <c r="AF295" s="694">
        <f t="shared" si="553"/>
        <v>0</v>
      </c>
      <c r="AG295" s="694">
        <f t="shared" si="553"/>
        <v>0</v>
      </c>
      <c r="AH295" s="694">
        <f t="shared" si="553"/>
        <v>0</v>
      </c>
      <c r="AI295" s="694">
        <f t="shared" si="553"/>
        <v>0</v>
      </c>
      <c r="AJ295" s="694">
        <f t="shared" si="553"/>
        <v>0</v>
      </c>
      <c r="AK295" s="694">
        <f t="shared" si="553"/>
        <v>0</v>
      </c>
      <c r="AL295" s="694">
        <f t="shared" si="553"/>
        <v>0</v>
      </c>
      <c r="AM295" s="694">
        <f t="shared" si="553"/>
        <v>0</v>
      </c>
      <c r="AN295" s="694">
        <f t="shared" si="553"/>
        <v>0</v>
      </c>
      <c r="AO295" s="694">
        <f t="shared" si="553"/>
        <v>0</v>
      </c>
      <c r="AP295" s="694">
        <f t="shared" si="553"/>
        <v>0</v>
      </c>
      <c r="AQ295" s="694">
        <f t="shared" si="553"/>
        <v>0</v>
      </c>
      <c r="AR295" s="694">
        <f t="shared" si="553"/>
        <v>0</v>
      </c>
      <c r="AS295" s="694">
        <f t="shared" si="553"/>
        <v>0</v>
      </c>
      <c r="AT295" s="694">
        <f t="shared" si="553"/>
        <v>0</v>
      </c>
      <c r="AU295" s="694">
        <f t="shared" si="553"/>
        <v>0</v>
      </c>
      <c r="AV295" s="694">
        <f t="shared" si="553"/>
        <v>0</v>
      </c>
      <c r="AW295" s="694">
        <f t="shared" si="553"/>
        <v>0</v>
      </c>
      <c r="AX295" s="694">
        <f t="shared" si="553"/>
        <v>0</v>
      </c>
      <c r="AY295" s="694">
        <f t="shared" ref="AY295:CD295" si="554">SUBTOTAL(9,AY291:AY294)*(SUM(AY291:AY294)&gt;1)</f>
        <v>0</v>
      </c>
      <c r="AZ295" s="694">
        <f t="shared" si="554"/>
        <v>0</v>
      </c>
      <c r="BA295" s="694">
        <f t="shared" si="554"/>
        <v>0</v>
      </c>
      <c r="BB295" s="694">
        <f t="shared" si="554"/>
        <v>0</v>
      </c>
      <c r="BC295" s="694">
        <f t="shared" si="554"/>
        <v>0</v>
      </c>
      <c r="BD295" s="694">
        <f t="shared" si="554"/>
        <v>0</v>
      </c>
      <c r="BE295" s="694">
        <f t="shared" si="554"/>
        <v>0</v>
      </c>
      <c r="BF295" s="694">
        <f t="shared" si="554"/>
        <v>0</v>
      </c>
      <c r="BG295" s="694">
        <f t="shared" si="554"/>
        <v>0</v>
      </c>
      <c r="BH295" s="694">
        <f t="shared" si="554"/>
        <v>0</v>
      </c>
      <c r="BI295" s="694">
        <f t="shared" si="554"/>
        <v>0</v>
      </c>
      <c r="BJ295" s="694">
        <f t="shared" si="554"/>
        <v>0</v>
      </c>
      <c r="BK295" s="694">
        <f t="shared" si="554"/>
        <v>0</v>
      </c>
      <c r="BL295" s="694">
        <f t="shared" si="554"/>
        <v>0</v>
      </c>
      <c r="BM295" s="694">
        <f t="shared" si="554"/>
        <v>0</v>
      </c>
      <c r="BN295" s="694">
        <f t="shared" si="554"/>
        <v>0</v>
      </c>
      <c r="BO295" s="694">
        <f t="shared" si="554"/>
        <v>0</v>
      </c>
      <c r="BP295" s="694">
        <f t="shared" si="554"/>
        <v>0</v>
      </c>
      <c r="BQ295" s="694">
        <f t="shared" si="554"/>
        <v>0</v>
      </c>
      <c r="BR295" s="694">
        <f t="shared" si="554"/>
        <v>0</v>
      </c>
      <c r="BS295" s="694">
        <f t="shared" si="554"/>
        <v>0</v>
      </c>
      <c r="BT295" s="694">
        <f t="shared" si="554"/>
        <v>0</v>
      </c>
      <c r="BU295" s="694">
        <f t="shared" si="554"/>
        <v>0</v>
      </c>
      <c r="BV295" s="694">
        <f t="shared" si="554"/>
        <v>0</v>
      </c>
      <c r="BW295" s="694">
        <f t="shared" si="554"/>
        <v>0</v>
      </c>
      <c r="BX295" s="694">
        <f t="shared" si="554"/>
        <v>0</v>
      </c>
      <c r="BY295" s="694">
        <f t="shared" si="554"/>
        <v>0</v>
      </c>
      <c r="BZ295" s="694">
        <f t="shared" si="554"/>
        <v>0</v>
      </c>
      <c r="CA295" s="694">
        <f t="shared" si="554"/>
        <v>0</v>
      </c>
      <c r="CB295" s="694">
        <f t="shared" si="554"/>
        <v>0</v>
      </c>
      <c r="CC295" s="694">
        <f t="shared" si="554"/>
        <v>0</v>
      </c>
      <c r="CD295" s="694">
        <f t="shared" si="554"/>
        <v>0</v>
      </c>
      <c r="CE295" s="694">
        <f t="shared" ref="CE295:DJ295" si="555">SUBTOTAL(9,CE291:CE294)*(SUM(CE291:CE294)&gt;1)</f>
        <v>0</v>
      </c>
      <c r="CF295" s="694">
        <f t="shared" si="555"/>
        <v>0</v>
      </c>
      <c r="CG295" s="694">
        <f t="shared" si="555"/>
        <v>0</v>
      </c>
      <c r="CH295" s="694">
        <f t="shared" si="555"/>
        <v>0</v>
      </c>
      <c r="CI295" s="694">
        <f t="shared" si="555"/>
        <v>0</v>
      </c>
      <c r="CJ295" s="694">
        <f t="shared" si="555"/>
        <v>0</v>
      </c>
      <c r="CK295" s="694">
        <f t="shared" si="555"/>
        <v>0</v>
      </c>
      <c r="CL295" s="694">
        <f t="shared" si="555"/>
        <v>0</v>
      </c>
      <c r="CM295" s="694">
        <f t="shared" si="555"/>
        <v>0</v>
      </c>
      <c r="CN295" s="694">
        <f t="shared" si="555"/>
        <v>0</v>
      </c>
      <c r="CO295" s="694">
        <f t="shared" si="555"/>
        <v>0</v>
      </c>
      <c r="CP295" s="694">
        <f t="shared" si="555"/>
        <v>0</v>
      </c>
      <c r="CQ295" s="694">
        <f t="shared" si="555"/>
        <v>0</v>
      </c>
      <c r="CR295" s="694">
        <f t="shared" si="555"/>
        <v>0</v>
      </c>
      <c r="CS295" s="694">
        <f t="shared" si="555"/>
        <v>0</v>
      </c>
      <c r="CT295" s="694">
        <f t="shared" si="555"/>
        <v>0</v>
      </c>
      <c r="CU295" s="694">
        <f t="shared" si="555"/>
        <v>0</v>
      </c>
      <c r="CV295" s="694">
        <f t="shared" si="555"/>
        <v>0</v>
      </c>
      <c r="CW295" s="694">
        <f t="shared" si="555"/>
        <v>0</v>
      </c>
      <c r="CX295" s="694">
        <f t="shared" si="555"/>
        <v>0</v>
      </c>
      <c r="CY295" s="694">
        <f t="shared" si="555"/>
        <v>0</v>
      </c>
      <c r="CZ295" s="694">
        <f t="shared" si="555"/>
        <v>0</v>
      </c>
      <c r="DA295" s="694">
        <f t="shared" si="555"/>
        <v>0</v>
      </c>
      <c r="DB295" s="694">
        <f t="shared" si="555"/>
        <v>0</v>
      </c>
      <c r="DC295" s="694">
        <f t="shared" si="555"/>
        <v>0</v>
      </c>
      <c r="DD295" s="694">
        <f t="shared" si="555"/>
        <v>0</v>
      </c>
      <c r="DE295" s="694">
        <f t="shared" si="555"/>
        <v>0</v>
      </c>
      <c r="DF295" s="694">
        <f t="shared" si="555"/>
        <v>0</v>
      </c>
      <c r="DG295" s="694">
        <f t="shared" si="555"/>
        <v>0</v>
      </c>
      <c r="DH295" s="694">
        <f t="shared" si="555"/>
        <v>0</v>
      </c>
      <c r="DI295" s="694">
        <f t="shared" si="555"/>
        <v>0</v>
      </c>
      <c r="DJ295" s="694">
        <f t="shared" si="555"/>
        <v>0</v>
      </c>
      <c r="DK295" s="694">
        <f t="shared" ref="DK295:EP295" si="556">SUBTOTAL(9,DK291:DK294)*(SUM(DK291:DK294)&gt;1)</f>
        <v>0</v>
      </c>
      <c r="DL295" s="694">
        <f t="shared" si="556"/>
        <v>0</v>
      </c>
      <c r="DM295" s="694">
        <f t="shared" si="556"/>
        <v>0</v>
      </c>
      <c r="DN295" s="694">
        <f t="shared" si="556"/>
        <v>0</v>
      </c>
      <c r="DO295" s="694">
        <f t="shared" si="556"/>
        <v>0</v>
      </c>
      <c r="DP295" s="694">
        <f t="shared" si="556"/>
        <v>0</v>
      </c>
      <c r="DQ295" s="694">
        <f t="shared" si="556"/>
        <v>0</v>
      </c>
      <c r="DR295" s="694">
        <f t="shared" si="556"/>
        <v>0</v>
      </c>
      <c r="DS295" s="694">
        <f t="shared" si="556"/>
        <v>0</v>
      </c>
      <c r="DT295" s="694">
        <f t="shared" si="556"/>
        <v>0</v>
      </c>
      <c r="DU295" s="694">
        <f t="shared" si="556"/>
        <v>0</v>
      </c>
      <c r="DV295" s="694">
        <f t="shared" si="556"/>
        <v>0</v>
      </c>
      <c r="DW295" s="694">
        <f t="shared" si="556"/>
        <v>0</v>
      </c>
      <c r="DX295" s="694">
        <f t="shared" si="556"/>
        <v>0</v>
      </c>
      <c r="DY295" s="694">
        <f t="shared" si="556"/>
        <v>0</v>
      </c>
      <c r="DZ295" s="694">
        <f t="shared" si="556"/>
        <v>0</v>
      </c>
      <c r="EA295" s="694">
        <f t="shared" si="556"/>
        <v>0</v>
      </c>
      <c r="EB295" s="694">
        <f t="shared" si="556"/>
        <v>0</v>
      </c>
      <c r="EC295" s="694">
        <f t="shared" si="556"/>
        <v>0</v>
      </c>
      <c r="ED295" s="694">
        <f t="shared" si="556"/>
        <v>0</v>
      </c>
      <c r="EE295" s="694">
        <f t="shared" si="556"/>
        <v>0</v>
      </c>
      <c r="EF295" s="694">
        <f t="shared" si="556"/>
        <v>0</v>
      </c>
      <c r="EG295" s="694">
        <f t="shared" si="556"/>
        <v>0</v>
      </c>
      <c r="EH295" s="694">
        <f t="shared" si="556"/>
        <v>0</v>
      </c>
      <c r="EI295" s="694">
        <f t="shared" si="556"/>
        <v>0</v>
      </c>
    </row>
    <row r="296" spans="2:139" ht="12.75" customHeight="1">
      <c r="B296" s="46"/>
      <c r="C296" s="209"/>
      <c r="D296" s="169"/>
      <c r="E296" s="169"/>
      <c r="F296" s="169"/>
      <c r="G296" s="169"/>
      <c r="H296" s="169"/>
      <c r="I296" s="169"/>
      <c r="J296" s="169"/>
      <c r="K296" s="169"/>
      <c r="L296" s="169"/>
      <c r="M296" s="169"/>
      <c r="N296" s="169"/>
      <c r="O296" s="91"/>
      <c r="S296" s="169"/>
      <c r="T296" s="169"/>
      <c r="U296" s="169"/>
      <c r="V296" s="169"/>
      <c r="W296" s="169"/>
      <c r="X296" s="169"/>
      <c r="Y296" s="169"/>
      <c r="Z296" s="169"/>
      <c r="AA296" s="169"/>
      <c r="AB296" s="169"/>
      <c r="AC296" s="169"/>
      <c r="AD296" s="169"/>
      <c r="AE296" s="169"/>
      <c r="AF296" s="169"/>
      <c r="AG296" s="169"/>
      <c r="AH296" s="169"/>
      <c r="AI296" s="169"/>
      <c r="AJ296" s="169"/>
      <c r="AK296" s="169"/>
      <c r="AL296" s="169"/>
      <c r="AM296" s="169"/>
      <c r="AN296" s="169"/>
      <c r="AO296" s="169"/>
      <c r="AP296" s="169"/>
      <c r="AQ296" s="169"/>
      <c r="AR296" s="169"/>
      <c r="AS296" s="169"/>
      <c r="AT296" s="169"/>
      <c r="AU296" s="169"/>
      <c r="AV296" s="169"/>
      <c r="AW296" s="169"/>
      <c r="AX296" s="169"/>
      <c r="AY296" s="169"/>
      <c r="AZ296" s="169"/>
      <c r="BA296" s="169"/>
      <c r="BB296" s="169"/>
      <c r="BC296" s="169"/>
      <c r="BD296" s="169"/>
      <c r="BE296" s="169"/>
      <c r="BF296" s="169"/>
      <c r="BG296" s="169"/>
      <c r="BH296" s="169"/>
      <c r="BI296" s="169"/>
      <c r="BJ296" s="169"/>
      <c r="BK296" s="169"/>
      <c r="BL296" s="169"/>
      <c r="BM296" s="169"/>
      <c r="BN296" s="169"/>
      <c r="BO296" s="169"/>
      <c r="BP296" s="169"/>
      <c r="BQ296" s="169"/>
      <c r="BR296" s="169"/>
      <c r="BS296" s="169"/>
      <c r="BT296" s="169"/>
      <c r="BU296" s="169"/>
      <c r="BV296" s="169"/>
      <c r="BW296" s="169"/>
      <c r="BX296" s="169"/>
      <c r="BY296" s="169"/>
      <c r="BZ296" s="169"/>
      <c r="CA296" s="169"/>
      <c r="CB296" s="169"/>
      <c r="CC296" s="169"/>
      <c r="CD296" s="169"/>
      <c r="CE296" s="169"/>
      <c r="CF296" s="169"/>
      <c r="CG296" s="169"/>
      <c r="CH296" s="169"/>
      <c r="CI296" s="169"/>
      <c r="CJ296" s="169"/>
      <c r="CK296" s="169"/>
      <c r="CL296" s="169"/>
      <c r="CM296" s="169"/>
      <c r="CN296" s="169"/>
      <c r="CO296" s="169"/>
      <c r="CP296" s="169"/>
      <c r="CQ296" s="169"/>
      <c r="CR296" s="169"/>
      <c r="CS296" s="169"/>
      <c r="CT296" s="169"/>
      <c r="CU296" s="169"/>
      <c r="CV296" s="169"/>
      <c r="CW296" s="169"/>
      <c r="CX296" s="169"/>
      <c r="CY296" s="169"/>
      <c r="CZ296" s="169"/>
      <c r="DA296" s="169"/>
      <c r="DB296" s="169"/>
      <c r="DC296" s="169"/>
      <c r="DD296" s="169"/>
      <c r="DE296" s="169"/>
      <c r="DF296" s="169"/>
      <c r="DG296" s="169"/>
      <c r="DH296" s="169"/>
      <c r="DI296" s="169"/>
      <c r="DJ296" s="169"/>
      <c r="DK296" s="169"/>
      <c r="DL296" s="169"/>
      <c r="DM296" s="169"/>
      <c r="DN296" s="169"/>
      <c r="DO296" s="169"/>
      <c r="DP296" s="169"/>
      <c r="DQ296" s="169"/>
      <c r="DR296" s="169"/>
      <c r="DS296" s="169"/>
      <c r="DT296" s="169"/>
      <c r="DU296" s="169"/>
      <c r="DV296" s="169"/>
      <c r="DW296" s="169"/>
      <c r="DX296" s="169"/>
      <c r="DY296" s="169"/>
      <c r="DZ296" s="169"/>
      <c r="EA296" s="169"/>
      <c r="EB296" s="169"/>
      <c r="EC296" s="169"/>
      <c r="ED296" s="169"/>
      <c r="EE296" s="169"/>
      <c r="EF296" s="169"/>
      <c r="EG296" s="169"/>
      <c r="EH296" s="169"/>
      <c r="EI296" s="169"/>
    </row>
    <row r="297" spans="2:139" ht="12.75" customHeight="1">
      <c r="B297" s="1045" t="s">
        <v>48</v>
      </c>
      <c r="C297" s="211"/>
      <c r="D297" s="78"/>
      <c r="E297" s="78"/>
      <c r="F297" s="78"/>
      <c r="G297" s="78"/>
      <c r="H297" s="78"/>
      <c r="I297" s="78"/>
      <c r="J297" s="78"/>
      <c r="K297" s="78"/>
      <c r="L297" s="78"/>
      <c r="M297" s="78"/>
      <c r="N297" s="78"/>
      <c r="O297" s="145"/>
      <c r="S297" s="78"/>
      <c r="T297" s="78"/>
      <c r="U297" s="78"/>
      <c r="V297" s="78"/>
      <c r="W297" s="78"/>
      <c r="X297" s="78"/>
      <c r="Y297" s="78"/>
      <c r="Z297" s="78"/>
      <c r="AA297" s="78"/>
      <c r="AB297" s="78"/>
      <c r="AC297" s="78"/>
      <c r="AD297" s="78"/>
      <c r="AE297" s="78"/>
      <c r="AF297" s="78"/>
      <c r="AG297" s="78"/>
      <c r="AH297" s="78"/>
      <c r="AI297" s="78"/>
      <c r="AJ297" s="78"/>
      <c r="AK297" s="78"/>
      <c r="AL297" s="78"/>
      <c r="AM297" s="78"/>
      <c r="AN297" s="78"/>
      <c r="AO297" s="78"/>
      <c r="AP297" s="78"/>
      <c r="AQ297" s="78"/>
      <c r="AR297" s="78"/>
      <c r="AS297" s="78"/>
      <c r="AT297" s="78"/>
      <c r="AU297" s="78"/>
      <c r="AV297" s="78"/>
      <c r="AW297" s="78"/>
      <c r="AX297" s="78"/>
      <c r="AY297" s="78"/>
      <c r="AZ297" s="78"/>
      <c r="BA297" s="78"/>
      <c r="BB297" s="78"/>
      <c r="BC297" s="78"/>
      <c r="BD297" s="78"/>
      <c r="BE297" s="78"/>
      <c r="BF297" s="78"/>
      <c r="BG297" s="78"/>
      <c r="BH297" s="78"/>
      <c r="BI297" s="78"/>
      <c r="BJ297" s="78"/>
      <c r="BK297" s="78"/>
      <c r="BL297" s="78"/>
      <c r="BM297" s="78"/>
      <c r="BN297" s="78"/>
      <c r="BO297" s="78"/>
      <c r="BP297" s="78"/>
      <c r="BQ297" s="78"/>
      <c r="BR297" s="78"/>
      <c r="BS297" s="78"/>
      <c r="BT297" s="78"/>
      <c r="BU297" s="78"/>
      <c r="BV297" s="78"/>
      <c r="BW297" s="78"/>
      <c r="BX297" s="78"/>
      <c r="BY297" s="78"/>
      <c r="BZ297" s="78"/>
      <c r="CA297" s="78"/>
      <c r="CB297" s="78"/>
      <c r="CC297" s="78"/>
      <c r="CD297" s="78"/>
      <c r="CE297" s="78"/>
      <c r="CF297" s="78"/>
      <c r="CG297" s="78"/>
      <c r="CH297" s="78"/>
      <c r="CI297" s="78"/>
      <c r="CJ297" s="78"/>
      <c r="CK297" s="78"/>
      <c r="CL297" s="78"/>
      <c r="CM297" s="78"/>
      <c r="CN297" s="78"/>
      <c r="CO297" s="78"/>
      <c r="CP297" s="78"/>
      <c r="CQ297" s="78"/>
      <c r="CR297" s="78"/>
      <c r="CS297" s="78"/>
      <c r="CT297" s="78"/>
      <c r="CU297" s="78"/>
      <c r="CV297" s="78"/>
      <c r="CW297" s="78"/>
      <c r="CX297" s="78"/>
      <c r="CY297" s="78"/>
      <c r="CZ297" s="78"/>
      <c r="DA297" s="78"/>
      <c r="DB297" s="78"/>
      <c r="DC297" s="78"/>
      <c r="DD297" s="78"/>
      <c r="DE297" s="78"/>
      <c r="DF297" s="78"/>
      <c r="DG297" s="78"/>
      <c r="DH297" s="78"/>
      <c r="DI297" s="78"/>
      <c r="DJ297" s="78"/>
      <c r="DK297" s="78"/>
      <c r="DL297" s="78"/>
      <c r="DM297" s="78"/>
      <c r="DN297" s="78"/>
      <c r="DO297" s="78"/>
      <c r="DP297" s="78"/>
      <c r="DQ297" s="78"/>
      <c r="DR297" s="78"/>
      <c r="DS297" s="78"/>
      <c r="DT297" s="78"/>
      <c r="DU297" s="78"/>
      <c r="DV297" s="78"/>
      <c r="DW297" s="78"/>
      <c r="DX297" s="78"/>
      <c r="DY297" s="78"/>
      <c r="DZ297" s="78"/>
      <c r="EA297" s="78"/>
      <c r="EB297" s="78"/>
      <c r="EC297" s="78"/>
      <c r="ED297" s="78"/>
      <c r="EE297" s="78"/>
      <c r="EF297" s="78"/>
      <c r="EG297" s="78"/>
      <c r="EH297" s="78"/>
      <c r="EI297" s="78"/>
    </row>
    <row r="298" spans="2:139" ht="12.75" customHeight="1">
      <c r="B298" s="41" t="str">
        <f>IF(Loan3IntType=FixedInterest,B300,"Interest Rate before Floor/Cap")</f>
        <v>Loan 3 Interest Rate</v>
      </c>
      <c r="C298" s="211"/>
      <c r="D298" s="78"/>
      <c r="E298" s="40">
        <f>IF(Input!$M$207=FixedInterest,Input!$M$214,(SUMIF(Input!$S$196:$S$205,E$4,Input!$X$196:$X$205)+Input!$M$213/10000))*AND(Input!$M$195&lt;&gt;"",E$4&gt;Input!$M$194,E$291+E$292&gt;0)</f>
        <v>0</v>
      </c>
      <c r="F298" s="40">
        <f>IF(Input!$M$207=FixedInterest,Input!$M$214,(SUMIF(Input!$S$196:$S$205,F$4,Input!$X$196:$X$205)+Input!$M$213/10000))*AND(Input!$M$195&lt;&gt;"",F$4&gt;Input!$M$194,F$291+F$292&gt;0)</f>
        <v>0</v>
      </c>
      <c r="G298" s="40">
        <f>IF(Input!$M$207=FixedInterest,Input!$M$214,(SUMIF(Input!$S$196:$S$205,G$4,Input!$X$196:$X$205)+Input!$M$213/10000))*AND(Input!$M$195&lt;&gt;"",G$4&gt;Input!$M$194,G$291+G$292&gt;0)</f>
        <v>0</v>
      </c>
      <c r="H298" s="40">
        <f>IF(Input!$M$207=FixedInterest,Input!$M$214,(SUMIF(Input!$S$196:$S$205,H$4,Input!$X$196:$X$205)+Input!$M$213/10000))*AND(Input!$M$195&lt;&gt;"",H$4&gt;Input!$M$194,H$291+H$292&gt;0)</f>
        <v>0</v>
      </c>
      <c r="I298" s="40">
        <f>IF(Input!$M$207=FixedInterest,Input!$M$214,(SUMIF(Input!$S$196:$S$205,I$4,Input!$X$196:$X$205)+Input!$M$213/10000))*AND(Input!$M$195&lt;&gt;"",I$4&gt;Input!$M$194,I$291+I$292&gt;0)</f>
        <v>0</v>
      </c>
      <c r="J298" s="40">
        <f>IF(Input!$M$207=FixedInterest,Input!$M$214,(SUMIF(Input!$S$196:$S$205,J$4,Input!$X$196:$X$205)+Input!$M$213/10000))*AND(Input!$M$195&lt;&gt;"",J$4&gt;Input!$M$194,J$291+J$292&gt;0)</f>
        <v>0</v>
      </c>
      <c r="K298" s="40">
        <f>IF(Input!$M$207=FixedInterest,Input!$M$214,(SUMIF(Input!$S$196:$S$205,K$4,Input!$X$196:$X$205)+Input!$M$213/10000))*AND(Input!$M$195&lt;&gt;"",K$4&gt;Input!$M$194,K$291+K$292&gt;0)</f>
        <v>0</v>
      </c>
      <c r="L298" s="40">
        <f>IF(Input!$M$207=FixedInterest,Input!$M$214,(SUMIF(Input!$S$196:$S$205,L$4,Input!$X$196:$X$205)+Input!$M$213/10000))*AND(Input!$M$195&lt;&gt;"",L$4&gt;Input!$M$194,L$291+L$292&gt;0)</f>
        <v>0</v>
      </c>
      <c r="M298" s="40">
        <f>IF(Input!$M$207=FixedInterest,Input!$M$214,(SUMIF(Input!$S$196:$S$205,M$4,Input!$X$196:$X$205)+Input!$M$213/10000))*AND(Input!$M$195&lt;&gt;"",M$4&gt;Input!$M$194,M$291+M$292&gt;0)</f>
        <v>0</v>
      </c>
      <c r="N298" s="40">
        <f>IF(Input!$M$207=FixedInterest,Input!$M$214,(SUMIF(Input!$S$196:$S$205,N$4,Input!$X$196:$X$205)+Input!$M$213/10000))*AND(Input!$M$195&lt;&gt;"",N$4&gt;Input!$M$194,N$291+N$292&gt;0)</f>
        <v>0</v>
      </c>
      <c r="O298" s="145"/>
      <c r="S298" s="78"/>
      <c r="T298" s="40">
        <f t="shared" ref="T298:AY298" si="557">SUMIF($D$5:$N$5,T$6,$D298:$N298)*(T291+T292&gt;0)</f>
        <v>0</v>
      </c>
      <c r="U298" s="40">
        <f t="shared" si="557"/>
        <v>0</v>
      </c>
      <c r="V298" s="40">
        <f t="shared" si="557"/>
        <v>0</v>
      </c>
      <c r="W298" s="40">
        <f t="shared" si="557"/>
        <v>0</v>
      </c>
      <c r="X298" s="40">
        <f t="shared" si="557"/>
        <v>0</v>
      </c>
      <c r="Y298" s="40">
        <f t="shared" si="557"/>
        <v>0</v>
      </c>
      <c r="Z298" s="40">
        <f t="shared" si="557"/>
        <v>0</v>
      </c>
      <c r="AA298" s="40">
        <f t="shared" si="557"/>
        <v>0</v>
      </c>
      <c r="AB298" s="40">
        <f t="shared" si="557"/>
        <v>0</v>
      </c>
      <c r="AC298" s="40">
        <f t="shared" si="557"/>
        <v>0</v>
      </c>
      <c r="AD298" s="40">
        <f t="shared" si="557"/>
        <v>0</v>
      </c>
      <c r="AE298" s="40">
        <f t="shared" si="557"/>
        <v>0</v>
      </c>
      <c r="AF298" s="40">
        <f t="shared" si="557"/>
        <v>0</v>
      </c>
      <c r="AG298" s="40">
        <f t="shared" si="557"/>
        <v>0</v>
      </c>
      <c r="AH298" s="40">
        <f t="shared" si="557"/>
        <v>0</v>
      </c>
      <c r="AI298" s="40">
        <f t="shared" si="557"/>
        <v>0</v>
      </c>
      <c r="AJ298" s="40">
        <f t="shared" si="557"/>
        <v>0</v>
      </c>
      <c r="AK298" s="40">
        <f t="shared" si="557"/>
        <v>0</v>
      </c>
      <c r="AL298" s="40">
        <f t="shared" si="557"/>
        <v>0</v>
      </c>
      <c r="AM298" s="40">
        <f t="shared" si="557"/>
        <v>0</v>
      </c>
      <c r="AN298" s="40">
        <f t="shared" si="557"/>
        <v>0</v>
      </c>
      <c r="AO298" s="40">
        <f t="shared" si="557"/>
        <v>0</v>
      </c>
      <c r="AP298" s="40">
        <f t="shared" si="557"/>
        <v>0</v>
      </c>
      <c r="AQ298" s="40">
        <f t="shared" si="557"/>
        <v>0</v>
      </c>
      <c r="AR298" s="40">
        <f t="shared" si="557"/>
        <v>0</v>
      </c>
      <c r="AS298" s="40">
        <f t="shared" si="557"/>
        <v>0</v>
      </c>
      <c r="AT298" s="40">
        <f t="shared" si="557"/>
        <v>0</v>
      </c>
      <c r="AU298" s="40">
        <f t="shared" si="557"/>
        <v>0</v>
      </c>
      <c r="AV298" s="40">
        <f t="shared" si="557"/>
        <v>0</v>
      </c>
      <c r="AW298" s="40">
        <f t="shared" si="557"/>
        <v>0</v>
      </c>
      <c r="AX298" s="40">
        <f t="shared" si="557"/>
        <v>0</v>
      </c>
      <c r="AY298" s="40">
        <f t="shared" si="557"/>
        <v>0</v>
      </c>
      <c r="AZ298" s="40">
        <f t="shared" ref="AZ298:CE298" si="558">SUMIF($D$5:$N$5,AZ$6,$D298:$N298)*(AZ291+AZ292&gt;0)</f>
        <v>0</v>
      </c>
      <c r="BA298" s="40">
        <f t="shared" si="558"/>
        <v>0</v>
      </c>
      <c r="BB298" s="40">
        <f t="shared" si="558"/>
        <v>0</v>
      </c>
      <c r="BC298" s="40">
        <f t="shared" si="558"/>
        <v>0</v>
      </c>
      <c r="BD298" s="40">
        <f t="shared" si="558"/>
        <v>0</v>
      </c>
      <c r="BE298" s="40">
        <f t="shared" si="558"/>
        <v>0</v>
      </c>
      <c r="BF298" s="40">
        <f t="shared" si="558"/>
        <v>0</v>
      </c>
      <c r="BG298" s="40">
        <f t="shared" si="558"/>
        <v>0</v>
      </c>
      <c r="BH298" s="40">
        <f t="shared" si="558"/>
        <v>0</v>
      </c>
      <c r="BI298" s="40">
        <f t="shared" si="558"/>
        <v>0</v>
      </c>
      <c r="BJ298" s="40">
        <f t="shared" si="558"/>
        <v>0</v>
      </c>
      <c r="BK298" s="40">
        <f t="shared" si="558"/>
        <v>0</v>
      </c>
      <c r="BL298" s="40">
        <f t="shared" si="558"/>
        <v>0</v>
      </c>
      <c r="BM298" s="40">
        <f t="shared" si="558"/>
        <v>0</v>
      </c>
      <c r="BN298" s="40">
        <f t="shared" si="558"/>
        <v>0</v>
      </c>
      <c r="BO298" s="40">
        <f t="shared" si="558"/>
        <v>0</v>
      </c>
      <c r="BP298" s="40">
        <f t="shared" si="558"/>
        <v>0</v>
      </c>
      <c r="BQ298" s="40">
        <f t="shared" si="558"/>
        <v>0</v>
      </c>
      <c r="BR298" s="40">
        <f t="shared" si="558"/>
        <v>0</v>
      </c>
      <c r="BS298" s="40">
        <f t="shared" si="558"/>
        <v>0</v>
      </c>
      <c r="BT298" s="40">
        <f t="shared" si="558"/>
        <v>0</v>
      </c>
      <c r="BU298" s="40">
        <f t="shared" si="558"/>
        <v>0</v>
      </c>
      <c r="BV298" s="40">
        <f t="shared" si="558"/>
        <v>0</v>
      </c>
      <c r="BW298" s="40">
        <f t="shared" si="558"/>
        <v>0</v>
      </c>
      <c r="BX298" s="40">
        <f t="shared" si="558"/>
        <v>0</v>
      </c>
      <c r="BY298" s="40">
        <f t="shared" si="558"/>
        <v>0</v>
      </c>
      <c r="BZ298" s="40">
        <f t="shared" si="558"/>
        <v>0</v>
      </c>
      <c r="CA298" s="40">
        <f t="shared" si="558"/>
        <v>0</v>
      </c>
      <c r="CB298" s="40">
        <f t="shared" si="558"/>
        <v>0</v>
      </c>
      <c r="CC298" s="40">
        <f t="shared" si="558"/>
        <v>0</v>
      </c>
      <c r="CD298" s="40">
        <f t="shared" si="558"/>
        <v>0</v>
      </c>
      <c r="CE298" s="40">
        <f t="shared" si="558"/>
        <v>0</v>
      </c>
      <c r="CF298" s="40">
        <f t="shared" ref="CF298:DK298" si="559">SUMIF($D$5:$N$5,CF$6,$D298:$N298)*(CF291+CF292&gt;0)</f>
        <v>0</v>
      </c>
      <c r="CG298" s="40">
        <f t="shared" si="559"/>
        <v>0</v>
      </c>
      <c r="CH298" s="40">
        <f t="shared" si="559"/>
        <v>0</v>
      </c>
      <c r="CI298" s="40">
        <f t="shared" si="559"/>
        <v>0</v>
      </c>
      <c r="CJ298" s="40">
        <f t="shared" si="559"/>
        <v>0</v>
      </c>
      <c r="CK298" s="40">
        <f t="shared" si="559"/>
        <v>0</v>
      </c>
      <c r="CL298" s="40">
        <f t="shared" si="559"/>
        <v>0</v>
      </c>
      <c r="CM298" s="40">
        <f t="shared" si="559"/>
        <v>0</v>
      </c>
      <c r="CN298" s="40">
        <f t="shared" si="559"/>
        <v>0</v>
      </c>
      <c r="CO298" s="40">
        <f t="shared" si="559"/>
        <v>0</v>
      </c>
      <c r="CP298" s="40">
        <f t="shared" si="559"/>
        <v>0</v>
      </c>
      <c r="CQ298" s="40">
        <f t="shared" si="559"/>
        <v>0</v>
      </c>
      <c r="CR298" s="40">
        <f t="shared" si="559"/>
        <v>0</v>
      </c>
      <c r="CS298" s="40">
        <f t="shared" si="559"/>
        <v>0</v>
      </c>
      <c r="CT298" s="40">
        <f t="shared" si="559"/>
        <v>0</v>
      </c>
      <c r="CU298" s="40">
        <f t="shared" si="559"/>
        <v>0</v>
      </c>
      <c r="CV298" s="40">
        <f t="shared" si="559"/>
        <v>0</v>
      </c>
      <c r="CW298" s="40">
        <f t="shared" si="559"/>
        <v>0</v>
      </c>
      <c r="CX298" s="40">
        <f t="shared" si="559"/>
        <v>0</v>
      </c>
      <c r="CY298" s="40">
        <f t="shared" si="559"/>
        <v>0</v>
      </c>
      <c r="CZ298" s="40">
        <f t="shared" si="559"/>
        <v>0</v>
      </c>
      <c r="DA298" s="40">
        <f t="shared" si="559"/>
        <v>0</v>
      </c>
      <c r="DB298" s="40">
        <f t="shared" si="559"/>
        <v>0</v>
      </c>
      <c r="DC298" s="40">
        <f t="shared" si="559"/>
        <v>0</v>
      </c>
      <c r="DD298" s="40">
        <f t="shared" si="559"/>
        <v>0</v>
      </c>
      <c r="DE298" s="40">
        <f t="shared" si="559"/>
        <v>0</v>
      </c>
      <c r="DF298" s="40">
        <f t="shared" si="559"/>
        <v>0</v>
      </c>
      <c r="DG298" s="40">
        <f t="shared" si="559"/>
        <v>0</v>
      </c>
      <c r="DH298" s="40">
        <f t="shared" si="559"/>
        <v>0</v>
      </c>
      <c r="DI298" s="40">
        <f t="shared" si="559"/>
        <v>0</v>
      </c>
      <c r="DJ298" s="40">
        <f t="shared" si="559"/>
        <v>0</v>
      </c>
      <c r="DK298" s="40">
        <f t="shared" si="559"/>
        <v>0</v>
      </c>
      <c r="DL298" s="40">
        <f t="shared" ref="DL298:EI298" si="560">SUMIF($D$5:$N$5,DL$6,$D298:$N298)*(DL291+DL292&gt;0)</f>
        <v>0</v>
      </c>
      <c r="DM298" s="40">
        <f t="shared" si="560"/>
        <v>0</v>
      </c>
      <c r="DN298" s="40">
        <f t="shared" si="560"/>
        <v>0</v>
      </c>
      <c r="DO298" s="40">
        <f t="shared" si="560"/>
        <v>0</v>
      </c>
      <c r="DP298" s="40">
        <f t="shared" si="560"/>
        <v>0</v>
      </c>
      <c r="DQ298" s="40">
        <f t="shared" si="560"/>
        <v>0</v>
      </c>
      <c r="DR298" s="40">
        <f t="shared" si="560"/>
        <v>0</v>
      </c>
      <c r="DS298" s="40">
        <f t="shared" si="560"/>
        <v>0</v>
      </c>
      <c r="DT298" s="40">
        <f t="shared" si="560"/>
        <v>0</v>
      </c>
      <c r="DU298" s="40">
        <f t="shared" si="560"/>
        <v>0</v>
      </c>
      <c r="DV298" s="40">
        <f t="shared" si="560"/>
        <v>0</v>
      </c>
      <c r="DW298" s="40">
        <f t="shared" si="560"/>
        <v>0</v>
      </c>
      <c r="DX298" s="40">
        <f t="shared" si="560"/>
        <v>0</v>
      </c>
      <c r="DY298" s="40">
        <f t="shared" si="560"/>
        <v>0</v>
      </c>
      <c r="DZ298" s="40">
        <f t="shared" si="560"/>
        <v>0</v>
      </c>
      <c r="EA298" s="40">
        <f t="shared" si="560"/>
        <v>0</v>
      </c>
      <c r="EB298" s="40">
        <f t="shared" si="560"/>
        <v>0</v>
      </c>
      <c r="EC298" s="40">
        <f t="shared" si="560"/>
        <v>0</v>
      </c>
      <c r="ED298" s="40">
        <f t="shared" si="560"/>
        <v>0</v>
      </c>
      <c r="EE298" s="40">
        <f t="shared" si="560"/>
        <v>0</v>
      </c>
      <c r="EF298" s="40">
        <f t="shared" si="560"/>
        <v>0</v>
      </c>
      <c r="EG298" s="40">
        <f t="shared" si="560"/>
        <v>0</v>
      </c>
      <c r="EH298" s="40">
        <f t="shared" si="560"/>
        <v>0</v>
      </c>
      <c r="EI298" s="40">
        <f t="shared" si="560"/>
        <v>0</v>
      </c>
    </row>
    <row r="299" spans="2:139" ht="12.75" hidden="1" customHeight="1">
      <c r="B299" s="41" t="s">
        <v>596</v>
      </c>
      <c r="C299" s="211"/>
      <c r="D299" s="78"/>
      <c r="E299" s="40">
        <f t="shared" ref="E299:N299" si="561">E300-E298</f>
        <v>0</v>
      </c>
      <c r="F299" s="40">
        <f t="shared" si="561"/>
        <v>0</v>
      </c>
      <c r="G299" s="40">
        <f t="shared" si="561"/>
        <v>0</v>
      </c>
      <c r="H299" s="40">
        <f t="shared" si="561"/>
        <v>0</v>
      </c>
      <c r="I299" s="40">
        <f t="shared" si="561"/>
        <v>0</v>
      </c>
      <c r="J299" s="40">
        <f t="shared" si="561"/>
        <v>0</v>
      </c>
      <c r="K299" s="40">
        <f t="shared" si="561"/>
        <v>0</v>
      </c>
      <c r="L299" s="40">
        <f t="shared" si="561"/>
        <v>0</v>
      </c>
      <c r="M299" s="40">
        <f t="shared" si="561"/>
        <v>0</v>
      </c>
      <c r="N299" s="40">
        <f t="shared" si="561"/>
        <v>0</v>
      </c>
      <c r="O299" s="145"/>
      <c r="S299" s="78"/>
      <c r="T299" s="40">
        <f t="shared" ref="T299:AY299" si="562">T300-T298</f>
        <v>0</v>
      </c>
      <c r="U299" s="40">
        <f t="shared" si="562"/>
        <v>0</v>
      </c>
      <c r="V299" s="40">
        <f t="shared" si="562"/>
        <v>0</v>
      </c>
      <c r="W299" s="40">
        <f t="shared" si="562"/>
        <v>0</v>
      </c>
      <c r="X299" s="40">
        <f t="shared" si="562"/>
        <v>0</v>
      </c>
      <c r="Y299" s="40">
        <f t="shared" si="562"/>
        <v>0</v>
      </c>
      <c r="Z299" s="40">
        <f t="shared" si="562"/>
        <v>0</v>
      </c>
      <c r="AA299" s="40">
        <f t="shared" si="562"/>
        <v>0</v>
      </c>
      <c r="AB299" s="40">
        <f t="shared" si="562"/>
        <v>0</v>
      </c>
      <c r="AC299" s="40">
        <f t="shared" si="562"/>
        <v>0</v>
      </c>
      <c r="AD299" s="40">
        <f t="shared" si="562"/>
        <v>0</v>
      </c>
      <c r="AE299" s="40">
        <f t="shared" si="562"/>
        <v>0</v>
      </c>
      <c r="AF299" s="40">
        <f t="shared" si="562"/>
        <v>0</v>
      </c>
      <c r="AG299" s="40">
        <f t="shared" si="562"/>
        <v>0</v>
      </c>
      <c r="AH299" s="40">
        <f t="shared" si="562"/>
        <v>0</v>
      </c>
      <c r="AI299" s="40">
        <f t="shared" si="562"/>
        <v>0</v>
      </c>
      <c r="AJ299" s="40">
        <f t="shared" si="562"/>
        <v>0</v>
      </c>
      <c r="AK299" s="40">
        <f t="shared" si="562"/>
        <v>0</v>
      </c>
      <c r="AL299" s="40">
        <f t="shared" si="562"/>
        <v>0</v>
      </c>
      <c r="AM299" s="40">
        <f t="shared" si="562"/>
        <v>0</v>
      </c>
      <c r="AN299" s="40">
        <f t="shared" si="562"/>
        <v>0</v>
      </c>
      <c r="AO299" s="40">
        <f t="shared" si="562"/>
        <v>0</v>
      </c>
      <c r="AP299" s="40">
        <f t="shared" si="562"/>
        <v>0</v>
      </c>
      <c r="AQ299" s="40">
        <f t="shared" si="562"/>
        <v>0</v>
      </c>
      <c r="AR299" s="40">
        <f t="shared" si="562"/>
        <v>0</v>
      </c>
      <c r="AS299" s="40">
        <f t="shared" si="562"/>
        <v>0</v>
      </c>
      <c r="AT299" s="40">
        <f t="shared" si="562"/>
        <v>0</v>
      </c>
      <c r="AU299" s="40">
        <f t="shared" si="562"/>
        <v>0</v>
      </c>
      <c r="AV299" s="40">
        <f t="shared" si="562"/>
        <v>0</v>
      </c>
      <c r="AW299" s="40">
        <f t="shared" si="562"/>
        <v>0</v>
      </c>
      <c r="AX299" s="40">
        <f t="shared" si="562"/>
        <v>0</v>
      </c>
      <c r="AY299" s="40">
        <f t="shared" si="562"/>
        <v>0</v>
      </c>
      <c r="AZ299" s="40">
        <f t="shared" ref="AZ299:CE299" si="563">AZ300-AZ298</f>
        <v>0</v>
      </c>
      <c r="BA299" s="40">
        <f t="shared" si="563"/>
        <v>0</v>
      </c>
      <c r="BB299" s="40">
        <f t="shared" si="563"/>
        <v>0</v>
      </c>
      <c r="BC299" s="40">
        <f t="shared" si="563"/>
        <v>0</v>
      </c>
      <c r="BD299" s="40">
        <f t="shared" si="563"/>
        <v>0</v>
      </c>
      <c r="BE299" s="40">
        <f t="shared" si="563"/>
        <v>0</v>
      </c>
      <c r="BF299" s="40">
        <f t="shared" si="563"/>
        <v>0</v>
      </c>
      <c r="BG299" s="40">
        <f t="shared" si="563"/>
        <v>0</v>
      </c>
      <c r="BH299" s="40">
        <f t="shared" si="563"/>
        <v>0</v>
      </c>
      <c r="BI299" s="40">
        <f t="shared" si="563"/>
        <v>0</v>
      </c>
      <c r="BJ299" s="40">
        <f t="shared" si="563"/>
        <v>0</v>
      </c>
      <c r="BK299" s="40">
        <f t="shared" si="563"/>
        <v>0</v>
      </c>
      <c r="BL299" s="40">
        <f t="shared" si="563"/>
        <v>0</v>
      </c>
      <c r="BM299" s="40">
        <f t="shared" si="563"/>
        <v>0</v>
      </c>
      <c r="BN299" s="40">
        <f t="shared" si="563"/>
        <v>0</v>
      </c>
      <c r="BO299" s="40">
        <f t="shared" si="563"/>
        <v>0</v>
      </c>
      <c r="BP299" s="40">
        <f t="shared" si="563"/>
        <v>0</v>
      </c>
      <c r="BQ299" s="40">
        <f t="shared" si="563"/>
        <v>0</v>
      </c>
      <c r="BR299" s="40">
        <f t="shared" si="563"/>
        <v>0</v>
      </c>
      <c r="BS299" s="40">
        <f t="shared" si="563"/>
        <v>0</v>
      </c>
      <c r="BT299" s="40">
        <f t="shared" si="563"/>
        <v>0</v>
      </c>
      <c r="BU299" s="40">
        <f t="shared" si="563"/>
        <v>0</v>
      </c>
      <c r="BV299" s="40">
        <f t="shared" si="563"/>
        <v>0</v>
      </c>
      <c r="BW299" s="40">
        <f t="shared" si="563"/>
        <v>0</v>
      </c>
      <c r="BX299" s="40">
        <f t="shared" si="563"/>
        <v>0</v>
      </c>
      <c r="BY299" s="40">
        <f t="shared" si="563"/>
        <v>0</v>
      </c>
      <c r="BZ299" s="40">
        <f t="shared" si="563"/>
        <v>0</v>
      </c>
      <c r="CA299" s="40">
        <f t="shared" si="563"/>
        <v>0</v>
      </c>
      <c r="CB299" s="40">
        <f t="shared" si="563"/>
        <v>0</v>
      </c>
      <c r="CC299" s="40">
        <f t="shared" si="563"/>
        <v>0</v>
      </c>
      <c r="CD299" s="40">
        <f t="shared" si="563"/>
        <v>0</v>
      </c>
      <c r="CE299" s="40">
        <f t="shared" si="563"/>
        <v>0</v>
      </c>
      <c r="CF299" s="40">
        <f t="shared" ref="CF299:DK299" si="564">CF300-CF298</f>
        <v>0</v>
      </c>
      <c r="CG299" s="40">
        <f t="shared" si="564"/>
        <v>0</v>
      </c>
      <c r="CH299" s="40">
        <f t="shared" si="564"/>
        <v>0</v>
      </c>
      <c r="CI299" s="40">
        <f t="shared" si="564"/>
        <v>0</v>
      </c>
      <c r="CJ299" s="40">
        <f t="shared" si="564"/>
        <v>0</v>
      </c>
      <c r="CK299" s="40">
        <f t="shared" si="564"/>
        <v>0</v>
      </c>
      <c r="CL299" s="40">
        <f t="shared" si="564"/>
        <v>0</v>
      </c>
      <c r="CM299" s="40">
        <f t="shared" si="564"/>
        <v>0</v>
      </c>
      <c r="CN299" s="40">
        <f t="shared" si="564"/>
        <v>0</v>
      </c>
      <c r="CO299" s="40">
        <f t="shared" si="564"/>
        <v>0</v>
      </c>
      <c r="CP299" s="40">
        <f t="shared" si="564"/>
        <v>0</v>
      </c>
      <c r="CQ299" s="40">
        <f t="shared" si="564"/>
        <v>0</v>
      </c>
      <c r="CR299" s="40">
        <f t="shared" si="564"/>
        <v>0</v>
      </c>
      <c r="CS299" s="40">
        <f t="shared" si="564"/>
        <v>0</v>
      </c>
      <c r="CT299" s="40">
        <f t="shared" si="564"/>
        <v>0</v>
      </c>
      <c r="CU299" s="40">
        <f t="shared" si="564"/>
        <v>0</v>
      </c>
      <c r="CV299" s="40">
        <f t="shared" si="564"/>
        <v>0</v>
      </c>
      <c r="CW299" s="40">
        <f t="shared" si="564"/>
        <v>0</v>
      </c>
      <c r="CX299" s="40">
        <f t="shared" si="564"/>
        <v>0</v>
      </c>
      <c r="CY299" s="40">
        <f t="shared" si="564"/>
        <v>0</v>
      </c>
      <c r="CZ299" s="40">
        <f t="shared" si="564"/>
        <v>0</v>
      </c>
      <c r="DA299" s="40">
        <f t="shared" si="564"/>
        <v>0</v>
      </c>
      <c r="DB299" s="40">
        <f t="shared" si="564"/>
        <v>0</v>
      </c>
      <c r="DC299" s="40">
        <f t="shared" si="564"/>
        <v>0</v>
      </c>
      <c r="DD299" s="40">
        <f t="shared" si="564"/>
        <v>0</v>
      </c>
      <c r="DE299" s="40">
        <f t="shared" si="564"/>
        <v>0</v>
      </c>
      <c r="DF299" s="40">
        <f t="shared" si="564"/>
        <v>0</v>
      </c>
      <c r="DG299" s="40">
        <f t="shared" si="564"/>
        <v>0</v>
      </c>
      <c r="DH299" s="40">
        <f t="shared" si="564"/>
        <v>0</v>
      </c>
      <c r="DI299" s="40">
        <f t="shared" si="564"/>
        <v>0</v>
      </c>
      <c r="DJ299" s="40">
        <f t="shared" si="564"/>
        <v>0</v>
      </c>
      <c r="DK299" s="40">
        <f t="shared" si="564"/>
        <v>0</v>
      </c>
      <c r="DL299" s="40">
        <f t="shared" ref="DL299:EQ299" si="565">DL300-DL298</f>
        <v>0</v>
      </c>
      <c r="DM299" s="40">
        <f t="shared" si="565"/>
        <v>0</v>
      </c>
      <c r="DN299" s="40">
        <f t="shared" si="565"/>
        <v>0</v>
      </c>
      <c r="DO299" s="40">
        <f t="shared" si="565"/>
        <v>0</v>
      </c>
      <c r="DP299" s="40">
        <f t="shared" si="565"/>
        <v>0</v>
      </c>
      <c r="DQ299" s="40">
        <f t="shared" si="565"/>
        <v>0</v>
      </c>
      <c r="DR299" s="40">
        <f t="shared" si="565"/>
        <v>0</v>
      </c>
      <c r="DS299" s="40">
        <f t="shared" si="565"/>
        <v>0</v>
      </c>
      <c r="DT299" s="40">
        <f t="shared" si="565"/>
        <v>0</v>
      </c>
      <c r="DU299" s="40">
        <f t="shared" si="565"/>
        <v>0</v>
      </c>
      <c r="DV299" s="40">
        <f t="shared" si="565"/>
        <v>0</v>
      </c>
      <c r="DW299" s="40">
        <f t="shared" si="565"/>
        <v>0</v>
      </c>
      <c r="DX299" s="40">
        <f t="shared" si="565"/>
        <v>0</v>
      </c>
      <c r="DY299" s="40">
        <f t="shared" si="565"/>
        <v>0</v>
      </c>
      <c r="DZ299" s="40">
        <f t="shared" si="565"/>
        <v>0</v>
      </c>
      <c r="EA299" s="40">
        <f t="shared" si="565"/>
        <v>0</v>
      </c>
      <c r="EB299" s="40">
        <f t="shared" si="565"/>
        <v>0</v>
      </c>
      <c r="EC299" s="40">
        <f t="shared" si="565"/>
        <v>0</v>
      </c>
      <c r="ED299" s="40">
        <f t="shared" si="565"/>
        <v>0</v>
      </c>
      <c r="EE299" s="40">
        <f t="shared" si="565"/>
        <v>0</v>
      </c>
      <c r="EF299" s="40">
        <f t="shared" si="565"/>
        <v>0</v>
      </c>
      <c r="EG299" s="40">
        <f t="shared" si="565"/>
        <v>0</v>
      </c>
      <c r="EH299" s="40">
        <f t="shared" si="565"/>
        <v>0</v>
      </c>
      <c r="EI299" s="40">
        <f t="shared" si="565"/>
        <v>0</v>
      </c>
    </row>
    <row r="300" spans="2:139" ht="12.75" hidden="1" customHeight="1" collapsed="1">
      <c r="B300" s="46" t="s">
        <v>623</v>
      </c>
      <c r="C300" s="209"/>
      <c r="D300" s="78"/>
      <c r="E300" s="714">
        <f>IF(Loan3IntType=FixedInterest,E298,MIN(MAX(E298,Input!$X$207),Input!$X$208))*AND(Input!$M$195&lt;&gt;"",E$4&gt;Input!$M$194,E$291+E$292&gt;0)</f>
        <v>0</v>
      </c>
      <c r="F300" s="714">
        <f>IF(Loan3IntType=FixedInterest,F298,MIN(MAX(F298,Input!$X$207),Input!$X$208))*AND(Input!$M$195&lt;&gt;"",F$4&gt;Input!$M$194,F$291+F$292&gt;0)</f>
        <v>0</v>
      </c>
      <c r="G300" s="714">
        <f>IF(Loan3IntType=FixedInterest,G298,MIN(MAX(G298,Input!$X$207),Input!$X$208))*AND(Input!$M$195&lt;&gt;"",G$4&gt;Input!$M$194,G$291+G$292&gt;0)</f>
        <v>0</v>
      </c>
      <c r="H300" s="714">
        <f>IF(Loan3IntType=FixedInterest,H298,MIN(MAX(H298,Input!$X$207),Input!$X$208))*AND(Input!$M$195&lt;&gt;"",H$4&gt;Input!$M$194,H$291+H$292&gt;0)</f>
        <v>0</v>
      </c>
      <c r="I300" s="714">
        <f>IF(Loan3IntType=FixedInterest,I298,MIN(MAX(I298,Input!$X$207),Input!$X$208))*AND(Input!$M$195&lt;&gt;"",I$4&gt;Input!$M$194,I$291+I$292&gt;0)</f>
        <v>0</v>
      </c>
      <c r="J300" s="714">
        <f>IF(Loan3IntType=FixedInterest,J298,MIN(MAX(J298,Input!$X$207),Input!$X$208))*AND(Input!$M$195&lt;&gt;"",J$4&gt;Input!$M$194,J$291+J$292&gt;0)</f>
        <v>0</v>
      </c>
      <c r="K300" s="714">
        <f>IF(Loan3IntType=FixedInterest,K298,MIN(MAX(K298,Input!$X$207),Input!$X$208))*AND(Input!$M$195&lt;&gt;"",K$4&gt;Input!$M$194,K$291+K$292&gt;0)</f>
        <v>0</v>
      </c>
      <c r="L300" s="714">
        <f>IF(Loan3IntType=FixedInterest,L298,MIN(MAX(L298,Input!$X$207),Input!$X$208))*AND(Input!$M$195&lt;&gt;"",L$4&gt;Input!$M$194,L$291+L$292&gt;0)</f>
        <v>0</v>
      </c>
      <c r="M300" s="714">
        <f>IF(Loan3IntType=FixedInterest,M298,MIN(MAX(M298,Input!$X$207),Input!$X$208))*AND(Input!$M$195&lt;&gt;"",M$4&gt;Input!$M$194,M$291+M$292&gt;0)</f>
        <v>0</v>
      </c>
      <c r="N300" s="714">
        <f>IF(Loan3IntType=FixedInterest,N298,MIN(MAX(N298,Input!$X$207),Input!$X$208))*AND(Input!$M$195&lt;&gt;"",N$4&gt;Input!$M$194,N$291+N$292&gt;0)</f>
        <v>0</v>
      </c>
      <c r="O300" s="873"/>
      <c r="S300" s="78"/>
      <c r="T300" s="714">
        <f t="shared" ref="T300:AY300" si="566">SUMIF($D$5:$N$5,T$6,$D300:$N300)*(T291+T292&gt;0)</f>
        <v>0</v>
      </c>
      <c r="U300" s="714">
        <f t="shared" si="566"/>
        <v>0</v>
      </c>
      <c r="V300" s="714">
        <f t="shared" si="566"/>
        <v>0</v>
      </c>
      <c r="W300" s="714">
        <f t="shared" si="566"/>
        <v>0</v>
      </c>
      <c r="X300" s="714">
        <f t="shared" si="566"/>
        <v>0</v>
      </c>
      <c r="Y300" s="714">
        <f t="shared" si="566"/>
        <v>0</v>
      </c>
      <c r="Z300" s="714">
        <f t="shared" si="566"/>
        <v>0</v>
      </c>
      <c r="AA300" s="714">
        <f t="shared" si="566"/>
        <v>0</v>
      </c>
      <c r="AB300" s="714">
        <f t="shared" si="566"/>
        <v>0</v>
      </c>
      <c r="AC300" s="714">
        <f t="shared" si="566"/>
        <v>0</v>
      </c>
      <c r="AD300" s="714">
        <f t="shared" si="566"/>
        <v>0</v>
      </c>
      <c r="AE300" s="714">
        <f t="shared" si="566"/>
        <v>0</v>
      </c>
      <c r="AF300" s="714">
        <f t="shared" si="566"/>
        <v>0</v>
      </c>
      <c r="AG300" s="714">
        <f t="shared" si="566"/>
        <v>0</v>
      </c>
      <c r="AH300" s="714">
        <f t="shared" si="566"/>
        <v>0</v>
      </c>
      <c r="AI300" s="714">
        <f t="shared" si="566"/>
        <v>0</v>
      </c>
      <c r="AJ300" s="714">
        <f t="shared" si="566"/>
        <v>0</v>
      </c>
      <c r="AK300" s="714">
        <f t="shared" si="566"/>
        <v>0</v>
      </c>
      <c r="AL300" s="714">
        <f t="shared" si="566"/>
        <v>0</v>
      </c>
      <c r="AM300" s="714">
        <f t="shared" si="566"/>
        <v>0</v>
      </c>
      <c r="AN300" s="714">
        <f t="shared" si="566"/>
        <v>0</v>
      </c>
      <c r="AO300" s="714">
        <f t="shared" si="566"/>
        <v>0</v>
      </c>
      <c r="AP300" s="714">
        <f t="shared" si="566"/>
        <v>0</v>
      </c>
      <c r="AQ300" s="714">
        <f t="shared" si="566"/>
        <v>0</v>
      </c>
      <c r="AR300" s="714">
        <f t="shared" si="566"/>
        <v>0</v>
      </c>
      <c r="AS300" s="714">
        <f t="shared" si="566"/>
        <v>0</v>
      </c>
      <c r="AT300" s="714">
        <f t="shared" si="566"/>
        <v>0</v>
      </c>
      <c r="AU300" s="714">
        <f t="shared" si="566"/>
        <v>0</v>
      </c>
      <c r="AV300" s="714">
        <f t="shared" si="566"/>
        <v>0</v>
      </c>
      <c r="AW300" s="714">
        <f t="shared" si="566"/>
        <v>0</v>
      </c>
      <c r="AX300" s="714">
        <f t="shared" si="566"/>
        <v>0</v>
      </c>
      <c r="AY300" s="714">
        <f t="shared" si="566"/>
        <v>0</v>
      </c>
      <c r="AZ300" s="714">
        <f t="shared" ref="AZ300:CE300" si="567">SUMIF($D$5:$N$5,AZ$6,$D300:$N300)*(AZ291+AZ292&gt;0)</f>
        <v>0</v>
      </c>
      <c r="BA300" s="714">
        <f t="shared" si="567"/>
        <v>0</v>
      </c>
      <c r="BB300" s="714">
        <f t="shared" si="567"/>
        <v>0</v>
      </c>
      <c r="BC300" s="714">
        <f t="shared" si="567"/>
        <v>0</v>
      </c>
      <c r="BD300" s="714">
        <f t="shared" si="567"/>
        <v>0</v>
      </c>
      <c r="BE300" s="714">
        <f t="shared" si="567"/>
        <v>0</v>
      </c>
      <c r="BF300" s="714">
        <f t="shared" si="567"/>
        <v>0</v>
      </c>
      <c r="BG300" s="714">
        <f t="shared" si="567"/>
        <v>0</v>
      </c>
      <c r="BH300" s="714">
        <f t="shared" si="567"/>
        <v>0</v>
      </c>
      <c r="BI300" s="714">
        <f t="shared" si="567"/>
        <v>0</v>
      </c>
      <c r="BJ300" s="714">
        <f t="shared" si="567"/>
        <v>0</v>
      </c>
      <c r="BK300" s="714">
        <f t="shared" si="567"/>
        <v>0</v>
      </c>
      <c r="BL300" s="714">
        <f t="shared" si="567"/>
        <v>0</v>
      </c>
      <c r="BM300" s="714">
        <f t="shared" si="567"/>
        <v>0</v>
      </c>
      <c r="BN300" s="714">
        <f t="shared" si="567"/>
        <v>0</v>
      </c>
      <c r="BO300" s="714">
        <f t="shared" si="567"/>
        <v>0</v>
      </c>
      <c r="BP300" s="714">
        <f t="shared" si="567"/>
        <v>0</v>
      </c>
      <c r="BQ300" s="714">
        <f t="shared" si="567"/>
        <v>0</v>
      </c>
      <c r="BR300" s="714">
        <f t="shared" si="567"/>
        <v>0</v>
      </c>
      <c r="BS300" s="714">
        <f t="shared" si="567"/>
        <v>0</v>
      </c>
      <c r="BT300" s="714">
        <f t="shared" si="567"/>
        <v>0</v>
      </c>
      <c r="BU300" s="714">
        <f t="shared" si="567"/>
        <v>0</v>
      </c>
      <c r="BV300" s="714">
        <f t="shared" si="567"/>
        <v>0</v>
      </c>
      <c r="BW300" s="714">
        <f t="shared" si="567"/>
        <v>0</v>
      </c>
      <c r="BX300" s="714">
        <f t="shared" si="567"/>
        <v>0</v>
      </c>
      <c r="BY300" s="714">
        <f t="shared" si="567"/>
        <v>0</v>
      </c>
      <c r="BZ300" s="714">
        <f t="shared" si="567"/>
        <v>0</v>
      </c>
      <c r="CA300" s="714">
        <f t="shared" si="567"/>
        <v>0</v>
      </c>
      <c r="CB300" s="714">
        <f t="shared" si="567"/>
        <v>0</v>
      </c>
      <c r="CC300" s="714">
        <f t="shared" si="567"/>
        <v>0</v>
      </c>
      <c r="CD300" s="714">
        <f t="shared" si="567"/>
        <v>0</v>
      </c>
      <c r="CE300" s="714">
        <f t="shared" si="567"/>
        <v>0</v>
      </c>
      <c r="CF300" s="714">
        <f t="shared" ref="CF300:DK300" si="568">SUMIF($D$5:$N$5,CF$6,$D300:$N300)*(CF291+CF292&gt;0)</f>
        <v>0</v>
      </c>
      <c r="CG300" s="714">
        <f t="shared" si="568"/>
        <v>0</v>
      </c>
      <c r="CH300" s="714">
        <f t="shared" si="568"/>
        <v>0</v>
      </c>
      <c r="CI300" s="714">
        <f t="shared" si="568"/>
        <v>0</v>
      </c>
      <c r="CJ300" s="714">
        <f t="shared" si="568"/>
        <v>0</v>
      </c>
      <c r="CK300" s="714">
        <f t="shared" si="568"/>
        <v>0</v>
      </c>
      <c r="CL300" s="714">
        <f t="shared" si="568"/>
        <v>0</v>
      </c>
      <c r="CM300" s="714">
        <f t="shared" si="568"/>
        <v>0</v>
      </c>
      <c r="CN300" s="714">
        <f t="shared" si="568"/>
        <v>0</v>
      </c>
      <c r="CO300" s="714">
        <f t="shared" si="568"/>
        <v>0</v>
      </c>
      <c r="CP300" s="714">
        <f t="shared" si="568"/>
        <v>0</v>
      </c>
      <c r="CQ300" s="714">
        <f t="shared" si="568"/>
        <v>0</v>
      </c>
      <c r="CR300" s="714">
        <f t="shared" si="568"/>
        <v>0</v>
      </c>
      <c r="CS300" s="714">
        <f t="shared" si="568"/>
        <v>0</v>
      </c>
      <c r="CT300" s="714">
        <f t="shared" si="568"/>
        <v>0</v>
      </c>
      <c r="CU300" s="714">
        <f t="shared" si="568"/>
        <v>0</v>
      </c>
      <c r="CV300" s="714">
        <f t="shared" si="568"/>
        <v>0</v>
      </c>
      <c r="CW300" s="714">
        <f t="shared" si="568"/>
        <v>0</v>
      </c>
      <c r="CX300" s="714">
        <f t="shared" si="568"/>
        <v>0</v>
      </c>
      <c r="CY300" s="714">
        <f t="shared" si="568"/>
        <v>0</v>
      </c>
      <c r="CZ300" s="714">
        <f t="shared" si="568"/>
        <v>0</v>
      </c>
      <c r="DA300" s="714">
        <f t="shared" si="568"/>
        <v>0</v>
      </c>
      <c r="DB300" s="714">
        <f t="shared" si="568"/>
        <v>0</v>
      </c>
      <c r="DC300" s="714">
        <f t="shared" si="568"/>
        <v>0</v>
      </c>
      <c r="DD300" s="714">
        <f t="shared" si="568"/>
        <v>0</v>
      </c>
      <c r="DE300" s="714">
        <f t="shared" si="568"/>
        <v>0</v>
      </c>
      <c r="DF300" s="714">
        <f t="shared" si="568"/>
        <v>0</v>
      </c>
      <c r="DG300" s="714">
        <f t="shared" si="568"/>
        <v>0</v>
      </c>
      <c r="DH300" s="714">
        <f t="shared" si="568"/>
        <v>0</v>
      </c>
      <c r="DI300" s="714">
        <f t="shared" si="568"/>
        <v>0</v>
      </c>
      <c r="DJ300" s="714">
        <f t="shared" si="568"/>
        <v>0</v>
      </c>
      <c r="DK300" s="714">
        <f t="shared" si="568"/>
        <v>0</v>
      </c>
      <c r="DL300" s="714">
        <f t="shared" ref="DL300:EI300" si="569">SUMIF($D$5:$N$5,DL$6,$D300:$N300)*(DL291+DL292&gt;0)</f>
        <v>0</v>
      </c>
      <c r="DM300" s="714">
        <f t="shared" si="569"/>
        <v>0</v>
      </c>
      <c r="DN300" s="714">
        <f t="shared" si="569"/>
        <v>0</v>
      </c>
      <c r="DO300" s="714">
        <f t="shared" si="569"/>
        <v>0</v>
      </c>
      <c r="DP300" s="714">
        <f t="shared" si="569"/>
        <v>0</v>
      </c>
      <c r="DQ300" s="714">
        <f t="shared" si="569"/>
        <v>0</v>
      </c>
      <c r="DR300" s="714">
        <f t="shared" si="569"/>
        <v>0</v>
      </c>
      <c r="DS300" s="714">
        <f t="shared" si="569"/>
        <v>0</v>
      </c>
      <c r="DT300" s="714">
        <f t="shared" si="569"/>
        <v>0</v>
      </c>
      <c r="DU300" s="714">
        <f t="shared" si="569"/>
        <v>0</v>
      </c>
      <c r="DV300" s="714">
        <f t="shared" si="569"/>
        <v>0</v>
      </c>
      <c r="DW300" s="714">
        <f t="shared" si="569"/>
        <v>0</v>
      </c>
      <c r="DX300" s="714">
        <f t="shared" si="569"/>
        <v>0</v>
      </c>
      <c r="DY300" s="714">
        <f t="shared" si="569"/>
        <v>0</v>
      </c>
      <c r="DZ300" s="714">
        <f t="shared" si="569"/>
        <v>0</v>
      </c>
      <c r="EA300" s="714">
        <f t="shared" si="569"/>
        <v>0</v>
      </c>
      <c r="EB300" s="714">
        <f t="shared" si="569"/>
        <v>0</v>
      </c>
      <c r="EC300" s="714">
        <f t="shared" si="569"/>
        <v>0</v>
      </c>
      <c r="ED300" s="714">
        <f t="shared" si="569"/>
        <v>0</v>
      </c>
      <c r="EE300" s="714">
        <f t="shared" si="569"/>
        <v>0</v>
      </c>
      <c r="EF300" s="714">
        <f t="shared" si="569"/>
        <v>0</v>
      </c>
      <c r="EG300" s="714">
        <f t="shared" si="569"/>
        <v>0</v>
      </c>
      <c r="EH300" s="714">
        <f t="shared" si="569"/>
        <v>0</v>
      </c>
      <c r="EI300" s="714">
        <f t="shared" si="569"/>
        <v>0</v>
      </c>
    </row>
    <row r="301" spans="2:139" ht="12.75" customHeight="1">
      <c r="B301" s="877"/>
      <c r="C301" s="877"/>
      <c r="D301" s="169"/>
      <c r="E301" s="169"/>
      <c r="F301" s="169"/>
      <c r="G301" s="169"/>
      <c r="H301" s="169"/>
      <c r="I301" s="169"/>
      <c r="J301" s="169"/>
      <c r="K301" s="169"/>
      <c r="L301" s="169"/>
      <c r="M301" s="169"/>
      <c r="N301" s="169"/>
      <c r="O301" s="91"/>
      <c r="S301" s="169"/>
      <c r="T301" s="169"/>
      <c r="U301" s="169"/>
      <c r="V301" s="169"/>
      <c r="W301" s="169"/>
      <c r="X301" s="169"/>
      <c r="Y301" s="169"/>
      <c r="Z301" s="169"/>
      <c r="AA301" s="169"/>
      <c r="AB301" s="169"/>
      <c r="AC301" s="169"/>
      <c r="AD301" s="169"/>
      <c r="AE301" s="169"/>
      <c r="AF301" s="169"/>
      <c r="AG301" s="169"/>
      <c r="AH301" s="169"/>
      <c r="AI301" s="169"/>
      <c r="AJ301" s="169"/>
      <c r="AK301" s="169"/>
      <c r="AL301" s="169"/>
      <c r="AM301" s="169"/>
      <c r="AN301" s="169"/>
      <c r="AO301" s="169"/>
      <c r="AP301" s="169"/>
      <c r="AQ301" s="169"/>
      <c r="AR301" s="169"/>
      <c r="AS301" s="169"/>
      <c r="AT301" s="169"/>
      <c r="AU301" s="169"/>
      <c r="AV301" s="169"/>
      <c r="AW301" s="169"/>
      <c r="AX301" s="169"/>
      <c r="AY301" s="169"/>
      <c r="AZ301" s="169"/>
      <c r="BA301" s="169"/>
      <c r="BB301" s="169"/>
      <c r="BC301" s="169"/>
      <c r="BD301" s="27"/>
      <c r="BE301" s="27"/>
      <c r="BF301" s="27"/>
      <c r="BG301" s="27"/>
      <c r="BH301" s="27"/>
      <c r="BI301" s="27"/>
      <c r="BJ301" s="27"/>
      <c r="BK301" s="27"/>
      <c r="BL301" s="27"/>
      <c r="BM301" s="27"/>
      <c r="BN301" s="27"/>
      <c r="BO301" s="27"/>
      <c r="BP301" s="27"/>
      <c r="BQ301" s="27"/>
      <c r="BR301" s="27"/>
      <c r="BS301" s="27"/>
      <c r="BT301" s="27"/>
      <c r="BU301" s="27"/>
      <c r="BV301" s="27"/>
      <c r="BW301" s="27"/>
      <c r="BX301" s="27"/>
      <c r="BY301" s="27"/>
      <c r="BZ301" s="27"/>
      <c r="CA301" s="27"/>
      <c r="CB301" s="27"/>
      <c r="CC301" s="27"/>
      <c r="CD301" s="27"/>
      <c r="CE301" s="27"/>
      <c r="CF301" s="27"/>
      <c r="CG301" s="27"/>
      <c r="CH301" s="27"/>
      <c r="CI301" s="27"/>
      <c r="CJ301" s="27"/>
      <c r="CK301" s="27"/>
      <c r="CL301" s="27"/>
      <c r="CM301" s="27"/>
      <c r="CN301" s="27"/>
      <c r="CO301" s="27"/>
      <c r="CP301" s="27"/>
      <c r="CQ301" s="27"/>
      <c r="CR301" s="27"/>
      <c r="CS301" s="27"/>
      <c r="CT301" s="27"/>
      <c r="CU301" s="27"/>
      <c r="CV301" s="27"/>
      <c r="CW301" s="27"/>
      <c r="CX301" s="27"/>
      <c r="CY301" s="27"/>
      <c r="CZ301" s="27"/>
      <c r="DA301" s="27"/>
      <c r="DB301" s="27"/>
      <c r="DC301" s="27"/>
      <c r="DD301" s="27"/>
      <c r="DE301" s="27"/>
      <c r="DF301" s="27"/>
      <c r="DG301" s="27"/>
      <c r="DH301" s="27"/>
      <c r="DI301" s="27"/>
      <c r="DJ301" s="27"/>
      <c r="DK301" s="27"/>
      <c r="DL301" s="27"/>
      <c r="DM301" s="27"/>
      <c r="DN301" s="27"/>
      <c r="DO301" s="27"/>
      <c r="DP301" s="27"/>
      <c r="DQ301" s="27"/>
      <c r="DR301" s="27"/>
      <c r="DS301" s="27"/>
      <c r="DT301" s="27"/>
      <c r="DU301" s="27"/>
      <c r="DV301" s="27"/>
      <c r="DW301" s="27"/>
      <c r="DX301" s="27"/>
      <c r="DY301" s="27"/>
      <c r="DZ301" s="27"/>
      <c r="EA301" s="27"/>
      <c r="EB301" s="27"/>
      <c r="EC301" s="27"/>
      <c r="ED301" s="27"/>
      <c r="EE301" s="27"/>
      <c r="EF301" s="27"/>
      <c r="EG301" s="27"/>
      <c r="EH301" s="27"/>
      <c r="EI301" s="27"/>
    </row>
    <row r="302" spans="2:139" ht="12.75" customHeight="1">
      <c r="B302" s="32" t="s">
        <v>598</v>
      </c>
      <c r="C302" s="209"/>
      <c r="D302" s="84"/>
      <c r="E302" s="848">
        <f t="shared" ref="E302:N302" si="570">SUMPRODUCT($S$4:$EI$4*(E$5=$S$6:$EI$6)*($S302:$EI302=1))</f>
        <v>0</v>
      </c>
      <c r="F302" s="848">
        <f t="shared" si="570"/>
        <v>0</v>
      </c>
      <c r="G302" s="848">
        <f t="shared" si="570"/>
        <v>0</v>
      </c>
      <c r="H302" s="848">
        <f t="shared" si="570"/>
        <v>0</v>
      </c>
      <c r="I302" s="848">
        <f t="shared" si="570"/>
        <v>0</v>
      </c>
      <c r="J302" s="848">
        <f t="shared" si="570"/>
        <v>0</v>
      </c>
      <c r="K302" s="848">
        <f t="shared" si="570"/>
        <v>0</v>
      </c>
      <c r="L302" s="848">
        <f t="shared" si="570"/>
        <v>0</v>
      </c>
      <c r="M302" s="848">
        <f t="shared" si="570"/>
        <v>0</v>
      </c>
      <c r="N302" s="848">
        <f t="shared" si="570"/>
        <v>0</v>
      </c>
      <c r="O302" s="91"/>
      <c r="S302" s="32"/>
      <c r="T302" s="32">
        <f t="shared" ref="T302:AY302" si="571">AND(T294*1,OR(T206,T270))*1</f>
        <v>0</v>
      </c>
      <c r="U302" s="32">
        <f t="shared" si="571"/>
        <v>0</v>
      </c>
      <c r="V302" s="32">
        <f t="shared" si="571"/>
        <v>0</v>
      </c>
      <c r="W302" s="32">
        <f t="shared" si="571"/>
        <v>0</v>
      </c>
      <c r="X302" s="32">
        <f t="shared" si="571"/>
        <v>0</v>
      </c>
      <c r="Y302" s="32">
        <f t="shared" si="571"/>
        <v>0</v>
      </c>
      <c r="Z302" s="32">
        <f t="shared" si="571"/>
        <v>0</v>
      </c>
      <c r="AA302" s="32">
        <f t="shared" si="571"/>
        <v>0</v>
      </c>
      <c r="AB302" s="32">
        <f t="shared" si="571"/>
        <v>0</v>
      </c>
      <c r="AC302" s="32">
        <f t="shared" si="571"/>
        <v>0</v>
      </c>
      <c r="AD302" s="32">
        <f t="shared" si="571"/>
        <v>0</v>
      </c>
      <c r="AE302" s="32">
        <f t="shared" si="571"/>
        <v>0</v>
      </c>
      <c r="AF302" s="32">
        <f t="shared" si="571"/>
        <v>0</v>
      </c>
      <c r="AG302" s="32">
        <f t="shared" si="571"/>
        <v>0</v>
      </c>
      <c r="AH302" s="32">
        <f t="shared" si="571"/>
        <v>0</v>
      </c>
      <c r="AI302" s="32">
        <f t="shared" si="571"/>
        <v>0</v>
      </c>
      <c r="AJ302" s="32">
        <f t="shared" si="571"/>
        <v>0</v>
      </c>
      <c r="AK302" s="32">
        <f t="shared" si="571"/>
        <v>0</v>
      </c>
      <c r="AL302" s="32">
        <f t="shared" si="571"/>
        <v>0</v>
      </c>
      <c r="AM302" s="32">
        <f t="shared" si="571"/>
        <v>0</v>
      </c>
      <c r="AN302" s="32">
        <f t="shared" si="571"/>
        <v>0</v>
      </c>
      <c r="AO302" s="32">
        <f t="shared" si="571"/>
        <v>0</v>
      </c>
      <c r="AP302" s="32">
        <f t="shared" si="571"/>
        <v>0</v>
      </c>
      <c r="AQ302" s="32">
        <f t="shared" si="571"/>
        <v>0</v>
      </c>
      <c r="AR302" s="32">
        <f t="shared" si="571"/>
        <v>0</v>
      </c>
      <c r="AS302" s="32">
        <f t="shared" si="571"/>
        <v>0</v>
      </c>
      <c r="AT302" s="32">
        <f t="shared" si="571"/>
        <v>0</v>
      </c>
      <c r="AU302" s="32">
        <f t="shared" si="571"/>
        <v>0</v>
      </c>
      <c r="AV302" s="32">
        <f t="shared" si="571"/>
        <v>0</v>
      </c>
      <c r="AW302" s="32">
        <f t="shared" si="571"/>
        <v>0</v>
      </c>
      <c r="AX302" s="32">
        <f t="shared" si="571"/>
        <v>0</v>
      </c>
      <c r="AY302" s="32">
        <f t="shared" si="571"/>
        <v>0</v>
      </c>
      <c r="AZ302" s="32">
        <f t="shared" ref="AZ302:CE302" si="572">AND(AZ294*1,OR(AZ206,AZ270))*1</f>
        <v>0</v>
      </c>
      <c r="BA302" s="32">
        <f t="shared" si="572"/>
        <v>0</v>
      </c>
      <c r="BB302" s="32">
        <f t="shared" si="572"/>
        <v>0</v>
      </c>
      <c r="BC302" s="32">
        <f t="shared" si="572"/>
        <v>0</v>
      </c>
      <c r="BD302" s="32">
        <f t="shared" si="572"/>
        <v>0</v>
      </c>
      <c r="BE302" s="32">
        <f t="shared" si="572"/>
        <v>0</v>
      </c>
      <c r="BF302" s="32">
        <f t="shared" si="572"/>
        <v>0</v>
      </c>
      <c r="BG302" s="32">
        <f t="shared" si="572"/>
        <v>0</v>
      </c>
      <c r="BH302" s="32">
        <f t="shared" si="572"/>
        <v>0</v>
      </c>
      <c r="BI302" s="32">
        <f t="shared" si="572"/>
        <v>0</v>
      </c>
      <c r="BJ302" s="32">
        <f t="shared" si="572"/>
        <v>0</v>
      </c>
      <c r="BK302" s="32">
        <f t="shared" si="572"/>
        <v>0</v>
      </c>
      <c r="BL302" s="32">
        <f t="shared" si="572"/>
        <v>0</v>
      </c>
      <c r="BM302" s="32">
        <f t="shared" si="572"/>
        <v>0</v>
      </c>
      <c r="BN302" s="32">
        <f t="shared" si="572"/>
        <v>0</v>
      </c>
      <c r="BO302" s="32">
        <f t="shared" si="572"/>
        <v>0</v>
      </c>
      <c r="BP302" s="32">
        <f t="shared" si="572"/>
        <v>0</v>
      </c>
      <c r="BQ302" s="32">
        <f t="shared" si="572"/>
        <v>0</v>
      </c>
      <c r="BR302" s="32">
        <f t="shared" si="572"/>
        <v>0</v>
      </c>
      <c r="BS302" s="32">
        <f t="shared" si="572"/>
        <v>0</v>
      </c>
      <c r="BT302" s="32">
        <f t="shared" si="572"/>
        <v>0</v>
      </c>
      <c r="BU302" s="32">
        <f t="shared" si="572"/>
        <v>0</v>
      </c>
      <c r="BV302" s="32">
        <f t="shared" si="572"/>
        <v>0</v>
      </c>
      <c r="BW302" s="32">
        <f t="shared" si="572"/>
        <v>0</v>
      </c>
      <c r="BX302" s="32">
        <f t="shared" si="572"/>
        <v>0</v>
      </c>
      <c r="BY302" s="32">
        <f t="shared" si="572"/>
        <v>0</v>
      </c>
      <c r="BZ302" s="32">
        <f t="shared" si="572"/>
        <v>0</v>
      </c>
      <c r="CA302" s="32">
        <f t="shared" si="572"/>
        <v>0</v>
      </c>
      <c r="CB302" s="32">
        <f t="shared" si="572"/>
        <v>0</v>
      </c>
      <c r="CC302" s="32">
        <f t="shared" si="572"/>
        <v>0</v>
      </c>
      <c r="CD302" s="32">
        <f t="shared" si="572"/>
        <v>0</v>
      </c>
      <c r="CE302" s="32">
        <f t="shared" si="572"/>
        <v>0</v>
      </c>
      <c r="CF302" s="32">
        <f t="shared" ref="CF302:DK302" si="573">AND(CF294*1,OR(CF206,CF270))*1</f>
        <v>0</v>
      </c>
      <c r="CG302" s="32">
        <f t="shared" si="573"/>
        <v>0</v>
      </c>
      <c r="CH302" s="32">
        <f t="shared" si="573"/>
        <v>0</v>
      </c>
      <c r="CI302" s="32">
        <f t="shared" si="573"/>
        <v>0</v>
      </c>
      <c r="CJ302" s="32">
        <f t="shared" si="573"/>
        <v>0</v>
      </c>
      <c r="CK302" s="32">
        <f t="shared" si="573"/>
        <v>0</v>
      </c>
      <c r="CL302" s="32">
        <f t="shared" si="573"/>
        <v>0</v>
      </c>
      <c r="CM302" s="32">
        <f t="shared" si="573"/>
        <v>0</v>
      </c>
      <c r="CN302" s="32">
        <f t="shared" si="573"/>
        <v>0</v>
      </c>
      <c r="CO302" s="32">
        <f t="shared" si="573"/>
        <v>0</v>
      </c>
      <c r="CP302" s="32">
        <f t="shared" si="573"/>
        <v>0</v>
      </c>
      <c r="CQ302" s="32">
        <f t="shared" si="573"/>
        <v>0</v>
      </c>
      <c r="CR302" s="32">
        <f t="shared" si="573"/>
        <v>0</v>
      </c>
      <c r="CS302" s="32">
        <f t="shared" si="573"/>
        <v>0</v>
      </c>
      <c r="CT302" s="32">
        <f t="shared" si="573"/>
        <v>0</v>
      </c>
      <c r="CU302" s="32">
        <f t="shared" si="573"/>
        <v>0</v>
      </c>
      <c r="CV302" s="32">
        <f t="shared" si="573"/>
        <v>0</v>
      </c>
      <c r="CW302" s="32">
        <f t="shared" si="573"/>
        <v>0</v>
      </c>
      <c r="CX302" s="32">
        <f t="shared" si="573"/>
        <v>0</v>
      </c>
      <c r="CY302" s="32">
        <f t="shared" si="573"/>
        <v>0</v>
      </c>
      <c r="CZ302" s="32">
        <f t="shared" si="573"/>
        <v>0</v>
      </c>
      <c r="DA302" s="32">
        <f t="shared" si="573"/>
        <v>0</v>
      </c>
      <c r="DB302" s="32">
        <f t="shared" si="573"/>
        <v>0</v>
      </c>
      <c r="DC302" s="32">
        <f t="shared" si="573"/>
        <v>0</v>
      </c>
      <c r="DD302" s="32">
        <f t="shared" si="573"/>
        <v>0</v>
      </c>
      <c r="DE302" s="32">
        <f t="shared" si="573"/>
        <v>0</v>
      </c>
      <c r="DF302" s="32">
        <f t="shared" si="573"/>
        <v>0</v>
      </c>
      <c r="DG302" s="32">
        <f t="shared" si="573"/>
        <v>0</v>
      </c>
      <c r="DH302" s="32">
        <f t="shared" si="573"/>
        <v>0</v>
      </c>
      <c r="DI302" s="32">
        <f t="shared" si="573"/>
        <v>0</v>
      </c>
      <c r="DJ302" s="32">
        <f t="shared" si="573"/>
        <v>0</v>
      </c>
      <c r="DK302" s="32">
        <f t="shared" si="573"/>
        <v>0</v>
      </c>
      <c r="DL302" s="32">
        <f t="shared" ref="DL302:EI302" si="574">AND(DL294*1,OR(DL206,DL270))*1</f>
        <v>0</v>
      </c>
      <c r="DM302" s="32">
        <f t="shared" si="574"/>
        <v>0</v>
      </c>
      <c r="DN302" s="32">
        <f t="shared" si="574"/>
        <v>0</v>
      </c>
      <c r="DO302" s="32">
        <f t="shared" si="574"/>
        <v>0</v>
      </c>
      <c r="DP302" s="32">
        <f t="shared" si="574"/>
        <v>0</v>
      </c>
      <c r="DQ302" s="32">
        <f t="shared" si="574"/>
        <v>0</v>
      </c>
      <c r="DR302" s="32">
        <f t="shared" si="574"/>
        <v>0</v>
      </c>
      <c r="DS302" s="32">
        <f t="shared" si="574"/>
        <v>0</v>
      </c>
      <c r="DT302" s="32">
        <f t="shared" si="574"/>
        <v>0</v>
      </c>
      <c r="DU302" s="32">
        <f t="shared" si="574"/>
        <v>0</v>
      </c>
      <c r="DV302" s="32">
        <f t="shared" si="574"/>
        <v>0</v>
      </c>
      <c r="DW302" s="32">
        <f t="shared" si="574"/>
        <v>0</v>
      </c>
      <c r="DX302" s="32">
        <f t="shared" si="574"/>
        <v>0</v>
      </c>
      <c r="DY302" s="32">
        <f t="shared" si="574"/>
        <v>0</v>
      </c>
      <c r="DZ302" s="32">
        <f t="shared" si="574"/>
        <v>0</v>
      </c>
      <c r="EA302" s="32">
        <f t="shared" si="574"/>
        <v>0</v>
      </c>
      <c r="EB302" s="32">
        <f t="shared" si="574"/>
        <v>0</v>
      </c>
      <c r="EC302" s="32">
        <f t="shared" si="574"/>
        <v>0</v>
      </c>
      <c r="ED302" s="32">
        <f t="shared" si="574"/>
        <v>0</v>
      </c>
      <c r="EE302" s="32">
        <f t="shared" si="574"/>
        <v>0</v>
      </c>
      <c r="EF302" s="32">
        <f t="shared" si="574"/>
        <v>0</v>
      </c>
      <c r="EG302" s="32">
        <f t="shared" si="574"/>
        <v>0</v>
      </c>
      <c r="EH302" s="32">
        <f t="shared" si="574"/>
        <v>0</v>
      </c>
      <c r="EI302" s="32">
        <f t="shared" si="574"/>
        <v>0</v>
      </c>
    </row>
    <row r="303" spans="2:139" ht="12.75" customHeight="1">
      <c r="B303" s="46"/>
      <c r="C303" s="209"/>
      <c r="D303" s="169"/>
      <c r="E303" s="169"/>
      <c r="F303" s="169"/>
      <c r="G303" s="169"/>
      <c r="H303" s="169"/>
      <c r="I303" s="169"/>
      <c r="J303" s="169"/>
      <c r="K303" s="169"/>
      <c r="L303" s="169"/>
      <c r="M303" s="169"/>
      <c r="N303" s="169"/>
      <c r="O303" s="91"/>
      <c r="S303" s="169"/>
      <c r="T303" s="169"/>
      <c r="U303" s="169"/>
      <c r="V303" s="169"/>
      <c r="W303" s="169"/>
      <c r="X303" s="169"/>
      <c r="Y303" s="169"/>
      <c r="Z303" s="169"/>
      <c r="AA303" s="169"/>
      <c r="AB303" s="169"/>
      <c r="AC303" s="169"/>
      <c r="AD303" s="169"/>
      <c r="AE303" s="169"/>
      <c r="AF303" s="169"/>
      <c r="AG303" s="169"/>
      <c r="AH303" s="169"/>
      <c r="AI303" s="169"/>
      <c r="AJ303" s="169"/>
      <c r="AK303" s="169"/>
      <c r="AL303" s="169"/>
      <c r="AM303" s="169"/>
      <c r="AN303" s="169"/>
      <c r="AO303" s="169"/>
      <c r="AP303" s="169"/>
      <c r="AQ303" s="169"/>
      <c r="AR303" s="169"/>
      <c r="AS303" s="169"/>
      <c r="AT303" s="169"/>
      <c r="AU303" s="169"/>
      <c r="AV303" s="169"/>
      <c r="AW303" s="169"/>
      <c r="AX303" s="169"/>
      <c r="AY303" s="169"/>
      <c r="AZ303" s="169"/>
      <c r="BA303" s="169"/>
      <c r="BB303" s="169"/>
      <c r="BC303" s="169"/>
      <c r="BD303" s="169"/>
      <c r="BE303" s="169"/>
      <c r="BF303" s="169"/>
      <c r="BG303" s="169"/>
      <c r="BH303" s="169"/>
      <c r="BI303" s="169"/>
      <c r="BJ303" s="169"/>
      <c r="BK303" s="169"/>
      <c r="BL303" s="169"/>
      <c r="BM303" s="169"/>
      <c r="BN303" s="169"/>
      <c r="BO303" s="169"/>
      <c r="BP303" s="169"/>
      <c r="BQ303" s="169"/>
      <c r="BR303" s="169"/>
      <c r="BS303" s="169"/>
      <c r="BT303" s="169"/>
      <c r="BU303" s="169"/>
      <c r="BV303" s="169"/>
      <c r="BW303" s="169"/>
      <c r="BX303" s="169"/>
      <c r="BY303" s="169"/>
      <c r="BZ303" s="169"/>
      <c r="CA303" s="169"/>
      <c r="CB303" s="169"/>
      <c r="CC303" s="169"/>
      <c r="CD303" s="169"/>
      <c r="CE303" s="169"/>
      <c r="CF303" s="169"/>
      <c r="CG303" s="169"/>
      <c r="CH303" s="169"/>
      <c r="CI303" s="169"/>
      <c r="CJ303" s="169"/>
      <c r="CK303" s="169"/>
      <c r="CL303" s="169"/>
      <c r="CM303" s="169"/>
      <c r="CN303" s="169"/>
      <c r="CO303" s="169"/>
      <c r="CP303" s="169"/>
      <c r="CQ303" s="169"/>
      <c r="CR303" s="169"/>
      <c r="CS303" s="169"/>
      <c r="CT303" s="169"/>
      <c r="CU303" s="169"/>
      <c r="CV303" s="169"/>
      <c r="CW303" s="169"/>
      <c r="CX303" s="169"/>
      <c r="CY303" s="169"/>
      <c r="CZ303" s="169"/>
      <c r="DA303" s="169"/>
      <c r="DB303" s="169"/>
      <c r="DC303" s="169"/>
      <c r="DD303" s="169"/>
      <c r="DE303" s="169"/>
      <c r="DF303" s="169"/>
      <c r="DG303" s="169"/>
      <c r="DH303" s="169"/>
      <c r="DI303" s="169"/>
      <c r="DJ303" s="169"/>
      <c r="DK303" s="169"/>
      <c r="DL303" s="169"/>
      <c r="DM303" s="169"/>
      <c r="DN303" s="169"/>
      <c r="DO303" s="169"/>
      <c r="DP303" s="169"/>
      <c r="DQ303" s="169"/>
      <c r="DR303" s="169"/>
      <c r="DS303" s="169"/>
      <c r="DT303" s="169"/>
      <c r="DU303" s="169"/>
      <c r="DV303" s="169"/>
      <c r="DW303" s="169"/>
      <c r="DX303" s="169"/>
      <c r="DY303" s="169"/>
      <c r="DZ303" s="169"/>
      <c r="EA303" s="169"/>
      <c r="EB303" s="169"/>
      <c r="EC303" s="169"/>
      <c r="ED303" s="169"/>
      <c r="EE303" s="169"/>
      <c r="EF303" s="169"/>
      <c r="EG303" s="169"/>
      <c r="EH303" s="169"/>
      <c r="EI303" s="169"/>
    </row>
    <row r="305" spans="2:139">
      <c r="D305" s="201"/>
      <c r="F305" s="201"/>
    </row>
    <row r="306" spans="2:139" s="192" customFormat="1" ht="14.25" customHeight="1">
      <c r="B306" s="1043" t="s">
        <v>624</v>
      </c>
      <c r="C306" s="196"/>
      <c r="D306" s="196"/>
      <c r="E306" s="196"/>
      <c r="F306" s="197"/>
      <c r="G306" s="197"/>
      <c r="H306" s="197"/>
      <c r="I306" s="197"/>
      <c r="J306" s="197"/>
      <c r="K306" s="197"/>
      <c r="L306" s="197"/>
      <c r="M306" s="197"/>
      <c r="N306" s="197"/>
      <c r="O306" s="197"/>
      <c r="P306"/>
      <c r="Q306"/>
      <c r="R306"/>
      <c r="S306" s="197"/>
      <c r="T306" s="197"/>
      <c r="U306" s="197"/>
      <c r="V306" s="197"/>
      <c r="W306" s="197"/>
      <c r="X306" s="197"/>
      <c r="Y306" s="197"/>
      <c r="Z306" s="197"/>
      <c r="AA306" s="197"/>
      <c r="AB306" s="197"/>
      <c r="AC306" s="197"/>
      <c r="AD306" s="197"/>
      <c r="AE306" s="197"/>
      <c r="AF306" s="197"/>
      <c r="AG306" s="197"/>
      <c r="AH306" s="197"/>
      <c r="AI306" s="197"/>
      <c r="AJ306" s="197"/>
      <c r="AK306" s="197"/>
      <c r="AL306" s="197"/>
      <c r="AM306" s="197"/>
      <c r="AN306" s="197"/>
      <c r="AO306" s="197"/>
      <c r="AP306" s="197"/>
      <c r="AQ306" s="197"/>
      <c r="AR306" s="197"/>
      <c r="AS306" s="197"/>
      <c r="AT306" s="197"/>
      <c r="AU306" s="197"/>
      <c r="AV306" s="197"/>
      <c r="AW306" s="197"/>
      <c r="AX306" s="197"/>
      <c r="AY306" s="197"/>
      <c r="AZ306" s="197"/>
      <c r="BA306" s="197"/>
      <c r="BB306" s="197"/>
      <c r="BC306" s="197"/>
      <c r="BD306" s="197"/>
      <c r="BE306" s="197"/>
      <c r="BF306" s="197"/>
      <c r="BG306" s="197"/>
      <c r="BH306" s="197"/>
      <c r="BI306" s="197"/>
      <c r="BJ306" s="197"/>
      <c r="BK306" s="197"/>
      <c r="BL306" s="197"/>
      <c r="BM306" s="197"/>
      <c r="BN306" s="197"/>
      <c r="BO306" s="197"/>
      <c r="BP306" s="197"/>
      <c r="BQ306" s="197"/>
      <c r="BR306" s="197"/>
      <c r="BS306" s="197"/>
      <c r="BT306" s="197"/>
      <c r="BU306" s="197"/>
      <c r="BV306" s="197"/>
      <c r="BW306" s="197"/>
      <c r="BX306" s="197"/>
      <c r="BY306" s="197"/>
      <c r="BZ306" s="197"/>
      <c r="CA306" s="197"/>
      <c r="CB306" s="197"/>
      <c r="CC306" s="197"/>
      <c r="CD306" s="197"/>
      <c r="CE306" s="197"/>
      <c r="CF306" s="197"/>
      <c r="CG306" s="197"/>
      <c r="CH306" s="197"/>
      <c r="CI306" s="197"/>
      <c r="CJ306" s="197"/>
      <c r="CK306" s="197"/>
      <c r="CL306" s="197"/>
      <c r="CM306" s="197"/>
      <c r="CN306" s="197"/>
      <c r="CO306" s="197"/>
      <c r="CP306" s="197"/>
      <c r="CQ306" s="197"/>
      <c r="CR306" s="197"/>
      <c r="CS306" s="197"/>
      <c r="CT306" s="197"/>
      <c r="CU306" s="197"/>
      <c r="CV306" s="197"/>
      <c r="CW306" s="197"/>
      <c r="CX306" s="197"/>
      <c r="CY306" s="197"/>
      <c r="CZ306" s="197"/>
      <c r="DA306" s="197"/>
      <c r="DB306" s="197"/>
      <c r="DC306" s="197"/>
      <c r="DD306" s="197"/>
      <c r="DE306" s="197"/>
      <c r="DF306" s="197"/>
      <c r="DG306" s="197"/>
      <c r="DH306" s="197"/>
      <c r="DI306" s="197"/>
      <c r="DJ306" s="197"/>
      <c r="DK306" s="197"/>
      <c r="DL306" s="197"/>
      <c r="DM306" s="197"/>
      <c r="DN306" s="197"/>
      <c r="DO306" s="197"/>
      <c r="DP306" s="197"/>
      <c r="DQ306" s="197"/>
      <c r="DR306" s="197"/>
      <c r="DS306" s="197"/>
      <c r="DT306" s="197"/>
      <c r="DU306" s="197"/>
      <c r="DV306" s="197"/>
      <c r="DW306" s="197"/>
      <c r="DX306" s="197"/>
      <c r="DY306" s="197"/>
      <c r="DZ306" s="197"/>
      <c r="EA306" s="197"/>
      <c r="EB306" s="197"/>
      <c r="EC306" s="197"/>
      <c r="ED306" s="197"/>
      <c r="EE306" s="197"/>
      <c r="EF306" s="197"/>
      <c r="EG306" s="197"/>
      <c r="EH306" s="197"/>
      <c r="EI306" s="197"/>
    </row>
    <row r="307" spans="2:139">
      <c r="B307" s="41" t="s">
        <v>593</v>
      </c>
      <c r="C307" s="211"/>
      <c r="D307" s="78"/>
      <c r="E307" s="78">
        <f t="shared" ref="E307:N307" si="575">D310*(E$5&lt;=MAX(YrOfExit,1))</f>
        <v>0</v>
      </c>
      <c r="F307" s="78">
        <f t="shared" si="575"/>
        <v>0</v>
      </c>
      <c r="G307" s="78">
        <f t="shared" si="575"/>
        <v>0</v>
      </c>
      <c r="H307" s="78">
        <f t="shared" si="575"/>
        <v>0</v>
      </c>
      <c r="I307" s="78">
        <f t="shared" si="575"/>
        <v>0</v>
      </c>
      <c r="J307" s="78">
        <f t="shared" si="575"/>
        <v>0</v>
      </c>
      <c r="K307" s="78">
        <f t="shared" si="575"/>
        <v>0</v>
      </c>
      <c r="L307" s="78">
        <f t="shared" si="575"/>
        <v>0</v>
      </c>
      <c r="M307" s="78">
        <f t="shared" si="575"/>
        <v>0</v>
      </c>
      <c r="N307" s="78">
        <f t="shared" si="575"/>
        <v>0</v>
      </c>
      <c r="O307" s="145"/>
      <c r="S307" s="78"/>
      <c r="T307" s="78">
        <f t="shared" ref="T307:AY307" si="576">S310*(T$6&lt;=MAX(YrOfExit,1))</f>
        <v>0</v>
      </c>
      <c r="U307" s="78">
        <f t="shared" si="576"/>
        <v>0</v>
      </c>
      <c r="V307" s="78">
        <f t="shared" si="576"/>
        <v>0</v>
      </c>
      <c r="W307" s="78">
        <f t="shared" si="576"/>
        <v>0</v>
      </c>
      <c r="X307" s="78">
        <f t="shared" si="576"/>
        <v>0</v>
      </c>
      <c r="Y307" s="78">
        <f t="shared" si="576"/>
        <v>0</v>
      </c>
      <c r="Z307" s="78">
        <f t="shared" si="576"/>
        <v>0</v>
      </c>
      <c r="AA307" s="78">
        <f t="shared" si="576"/>
        <v>0</v>
      </c>
      <c r="AB307" s="78">
        <f t="shared" si="576"/>
        <v>0</v>
      </c>
      <c r="AC307" s="78">
        <f t="shared" si="576"/>
        <v>0</v>
      </c>
      <c r="AD307" s="78">
        <f t="shared" si="576"/>
        <v>0</v>
      </c>
      <c r="AE307" s="78">
        <f t="shared" si="576"/>
        <v>0</v>
      </c>
      <c r="AF307" s="78">
        <f t="shared" si="576"/>
        <v>0</v>
      </c>
      <c r="AG307" s="78">
        <f t="shared" si="576"/>
        <v>0</v>
      </c>
      <c r="AH307" s="78">
        <f t="shared" si="576"/>
        <v>0</v>
      </c>
      <c r="AI307" s="78">
        <f t="shared" si="576"/>
        <v>0</v>
      </c>
      <c r="AJ307" s="78">
        <f t="shared" si="576"/>
        <v>0</v>
      </c>
      <c r="AK307" s="78">
        <f t="shared" si="576"/>
        <v>0</v>
      </c>
      <c r="AL307" s="78">
        <f t="shared" si="576"/>
        <v>0</v>
      </c>
      <c r="AM307" s="78">
        <f t="shared" si="576"/>
        <v>0</v>
      </c>
      <c r="AN307" s="78">
        <f t="shared" si="576"/>
        <v>0</v>
      </c>
      <c r="AO307" s="78">
        <f t="shared" si="576"/>
        <v>0</v>
      </c>
      <c r="AP307" s="78">
        <f t="shared" si="576"/>
        <v>0</v>
      </c>
      <c r="AQ307" s="78">
        <f t="shared" si="576"/>
        <v>0</v>
      </c>
      <c r="AR307" s="78">
        <f t="shared" si="576"/>
        <v>0</v>
      </c>
      <c r="AS307" s="78">
        <f t="shared" si="576"/>
        <v>0</v>
      </c>
      <c r="AT307" s="78">
        <f t="shared" si="576"/>
        <v>0</v>
      </c>
      <c r="AU307" s="78">
        <f t="shared" si="576"/>
        <v>0</v>
      </c>
      <c r="AV307" s="78">
        <f t="shared" si="576"/>
        <v>0</v>
      </c>
      <c r="AW307" s="78">
        <f t="shared" si="576"/>
        <v>0</v>
      </c>
      <c r="AX307" s="78">
        <f t="shared" si="576"/>
        <v>0</v>
      </c>
      <c r="AY307" s="78">
        <f t="shared" si="576"/>
        <v>0</v>
      </c>
      <c r="AZ307" s="78">
        <f t="shared" ref="AZ307:CE307" si="577">AY310*(AZ$6&lt;=MAX(YrOfExit,1))</f>
        <v>0</v>
      </c>
      <c r="BA307" s="78">
        <f t="shared" si="577"/>
        <v>0</v>
      </c>
      <c r="BB307" s="78">
        <f t="shared" si="577"/>
        <v>0</v>
      </c>
      <c r="BC307" s="78">
        <f t="shared" si="577"/>
        <v>0</v>
      </c>
      <c r="BD307" s="78">
        <f t="shared" si="577"/>
        <v>0</v>
      </c>
      <c r="BE307" s="78">
        <f t="shared" si="577"/>
        <v>0</v>
      </c>
      <c r="BF307" s="78">
        <f t="shared" si="577"/>
        <v>0</v>
      </c>
      <c r="BG307" s="78">
        <f t="shared" si="577"/>
        <v>0</v>
      </c>
      <c r="BH307" s="78">
        <f t="shared" si="577"/>
        <v>0</v>
      </c>
      <c r="BI307" s="78">
        <f t="shared" si="577"/>
        <v>0</v>
      </c>
      <c r="BJ307" s="78">
        <f t="shared" si="577"/>
        <v>0</v>
      </c>
      <c r="BK307" s="78">
        <f t="shared" si="577"/>
        <v>0</v>
      </c>
      <c r="BL307" s="78">
        <f t="shared" si="577"/>
        <v>0</v>
      </c>
      <c r="BM307" s="78">
        <f t="shared" si="577"/>
        <v>0</v>
      </c>
      <c r="BN307" s="78">
        <f t="shared" si="577"/>
        <v>0</v>
      </c>
      <c r="BO307" s="78">
        <f t="shared" si="577"/>
        <v>0</v>
      </c>
      <c r="BP307" s="78">
        <f t="shared" si="577"/>
        <v>0</v>
      </c>
      <c r="BQ307" s="78">
        <f t="shared" si="577"/>
        <v>0</v>
      </c>
      <c r="BR307" s="78">
        <f t="shared" si="577"/>
        <v>0</v>
      </c>
      <c r="BS307" s="78">
        <f t="shared" si="577"/>
        <v>0</v>
      </c>
      <c r="BT307" s="78">
        <f t="shared" si="577"/>
        <v>0</v>
      </c>
      <c r="BU307" s="78">
        <f t="shared" si="577"/>
        <v>0</v>
      </c>
      <c r="BV307" s="78">
        <f t="shared" si="577"/>
        <v>0</v>
      </c>
      <c r="BW307" s="78">
        <f t="shared" si="577"/>
        <v>0</v>
      </c>
      <c r="BX307" s="78">
        <f t="shared" si="577"/>
        <v>0</v>
      </c>
      <c r="BY307" s="78">
        <f t="shared" si="577"/>
        <v>0</v>
      </c>
      <c r="BZ307" s="78">
        <f t="shared" si="577"/>
        <v>0</v>
      </c>
      <c r="CA307" s="78">
        <f t="shared" si="577"/>
        <v>0</v>
      </c>
      <c r="CB307" s="78">
        <f t="shared" si="577"/>
        <v>0</v>
      </c>
      <c r="CC307" s="78">
        <f t="shared" si="577"/>
        <v>0</v>
      </c>
      <c r="CD307" s="78">
        <f t="shared" si="577"/>
        <v>0</v>
      </c>
      <c r="CE307" s="78">
        <f t="shared" si="577"/>
        <v>0</v>
      </c>
      <c r="CF307" s="78">
        <f t="shared" ref="CF307:DK307" si="578">CE310*(CF$6&lt;=MAX(YrOfExit,1))</f>
        <v>0</v>
      </c>
      <c r="CG307" s="78">
        <f t="shared" si="578"/>
        <v>0</v>
      </c>
      <c r="CH307" s="78">
        <f t="shared" si="578"/>
        <v>0</v>
      </c>
      <c r="CI307" s="78">
        <f t="shared" si="578"/>
        <v>0</v>
      </c>
      <c r="CJ307" s="78">
        <f t="shared" si="578"/>
        <v>0</v>
      </c>
      <c r="CK307" s="78">
        <f t="shared" si="578"/>
        <v>0</v>
      </c>
      <c r="CL307" s="78">
        <f t="shared" si="578"/>
        <v>0</v>
      </c>
      <c r="CM307" s="78">
        <f t="shared" si="578"/>
        <v>0</v>
      </c>
      <c r="CN307" s="78">
        <f t="shared" si="578"/>
        <v>0</v>
      </c>
      <c r="CO307" s="78">
        <f t="shared" si="578"/>
        <v>0</v>
      </c>
      <c r="CP307" s="78">
        <f t="shared" si="578"/>
        <v>0</v>
      </c>
      <c r="CQ307" s="78">
        <f t="shared" si="578"/>
        <v>0</v>
      </c>
      <c r="CR307" s="78">
        <f t="shared" si="578"/>
        <v>0</v>
      </c>
      <c r="CS307" s="78">
        <f t="shared" si="578"/>
        <v>0</v>
      </c>
      <c r="CT307" s="78">
        <f t="shared" si="578"/>
        <v>0</v>
      </c>
      <c r="CU307" s="78">
        <f t="shared" si="578"/>
        <v>0</v>
      </c>
      <c r="CV307" s="78">
        <f t="shared" si="578"/>
        <v>0</v>
      </c>
      <c r="CW307" s="78">
        <f t="shared" si="578"/>
        <v>0</v>
      </c>
      <c r="CX307" s="78">
        <f t="shared" si="578"/>
        <v>0</v>
      </c>
      <c r="CY307" s="78">
        <f t="shared" si="578"/>
        <v>0</v>
      </c>
      <c r="CZ307" s="78">
        <f t="shared" si="578"/>
        <v>0</v>
      </c>
      <c r="DA307" s="78">
        <f t="shared" si="578"/>
        <v>0</v>
      </c>
      <c r="DB307" s="78">
        <f t="shared" si="578"/>
        <v>0</v>
      </c>
      <c r="DC307" s="78">
        <f t="shared" si="578"/>
        <v>0</v>
      </c>
      <c r="DD307" s="78">
        <f t="shared" si="578"/>
        <v>0</v>
      </c>
      <c r="DE307" s="78">
        <f t="shared" si="578"/>
        <v>0</v>
      </c>
      <c r="DF307" s="78">
        <f t="shared" si="578"/>
        <v>0</v>
      </c>
      <c r="DG307" s="78">
        <f t="shared" si="578"/>
        <v>0</v>
      </c>
      <c r="DH307" s="78">
        <f t="shared" si="578"/>
        <v>0</v>
      </c>
      <c r="DI307" s="78">
        <f t="shared" si="578"/>
        <v>0</v>
      </c>
      <c r="DJ307" s="78">
        <f t="shared" si="578"/>
        <v>0</v>
      </c>
      <c r="DK307" s="78">
        <f t="shared" si="578"/>
        <v>0</v>
      </c>
      <c r="DL307" s="78">
        <f t="shared" ref="DL307:EI307" si="579">DK310*(DL$6&lt;=MAX(YrOfExit,1))</f>
        <v>0</v>
      </c>
      <c r="DM307" s="78">
        <f t="shared" si="579"/>
        <v>0</v>
      </c>
      <c r="DN307" s="78">
        <f t="shared" si="579"/>
        <v>0</v>
      </c>
      <c r="DO307" s="78">
        <f t="shared" si="579"/>
        <v>0</v>
      </c>
      <c r="DP307" s="78">
        <f t="shared" si="579"/>
        <v>0</v>
      </c>
      <c r="DQ307" s="78">
        <f t="shared" si="579"/>
        <v>0</v>
      </c>
      <c r="DR307" s="78">
        <f t="shared" si="579"/>
        <v>0</v>
      </c>
      <c r="DS307" s="78">
        <f t="shared" si="579"/>
        <v>0</v>
      </c>
      <c r="DT307" s="78">
        <f t="shared" si="579"/>
        <v>0</v>
      </c>
      <c r="DU307" s="78">
        <f t="shared" si="579"/>
        <v>0</v>
      </c>
      <c r="DV307" s="78">
        <f t="shared" si="579"/>
        <v>0</v>
      </c>
      <c r="DW307" s="78">
        <f t="shared" si="579"/>
        <v>0</v>
      </c>
      <c r="DX307" s="78">
        <f t="shared" si="579"/>
        <v>0</v>
      </c>
      <c r="DY307" s="78">
        <f t="shared" si="579"/>
        <v>0</v>
      </c>
      <c r="DZ307" s="78">
        <f t="shared" si="579"/>
        <v>0</v>
      </c>
      <c r="EA307" s="78">
        <f t="shared" si="579"/>
        <v>0</v>
      </c>
      <c r="EB307" s="78">
        <f t="shared" si="579"/>
        <v>0</v>
      </c>
      <c r="EC307" s="78">
        <f t="shared" si="579"/>
        <v>0</v>
      </c>
      <c r="ED307" s="78">
        <f t="shared" si="579"/>
        <v>0</v>
      </c>
      <c r="EE307" s="78">
        <f t="shared" si="579"/>
        <v>0</v>
      </c>
      <c r="EF307" s="78">
        <f t="shared" si="579"/>
        <v>0</v>
      </c>
      <c r="EG307" s="78">
        <f t="shared" si="579"/>
        <v>0</v>
      </c>
      <c r="EH307" s="78">
        <f t="shared" si="579"/>
        <v>0</v>
      </c>
      <c r="EI307" s="78">
        <f t="shared" si="579"/>
        <v>0</v>
      </c>
    </row>
    <row r="308" spans="2:139">
      <c r="B308" s="878" t="s">
        <v>625</v>
      </c>
      <c r="C308" s="211"/>
      <c r="D308" s="78">
        <f t="shared" ref="D308:N308" si="580">IF(IrrCalculationType=170,-SUM(D385,D390,D395,D400),SUMIF($S$6:$EI$6,D$5,$S308:$EI308))</f>
        <v>0</v>
      </c>
      <c r="E308" s="78">
        <f t="shared" si="580"/>
        <v>0</v>
      </c>
      <c r="F308" s="78">
        <f t="shared" si="580"/>
        <v>0</v>
      </c>
      <c r="G308" s="78">
        <f t="shared" si="580"/>
        <v>0</v>
      </c>
      <c r="H308" s="78">
        <f t="shared" si="580"/>
        <v>0</v>
      </c>
      <c r="I308" s="78">
        <f t="shared" si="580"/>
        <v>0</v>
      </c>
      <c r="J308" s="78">
        <f t="shared" si="580"/>
        <v>0</v>
      </c>
      <c r="K308" s="78">
        <f t="shared" si="580"/>
        <v>0</v>
      </c>
      <c r="L308" s="78">
        <f t="shared" si="580"/>
        <v>0</v>
      </c>
      <c r="M308" s="78">
        <f t="shared" si="580"/>
        <v>0</v>
      </c>
      <c r="N308" s="78">
        <f t="shared" si="580"/>
        <v>0</v>
      </c>
      <c r="O308" s="145">
        <f>SUM(D308:N308)</f>
        <v>0</v>
      </c>
      <c r="S308" s="78">
        <f t="shared" ref="S308:AX308" si="581">-SUM(S385,S390,S395,S400)</f>
        <v>0</v>
      </c>
      <c r="T308" s="78">
        <f t="shared" si="581"/>
        <v>0</v>
      </c>
      <c r="U308" s="78">
        <f t="shared" si="581"/>
        <v>0</v>
      </c>
      <c r="V308" s="78">
        <f t="shared" si="581"/>
        <v>0</v>
      </c>
      <c r="W308" s="78">
        <f t="shared" si="581"/>
        <v>0</v>
      </c>
      <c r="X308" s="78">
        <f t="shared" si="581"/>
        <v>0</v>
      </c>
      <c r="Y308" s="78">
        <f t="shared" si="581"/>
        <v>0</v>
      </c>
      <c r="Z308" s="78">
        <f t="shared" si="581"/>
        <v>0</v>
      </c>
      <c r="AA308" s="78">
        <f t="shared" si="581"/>
        <v>0</v>
      </c>
      <c r="AB308" s="78">
        <f t="shared" si="581"/>
        <v>0</v>
      </c>
      <c r="AC308" s="78">
        <f t="shared" si="581"/>
        <v>0</v>
      </c>
      <c r="AD308" s="78">
        <f t="shared" si="581"/>
        <v>0</v>
      </c>
      <c r="AE308" s="78">
        <f t="shared" si="581"/>
        <v>0</v>
      </c>
      <c r="AF308" s="78">
        <f t="shared" si="581"/>
        <v>0</v>
      </c>
      <c r="AG308" s="78">
        <f t="shared" si="581"/>
        <v>0</v>
      </c>
      <c r="AH308" s="78">
        <f t="shared" si="581"/>
        <v>0</v>
      </c>
      <c r="AI308" s="78">
        <f t="shared" si="581"/>
        <v>0</v>
      </c>
      <c r="AJ308" s="78">
        <f t="shared" si="581"/>
        <v>0</v>
      </c>
      <c r="AK308" s="78">
        <f t="shared" si="581"/>
        <v>0</v>
      </c>
      <c r="AL308" s="78">
        <f t="shared" si="581"/>
        <v>0</v>
      </c>
      <c r="AM308" s="78">
        <f t="shared" si="581"/>
        <v>0</v>
      </c>
      <c r="AN308" s="78">
        <f t="shared" si="581"/>
        <v>0</v>
      </c>
      <c r="AO308" s="78">
        <f t="shared" si="581"/>
        <v>0</v>
      </c>
      <c r="AP308" s="78">
        <f t="shared" si="581"/>
        <v>0</v>
      </c>
      <c r="AQ308" s="78">
        <f t="shared" si="581"/>
        <v>0</v>
      </c>
      <c r="AR308" s="78">
        <f t="shared" si="581"/>
        <v>0</v>
      </c>
      <c r="AS308" s="78">
        <f t="shared" si="581"/>
        <v>0</v>
      </c>
      <c r="AT308" s="78">
        <f t="shared" si="581"/>
        <v>0</v>
      </c>
      <c r="AU308" s="78">
        <f t="shared" si="581"/>
        <v>0</v>
      </c>
      <c r="AV308" s="78">
        <f t="shared" si="581"/>
        <v>0</v>
      </c>
      <c r="AW308" s="78">
        <f t="shared" si="581"/>
        <v>0</v>
      </c>
      <c r="AX308" s="78">
        <f t="shared" si="581"/>
        <v>0</v>
      </c>
      <c r="AY308" s="78">
        <f t="shared" ref="AY308:CD308" si="582">-SUM(AY385,AY390,AY395,AY400)</f>
        <v>0</v>
      </c>
      <c r="AZ308" s="78">
        <f t="shared" si="582"/>
        <v>0</v>
      </c>
      <c r="BA308" s="78">
        <f t="shared" si="582"/>
        <v>0</v>
      </c>
      <c r="BB308" s="78">
        <f t="shared" si="582"/>
        <v>0</v>
      </c>
      <c r="BC308" s="78">
        <f t="shared" si="582"/>
        <v>0</v>
      </c>
      <c r="BD308" s="78">
        <f t="shared" si="582"/>
        <v>0</v>
      </c>
      <c r="BE308" s="78">
        <f t="shared" si="582"/>
        <v>0</v>
      </c>
      <c r="BF308" s="78">
        <f t="shared" si="582"/>
        <v>0</v>
      </c>
      <c r="BG308" s="78">
        <f t="shared" si="582"/>
        <v>0</v>
      </c>
      <c r="BH308" s="78">
        <f t="shared" si="582"/>
        <v>0</v>
      </c>
      <c r="BI308" s="78">
        <f t="shared" si="582"/>
        <v>0</v>
      </c>
      <c r="BJ308" s="78">
        <f t="shared" si="582"/>
        <v>0</v>
      </c>
      <c r="BK308" s="78">
        <f t="shared" si="582"/>
        <v>0</v>
      </c>
      <c r="BL308" s="78">
        <f t="shared" si="582"/>
        <v>0</v>
      </c>
      <c r="BM308" s="78">
        <f t="shared" si="582"/>
        <v>0</v>
      </c>
      <c r="BN308" s="78">
        <f t="shared" si="582"/>
        <v>0</v>
      </c>
      <c r="BO308" s="78">
        <f t="shared" si="582"/>
        <v>0</v>
      </c>
      <c r="BP308" s="78">
        <f t="shared" si="582"/>
        <v>0</v>
      </c>
      <c r="BQ308" s="78">
        <f t="shared" si="582"/>
        <v>0</v>
      </c>
      <c r="BR308" s="78">
        <f t="shared" si="582"/>
        <v>0</v>
      </c>
      <c r="BS308" s="78">
        <f t="shared" si="582"/>
        <v>0</v>
      </c>
      <c r="BT308" s="78">
        <f t="shared" si="582"/>
        <v>0</v>
      </c>
      <c r="BU308" s="78">
        <f t="shared" si="582"/>
        <v>0</v>
      </c>
      <c r="BV308" s="78">
        <f t="shared" si="582"/>
        <v>0</v>
      </c>
      <c r="BW308" s="78">
        <f t="shared" si="582"/>
        <v>0</v>
      </c>
      <c r="BX308" s="78">
        <f t="shared" si="582"/>
        <v>0</v>
      </c>
      <c r="BY308" s="78">
        <f t="shared" si="582"/>
        <v>0</v>
      </c>
      <c r="BZ308" s="78">
        <f t="shared" si="582"/>
        <v>0</v>
      </c>
      <c r="CA308" s="78">
        <f t="shared" si="582"/>
        <v>0</v>
      </c>
      <c r="CB308" s="78">
        <f t="shared" si="582"/>
        <v>0</v>
      </c>
      <c r="CC308" s="78">
        <f t="shared" si="582"/>
        <v>0</v>
      </c>
      <c r="CD308" s="78">
        <f t="shared" si="582"/>
        <v>0</v>
      </c>
      <c r="CE308" s="78">
        <f t="shared" ref="CE308:DJ308" si="583">-SUM(CE385,CE390,CE395,CE400)</f>
        <v>0</v>
      </c>
      <c r="CF308" s="78">
        <f t="shared" si="583"/>
        <v>0</v>
      </c>
      <c r="CG308" s="78">
        <f t="shared" si="583"/>
        <v>0</v>
      </c>
      <c r="CH308" s="78">
        <f t="shared" si="583"/>
        <v>0</v>
      </c>
      <c r="CI308" s="78">
        <f t="shared" si="583"/>
        <v>0</v>
      </c>
      <c r="CJ308" s="78">
        <f t="shared" si="583"/>
        <v>0</v>
      </c>
      <c r="CK308" s="78">
        <f t="shared" si="583"/>
        <v>0</v>
      </c>
      <c r="CL308" s="78">
        <f t="shared" si="583"/>
        <v>0</v>
      </c>
      <c r="CM308" s="78">
        <f t="shared" si="583"/>
        <v>0</v>
      </c>
      <c r="CN308" s="78">
        <f t="shared" si="583"/>
        <v>0</v>
      </c>
      <c r="CO308" s="78">
        <f t="shared" si="583"/>
        <v>0</v>
      </c>
      <c r="CP308" s="78">
        <f t="shared" si="583"/>
        <v>0</v>
      </c>
      <c r="CQ308" s="78">
        <f t="shared" si="583"/>
        <v>0</v>
      </c>
      <c r="CR308" s="78">
        <f t="shared" si="583"/>
        <v>0</v>
      </c>
      <c r="CS308" s="78">
        <f t="shared" si="583"/>
        <v>0</v>
      </c>
      <c r="CT308" s="78">
        <f t="shared" si="583"/>
        <v>0</v>
      </c>
      <c r="CU308" s="78">
        <f t="shared" si="583"/>
        <v>0</v>
      </c>
      <c r="CV308" s="78">
        <f t="shared" si="583"/>
        <v>0</v>
      </c>
      <c r="CW308" s="78">
        <f t="shared" si="583"/>
        <v>0</v>
      </c>
      <c r="CX308" s="78">
        <f t="shared" si="583"/>
        <v>0</v>
      </c>
      <c r="CY308" s="78">
        <f t="shared" si="583"/>
        <v>0</v>
      </c>
      <c r="CZ308" s="78">
        <f t="shared" si="583"/>
        <v>0</v>
      </c>
      <c r="DA308" s="78">
        <f t="shared" si="583"/>
        <v>0</v>
      </c>
      <c r="DB308" s="78">
        <f t="shared" si="583"/>
        <v>0</v>
      </c>
      <c r="DC308" s="78">
        <f t="shared" si="583"/>
        <v>0</v>
      </c>
      <c r="DD308" s="78">
        <f t="shared" si="583"/>
        <v>0</v>
      </c>
      <c r="DE308" s="78">
        <f t="shared" si="583"/>
        <v>0</v>
      </c>
      <c r="DF308" s="78">
        <f t="shared" si="583"/>
        <v>0</v>
      </c>
      <c r="DG308" s="78">
        <f t="shared" si="583"/>
        <v>0</v>
      </c>
      <c r="DH308" s="78">
        <f t="shared" si="583"/>
        <v>0</v>
      </c>
      <c r="DI308" s="78">
        <f t="shared" si="583"/>
        <v>0</v>
      </c>
      <c r="DJ308" s="78">
        <f t="shared" si="583"/>
        <v>0</v>
      </c>
      <c r="DK308" s="78">
        <f t="shared" ref="DK308:EI308" si="584">-SUM(DK385,DK390,DK395,DK400)</f>
        <v>0</v>
      </c>
      <c r="DL308" s="78">
        <f t="shared" si="584"/>
        <v>0</v>
      </c>
      <c r="DM308" s="78">
        <f t="shared" si="584"/>
        <v>0</v>
      </c>
      <c r="DN308" s="78">
        <f t="shared" si="584"/>
        <v>0</v>
      </c>
      <c r="DO308" s="78">
        <f t="shared" si="584"/>
        <v>0</v>
      </c>
      <c r="DP308" s="78">
        <f t="shared" si="584"/>
        <v>0</v>
      </c>
      <c r="DQ308" s="78">
        <f t="shared" si="584"/>
        <v>0</v>
      </c>
      <c r="DR308" s="78">
        <f t="shared" si="584"/>
        <v>0</v>
      </c>
      <c r="DS308" s="78">
        <f t="shared" si="584"/>
        <v>0</v>
      </c>
      <c r="DT308" s="78">
        <f t="shared" si="584"/>
        <v>0</v>
      </c>
      <c r="DU308" s="78">
        <f t="shared" si="584"/>
        <v>0</v>
      </c>
      <c r="DV308" s="78">
        <f t="shared" si="584"/>
        <v>0</v>
      </c>
      <c r="DW308" s="78">
        <f t="shared" si="584"/>
        <v>0</v>
      </c>
      <c r="DX308" s="78">
        <f t="shared" si="584"/>
        <v>0</v>
      </c>
      <c r="DY308" s="78">
        <f t="shared" si="584"/>
        <v>0</v>
      </c>
      <c r="DZ308" s="78">
        <f t="shared" si="584"/>
        <v>0</v>
      </c>
      <c r="EA308" s="78">
        <f t="shared" si="584"/>
        <v>0</v>
      </c>
      <c r="EB308" s="78">
        <f t="shared" si="584"/>
        <v>0</v>
      </c>
      <c r="EC308" s="78">
        <f t="shared" si="584"/>
        <v>0</v>
      </c>
      <c r="ED308" s="78">
        <f t="shared" si="584"/>
        <v>0</v>
      </c>
      <c r="EE308" s="78">
        <f t="shared" si="584"/>
        <v>0</v>
      </c>
      <c r="EF308" s="78">
        <f t="shared" si="584"/>
        <v>0</v>
      </c>
      <c r="EG308" s="78">
        <f t="shared" si="584"/>
        <v>0</v>
      </c>
      <c r="EH308" s="78">
        <f t="shared" si="584"/>
        <v>0</v>
      </c>
      <c r="EI308" s="78">
        <f t="shared" si="584"/>
        <v>0</v>
      </c>
    </row>
    <row r="309" spans="2:139">
      <c r="B309" s="878" t="s">
        <v>626</v>
      </c>
      <c r="C309" s="211"/>
      <c r="D309" s="78">
        <f t="shared" ref="D309:N309" si="585">IF(IrrCalculationType=170,-MIN(SUM(D307:D308),-MIN(D108,)),SUMIF($S$6:$EI$6,D$5,$S309:$EI309))</f>
        <v>0</v>
      </c>
      <c r="E309" s="78">
        <f t="shared" si="585"/>
        <v>0</v>
      </c>
      <c r="F309" s="78">
        <f t="shared" si="585"/>
        <v>0</v>
      </c>
      <c r="G309" s="78">
        <f t="shared" si="585"/>
        <v>0</v>
      </c>
      <c r="H309" s="78">
        <f t="shared" si="585"/>
        <v>0</v>
      </c>
      <c r="I309" s="78">
        <f t="shared" si="585"/>
        <v>0</v>
      </c>
      <c r="J309" s="78">
        <f t="shared" si="585"/>
        <v>0</v>
      </c>
      <c r="K309" s="78">
        <f t="shared" si="585"/>
        <v>0</v>
      </c>
      <c r="L309" s="78">
        <f t="shared" si="585"/>
        <v>0</v>
      </c>
      <c r="M309" s="78">
        <f t="shared" si="585"/>
        <v>0</v>
      </c>
      <c r="N309" s="78">
        <f t="shared" si="585"/>
        <v>0</v>
      </c>
      <c r="O309" s="145">
        <f>SUM(D309:N309)</f>
        <v>0</v>
      </c>
      <c r="S309" s="78">
        <f t="shared" ref="S309:AX309" si="586">-MIN(SUM(S307:S308),-MIN(S108,))</f>
        <v>0</v>
      </c>
      <c r="T309" s="78">
        <f t="shared" si="586"/>
        <v>0</v>
      </c>
      <c r="U309" s="78">
        <f t="shared" si="586"/>
        <v>0</v>
      </c>
      <c r="V309" s="78">
        <f t="shared" si="586"/>
        <v>0</v>
      </c>
      <c r="W309" s="78">
        <f t="shared" si="586"/>
        <v>0</v>
      </c>
      <c r="X309" s="78">
        <f t="shared" si="586"/>
        <v>0</v>
      </c>
      <c r="Y309" s="78">
        <f t="shared" si="586"/>
        <v>0</v>
      </c>
      <c r="Z309" s="78">
        <f t="shared" si="586"/>
        <v>0</v>
      </c>
      <c r="AA309" s="78">
        <f t="shared" si="586"/>
        <v>0</v>
      </c>
      <c r="AB309" s="78">
        <f t="shared" si="586"/>
        <v>0</v>
      </c>
      <c r="AC309" s="78">
        <f t="shared" si="586"/>
        <v>0</v>
      </c>
      <c r="AD309" s="78">
        <f t="shared" si="586"/>
        <v>0</v>
      </c>
      <c r="AE309" s="78">
        <f t="shared" si="586"/>
        <v>0</v>
      </c>
      <c r="AF309" s="78">
        <f t="shared" si="586"/>
        <v>0</v>
      </c>
      <c r="AG309" s="78">
        <f t="shared" si="586"/>
        <v>0</v>
      </c>
      <c r="AH309" s="78">
        <f t="shared" si="586"/>
        <v>0</v>
      </c>
      <c r="AI309" s="78">
        <f t="shared" si="586"/>
        <v>0</v>
      </c>
      <c r="AJ309" s="78">
        <f t="shared" si="586"/>
        <v>0</v>
      </c>
      <c r="AK309" s="78">
        <f t="shared" si="586"/>
        <v>0</v>
      </c>
      <c r="AL309" s="78">
        <f t="shared" si="586"/>
        <v>0</v>
      </c>
      <c r="AM309" s="78">
        <f t="shared" si="586"/>
        <v>0</v>
      </c>
      <c r="AN309" s="78">
        <f t="shared" si="586"/>
        <v>0</v>
      </c>
      <c r="AO309" s="78">
        <f t="shared" si="586"/>
        <v>0</v>
      </c>
      <c r="AP309" s="78">
        <f t="shared" si="586"/>
        <v>0</v>
      </c>
      <c r="AQ309" s="78">
        <f t="shared" si="586"/>
        <v>0</v>
      </c>
      <c r="AR309" s="78">
        <f t="shared" si="586"/>
        <v>0</v>
      </c>
      <c r="AS309" s="78">
        <f t="shared" si="586"/>
        <v>0</v>
      </c>
      <c r="AT309" s="78">
        <f t="shared" si="586"/>
        <v>0</v>
      </c>
      <c r="AU309" s="78">
        <f t="shared" si="586"/>
        <v>0</v>
      </c>
      <c r="AV309" s="78">
        <f t="shared" si="586"/>
        <v>0</v>
      </c>
      <c r="AW309" s="78">
        <f t="shared" si="586"/>
        <v>0</v>
      </c>
      <c r="AX309" s="78">
        <f t="shared" si="586"/>
        <v>0</v>
      </c>
      <c r="AY309" s="78">
        <f t="shared" ref="AY309:CD309" si="587">-MIN(SUM(AY307:AY308),-MIN(AY108,))</f>
        <v>0</v>
      </c>
      <c r="AZ309" s="78">
        <f t="shared" si="587"/>
        <v>0</v>
      </c>
      <c r="BA309" s="78">
        <f t="shared" si="587"/>
        <v>0</v>
      </c>
      <c r="BB309" s="78">
        <f t="shared" si="587"/>
        <v>0</v>
      </c>
      <c r="BC309" s="78">
        <f t="shared" si="587"/>
        <v>0</v>
      </c>
      <c r="BD309" s="78">
        <f t="shared" si="587"/>
        <v>0</v>
      </c>
      <c r="BE309" s="78">
        <f t="shared" si="587"/>
        <v>0</v>
      </c>
      <c r="BF309" s="78">
        <f t="shared" si="587"/>
        <v>0</v>
      </c>
      <c r="BG309" s="78">
        <f t="shared" si="587"/>
        <v>0</v>
      </c>
      <c r="BH309" s="78">
        <f t="shared" si="587"/>
        <v>0</v>
      </c>
      <c r="BI309" s="78">
        <f t="shared" si="587"/>
        <v>0</v>
      </c>
      <c r="BJ309" s="78">
        <f t="shared" si="587"/>
        <v>0</v>
      </c>
      <c r="BK309" s="78">
        <f t="shared" si="587"/>
        <v>0</v>
      </c>
      <c r="BL309" s="78">
        <f t="shared" si="587"/>
        <v>0</v>
      </c>
      <c r="BM309" s="78">
        <f t="shared" si="587"/>
        <v>0</v>
      </c>
      <c r="BN309" s="78">
        <f t="shared" si="587"/>
        <v>0</v>
      </c>
      <c r="BO309" s="78">
        <f t="shared" si="587"/>
        <v>0</v>
      </c>
      <c r="BP309" s="78">
        <f t="shared" si="587"/>
        <v>0</v>
      </c>
      <c r="BQ309" s="78">
        <f t="shared" si="587"/>
        <v>0</v>
      </c>
      <c r="BR309" s="78">
        <f t="shared" si="587"/>
        <v>0</v>
      </c>
      <c r="BS309" s="78">
        <f t="shared" si="587"/>
        <v>0</v>
      </c>
      <c r="BT309" s="78">
        <f t="shared" si="587"/>
        <v>0</v>
      </c>
      <c r="BU309" s="78">
        <f t="shared" si="587"/>
        <v>0</v>
      </c>
      <c r="BV309" s="78">
        <f t="shared" si="587"/>
        <v>0</v>
      </c>
      <c r="BW309" s="78">
        <f t="shared" si="587"/>
        <v>0</v>
      </c>
      <c r="BX309" s="78">
        <f t="shared" si="587"/>
        <v>0</v>
      </c>
      <c r="BY309" s="78">
        <f t="shared" si="587"/>
        <v>0</v>
      </c>
      <c r="BZ309" s="78">
        <f t="shared" si="587"/>
        <v>0</v>
      </c>
      <c r="CA309" s="78">
        <f t="shared" si="587"/>
        <v>0</v>
      </c>
      <c r="CB309" s="78">
        <f t="shared" si="587"/>
        <v>0</v>
      </c>
      <c r="CC309" s="78">
        <f t="shared" si="587"/>
        <v>0</v>
      </c>
      <c r="CD309" s="78">
        <f t="shared" si="587"/>
        <v>0</v>
      </c>
      <c r="CE309" s="78">
        <f t="shared" ref="CE309:DJ309" si="588">-MIN(SUM(CE307:CE308),-MIN(CE108,))</f>
        <v>0</v>
      </c>
      <c r="CF309" s="78">
        <f t="shared" si="588"/>
        <v>0</v>
      </c>
      <c r="CG309" s="78">
        <f t="shared" si="588"/>
        <v>0</v>
      </c>
      <c r="CH309" s="78">
        <f t="shared" si="588"/>
        <v>0</v>
      </c>
      <c r="CI309" s="78">
        <f t="shared" si="588"/>
        <v>0</v>
      </c>
      <c r="CJ309" s="78">
        <f t="shared" si="588"/>
        <v>0</v>
      </c>
      <c r="CK309" s="78">
        <f t="shared" si="588"/>
        <v>0</v>
      </c>
      <c r="CL309" s="78">
        <f t="shared" si="588"/>
        <v>0</v>
      </c>
      <c r="CM309" s="78">
        <f t="shared" si="588"/>
        <v>0</v>
      </c>
      <c r="CN309" s="78">
        <f t="shared" si="588"/>
        <v>0</v>
      </c>
      <c r="CO309" s="78">
        <f t="shared" si="588"/>
        <v>0</v>
      </c>
      <c r="CP309" s="78">
        <f t="shared" si="588"/>
        <v>0</v>
      </c>
      <c r="CQ309" s="78">
        <f t="shared" si="588"/>
        <v>0</v>
      </c>
      <c r="CR309" s="78">
        <f t="shared" si="588"/>
        <v>0</v>
      </c>
      <c r="CS309" s="78">
        <f t="shared" si="588"/>
        <v>0</v>
      </c>
      <c r="CT309" s="78">
        <f t="shared" si="588"/>
        <v>0</v>
      </c>
      <c r="CU309" s="78">
        <f t="shared" si="588"/>
        <v>0</v>
      </c>
      <c r="CV309" s="78">
        <f t="shared" si="588"/>
        <v>0</v>
      </c>
      <c r="CW309" s="78">
        <f t="shared" si="588"/>
        <v>0</v>
      </c>
      <c r="CX309" s="78">
        <f t="shared" si="588"/>
        <v>0</v>
      </c>
      <c r="CY309" s="78">
        <f t="shared" si="588"/>
        <v>0</v>
      </c>
      <c r="CZ309" s="78">
        <f t="shared" si="588"/>
        <v>0</v>
      </c>
      <c r="DA309" s="78">
        <f t="shared" si="588"/>
        <v>0</v>
      </c>
      <c r="DB309" s="78">
        <f t="shared" si="588"/>
        <v>0</v>
      </c>
      <c r="DC309" s="78">
        <f t="shared" si="588"/>
        <v>0</v>
      </c>
      <c r="DD309" s="78">
        <f t="shared" si="588"/>
        <v>0</v>
      </c>
      <c r="DE309" s="78">
        <f t="shared" si="588"/>
        <v>0</v>
      </c>
      <c r="DF309" s="78">
        <f t="shared" si="588"/>
        <v>0</v>
      </c>
      <c r="DG309" s="78">
        <f t="shared" si="588"/>
        <v>0</v>
      </c>
      <c r="DH309" s="78">
        <f t="shared" si="588"/>
        <v>0</v>
      </c>
      <c r="DI309" s="78">
        <f t="shared" si="588"/>
        <v>0</v>
      </c>
      <c r="DJ309" s="78">
        <f t="shared" si="588"/>
        <v>0</v>
      </c>
      <c r="DK309" s="78">
        <f t="shared" ref="DK309:EP309" si="589">-MIN(SUM(DK307:DK308),-MIN(DK108,))</f>
        <v>0</v>
      </c>
      <c r="DL309" s="78">
        <f t="shared" si="589"/>
        <v>0</v>
      </c>
      <c r="DM309" s="78">
        <f t="shared" si="589"/>
        <v>0</v>
      </c>
      <c r="DN309" s="78">
        <f t="shared" si="589"/>
        <v>0</v>
      </c>
      <c r="DO309" s="78">
        <f t="shared" si="589"/>
        <v>0</v>
      </c>
      <c r="DP309" s="78">
        <f t="shared" si="589"/>
        <v>0</v>
      </c>
      <c r="DQ309" s="78">
        <f t="shared" si="589"/>
        <v>0</v>
      </c>
      <c r="DR309" s="78">
        <f t="shared" si="589"/>
        <v>0</v>
      </c>
      <c r="DS309" s="78">
        <f t="shared" si="589"/>
        <v>0</v>
      </c>
      <c r="DT309" s="78">
        <f t="shared" si="589"/>
        <v>0</v>
      </c>
      <c r="DU309" s="78">
        <f t="shared" si="589"/>
        <v>0</v>
      </c>
      <c r="DV309" s="78">
        <f t="shared" si="589"/>
        <v>0</v>
      </c>
      <c r="DW309" s="78">
        <f t="shared" si="589"/>
        <v>0</v>
      </c>
      <c r="DX309" s="78">
        <f t="shared" si="589"/>
        <v>0</v>
      </c>
      <c r="DY309" s="78">
        <f t="shared" si="589"/>
        <v>0</v>
      </c>
      <c r="DZ309" s="78">
        <f t="shared" si="589"/>
        <v>0</v>
      </c>
      <c r="EA309" s="78">
        <f t="shared" si="589"/>
        <v>0</v>
      </c>
      <c r="EB309" s="78">
        <f t="shared" si="589"/>
        <v>0</v>
      </c>
      <c r="EC309" s="78">
        <f t="shared" si="589"/>
        <v>0</v>
      </c>
      <c r="ED309" s="78">
        <f t="shared" si="589"/>
        <v>0</v>
      </c>
      <c r="EE309" s="78">
        <f t="shared" si="589"/>
        <v>0</v>
      </c>
      <c r="EF309" s="78">
        <f t="shared" si="589"/>
        <v>0</v>
      </c>
      <c r="EG309" s="78">
        <f t="shared" si="589"/>
        <v>0</v>
      </c>
      <c r="EH309" s="78">
        <f t="shared" si="589"/>
        <v>0</v>
      </c>
      <c r="EI309" s="78">
        <f t="shared" si="589"/>
        <v>0</v>
      </c>
    </row>
    <row r="310" spans="2:139">
      <c r="B310" s="46" t="s">
        <v>595</v>
      </c>
      <c r="C310" s="209"/>
      <c r="D310" s="694">
        <f t="shared" ref="D310:N310" si="590">SUM(D307:D309)</f>
        <v>0</v>
      </c>
      <c r="E310" s="694">
        <f t="shared" si="590"/>
        <v>0</v>
      </c>
      <c r="F310" s="694">
        <f t="shared" si="590"/>
        <v>0</v>
      </c>
      <c r="G310" s="694">
        <f t="shared" si="590"/>
        <v>0</v>
      </c>
      <c r="H310" s="694">
        <f t="shared" si="590"/>
        <v>0</v>
      </c>
      <c r="I310" s="694">
        <f t="shared" si="590"/>
        <v>0</v>
      </c>
      <c r="J310" s="694">
        <f t="shared" si="590"/>
        <v>0</v>
      </c>
      <c r="K310" s="694">
        <f t="shared" si="590"/>
        <v>0</v>
      </c>
      <c r="L310" s="694">
        <f t="shared" si="590"/>
        <v>0</v>
      </c>
      <c r="M310" s="694">
        <f t="shared" si="590"/>
        <v>0</v>
      </c>
      <c r="N310" s="694">
        <f t="shared" si="590"/>
        <v>0</v>
      </c>
      <c r="O310" s="713"/>
      <c r="S310" s="694">
        <f t="shared" ref="S310:AX310" si="591">SUM(S307:S309)</f>
        <v>0</v>
      </c>
      <c r="T310" s="694">
        <f t="shared" si="591"/>
        <v>0</v>
      </c>
      <c r="U310" s="694">
        <f t="shared" si="591"/>
        <v>0</v>
      </c>
      <c r="V310" s="694">
        <f t="shared" si="591"/>
        <v>0</v>
      </c>
      <c r="W310" s="694">
        <f t="shared" si="591"/>
        <v>0</v>
      </c>
      <c r="X310" s="694">
        <f t="shared" si="591"/>
        <v>0</v>
      </c>
      <c r="Y310" s="694">
        <f t="shared" si="591"/>
        <v>0</v>
      </c>
      <c r="Z310" s="694">
        <f t="shared" si="591"/>
        <v>0</v>
      </c>
      <c r="AA310" s="694">
        <f t="shared" si="591"/>
        <v>0</v>
      </c>
      <c r="AB310" s="694">
        <f t="shared" si="591"/>
        <v>0</v>
      </c>
      <c r="AC310" s="694">
        <f t="shared" si="591"/>
        <v>0</v>
      </c>
      <c r="AD310" s="694">
        <f t="shared" si="591"/>
        <v>0</v>
      </c>
      <c r="AE310" s="694">
        <f t="shared" si="591"/>
        <v>0</v>
      </c>
      <c r="AF310" s="694">
        <f t="shared" si="591"/>
        <v>0</v>
      </c>
      <c r="AG310" s="694">
        <f t="shared" si="591"/>
        <v>0</v>
      </c>
      <c r="AH310" s="694">
        <f t="shared" si="591"/>
        <v>0</v>
      </c>
      <c r="AI310" s="694">
        <f t="shared" si="591"/>
        <v>0</v>
      </c>
      <c r="AJ310" s="694">
        <f t="shared" si="591"/>
        <v>0</v>
      </c>
      <c r="AK310" s="694">
        <f t="shared" si="591"/>
        <v>0</v>
      </c>
      <c r="AL310" s="694">
        <f t="shared" si="591"/>
        <v>0</v>
      </c>
      <c r="AM310" s="694">
        <f t="shared" si="591"/>
        <v>0</v>
      </c>
      <c r="AN310" s="694">
        <f t="shared" si="591"/>
        <v>0</v>
      </c>
      <c r="AO310" s="694">
        <f t="shared" si="591"/>
        <v>0</v>
      </c>
      <c r="AP310" s="694">
        <f t="shared" si="591"/>
        <v>0</v>
      </c>
      <c r="AQ310" s="694">
        <f t="shared" si="591"/>
        <v>0</v>
      </c>
      <c r="AR310" s="694">
        <f t="shared" si="591"/>
        <v>0</v>
      </c>
      <c r="AS310" s="694">
        <f t="shared" si="591"/>
        <v>0</v>
      </c>
      <c r="AT310" s="694">
        <f t="shared" si="591"/>
        <v>0</v>
      </c>
      <c r="AU310" s="694">
        <f t="shared" si="591"/>
        <v>0</v>
      </c>
      <c r="AV310" s="694">
        <f t="shared" si="591"/>
        <v>0</v>
      </c>
      <c r="AW310" s="694">
        <f t="shared" si="591"/>
        <v>0</v>
      </c>
      <c r="AX310" s="694">
        <f t="shared" si="591"/>
        <v>0</v>
      </c>
      <c r="AY310" s="694">
        <f t="shared" ref="AY310:CD310" si="592">SUM(AY307:AY309)</f>
        <v>0</v>
      </c>
      <c r="AZ310" s="694">
        <f t="shared" si="592"/>
        <v>0</v>
      </c>
      <c r="BA310" s="694">
        <f t="shared" si="592"/>
        <v>0</v>
      </c>
      <c r="BB310" s="694">
        <f t="shared" si="592"/>
        <v>0</v>
      </c>
      <c r="BC310" s="694">
        <f t="shared" si="592"/>
        <v>0</v>
      </c>
      <c r="BD310" s="694">
        <f t="shared" si="592"/>
        <v>0</v>
      </c>
      <c r="BE310" s="694">
        <f t="shared" si="592"/>
        <v>0</v>
      </c>
      <c r="BF310" s="694">
        <f t="shared" si="592"/>
        <v>0</v>
      </c>
      <c r="BG310" s="694">
        <f t="shared" si="592"/>
        <v>0</v>
      </c>
      <c r="BH310" s="694">
        <f t="shared" si="592"/>
        <v>0</v>
      </c>
      <c r="BI310" s="694">
        <f t="shared" si="592"/>
        <v>0</v>
      </c>
      <c r="BJ310" s="694">
        <f t="shared" si="592"/>
        <v>0</v>
      </c>
      <c r="BK310" s="694">
        <f t="shared" si="592"/>
        <v>0</v>
      </c>
      <c r="BL310" s="694">
        <f t="shared" si="592"/>
        <v>0</v>
      </c>
      <c r="BM310" s="694">
        <f t="shared" si="592"/>
        <v>0</v>
      </c>
      <c r="BN310" s="694">
        <f t="shared" si="592"/>
        <v>0</v>
      </c>
      <c r="BO310" s="694">
        <f t="shared" si="592"/>
        <v>0</v>
      </c>
      <c r="BP310" s="694">
        <f t="shared" si="592"/>
        <v>0</v>
      </c>
      <c r="BQ310" s="694">
        <f t="shared" si="592"/>
        <v>0</v>
      </c>
      <c r="BR310" s="694">
        <f t="shared" si="592"/>
        <v>0</v>
      </c>
      <c r="BS310" s="694">
        <f t="shared" si="592"/>
        <v>0</v>
      </c>
      <c r="BT310" s="694">
        <f t="shared" si="592"/>
        <v>0</v>
      </c>
      <c r="BU310" s="694">
        <f t="shared" si="592"/>
        <v>0</v>
      </c>
      <c r="BV310" s="694">
        <f t="shared" si="592"/>
        <v>0</v>
      </c>
      <c r="BW310" s="694">
        <f t="shared" si="592"/>
        <v>0</v>
      </c>
      <c r="BX310" s="694">
        <f t="shared" si="592"/>
        <v>0</v>
      </c>
      <c r="BY310" s="694">
        <f t="shared" si="592"/>
        <v>0</v>
      </c>
      <c r="BZ310" s="694">
        <f t="shared" si="592"/>
        <v>0</v>
      </c>
      <c r="CA310" s="694">
        <f t="shared" si="592"/>
        <v>0</v>
      </c>
      <c r="CB310" s="694">
        <f t="shared" si="592"/>
        <v>0</v>
      </c>
      <c r="CC310" s="694">
        <f t="shared" si="592"/>
        <v>0</v>
      </c>
      <c r="CD310" s="694">
        <f t="shared" si="592"/>
        <v>0</v>
      </c>
      <c r="CE310" s="694">
        <f t="shared" ref="CE310:DJ310" si="593">SUM(CE307:CE309)</f>
        <v>0</v>
      </c>
      <c r="CF310" s="694">
        <f t="shared" si="593"/>
        <v>0</v>
      </c>
      <c r="CG310" s="694">
        <f t="shared" si="593"/>
        <v>0</v>
      </c>
      <c r="CH310" s="694">
        <f t="shared" si="593"/>
        <v>0</v>
      </c>
      <c r="CI310" s="694">
        <f t="shared" si="593"/>
        <v>0</v>
      </c>
      <c r="CJ310" s="694">
        <f t="shared" si="593"/>
        <v>0</v>
      </c>
      <c r="CK310" s="694">
        <f t="shared" si="593"/>
        <v>0</v>
      </c>
      <c r="CL310" s="694">
        <f t="shared" si="593"/>
        <v>0</v>
      </c>
      <c r="CM310" s="694">
        <f t="shared" si="593"/>
        <v>0</v>
      </c>
      <c r="CN310" s="694">
        <f t="shared" si="593"/>
        <v>0</v>
      </c>
      <c r="CO310" s="694">
        <f t="shared" si="593"/>
        <v>0</v>
      </c>
      <c r="CP310" s="694">
        <f t="shared" si="593"/>
        <v>0</v>
      </c>
      <c r="CQ310" s="694">
        <f t="shared" si="593"/>
        <v>0</v>
      </c>
      <c r="CR310" s="694">
        <f t="shared" si="593"/>
        <v>0</v>
      </c>
      <c r="CS310" s="694">
        <f t="shared" si="593"/>
        <v>0</v>
      </c>
      <c r="CT310" s="694">
        <f t="shared" si="593"/>
        <v>0</v>
      </c>
      <c r="CU310" s="694">
        <f t="shared" si="593"/>
        <v>0</v>
      </c>
      <c r="CV310" s="694">
        <f t="shared" si="593"/>
        <v>0</v>
      </c>
      <c r="CW310" s="694">
        <f t="shared" si="593"/>
        <v>0</v>
      </c>
      <c r="CX310" s="694">
        <f t="shared" si="593"/>
        <v>0</v>
      </c>
      <c r="CY310" s="694">
        <f t="shared" si="593"/>
        <v>0</v>
      </c>
      <c r="CZ310" s="694">
        <f t="shared" si="593"/>
        <v>0</v>
      </c>
      <c r="DA310" s="694">
        <f t="shared" si="593"/>
        <v>0</v>
      </c>
      <c r="DB310" s="694">
        <f t="shared" si="593"/>
        <v>0</v>
      </c>
      <c r="DC310" s="694">
        <f t="shared" si="593"/>
        <v>0</v>
      </c>
      <c r="DD310" s="694">
        <f t="shared" si="593"/>
        <v>0</v>
      </c>
      <c r="DE310" s="694">
        <f t="shared" si="593"/>
        <v>0</v>
      </c>
      <c r="DF310" s="694">
        <f t="shared" si="593"/>
        <v>0</v>
      </c>
      <c r="DG310" s="694">
        <f t="shared" si="593"/>
        <v>0</v>
      </c>
      <c r="DH310" s="694">
        <f t="shared" si="593"/>
        <v>0</v>
      </c>
      <c r="DI310" s="694">
        <f t="shared" si="593"/>
        <v>0</v>
      </c>
      <c r="DJ310" s="694">
        <f t="shared" si="593"/>
        <v>0</v>
      </c>
      <c r="DK310" s="694">
        <f t="shared" ref="DK310:EP310" si="594">SUM(DK307:DK309)</f>
        <v>0</v>
      </c>
      <c r="DL310" s="694">
        <f t="shared" si="594"/>
        <v>0</v>
      </c>
      <c r="DM310" s="694">
        <f t="shared" si="594"/>
        <v>0</v>
      </c>
      <c r="DN310" s="694">
        <f t="shared" si="594"/>
        <v>0</v>
      </c>
      <c r="DO310" s="694">
        <f t="shared" si="594"/>
        <v>0</v>
      </c>
      <c r="DP310" s="694">
        <f t="shared" si="594"/>
        <v>0</v>
      </c>
      <c r="DQ310" s="694">
        <f t="shared" si="594"/>
        <v>0</v>
      </c>
      <c r="DR310" s="694">
        <f t="shared" si="594"/>
        <v>0</v>
      </c>
      <c r="DS310" s="694">
        <f t="shared" si="594"/>
        <v>0</v>
      </c>
      <c r="DT310" s="694">
        <f t="shared" si="594"/>
        <v>0</v>
      </c>
      <c r="DU310" s="694">
        <f t="shared" si="594"/>
        <v>0</v>
      </c>
      <c r="DV310" s="694">
        <f t="shared" si="594"/>
        <v>0</v>
      </c>
      <c r="DW310" s="694">
        <f t="shared" si="594"/>
        <v>0</v>
      </c>
      <c r="DX310" s="694">
        <f t="shared" si="594"/>
        <v>0</v>
      </c>
      <c r="DY310" s="694">
        <f t="shared" si="594"/>
        <v>0</v>
      </c>
      <c r="DZ310" s="694">
        <f t="shared" si="594"/>
        <v>0</v>
      </c>
      <c r="EA310" s="694">
        <f t="shared" si="594"/>
        <v>0</v>
      </c>
      <c r="EB310" s="694">
        <f t="shared" si="594"/>
        <v>0</v>
      </c>
      <c r="EC310" s="694">
        <f t="shared" si="594"/>
        <v>0</v>
      </c>
      <c r="ED310" s="694">
        <f t="shared" si="594"/>
        <v>0</v>
      </c>
      <c r="EE310" s="694">
        <f t="shared" si="594"/>
        <v>0</v>
      </c>
      <c r="EF310" s="694">
        <f t="shared" si="594"/>
        <v>0</v>
      </c>
      <c r="EG310" s="694">
        <f t="shared" si="594"/>
        <v>0</v>
      </c>
      <c r="EH310" s="694">
        <f t="shared" si="594"/>
        <v>0</v>
      </c>
      <c r="EI310" s="694">
        <f t="shared" si="594"/>
        <v>0</v>
      </c>
    </row>
    <row r="311" spans="2:139">
      <c r="B311" s="46"/>
      <c r="C311" s="209"/>
      <c r="D311" s="169"/>
      <c r="E311" s="169"/>
      <c r="F311" s="169"/>
      <c r="G311" s="169"/>
      <c r="H311" s="169"/>
      <c r="I311" s="169"/>
      <c r="J311" s="169"/>
      <c r="K311" s="169"/>
      <c r="L311" s="169"/>
      <c r="M311" s="169"/>
      <c r="N311" s="169"/>
      <c r="O311" s="91"/>
      <c r="S311" s="169"/>
      <c r="T311" s="169"/>
      <c r="U311" s="169"/>
      <c r="V311" s="169"/>
      <c r="W311" s="169"/>
      <c r="X311" s="169"/>
      <c r="Y311" s="169"/>
      <c r="Z311" s="169"/>
      <c r="AA311" s="169"/>
      <c r="AB311" s="169"/>
      <c r="AC311" s="169"/>
      <c r="AD311" s="169"/>
      <c r="AE311" s="169"/>
      <c r="AF311" s="169"/>
      <c r="AG311" s="169"/>
      <c r="AH311" s="169"/>
      <c r="AI311" s="169"/>
      <c r="AJ311" s="169"/>
      <c r="AK311" s="169"/>
      <c r="AL311" s="169"/>
      <c r="AM311" s="169"/>
      <c r="AN311" s="169"/>
      <c r="AO311" s="169"/>
      <c r="AP311" s="169"/>
      <c r="AQ311" s="169"/>
      <c r="AR311" s="169"/>
      <c r="AS311" s="169"/>
      <c r="AT311" s="169"/>
      <c r="AU311" s="169"/>
      <c r="AV311" s="169"/>
      <c r="AW311" s="169"/>
      <c r="AX311" s="169"/>
      <c r="AY311" s="169"/>
      <c r="AZ311" s="169"/>
      <c r="BA311" s="169"/>
      <c r="BB311" s="169"/>
      <c r="BC311" s="169"/>
      <c r="BD311" s="169"/>
      <c r="BE311" s="169"/>
      <c r="BF311" s="169"/>
      <c r="BG311" s="169"/>
      <c r="BH311" s="169"/>
      <c r="BI311" s="169"/>
      <c r="BJ311" s="169"/>
      <c r="BK311" s="169"/>
      <c r="BL311" s="169"/>
      <c r="BM311" s="169"/>
      <c r="BN311" s="169"/>
      <c r="BO311" s="169"/>
      <c r="BP311" s="169"/>
      <c r="BQ311" s="169"/>
      <c r="BR311" s="169"/>
      <c r="BS311" s="169"/>
      <c r="BT311" s="169"/>
      <c r="BU311" s="169"/>
      <c r="BV311" s="169"/>
      <c r="BW311" s="169"/>
      <c r="BX311" s="169"/>
      <c r="BY311" s="169"/>
      <c r="BZ311" s="169"/>
      <c r="CA311" s="169"/>
      <c r="CB311" s="169"/>
      <c r="CC311" s="169"/>
      <c r="CD311" s="169"/>
      <c r="CE311" s="169"/>
      <c r="CF311" s="169"/>
      <c r="CG311" s="169"/>
      <c r="CH311" s="169"/>
      <c r="CI311" s="169"/>
      <c r="CJ311" s="169"/>
      <c r="CK311" s="169"/>
      <c r="CL311" s="169"/>
      <c r="CM311" s="169"/>
      <c r="CN311" s="169"/>
      <c r="CO311" s="169"/>
      <c r="CP311" s="169"/>
      <c r="CQ311" s="169"/>
      <c r="CR311" s="169"/>
      <c r="CS311" s="169"/>
      <c r="CT311" s="169"/>
      <c r="CU311" s="169"/>
      <c r="CV311" s="169"/>
      <c r="CW311" s="169"/>
      <c r="CX311" s="169"/>
      <c r="CY311" s="169"/>
      <c r="CZ311" s="169"/>
      <c r="DA311" s="169"/>
      <c r="DB311" s="169"/>
      <c r="DC311" s="169"/>
      <c r="DD311" s="169"/>
      <c r="DE311" s="169"/>
      <c r="DF311" s="169"/>
      <c r="DG311" s="169"/>
      <c r="DH311" s="169"/>
      <c r="DI311" s="169"/>
      <c r="DJ311" s="169"/>
      <c r="DK311" s="169"/>
      <c r="DL311" s="169"/>
      <c r="DM311" s="169"/>
      <c r="DN311" s="169"/>
      <c r="DO311" s="169"/>
      <c r="DP311" s="169"/>
      <c r="DQ311" s="169"/>
      <c r="DR311" s="169"/>
      <c r="DS311" s="169"/>
      <c r="DT311" s="169"/>
      <c r="DU311" s="169"/>
      <c r="DV311" s="169"/>
      <c r="DW311" s="169"/>
      <c r="DX311" s="169"/>
      <c r="DY311" s="169"/>
      <c r="DZ311" s="169"/>
      <c r="EA311" s="169"/>
      <c r="EB311" s="169"/>
      <c r="EC311" s="169"/>
      <c r="ED311" s="169"/>
      <c r="EE311" s="169"/>
      <c r="EF311" s="169"/>
      <c r="EG311" s="169"/>
      <c r="EH311" s="169"/>
      <c r="EI311" s="169"/>
    </row>
    <row r="312" spans="2:139">
      <c r="F312" s="201"/>
    </row>
    <row r="313" spans="2:139">
      <c r="F313" s="201"/>
    </row>
    <row r="314" spans="2:139" s="192" customFormat="1" ht="14.25" customHeight="1">
      <c r="B314" s="1043" t="s">
        <v>627</v>
      </c>
      <c r="C314" s="196"/>
      <c r="D314" s="196"/>
      <c r="E314" s="196"/>
      <c r="F314" s="197"/>
      <c r="G314" s="197"/>
      <c r="H314" s="197"/>
      <c r="I314" s="197"/>
      <c r="J314" s="197"/>
      <c r="K314" s="197"/>
      <c r="L314" s="197"/>
      <c r="M314" s="197"/>
      <c r="N314" s="197"/>
      <c r="O314" s="197"/>
      <c r="P314"/>
      <c r="Q314"/>
      <c r="R314"/>
      <c r="S314" s="197"/>
      <c r="T314" s="197"/>
      <c r="U314" s="197"/>
      <c r="V314" s="197"/>
      <c r="W314" s="197"/>
      <c r="X314" s="197"/>
      <c r="Y314" s="197"/>
      <c r="Z314" s="197"/>
      <c r="AA314" s="197"/>
      <c r="AB314" s="197"/>
      <c r="AC314" s="197"/>
      <c r="AD314" s="197"/>
      <c r="AE314" s="197"/>
      <c r="AF314" s="197"/>
      <c r="AG314" s="197"/>
      <c r="AH314" s="197"/>
      <c r="AI314" s="197"/>
      <c r="AJ314" s="197"/>
      <c r="AK314" s="197"/>
      <c r="AL314" s="197"/>
      <c r="AM314" s="197"/>
      <c r="AN314" s="197"/>
      <c r="AO314" s="197"/>
      <c r="AP314" s="197"/>
      <c r="AQ314" s="197"/>
      <c r="AR314" s="197"/>
      <c r="AS314" s="197"/>
      <c r="AT314" s="197"/>
      <c r="AU314" s="197"/>
      <c r="AV314" s="197"/>
      <c r="AW314" s="197"/>
      <c r="AX314" s="197"/>
      <c r="AY314" s="197"/>
      <c r="AZ314" s="197"/>
      <c r="BA314" s="197"/>
      <c r="BB314" s="197"/>
      <c r="BC314" s="197"/>
      <c r="BD314" s="197"/>
      <c r="BE314" s="197"/>
      <c r="BF314" s="197"/>
      <c r="BG314" s="197"/>
      <c r="BH314" s="197"/>
      <c r="BI314" s="197"/>
      <c r="BJ314" s="197"/>
      <c r="BK314" s="197"/>
      <c r="BL314" s="197"/>
      <c r="BM314" s="197"/>
      <c r="BN314" s="197"/>
      <c r="BO314" s="197"/>
      <c r="BP314" s="197"/>
      <c r="BQ314" s="197"/>
      <c r="BR314" s="197"/>
      <c r="BS314" s="197"/>
      <c r="BT314" s="197"/>
      <c r="BU314" s="197"/>
      <c r="BV314" s="197"/>
      <c r="BW314" s="197"/>
      <c r="BX314" s="197"/>
      <c r="BY314" s="197"/>
      <c r="BZ314" s="197"/>
      <c r="CA314" s="197"/>
      <c r="CB314" s="197"/>
      <c r="CC314" s="197"/>
      <c r="CD314" s="197"/>
      <c r="CE314" s="197"/>
      <c r="CF314" s="197"/>
      <c r="CG314" s="197"/>
      <c r="CH314" s="197"/>
      <c r="CI314" s="197"/>
      <c r="CJ314" s="197"/>
      <c r="CK314" s="197"/>
      <c r="CL314" s="197"/>
      <c r="CM314" s="197"/>
      <c r="CN314" s="197"/>
      <c r="CO314" s="197"/>
      <c r="CP314" s="197"/>
      <c r="CQ314" s="197"/>
      <c r="CR314" s="197"/>
      <c r="CS314" s="197"/>
      <c r="CT314" s="197"/>
      <c r="CU314" s="197"/>
      <c r="CV314" s="197"/>
      <c r="CW314" s="197"/>
      <c r="CX314" s="197"/>
      <c r="CY314" s="197"/>
      <c r="CZ314" s="197"/>
      <c r="DA314" s="197"/>
      <c r="DB314" s="197"/>
      <c r="DC314" s="197"/>
      <c r="DD314" s="197"/>
      <c r="DE314" s="197"/>
      <c r="DF314" s="197"/>
      <c r="DG314" s="197"/>
      <c r="DH314" s="197"/>
      <c r="DI314" s="197"/>
      <c r="DJ314" s="197"/>
      <c r="DK314" s="197"/>
      <c r="DL314" s="197"/>
      <c r="DM314" s="197"/>
      <c r="DN314" s="197"/>
      <c r="DO314" s="197"/>
      <c r="DP314" s="197"/>
      <c r="DQ314" s="197"/>
      <c r="DR314" s="197"/>
      <c r="DS314" s="197"/>
      <c r="DT314" s="197"/>
      <c r="DU314" s="197"/>
      <c r="DV314" s="197"/>
      <c r="DW314" s="197"/>
      <c r="DX314" s="197"/>
      <c r="DY314" s="197"/>
      <c r="DZ314" s="197"/>
      <c r="EA314" s="197"/>
      <c r="EB314" s="197"/>
      <c r="EC314" s="197"/>
      <c r="ED314" s="197"/>
      <c r="EE314" s="197"/>
      <c r="EF314" s="197"/>
      <c r="EG314" s="197"/>
      <c r="EH314" s="197"/>
      <c r="EI314" s="197"/>
    </row>
    <row r="315" spans="2:139">
      <c r="B315" s="41" t="s">
        <v>593</v>
      </c>
      <c r="C315" s="211"/>
      <c r="D315" s="78"/>
      <c r="E315" s="78">
        <f t="shared" ref="E315:N315" si="595">D319*(E$5&lt;=MAX(YrOfExit,1))</f>
        <v>0</v>
      </c>
      <c r="F315" s="78">
        <f t="shared" si="595"/>
        <v>1013735.76</v>
      </c>
      <c r="G315" s="78">
        <f t="shared" si="595"/>
        <v>2069915.19</v>
      </c>
      <c r="H315" s="78">
        <f t="shared" si="595"/>
        <v>3188767.33</v>
      </c>
      <c r="I315" s="78">
        <f t="shared" si="595"/>
        <v>4356167.82</v>
      </c>
      <c r="J315" s="78">
        <f t="shared" si="595"/>
        <v>5573801.5800000001</v>
      </c>
      <c r="K315" s="78">
        <f t="shared" si="595"/>
        <v>6835331.3600000003</v>
      </c>
      <c r="L315" s="78">
        <f t="shared" si="595"/>
        <v>0</v>
      </c>
      <c r="M315" s="78">
        <f t="shared" si="595"/>
        <v>0</v>
      </c>
      <c r="N315" s="78">
        <f t="shared" si="595"/>
        <v>0</v>
      </c>
      <c r="O315" s="145"/>
      <c r="S315" s="78"/>
      <c r="T315" s="78">
        <f t="shared" ref="T315:AY315" si="596">S319*(T$6&lt;=MAX(YrOfExit,1))</f>
        <v>0</v>
      </c>
      <c r="U315" s="78">
        <f t="shared" si="596"/>
        <v>84477.979889255148</v>
      </c>
      <c r="V315" s="78">
        <f t="shared" si="596"/>
        <v>168955.9597785103</v>
      </c>
      <c r="W315" s="78">
        <f t="shared" si="596"/>
        <v>253433.93966776546</v>
      </c>
      <c r="X315" s="78">
        <f t="shared" si="596"/>
        <v>337911.91955702059</v>
      </c>
      <c r="Y315" s="78">
        <f t="shared" si="596"/>
        <v>422389.89944627573</v>
      </c>
      <c r="Z315" s="78">
        <f t="shared" si="596"/>
        <v>506867.87933553086</v>
      </c>
      <c r="AA315" s="78">
        <f t="shared" si="596"/>
        <v>591345.85922478605</v>
      </c>
      <c r="AB315" s="78">
        <f t="shared" si="596"/>
        <v>675823.83911404118</v>
      </c>
      <c r="AC315" s="78">
        <f t="shared" si="596"/>
        <v>760301.81900329632</v>
      </c>
      <c r="AD315" s="78">
        <f t="shared" si="596"/>
        <v>844779.79889255145</v>
      </c>
      <c r="AE315" s="78">
        <f t="shared" si="596"/>
        <v>929257.77878180658</v>
      </c>
      <c r="AF315" s="78">
        <f t="shared" si="596"/>
        <v>1013735.7586710617</v>
      </c>
      <c r="AG315" s="78">
        <f t="shared" si="596"/>
        <v>1100768.845385019</v>
      </c>
      <c r="AH315" s="78">
        <f t="shared" si="596"/>
        <v>1187979.472139772</v>
      </c>
      <c r="AI315" s="78">
        <f t="shared" si="596"/>
        <v>1275367.9321571328</v>
      </c>
      <c r="AJ315" s="78">
        <f t="shared" si="596"/>
        <v>1362934.5191431926</v>
      </c>
      <c r="AK315" s="78">
        <f t="shared" si="596"/>
        <v>1450679.5272891221</v>
      </c>
      <c r="AL315" s="78">
        <f t="shared" si="596"/>
        <v>1538603.2512719731</v>
      </c>
      <c r="AM315" s="78">
        <f t="shared" si="596"/>
        <v>1626705.9862554802</v>
      </c>
      <c r="AN315" s="78">
        <f t="shared" si="596"/>
        <v>1714988.0278908648</v>
      </c>
      <c r="AO315" s="78">
        <f t="shared" si="596"/>
        <v>1803449.6723176404</v>
      </c>
      <c r="AP315" s="78">
        <f t="shared" si="596"/>
        <v>1892091.216164419</v>
      </c>
      <c r="AQ315" s="78">
        <f t="shared" si="596"/>
        <v>1980912.956549719</v>
      </c>
      <c r="AR315" s="78">
        <f t="shared" si="596"/>
        <v>2069915.1910827742</v>
      </c>
      <c r="AS315" s="78">
        <f t="shared" si="596"/>
        <v>2161618.7971202289</v>
      </c>
      <c r="AT315" s="78">
        <f t="shared" si="596"/>
        <v>2253599.0385283628</v>
      </c>
      <c r="AU315" s="78">
        <f t="shared" si="596"/>
        <v>2345856.5975646288</v>
      </c>
      <c r="AV315" s="78">
        <f t="shared" si="596"/>
        <v>2438392.1581691103</v>
      </c>
      <c r="AW315" s="78">
        <f t="shared" si="596"/>
        <v>2531206.4059686721</v>
      </c>
      <c r="AX315" s="78">
        <f t="shared" si="596"/>
        <v>2624300.0282811187</v>
      </c>
      <c r="AY315" s="78">
        <f t="shared" si="596"/>
        <v>2717673.7141193668</v>
      </c>
      <c r="AZ315" s="78">
        <f t="shared" ref="AZ315:CE315" si="597">AY319*(AZ$6&lt;=MAX(YrOfExit,1))</f>
        <v>2811328.1541956244</v>
      </c>
      <c r="BA315" s="78">
        <f t="shared" si="597"/>
        <v>2905264.0409255819</v>
      </c>
      <c r="BB315" s="78">
        <f t="shared" si="597"/>
        <v>2999482.0684326142</v>
      </c>
      <c r="BC315" s="78">
        <f t="shared" si="597"/>
        <v>3093982.9325519912</v>
      </c>
      <c r="BD315" s="78">
        <f t="shared" si="597"/>
        <v>3188767.3308351003</v>
      </c>
      <c r="BE315" s="78">
        <f t="shared" si="597"/>
        <v>3284462.0476531647</v>
      </c>
      <c r="BF315" s="78">
        <f t="shared" si="597"/>
        <v>3380443.2429977846</v>
      </c>
      <c r="BG315" s="78">
        <f t="shared" si="597"/>
        <v>3476711.6234022905</v>
      </c>
      <c r="BH315" s="78">
        <f t="shared" si="597"/>
        <v>3573267.8971425146</v>
      </c>
      <c r="BI315" s="78">
        <f t="shared" si="597"/>
        <v>3670112.7742410884</v>
      </c>
      <c r="BJ315" s="78">
        <f t="shared" si="597"/>
        <v>3767246.9664717508</v>
      </c>
      <c r="BK315" s="78">
        <f t="shared" si="597"/>
        <v>3864671.1873636665</v>
      </c>
      <c r="BL315" s="78">
        <f t="shared" si="597"/>
        <v>3962386.1522057564</v>
      </c>
      <c r="BM315" s="78">
        <f t="shared" si="597"/>
        <v>4060392.5780510358</v>
      </c>
      <c r="BN315" s="78">
        <f t="shared" si="597"/>
        <v>4158691.1837209668</v>
      </c>
      <c r="BO315" s="78">
        <f t="shared" si="597"/>
        <v>4257282.6898098197</v>
      </c>
      <c r="BP315" s="78">
        <f t="shared" si="597"/>
        <v>4356167.8186890427</v>
      </c>
      <c r="BQ315" s="78">
        <f t="shared" si="597"/>
        <v>4455992.16216412</v>
      </c>
      <c r="BR315" s="78">
        <f t="shared" si="597"/>
        <v>4556113.1689391471</v>
      </c>
      <c r="BS315" s="78">
        <f t="shared" si="597"/>
        <v>4656531.570665854</v>
      </c>
      <c r="BT315" s="78">
        <f t="shared" si="597"/>
        <v>4757248.1008004211</v>
      </c>
      <c r="BU315" s="78">
        <f t="shared" si="597"/>
        <v>4858263.4946079282</v>
      </c>
      <c r="BV315" s="78">
        <f t="shared" si="597"/>
        <v>4959578.4891668176</v>
      </c>
      <c r="BW315" s="78">
        <f t="shared" si="597"/>
        <v>5061193.8233733671</v>
      </c>
      <c r="BX315" s="78">
        <f t="shared" si="597"/>
        <v>5163110.2379461704</v>
      </c>
      <c r="BY315" s="78">
        <f t="shared" si="597"/>
        <v>5265328.4754306339</v>
      </c>
      <c r="BZ315" s="78">
        <f t="shared" si="597"/>
        <v>5367849.2802034821</v>
      </c>
      <c r="CA315" s="78">
        <f t="shared" si="597"/>
        <v>5470673.3984772712</v>
      </c>
      <c r="CB315" s="78">
        <f t="shared" si="597"/>
        <v>5573801.5783049213</v>
      </c>
      <c r="CC315" s="78">
        <f t="shared" si="597"/>
        <v>5677234.5695842505</v>
      </c>
      <c r="CD315" s="78">
        <f t="shared" si="597"/>
        <v>5780973.1240625288</v>
      </c>
      <c r="CE315" s="78">
        <f t="shared" si="597"/>
        <v>5885017.9953410374</v>
      </c>
      <c r="CF315" s="78">
        <f t="shared" ref="CF315:DK315" si="598">CE319*(CF$6&lt;=MAX(YrOfExit,1))</f>
        <v>5989369.9388796417</v>
      </c>
      <c r="CG315" s="78">
        <f t="shared" si="598"/>
        <v>6094029.712001374</v>
      </c>
      <c r="CH315" s="78">
        <f t="shared" si="598"/>
        <v>6198998.0738970302</v>
      </c>
      <c r="CI315" s="78">
        <f t="shared" si="598"/>
        <v>6304275.7856297763</v>
      </c>
      <c r="CJ315" s="78">
        <f t="shared" si="598"/>
        <v>6409863.6101397639</v>
      </c>
      <c r="CK315" s="78">
        <f t="shared" si="598"/>
        <v>6515762.3122487618</v>
      </c>
      <c r="CL315" s="78">
        <f t="shared" si="598"/>
        <v>6621972.6586647956</v>
      </c>
      <c r="CM315" s="78">
        <f t="shared" si="598"/>
        <v>6728495.417986799</v>
      </c>
      <c r="CN315" s="78">
        <f t="shared" si="598"/>
        <v>6835331.3607092779</v>
      </c>
      <c r="CO315" s="78">
        <f t="shared" si="598"/>
        <v>6942481.2592269871</v>
      </c>
      <c r="CP315" s="78">
        <f t="shared" si="598"/>
        <v>7049945.8878396135</v>
      </c>
      <c r="CQ315" s="78">
        <f t="shared" si="598"/>
        <v>7157726.0227564778</v>
      </c>
      <c r="CR315" s="78">
        <f t="shared" si="598"/>
        <v>7265822.4421012402</v>
      </c>
      <c r="CS315" s="78">
        <f t="shared" si="598"/>
        <v>7374235.9259166243</v>
      </c>
      <c r="CT315" s="78">
        <f t="shared" si="598"/>
        <v>7482967.2561691506</v>
      </c>
      <c r="CU315" s="78">
        <f t="shared" si="598"/>
        <v>7592017.2167538786</v>
      </c>
      <c r="CV315" s="78">
        <f t="shared" si="598"/>
        <v>7701386.593499166</v>
      </c>
      <c r="CW315" s="78">
        <f t="shared" si="598"/>
        <v>7811076.1741714338</v>
      </c>
      <c r="CX315" s="78">
        <f t="shared" si="598"/>
        <v>7921086.7484799484</v>
      </c>
      <c r="CY315" s="78">
        <f t="shared" si="598"/>
        <v>8031419.1080816118</v>
      </c>
      <c r="CZ315" s="78">
        <f t="shared" si="598"/>
        <v>0</v>
      </c>
      <c r="DA315" s="78">
        <f t="shared" si="598"/>
        <v>0</v>
      </c>
      <c r="DB315" s="78">
        <f t="shared" si="598"/>
        <v>0</v>
      </c>
      <c r="DC315" s="78">
        <f t="shared" si="598"/>
        <v>0</v>
      </c>
      <c r="DD315" s="78">
        <f t="shared" si="598"/>
        <v>0</v>
      </c>
      <c r="DE315" s="78">
        <f t="shared" si="598"/>
        <v>0</v>
      </c>
      <c r="DF315" s="78">
        <f t="shared" si="598"/>
        <v>0</v>
      </c>
      <c r="DG315" s="78">
        <f t="shared" si="598"/>
        <v>0</v>
      </c>
      <c r="DH315" s="78">
        <f t="shared" si="598"/>
        <v>0</v>
      </c>
      <c r="DI315" s="78">
        <f t="shared" si="598"/>
        <v>0</v>
      </c>
      <c r="DJ315" s="78">
        <f t="shared" si="598"/>
        <v>0</v>
      </c>
      <c r="DK315" s="78">
        <f t="shared" si="598"/>
        <v>0</v>
      </c>
      <c r="DL315" s="78">
        <f t="shared" ref="DL315:EI315" si="599">DK319*(DL$6&lt;=MAX(YrOfExit,1))</f>
        <v>0</v>
      </c>
      <c r="DM315" s="78">
        <f t="shared" si="599"/>
        <v>0</v>
      </c>
      <c r="DN315" s="78">
        <f t="shared" si="599"/>
        <v>0</v>
      </c>
      <c r="DO315" s="78">
        <f t="shared" si="599"/>
        <v>0</v>
      </c>
      <c r="DP315" s="78">
        <f t="shared" si="599"/>
        <v>0</v>
      </c>
      <c r="DQ315" s="78">
        <f t="shared" si="599"/>
        <v>0</v>
      </c>
      <c r="DR315" s="78">
        <f t="shared" si="599"/>
        <v>0</v>
      </c>
      <c r="DS315" s="78">
        <f t="shared" si="599"/>
        <v>0</v>
      </c>
      <c r="DT315" s="78">
        <f t="shared" si="599"/>
        <v>0</v>
      </c>
      <c r="DU315" s="78">
        <f t="shared" si="599"/>
        <v>0</v>
      </c>
      <c r="DV315" s="78">
        <f t="shared" si="599"/>
        <v>0</v>
      </c>
      <c r="DW315" s="78">
        <f t="shared" si="599"/>
        <v>0</v>
      </c>
      <c r="DX315" s="78">
        <f t="shared" si="599"/>
        <v>0</v>
      </c>
      <c r="DY315" s="78">
        <f t="shared" si="599"/>
        <v>0</v>
      </c>
      <c r="DZ315" s="78">
        <f t="shared" si="599"/>
        <v>0</v>
      </c>
      <c r="EA315" s="78">
        <f t="shared" si="599"/>
        <v>0</v>
      </c>
      <c r="EB315" s="78">
        <f t="shared" si="599"/>
        <v>0</v>
      </c>
      <c r="EC315" s="78">
        <f t="shared" si="599"/>
        <v>0</v>
      </c>
      <c r="ED315" s="78">
        <f t="shared" si="599"/>
        <v>0</v>
      </c>
      <c r="EE315" s="78">
        <f t="shared" si="599"/>
        <v>0</v>
      </c>
      <c r="EF315" s="78">
        <f t="shared" si="599"/>
        <v>0</v>
      </c>
      <c r="EG315" s="78">
        <f t="shared" si="599"/>
        <v>0</v>
      </c>
      <c r="EH315" s="78">
        <f t="shared" si="599"/>
        <v>0</v>
      </c>
      <c r="EI315" s="78">
        <f t="shared" si="599"/>
        <v>0</v>
      </c>
    </row>
    <row r="316" spans="2:139">
      <c r="B316" s="41" t="s">
        <v>484</v>
      </c>
      <c r="C316" s="211"/>
      <c r="D316" s="78">
        <f t="shared" ref="D316:N316" si="600">IF(IrrCalculationType=170,MAX(D108-D308,),SUMIF($S$6:$EI$6,D$5,$S316:$EI316))</f>
        <v>0</v>
      </c>
      <c r="E316" s="78">
        <f t="shared" si="600"/>
        <v>1013735.7586710614</v>
      </c>
      <c r="F316" s="78">
        <f t="shared" si="600"/>
        <v>1056179.4324117121</v>
      </c>
      <c r="G316" s="78">
        <f t="shared" si="600"/>
        <v>1118852.1397523265</v>
      </c>
      <c r="H316" s="78">
        <f t="shared" si="600"/>
        <v>1167400.4878539424</v>
      </c>
      <c r="I316" s="78">
        <f t="shared" si="600"/>
        <v>1217633.7596158781</v>
      </c>
      <c r="J316" s="78">
        <f t="shared" si="600"/>
        <v>1261529.7824043559</v>
      </c>
      <c r="K316" s="78">
        <f t="shared" si="600"/>
        <v>25912414.985018022</v>
      </c>
      <c r="L316" s="78">
        <f t="shared" si="600"/>
        <v>0</v>
      </c>
      <c r="M316" s="78">
        <f t="shared" si="600"/>
        <v>0</v>
      </c>
      <c r="N316" s="78">
        <f t="shared" si="600"/>
        <v>0</v>
      </c>
      <c r="O316" s="145">
        <f>SUM(D316:N316)</f>
        <v>32747746.345727298</v>
      </c>
      <c r="S316" s="78">
        <f t="shared" ref="S316:AX316" si="601">MAX(S108-S308,)</f>
        <v>0</v>
      </c>
      <c r="T316" s="78">
        <f t="shared" si="601"/>
        <v>84477.979889255148</v>
      </c>
      <c r="U316" s="78">
        <f t="shared" si="601"/>
        <v>84477.979889255148</v>
      </c>
      <c r="V316" s="78">
        <f t="shared" si="601"/>
        <v>84477.979889255148</v>
      </c>
      <c r="W316" s="78">
        <f t="shared" si="601"/>
        <v>84477.979889255148</v>
      </c>
      <c r="X316" s="78">
        <f t="shared" si="601"/>
        <v>84477.979889255148</v>
      </c>
      <c r="Y316" s="78">
        <f t="shared" si="601"/>
        <v>84477.979889255148</v>
      </c>
      <c r="Z316" s="78">
        <f t="shared" si="601"/>
        <v>84477.979889255148</v>
      </c>
      <c r="AA316" s="78">
        <f t="shared" si="601"/>
        <v>84477.979889255148</v>
      </c>
      <c r="AB316" s="78">
        <f t="shared" si="601"/>
        <v>84477.979889255148</v>
      </c>
      <c r="AC316" s="78">
        <f t="shared" si="601"/>
        <v>84477.979889255148</v>
      </c>
      <c r="AD316" s="78">
        <f t="shared" si="601"/>
        <v>84477.979889255148</v>
      </c>
      <c r="AE316" s="78">
        <f t="shared" si="601"/>
        <v>84477.979889255148</v>
      </c>
      <c r="AF316" s="78">
        <f t="shared" si="601"/>
        <v>87033.086713957251</v>
      </c>
      <c r="AG316" s="78">
        <f t="shared" si="601"/>
        <v>87210.626754753146</v>
      </c>
      <c r="AH316" s="78">
        <f t="shared" si="601"/>
        <v>87388.460017360761</v>
      </c>
      <c r="AI316" s="78">
        <f t="shared" si="601"/>
        <v>87566.586986059745</v>
      </c>
      <c r="AJ316" s="78">
        <f t="shared" si="601"/>
        <v>87745.008145929634</v>
      </c>
      <c r="AK316" s="78">
        <f t="shared" si="601"/>
        <v>87923.723982850977</v>
      </c>
      <c r="AL316" s="78">
        <f t="shared" si="601"/>
        <v>88102.73498350702</v>
      </c>
      <c r="AM316" s="78">
        <f t="shared" si="601"/>
        <v>88282.041635384507</v>
      </c>
      <c r="AN316" s="78">
        <f t="shared" si="601"/>
        <v>88461.644426775616</v>
      </c>
      <c r="AO316" s="78">
        <f t="shared" si="601"/>
        <v>88641.543846778673</v>
      </c>
      <c r="AP316" s="78">
        <f t="shared" si="601"/>
        <v>88821.740385300072</v>
      </c>
      <c r="AQ316" s="78">
        <f t="shared" si="601"/>
        <v>89002.234533055191</v>
      </c>
      <c r="AR316" s="78">
        <f t="shared" si="601"/>
        <v>91703.606037454709</v>
      </c>
      <c r="AS316" s="78">
        <f t="shared" si="601"/>
        <v>91980.241408134083</v>
      </c>
      <c r="AT316" s="78">
        <f t="shared" si="601"/>
        <v>92257.559036266102</v>
      </c>
      <c r="AU316" s="78">
        <f t="shared" si="601"/>
        <v>92535.560604481725</v>
      </c>
      <c r="AV316" s="78">
        <f t="shared" si="601"/>
        <v>92814.247799561665</v>
      </c>
      <c r="AW316" s="78">
        <f t="shared" si="601"/>
        <v>93093.622312446765</v>
      </c>
      <c r="AX316" s="78">
        <f t="shared" si="601"/>
        <v>93373.685838248173</v>
      </c>
      <c r="AY316" s="78">
        <f t="shared" ref="AY316:CD316" si="602">MAX(AY108-AY308,)</f>
        <v>93654.440076257568</v>
      </c>
      <c r="AZ316" s="78">
        <f t="shared" si="602"/>
        <v>93935.886729957609</v>
      </c>
      <c r="BA316" s="78">
        <f t="shared" si="602"/>
        <v>94218.027507032166</v>
      </c>
      <c r="BB316" s="78">
        <f t="shared" si="602"/>
        <v>94500.864119376783</v>
      </c>
      <c r="BC316" s="78">
        <f t="shared" si="602"/>
        <v>94784.398283108952</v>
      </c>
      <c r="BD316" s="78">
        <f t="shared" si="602"/>
        <v>95694.716818064364</v>
      </c>
      <c r="BE316" s="78">
        <f t="shared" si="602"/>
        <v>95981.19534461986</v>
      </c>
      <c r="BF316" s="78">
        <f t="shared" si="602"/>
        <v>96268.380404505791</v>
      </c>
      <c r="BG316" s="78">
        <f t="shared" si="602"/>
        <v>96556.273740223987</v>
      </c>
      <c r="BH316" s="78">
        <f t="shared" si="602"/>
        <v>96844.877098573779</v>
      </c>
      <c r="BI316" s="78">
        <f t="shared" si="602"/>
        <v>97134.19223066236</v>
      </c>
      <c r="BJ316" s="78">
        <f t="shared" si="602"/>
        <v>97424.220891915902</v>
      </c>
      <c r="BK316" s="78">
        <f t="shared" si="602"/>
        <v>97714.96484208983</v>
      </c>
      <c r="BL316" s="78">
        <f t="shared" si="602"/>
        <v>98006.425845279533</v>
      </c>
      <c r="BM316" s="78">
        <f t="shared" si="602"/>
        <v>98298.605669931247</v>
      </c>
      <c r="BN316" s="78">
        <f t="shared" si="602"/>
        <v>98591.506088852504</v>
      </c>
      <c r="BO316" s="78">
        <f t="shared" si="602"/>
        <v>98885.12887922331</v>
      </c>
      <c r="BP316" s="78">
        <f t="shared" si="602"/>
        <v>99824.343475076836</v>
      </c>
      <c r="BQ316" s="78">
        <f t="shared" si="602"/>
        <v>100121.0067750274</v>
      </c>
      <c r="BR316" s="78">
        <f t="shared" si="602"/>
        <v>100418.40172670723</v>
      </c>
      <c r="BS316" s="78">
        <f t="shared" si="602"/>
        <v>100716.53013456677</v>
      </c>
      <c r="BT316" s="78">
        <f t="shared" si="602"/>
        <v>101015.39380750692</v>
      </c>
      <c r="BU316" s="78">
        <f t="shared" si="602"/>
        <v>101314.99455888965</v>
      </c>
      <c r="BV316" s="78">
        <f t="shared" si="602"/>
        <v>101615.33420654933</v>
      </c>
      <c r="BW316" s="78">
        <f t="shared" si="602"/>
        <v>101916.41457280342</v>
      </c>
      <c r="BX316" s="78">
        <f t="shared" si="602"/>
        <v>102218.23748446381</v>
      </c>
      <c r="BY316" s="78">
        <f t="shared" si="602"/>
        <v>102520.80477284787</v>
      </c>
      <c r="BZ316" s="78">
        <f t="shared" si="602"/>
        <v>102824.11827378934</v>
      </c>
      <c r="CA316" s="78">
        <f t="shared" si="602"/>
        <v>103128.17982764966</v>
      </c>
      <c r="CB316" s="78">
        <f t="shared" si="602"/>
        <v>103432.99127932928</v>
      </c>
      <c r="CC316" s="78">
        <f t="shared" si="602"/>
        <v>103738.55447827833</v>
      </c>
      <c r="CD316" s="78">
        <f t="shared" si="602"/>
        <v>104044.87127850854</v>
      </c>
      <c r="CE316" s="78">
        <f t="shared" ref="CE316:DJ316" si="603">MAX(CE108-CE308,)</f>
        <v>104351.9435386039</v>
      </c>
      <c r="CF316" s="78">
        <f t="shared" si="603"/>
        <v>104659.77312173223</v>
      </c>
      <c r="CG316" s="78">
        <f t="shared" si="603"/>
        <v>104968.36189565645</v>
      </c>
      <c r="CH316" s="78">
        <f t="shared" si="603"/>
        <v>105277.71173274587</v>
      </c>
      <c r="CI316" s="78">
        <f t="shared" si="603"/>
        <v>105587.82450998758</v>
      </c>
      <c r="CJ316" s="78">
        <f t="shared" si="603"/>
        <v>105898.70210899782</v>
      </c>
      <c r="CK316" s="78">
        <f t="shared" si="603"/>
        <v>106210.34641603337</v>
      </c>
      <c r="CL316" s="78">
        <f t="shared" si="603"/>
        <v>106522.75932200308</v>
      </c>
      <c r="CM316" s="78">
        <f t="shared" si="603"/>
        <v>106835.94272247929</v>
      </c>
      <c r="CN316" s="78">
        <f t="shared" si="603"/>
        <v>107149.89851770923</v>
      </c>
      <c r="CO316" s="78">
        <f t="shared" si="603"/>
        <v>107464.62861262681</v>
      </c>
      <c r="CP316" s="78">
        <f t="shared" si="603"/>
        <v>107780.13491686393</v>
      </c>
      <c r="CQ316" s="78">
        <f t="shared" si="603"/>
        <v>108096.41934476214</v>
      </c>
      <c r="CR316" s="78">
        <f t="shared" si="603"/>
        <v>108413.48381538433</v>
      </c>
      <c r="CS316" s="78">
        <f t="shared" si="603"/>
        <v>108731.33025252627</v>
      </c>
      <c r="CT316" s="78">
        <f t="shared" si="603"/>
        <v>109049.96058472837</v>
      </c>
      <c r="CU316" s="78">
        <f t="shared" si="603"/>
        <v>109369.37674528733</v>
      </c>
      <c r="CV316" s="78">
        <f t="shared" si="603"/>
        <v>109689.58067226791</v>
      </c>
      <c r="CW316" s="78">
        <f t="shared" si="603"/>
        <v>110010.57430851454</v>
      </c>
      <c r="CX316" s="78">
        <f t="shared" si="603"/>
        <v>110332.35960166334</v>
      </c>
      <c r="CY316" s="78">
        <f t="shared" si="603"/>
        <v>24716327.237645686</v>
      </c>
      <c r="CZ316" s="78">
        <f t="shared" si="603"/>
        <v>0</v>
      </c>
      <c r="DA316" s="78">
        <f t="shared" si="603"/>
        <v>0</v>
      </c>
      <c r="DB316" s="78">
        <f t="shared" si="603"/>
        <v>0</v>
      </c>
      <c r="DC316" s="78">
        <f t="shared" si="603"/>
        <v>0</v>
      </c>
      <c r="DD316" s="78">
        <f t="shared" si="603"/>
        <v>0</v>
      </c>
      <c r="DE316" s="78">
        <f t="shared" si="603"/>
        <v>0</v>
      </c>
      <c r="DF316" s="78">
        <f t="shared" si="603"/>
        <v>0</v>
      </c>
      <c r="DG316" s="78">
        <f t="shared" si="603"/>
        <v>0</v>
      </c>
      <c r="DH316" s="78">
        <f t="shared" si="603"/>
        <v>0</v>
      </c>
      <c r="DI316" s="78">
        <f t="shared" si="603"/>
        <v>0</v>
      </c>
      <c r="DJ316" s="78">
        <f t="shared" si="603"/>
        <v>0</v>
      </c>
      <c r="DK316" s="78">
        <f t="shared" ref="DK316:EI316" si="604">MAX(DK108-DK308,)</f>
        <v>0</v>
      </c>
      <c r="DL316" s="78">
        <f t="shared" si="604"/>
        <v>0</v>
      </c>
      <c r="DM316" s="78">
        <f t="shared" si="604"/>
        <v>0</v>
      </c>
      <c r="DN316" s="78">
        <f t="shared" si="604"/>
        <v>0</v>
      </c>
      <c r="DO316" s="78">
        <f t="shared" si="604"/>
        <v>0</v>
      </c>
      <c r="DP316" s="78">
        <f t="shared" si="604"/>
        <v>0</v>
      </c>
      <c r="DQ316" s="78">
        <f t="shared" si="604"/>
        <v>0</v>
      </c>
      <c r="DR316" s="78">
        <f t="shared" si="604"/>
        <v>0</v>
      </c>
      <c r="DS316" s="78">
        <f t="shared" si="604"/>
        <v>0</v>
      </c>
      <c r="DT316" s="78">
        <f t="shared" si="604"/>
        <v>0</v>
      </c>
      <c r="DU316" s="78">
        <f t="shared" si="604"/>
        <v>0</v>
      </c>
      <c r="DV316" s="78">
        <f t="shared" si="604"/>
        <v>0</v>
      </c>
      <c r="DW316" s="78">
        <f t="shared" si="604"/>
        <v>0</v>
      </c>
      <c r="DX316" s="78">
        <f t="shared" si="604"/>
        <v>0</v>
      </c>
      <c r="DY316" s="78">
        <f t="shared" si="604"/>
        <v>0</v>
      </c>
      <c r="DZ316" s="78">
        <f t="shared" si="604"/>
        <v>0</v>
      </c>
      <c r="EA316" s="78">
        <f t="shared" si="604"/>
        <v>0</v>
      </c>
      <c r="EB316" s="78">
        <f t="shared" si="604"/>
        <v>0</v>
      </c>
      <c r="EC316" s="78">
        <f t="shared" si="604"/>
        <v>0</v>
      </c>
      <c r="ED316" s="78">
        <f t="shared" si="604"/>
        <v>0</v>
      </c>
      <c r="EE316" s="78">
        <f t="shared" si="604"/>
        <v>0</v>
      </c>
      <c r="EF316" s="78">
        <f t="shared" si="604"/>
        <v>0</v>
      </c>
      <c r="EG316" s="78">
        <f t="shared" si="604"/>
        <v>0</v>
      </c>
      <c r="EH316" s="78">
        <f t="shared" si="604"/>
        <v>0</v>
      </c>
      <c r="EI316" s="78">
        <f t="shared" si="604"/>
        <v>0</v>
      </c>
    </row>
    <row r="317" spans="2:139">
      <c r="B317" s="41" t="s">
        <v>628</v>
      </c>
      <c r="C317" s="211"/>
      <c r="D317" s="78">
        <f t="shared" ref="D317:N317" si="605">IF(IrrCalculationType=170,MIN(D108-D309,),SUMIF($S$6:$EI$6,D$5,$S317:$EI317))</f>
        <v>-13009400</v>
      </c>
      <c r="E317" s="78">
        <f t="shared" si="605"/>
        <v>0</v>
      </c>
      <c r="F317" s="78">
        <f t="shared" si="605"/>
        <v>0</v>
      </c>
      <c r="G317" s="78">
        <f t="shared" si="605"/>
        <v>0</v>
      </c>
      <c r="H317" s="78">
        <f t="shared" si="605"/>
        <v>0</v>
      </c>
      <c r="I317" s="78">
        <f t="shared" si="605"/>
        <v>0</v>
      </c>
      <c r="J317" s="78">
        <f t="shared" si="605"/>
        <v>0</v>
      </c>
      <c r="K317" s="78">
        <f t="shared" si="605"/>
        <v>0</v>
      </c>
      <c r="L317" s="78">
        <f t="shared" si="605"/>
        <v>0</v>
      </c>
      <c r="M317" s="78">
        <f t="shared" si="605"/>
        <v>0</v>
      </c>
      <c r="N317" s="78">
        <f t="shared" si="605"/>
        <v>0</v>
      </c>
      <c r="O317" s="145">
        <f>SUM(D317:N317)</f>
        <v>-13009400</v>
      </c>
      <c r="S317" s="78">
        <f t="shared" ref="S317:AX317" si="606">MIN(S108-S309,)</f>
        <v>-13009400</v>
      </c>
      <c r="T317" s="78">
        <f t="shared" si="606"/>
        <v>0</v>
      </c>
      <c r="U317" s="78">
        <f t="shared" si="606"/>
        <v>0</v>
      </c>
      <c r="V317" s="78">
        <f t="shared" si="606"/>
        <v>0</v>
      </c>
      <c r="W317" s="78">
        <f t="shared" si="606"/>
        <v>0</v>
      </c>
      <c r="X317" s="78">
        <f t="shared" si="606"/>
        <v>0</v>
      </c>
      <c r="Y317" s="78">
        <f t="shared" si="606"/>
        <v>0</v>
      </c>
      <c r="Z317" s="78">
        <f t="shared" si="606"/>
        <v>0</v>
      </c>
      <c r="AA317" s="78">
        <f t="shared" si="606"/>
        <v>0</v>
      </c>
      <c r="AB317" s="78">
        <f t="shared" si="606"/>
        <v>0</v>
      </c>
      <c r="AC317" s="78">
        <f t="shared" si="606"/>
        <v>0</v>
      </c>
      <c r="AD317" s="78">
        <f t="shared" si="606"/>
        <v>0</v>
      </c>
      <c r="AE317" s="78">
        <f t="shared" si="606"/>
        <v>0</v>
      </c>
      <c r="AF317" s="78">
        <f t="shared" si="606"/>
        <v>0</v>
      </c>
      <c r="AG317" s="78">
        <f t="shared" si="606"/>
        <v>0</v>
      </c>
      <c r="AH317" s="78">
        <f t="shared" si="606"/>
        <v>0</v>
      </c>
      <c r="AI317" s="78">
        <f t="shared" si="606"/>
        <v>0</v>
      </c>
      <c r="AJ317" s="78">
        <f t="shared" si="606"/>
        <v>0</v>
      </c>
      <c r="AK317" s="78">
        <f t="shared" si="606"/>
        <v>0</v>
      </c>
      <c r="AL317" s="78">
        <f t="shared" si="606"/>
        <v>0</v>
      </c>
      <c r="AM317" s="78">
        <f t="shared" si="606"/>
        <v>0</v>
      </c>
      <c r="AN317" s="78">
        <f t="shared" si="606"/>
        <v>0</v>
      </c>
      <c r="AO317" s="78">
        <f t="shared" si="606"/>
        <v>0</v>
      </c>
      <c r="AP317" s="78">
        <f t="shared" si="606"/>
        <v>0</v>
      </c>
      <c r="AQ317" s="78">
        <f t="shared" si="606"/>
        <v>0</v>
      </c>
      <c r="AR317" s="78">
        <f t="shared" si="606"/>
        <v>0</v>
      </c>
      <c r="AS317" s="78">
        <f t="shared" si="606"/>
        <v>0</v>
      </c>
      <c r="AT317" s="78">
        <f t="shared" si="606"/>
        <v>0</v>
      </c>
      <c r="AU317" s="78">
        <f t="shared" si="606"/>
        <v>0</v>
      </c>
      <c r="AV317" s="78">
        <f t="shared" si="606"/>
        <v>0</v>
      </c>
      <c r="AW317" s="78">
        <f t="shared" si="606"/>
        <v>0</v>
      </c>
      <c r="AX317" s="78">
        <f t="shared" si="606"/>
        <v>0</v>
      </c>
      <c r="AY317" s="78">
        <f t="shared" ref="AY317:CD317" si="607">MIN(AY108-AY309,)</f>
        <v>0</v>
      </c>
      <c r="AZ317" s="78">
        <f t="shared" si="607"/>
        <v>0</v>
      </c>
      <c r="BA317" s="78">
        <f t="shared" si="607"/>
        <v>0</v>
      </c>
      <c r="BB317" s="78">
        <f t="shared" si="607"/>
        <v>0</v>
      </c>
      <c r="BC317" s="78">
        <f t="shared" si="607"/>
        <v>0</v>
      </c>
      <c r="BD317" s="78">
        <f t="shared" si="607"/>
        <v>0</v>
      </c>
      <c r="BE317" s="78">
        <f t="shared" si="607"/>
        <v>0</v>
      </c>
      <c r="BF317" s="78">
        <f t="shared" si="607"/>
        <v>0</v>
      </c>
      <c r="BG317" s="78">
        <f t="shared" si="607"/>
        <v>0</v>
      </c>
      <c r="BH317" s="78">
        <f t="shared" si="607"/>
        <v>0</v>
      </c>
      <c r="BI317" s="78">
        <f t="shared" si="607"/>
        <v>0</v>
      </c>
      <c r="BJ317" s="78">
        <f t="shared" si="607"/>
        <v>0</v>
      </c>
      <c r="BK317" s="78">
        <f t="shared" si="607"/>
        <v>0</v>
      </c>
      <c r="BL317" s="78">
        <f t="shared" si="607"/>
        <v>0</v>
      </c>
      <c r="BM317" s="78">
        <f t="shared" si="607"/>
        <v>0</v>
      </c>
      <c r="BN317" s="78">
        <f t="shared" si="607"/>
        <v>0</v>
      </c>
      <c r="BO317" s="78">
        <f t="shared" si="607"/>
        <v>0</v>
      </c>
      <c r="BP317" s="78">
        <f t="shared" si="607"/>
        <v>0</v>
      </c>
      <c r="BQ317" s="78">
        <f t="shared" si="607"/>
        <v>0</v>
      </c>
      <c r="BR317" s="78">
        <f t="shared" si="607"/>
        <v>0</v>
      </c>
      <c r="BS317" s="78">
        <f t="shared" si="607"/>
        <v>0</v>
      </c>
      <c r="BT317" s="78">
        <f t="shared" si="607"/>
        <v>0</v>
      </c>
      <c r="BU317" s="78">
        <f t="shared" si="607"/>
        <v>0</v>
      </c>
      <c r="BV317" s="78">
        <f t="shared" si="607"/>
        <v>0</v>
      </c>
      <c r="BW317" s="78">
        <f t="shared" si="607"/>
        <v>0</v>
      </c>
      <c r="BX317" s="78">
        <f t="shared" si="607"/>
        <v>0</v>
      </c>
      <c r="BY317" s="78">
        <f t="shared" si="607"/>
        <v>0</v>
      </c>
      <c r="BZ317" s="78">
        <f t="shared" si="607"/>
        <v>0</v>
      </c>
      <c r="CA317" s="78">
        <f t="shared" si="607"/>
        <v>0</v>
      </c>
      <c r="CB317" s="78">
        <f t="shared" si="607"/>
        <v>0</v>
      </c>
      <c r="CC317" s="78">
        <f t="shared" si="607"/>
        <v>0</v>
      </c>
      <c r="CD317" s="78">
        <f t="shared" si="607"/>
        <v>0</v>
      </c>
      <c r="CE317" s="78">
        <f t="shared" ref="CE317:DJ317" si="608">MIN(CE108-CE309,)</f>
        <v>0</v>
      </c>
      <c r="CF317" s="78">
        <f t="shared" si="608"/>
        <v>0</v>
      </c>
      <c r="CG317" s="78">
        <f t="shared" si="608"/>
        <v>0</v>
      </c>
      <c r="CH317" s="78">
        <f t="shared" si="608"/>
        <v>0</v>
      </c>
      <c r="CI317" s="78">
        <f t="shared" si="608"/>
        <v>0</v>
      </c>
      <c r="CJ317" s="78">
        <f t="shared" si="608"/>
        <v>0</v>
      </c>
      <c r="CK317" s="78">
        <f t="shared" si="608"/>
        <v>0</v>
      </c>
      <c r="CL317" s="78">
        <f t="shared" si="608"/>
        <v>0</v>
      </c>
      <c r="CM317" s="78">
        <f t="shared" si="608"/>
        <v>0</v>
      </c>
      <c r="CN317" s="78">
        <f t="shared" si="608"/>
        <v>0</v>
      </c>
      <c r="CO317" s="78">
        <f t="shared" si="608"/>
        <v>0</v>
      </c>
      <c r="CP317" s="78">
        <f t="shared" si="608"/>
        <v>0</v>
      </c>
      <c r="CQ317" s="78">
        <f t="shared" si="608"/>
        <v>0</v>
      </c>
      <c r="CR317" s="78">
        <f t="shared" si="608"/>
        <v>0</v>
      </c>
      <c r="CS317" s="78">
        <f t="shared" si="608"/>
        <v>0</v>
      </c>
      <c r="CT317" s="78">
        <f t="shared" si="608"/>
        <v>0</v>
      </c>
      <c r="CU317" s="78">
        <f t="shared" si="608"/>
        <v>0</v>
      </c>
      <c r="CV317" s="78">
        <f t="shared" si="608"/>
        <v>0</v>
      </c>
      <c r="CW317" s="78">
        <f t="shared" si="608"/>
        <v>0</v>
      </c>
      <c r="CX317" s="78">
        <f t="shared" si="608"/>
        <v>0</v>
      </c>
      <c r="CY317" s="78">
        <f t="shared" si="608"/>
        <v>0</v>
      </c>
      <c r="CZ317" s="78">
        <f t="shared" si="608"/>
        <v>0</v>
      </c>
      <c r="DA317" s="78">
        <f t="shared" si="608"/>
        <v>0</v>
      </c>
      <c r="DB317" s="78">
        <f t="shared" si="608"/>
        <v>0</v>
      </c>
      <c r="DC317" s="78">
        <f t="shared" si="608"/>
        <v>0</v>
      </c>
      <c r="DD317" s="78">
        <f t="shared" si="608"/>
        <v>0</v>
      </c>
      <c r="DE317" s="78">
        <f t="shared" si="608"/>
        <v>0</v>
      </c>
      <c r="DF317" s="78">
        <f t="shared" si="608"/>
        <v>0</v>
      </c>
      <c r="DG317" s="78">
        <f t="shared" si="608"/>
        <v>0</v>
      </c>
      <c r="DH317" s="78">
        <f t="shared" si="608"/>
        <v>0</v>
      </c>
      <c r="DI317" s="78">
        <f t="shared" si="608"/>
        <v>0</v>
      </c>
      <c r="DJ317" s="78">
        <f t="shared" si="608"/>
        <v>0</v>
      </c>
      <c r="DK317" s="78">
        <f t="shared" ref="DK317:EI317" si="609">MIN(DK108-DK309,)</f>
        <v>0</v>
      </c>
      <c r="DL317" s="78">
        <f t="shared" si="609"/>
        <v>0</v>
      </c>
      <c r="DM317" s="78">
        <f t="shared" si="609"/>
        <v>0</v>
      </c>
      <c r="DN317" s="78">
        <f t="shared" si="609"/>
        <v>0</v>
      </c>
      <c r="DO317" s="78">
        <f t="shared" si="609"/>
        <v>0</v>
      </c>
      <c r="DP317" s="78">
        <f t="shared" si="609"/>
        <v>0</v>
      </c>
      <c r="DQ317" s="78">
        <f t="shared" si="609"/>
        <v>0</v>
      </c>
      <c r="DR317" s="78">
        <f t="shared" si="609"/>
        <v>0</v>
      </c>
      <c r="DS317" s="78">
        <f t="shared" si="609"/>
        <v>0</v>
      </c>
      <c r="DT317" s="78">
        <f t="shared" si="609"/>
        <v>0</v>
      </c>
      <c r="DU317" s="78">
        <f t="shared" si="609"/>
        <v>0</v>
      </c>
      <c r="DV317" s="78">
        <f t="shared" si="609"/>
        <v>0</v>
      </c>
      <c r="DW317" s="78">
        <f t="shared" si="609"/>
        <v>0</v>
      </c>
      <c r="DX317" s="78">
        <f t="shared" si="609"/>
        <v>0</v>
      </c>
      <c r="DY317" s="78">
        <f t="shared" si="609"/>
        <v>0</v>
      </c>
      <c r="DZ317" s="78">
        <f t="shared" si="609"/>
        <v>0</v>
      </c>
      <c r="EA317" s="78">
        <f t="shared" si="609"/>
        <v>0</v>
      </c>
      <c r="EB317" s="78">
        <f t="shared" si="609"/>
        <v>0</v>
      </c>
      <c r="EC317" s="78">
        <f t="shared" si="609"/>
        <v>0</v>
      </c>
      <c r="ED317" s="78">
        <f t="shared" si="609"/>
        <v>0</v>
      </c>
      <c r="EE317" s="78">
        <f t="shared" si="609"/>
        <v>0</v>
      </c>
      <c r="EF317" s="78">
        <f t="shared" si="609"/>
        <v>0</v>
      </c>
      <c r="EG317" s="78">
        <f t="shared" si="609"/>
        <v>0</v>
      </c>
      <c r="EH317" s="78">
        <f t="shared" si="609"/>
        <v>0</v>
      </c>
      <c r="EI317" s="78">
        <f t="shared" si="609"/>
        <v>0</v>
      </c>
    </row>
    <row r="318" spans="2:139">
      <c r="B318" s="41" t="s">
        <v>629</v>
      </c>
      <c r="C318" s="211"/>
      <c r="D318" s="78">
        <f t="shared" ref="D318:N318" si="610">IF(IrrCalculationType=170,-MIN(SUM(D315:D317),),SUMIF($S$6:$EI$6,D$5,$S318:$EI318))</f>
        <v>13009400</v>
      </c>
      <c r="E318" s="78">
        <f t="shared" si="610"/>
        <v>0</v>
      </c>
      <c r="F318" s="78">
        <f t="shared" si="610"/>
        <v>0</v>
      </c>
      <c r="G318" s="78">
        <f t="shared" si="610"/>
        <v>0</v>
      </c>
      <c r="H318" s="78">
        <f t="shared" si="610"/>
        <v>0</v>
      </c>
      <c r="I318" s="78">
        <f t="shared" si="610"/>
        <v>0</v>
      </c>
      <c r="J318" s="78">
        <f t="shared" si="610"/>
        <v>0</v>
      </c>
      <c r="K318" s="78">
        <f t="shared" si="610"/>
        <v>0</v>
      </c>
      <c r="L318" s="78">
        <f t="shared" si="610"/>
        <v>0</v>
      </c>
      <c r="M318" s="78">
        <f t="shared" si="610"/>
        <v>0</v>
      </c>
      <c r="N318" s="78">
        <f t="shared" si="610"/>
        <v>0</v>
      </c>
      <c r="O318" s="145">
        <f>SUM(D318:N318)</f>
        <v>13009400</v>
      </c>
      <c r="S318" s="78">
        <f t="shared" ref="S318:AX318" si="611">-MIN(SUM(S315:S317),)</f>
        <v>13009400</v>
      </c>
      <c r="T318" s="78">
        <f t="shared" si="611"/>
        <v>0</v>
      </c>
      <c r="U318" s="78">
        <f t="shared" si="611"/>
        <v>0</v>
      </c>
      <c r="V318" s="78">
        <f t="shared" si="611"/>
        <v>0</v>
      </c>
      <c r="W318" s="78">
        <f t="shared" si="611"/>
        <v>0</v>
      </c>
      <c r="X318" s="78">
        <f t="shared" si="611"/>
        <v>0</v>
      </c>
      <c r="Y318" s="78">
        <f t="shared" si="611"/>
        <v>0</v>
      </c>
      <c r="Z318" s="78">
        <f t="shared" si="611"/>
        <v>0</v>
      </c>
      <c r="AA318" s="78">
        <f t="shared" si="611"/>
        <v>0</v>
      </c>
      <c r="AB318" s="78">
        <f t="shared" si="611"/>
        <v>0</v>
      </c>
      <c r="AC318" s="78">
        <f t="shared" si="611"/>
        <v>0</v>
      </c>
      <c r="AD318" s="78">
        <f t="shared" si="611"/>
        <v>0</v>
      </c>
      <c r="AE318" s="78">
        <f t="shared" si="611"/>
        <v>0</v>
      </c>
      <c r="AF318" s="78">
        <f t="shared" si="611"/>
        <v>0</v>
      </c>
      <c r="AG318" s="78">
        <f t="shared" si="611"/>
        <v>0</v>
      </c>
      <c r="AH318" s="78">
        <f t="shared" si="611"/>
        <v>0</v>
      </c>
      <c r="AI318" s="78">
        <f t="shared" si="611"/>
        <v>0</v>
      </c>
      <c r="AJ318" s="78">
        <f t="shared" si="611"/>
        <v>0</v>
      </c>
      <c r="AK318" s="78">
        <f t="shared" si="611"/>
        <v>0</v>
      </c>
      <c r="AL318" s="78">
        <f t="shared" si="611"/>
        <v>0</v>
      </c>
      <c r="AM318" s="78">
        <f t="shared" si="611"/>
        <v>0</v>
      </c>
      <c r="AN318" s="78">
        <f t="shared" si="611"/>
        <v>0</v>
      </c>
      <c r="AO318" s="78">
        <f t="shared" si="611"/>
        <v>0</v>
      </c>
      <c r="AP318" s="78">
        <f t="shared" si="611"/>
        <v>0</v>
      </c>
      <c r="AQ318" s="78">
        <f t="shared" si="611"/>
        <v>0</v>
      </c>
      <c r="AR318" s="78">
        <f t="shared" si="611"/>
        <v>0</v>
      </c>
      <c r="AS318" s="78">
        <f t="shared" si="611"/>
        <v>0</v>
      </c>
      <c r="AT318" s="78">
        <f t="shared" si="611"/>
        <v>0</v>
      </c>
      <c r="AU318" s="78">
        <f t="shared" si="611"/>
        <v>0</v>
      </c>
      <c r="AV318" s="78">
        <f t="shared" si="611"/>
        <v>0</v>
      </c>
      <c r="AW318" s="78">
        <f t="shared" si="611"/>
        <v>0</v>
      </c>
      <c r="AX318" s="78">
        <f t="shared" si="611"/>
        <v>0</v>
      </c>
      <c r="AY318" s="78">
        <f t="shared" ref="AY318:CD318" si="612">-MIN(SUM(AY315:AY317),)</f>
        <v>0</v>
      </c>
      <c r="AZ318" s="78">
        <f t="shared" si="612"/>
        <v>0</v>
      </c>
      <c r="BA318" s="78">
        <f t="shared" si="612"/>
        <v>0</v>
      </c>
      <c r="BB318" s="78">
        <f t="shared" si="612"/>
        <v>0</v>
      </c>
      <c r="BC318" s="78">
        <f t="shared" si="612"/>
        <v>0</v>
      </c>
      <c r="BD318" s="78">
        <f t="shared" si="612"/>
        <v>0</v>
      </c>
      <c r="BE318" s="78">
        <f t="shared" si="612"/>
        <v>0</v>
      </c>
      <c r="BF318" s="78">
        <f t="shared" si="612"/>
        <v>0</v>
      </c>
      <c r="BG318" s="78">
        <f t="shared" si="612"/>
        <v>0</v>
      </c>
      <c r="BH318" s="78">
        <f t="shared" si="612"/>
        <v>0</v>
      </c>
      <c r="BI318" s="78">
        <f t="shared" si="612"/>
        <v>0</v>
      </c>
      <c r="BJ318" s="78">
        <f t="shared" si="612"/>
        <v>0</v>
      </c>
      <c r="BK318" s="78">
        <f t="shared" si="612"/>
        <v>0</v>
      </c>
      <c r="BL318" s="78">
        <f t="shared" si="612"/>
        <v>0</v>
      </c>
      <c r="BM318" s="78">
        <f t="shared" si="612"/>
        <v>0</v>
      </c>
      <c r="BN318" s="78">
        <f t="shared" si="612"/>
        <v>0</v>
      </c>
      <c r="BO318" s="78">
        <f t="shared" si="612"/>
        <v>0</v>
      </c>
      <c r="BP318" s="78">
        <f t="shared" si="612"/>
        <v>0</v>
      </c>
      <c r="BQ318" s="78">
        <f t="shared" si="612"/>
        <v>0</v>
      </c>
      <c r="BR318" s="78">
        <f t="shared" si="612"/>
        <v>0</v>
      </c>
      <c r="BS318" s="78">
        <f t="shared" si="612"/>
        <v>0</v>
      </c>
      <c r="BT318" s="78">
        <f t="shared" si="612"/>
        <v>0</v>
      </c>
      <c r="BU318" s="78">
        <f t="shared" si="612"/>
        <v>0</v>
      </c>
      <c r="BV318" s="78">
        <f t="shared" si="612"/>
        <v>0</v>
      </c>
      <c r="BW318" s="78">
        <f t="shared" si="612"/>
        <v>0</v>
      </c>
      <c r="BX318" s="78">
        <f t="shared" si="612"/>
        <v>0</v>
      </c>
      <c r="BY318" s="78">
        <f t="shared" si="612"/>
        <v>0</v>
      </c>
      <c r="BZ318" s="78">
        <f t="shared" si="612"/>
        <v>0</v>
      </c>
      <c r="CA318" s="78">
        <f t="shared" si="612"/>
        <v>0</v>
      </c>
      <c r="CB318" s="78">
        <f t="shared" si="612"/>
        <v>0</v>
      </c>
      <c r="CC318" s="78">
        <f t="shared" si="612"/>
        <v>0</v>
      </c>
      <c r="CD318" s="78">
        <f t="shared" si="612"/>
        <v>0</v>
      </c>
      <c r="CE318" s="78">
        <f t="shared" ref="CE318:DJ318" si="613">-MIN(SUM(CE315:CE317),)</f>
        <v>0</v>
      </c>
      <c r="CF318" s="78">
        <f t="shared" si="613"/>
        <v>0</v>
      </c>
      <c r="CG318" s="78">
        <f t="shared" si="613"/>
        <v>0</v>
      </c>
      <c r="CH318" s="78">
        <f t="shared" si="613"/>
        <v>0</v>
      </c>
      <c r="CI318" s="78">
        <f t="shared" si="613"/>
        <v>0</v>
      </c>
      <c r="CJ318" s="78">
        <f t="shared" si="613"/>
        <v>0</v>
      </c>
      <c r="CK318" s="78">
        <f t="shared" si="613"/>
        <v>0</v>
      </c>
      <c r="CL318" s="78">
        <f t="shared" si="613"/>
        <v>0</v>
      </c>
      <c r="CM318" s="78">
        <f t="shared" si="613"/>
        <v>0</v>
      </c>
      <c r="CN318" s="78">
        <f t="shared" si="613"/>
        <v>0</v>
      </c>
      <c r="CO318" s="78">
        <f t="shared" si="613"/>
        <v>0</v>
      </c>
      <c r="CP318" s="78">
        <f t="shared" si="613"/>
        <v>0</v>
      </c>
      <c r="CQ318" s="78">
        <f t="shared" si="613"/>
        <v>0</v>
      </c>
      <c r="CR318" s="78">
        <f t="shared" si="613"/>
        <v>0</v>
      </c>
      <c r="CS318" s="78">
        <f t="shared" si="613"/>
        <v>0</v>
      </c>
      <c r="CT318" s="78">
        <f t="shared" si="613"/>
        <v>0</v>
      </c>
      <c r="CU318" s="78">
        <f t="shared" si="613"/>
        <v>0</v>
      </c>
      <c r="CV318" s="78">
        <f t="shared" si="613"/>
        <v>0</v>
      </c>
      <c r="CW318" s="78">
        <f t="shared" si="613"/>
        <v>0</v>
      </c>
      <c r="CX318" s="78">
        <f t="shared" si="613"/>
        <v>0</v>
      </c>
      <c r="CY318" s="78">
        <f t="shared" si="613"/>
        <v>0</v>
      </c>
      <c r="CZ318" s="78">
        <f t="shared" si="613"/>
        <v>0</v>
      </c>
      <c r="DA318" s="78">
        <f t="shared" si="613"/>
        <v>0</v>
      </c>
      <c r="DB318" s="78">
        <f t="shared" si="613"/>
        <v>0</v>
      </c>
      <c r="DC318" s="78">
        <f t="shared" si="613"/>
        <v>0</v>
      </c>
      <c r="DD318" s="78">
        <f t="shared" si="613"/>
        <v>0</v>
      </c>
      <c r="DE318" s="78">
        <f t="shared" si="613"/>
        <v>0</v>
      </c>
      <c r="DF318" s="78">
        <f t="shared" si="613"/>
        <v>0</v>
      </c>
      <c r="DG318" s="78">
        <f t="shared" si="613"/>
        <v>0</v>
      </c>
      <c r="DH318" s="78">
        <f t="shared" si="613"/>
        <v>0</v>
      </c>
      <c r="DI318" s="78">
        <f t="shared" si="613"/>
        <v>0</v>
      </c>
      <c r="DJ318" s="78">
        <f t="shared" si="613"/>
        <v>0</v>
      </c>
      <c r="DK318" s="78">
        <f t="shared" ref="DK318:EP318" si="614">-MIN(SUM(DK315:DK317),)</f>
        <v>0</v>
      </c>
      <c r="DL318" s="78">
        <f t="shared" si="614"/>
        <v>0</v>
      </c>
      <c r="DM318" s="78">
        <f t="shared" si="614"/>
        <v>0</v>
      </c>
      <c r="DN318" s="78">
        <f t="shared" si="614"/>
        <v>0</v>
      </c>
      <c r="DO318" s="78">
        <f t="shared" si="614"/>
        <v>0</v>
      </c>
      <c r="DP318" s="78">
        <f t="shared" si="614"/>
        <v>0</v>
      </c>
      <c r="DQ318" s="78">
        <f t="shared" si="614"/>
        <v>0</v>
      </c>
      <c r="DR318" s="78">
        <f t="shared" si="614"/>
        <v>0</v>
      </c>
      <c r="DS318" s="78">
        <f t="shared" si="614"/>
        <v>0</v>
      </c>
      <c r="DT318" s="78">
        <f t="shared" si="614"/>
        <v>0</v>
      </c>
      <c r="DU318" s="78">
        <f t="shared" si="614"/>
        <v>0</v>
      </c>
      <c r="DV318" s="78">
        <f t="shared" si="614"/>
        <v>0</v>
      </c>
      <c r="DW318" s="78">
        <f t="shared" si="614"/>
        <v>0</v>
      </c>
      <c r="DX318" s="78">
        <f t="shared" si="614"/>
        <v>0</v>
      </c>
      <c r="DY318" s="78">
        <f t="shared" si="614"/>
        <v>0</v>
      </c>
      <c r="DZ318" s="78">
        <f t="shared" si="614"/>
        <v>0</v>
      </c>
      <c r="EA318" s="78">
        <f t="shared" si="614"/>
        <v>0</v>
      </c>
      <c r="EB318" s="78">
        <f t="shared" si="614"/>
        <v>0</v>
      </c>
      <c r="EC318" s="78">
        <f t="shared" si="614"/>
        <v>0</v>
      </c>
      <c r="ED318" s="78">
        <f t="shared" si="614"/>
        <v>0</v>
      </c>
      <c r="EE318" s="78">
        <f t="shared" si="614"/>
        <v>0</v>
      </c>
      <c r="EF318" s="78">
        <f t="shared" si="614"/>
        <v>0</v>
      </c>
      <c r="EG318" s="78">
        <f t="shared" si="614"/>
        <v>0</v>
      </c>
      <c r="EH318" s="78">
        <f t="shared" si="614"/>
        <v>0</v>
      </c>
      <c r="EI318" s="78">
        <f t="shared" si="614"/>
        <v>0</v>
      </c>
    </row>
    <row r="319" spans="2:139">
      <c r="B319" s="46" t="s">
        <v>595</v>
      </c>
      <c r="C319" s="209"/>
      <c r="D319" s="694">
        <f t="shared" ref="D319:N319" si="615">ROUND(SUBTOTAL(9,D315:D318),2)</f>
        <v>0</v>
      </c>
      <c r="E319" s="694">
        <f t="shared" si="615"/>
        <v>1013735.76</v>
      </c>
      <c r="F319" s="694">
        <f t="shared" si="615"/>
        <v>2069915.19</v>
      </c>
      <c r="G319" s="694">
        <f t="shared" si="615"/>
        <v>3188767.33</v>
      </c>
      <c r="H319" s="694">
        <f t="shared" si="615"/>
        <v>4356167.82</v>
      </c>
      <c r="I319" s="694">
        <f t="shared" si="615"/>
        <v>5573801.5800000001</v>
      </c>
      <c r="J319" s="694">
        <f t="shared" si="615"/>
        <v>6835331.3600000003</v>
      </c>
      <c r="K319" s="694">
        <f t="shared" si="615"/>
        <v>32747746.350000001</v>
      </c>
      <c r="L319" s="694">
        <f t="shared" si="615"/>
        <v>0</v>
      </c>
      <c r="M319" s="694">
        <f t="shared" si="615"/>
        <v>0</v>
      </c>
      <c r="N319" s="694">
        <f t="shared" si="615"/>
        <v>0</v>
      </c>
      <c r="O319" s="713"/>
      <c r="S319" s="694">
        <f t="shared" ref="S319:AX319" si="616">IF(SUM(S315:S318)&gt;1,SUBTOTAL(9,S315:S318),)</f>
        <v>0</v>
      </c>
      <c r="T319" s="694">
        <f t="shared" si="616"/>
        <v>84477.979889255148</v>
      </c>
      <c r="U319" s="694">
        <f t="shared" si="616"/>
        <v>168955.9597785103</v>
      </c>
      <c r="V319" s="694">
        <f t="shared" si="616"/>
        <v>253433.93966776546</v>
      </c>
      <c r="W319" s="694">
        <f t="shared" si="616"/>
        <v>337911.91955702059</v>
      </c>
      <c r="X319" s="694">
        <f t="shared" si="616"/>
        <v>422389.89944627573</v>
      </c>
      <c r="Y319" s="694">
        <f t="shared" si="616"/>
        <v>506867.87933553086</v>
      </c>
      <c r="Z319" s="694">
        <f t="shared" si="616"/>
        <v>591345.85922478605</v>
      </c>
      <c r="AA319" s="694">
        <f t="shared" si="616"/>
        <v>675823.83911404118</v>
      </c>
      <c r="AB319" s="694">
        <f t="shared" si="616"/>
        <v>760301.81900329632</v>
      </c>
      <c r="AC319" s="694">
        <f t="shared" si="616"/>
        <v>844779.79889255145</v>
      </c>
      <c r="AD319" s="694">
        <f t="shared" si="616"/>
        <v>929257.77878180658</v>
      </c>
      <c r="AE319" s="694">
        <f t="shared" si="616"/>
        <v>1013735.7586710617</v>
      </c>
      <c r="AF319" s="694">
        <f t="shared" si="616"/>
        <v>1100768.845385019</v>
      </c>
      <c r="AG319" s="694">
        <f t="shared" si="616"/>
        <v>1187979.472139772</v>
      </c>
      <c r="AH319" s="694">
        <f t="shared" si="616"/>
        <v>1275367.9321571328</v>
      </c>
      <c r="AI319" s="694">
        <f t="shared" si="616"/>
        <v>1362934.5191431926</v>
      </c>
      <c r="AJ319" s="694">
        <f t="shared" si="616"/>
        <v>1450679.5272891221</v>
      </c>
      <c r="AK319" s="694">
        <f t="shared" si="616"/>
        <v>1538603.2512719731</v>
      </c>
      <c r="AL319" s="694">
        <f t="shared" si="616"/>
        <v>1626705.9862554802</v>
      </c>
      <c r="AM319" s="694">
        <f t="shared" si="616"/>
        <v>1714988.0278908648</v>
      </c>
      <c r="AN319" s="694">
        <f t="shared" si="616"/>
        <v>1803449.6723176404</v>
      </c>
      <c r="AO319" s="694">
        <f t="shared" si="616"/>
        <v>1892091.216164419</v>
      </c>
      <c r="AP319" s="694">
        <f t="shared" si="616"/>
        <v>1980912.956549719</v>
      </c>
      <c r="AQ319" s="694">
        <f t="shared" si="616"/>
        <v>2069915.1910827742</v>
      </c>
      <c r="AR319" s="694">
        <f t="shared" si="616"/>
        <v>2161618.7971202289</v>
      </c>
      <c r="AS319" s="694">
        <f t="shared" si="616"/>
        <v>2253599.0385283628</v>
      </c>
      <c r="AT319" s="694">
        <f t="shared" si="616"/>
        <v>2345856.5975646288</v>
      </c>
      <c r="AU319" s="694">
        <f t="shared" si="616"/>
        <v>2438392.1581691103</v>
      </c>
      <c r="AV319" s="694">
        <f t="shared" si="616"/>
        <v>2531206.4059686721</v>
      </c>
      <c r="AW319" s="694">
        <f t="shared" si="616"/>
        <v>2624300.0282811187</v>
      </c>
      <c r="AX319" s="694">
        <f t="shared" si="616"/>
        <v>2717673.7141193668</v>
      </c>
      <c r="AY319" s="694">
        <f t="shared" ref="AY319:CD319" si="617">IF(SUM(AY315:AY318)&gt;1,SUBTOTAL(9,AY315:AY318),)</f>
        <v>2811328.1541956244</v>
      </c>
      <c r="AZ319" s="694">
        <f t="shared" si="617"/>
        <v>2905264.0409255819</v>
      </c>
      <c r="BA319" s="694">
        <f t="shared" si="617"/>
        <v>2999482.0684326142</v>
      </c>
      <c r="BB319" s="694">
        <f t="shared" si="617"/>
        <v>3093982.9325519912</v>
      </c>
      <c r="BC319" s="694">
        <f t="shared" si="617"/>
        <v>3188767.3308351003</v>
      </c>
      <c r="BD319" s="694">
        <f t="shared" si="617"/>
        <v>3284462.0476531647</v>
      </c>
      <c r="BE319" s="694">
        <f t="shared" si="617"/>
        <v>3380443.2429977846</v>
      </c>
      <c r="BF319" s="694">
        <f t="shared" si="617"/>
        <v>3476711.6234022905</v>
      </c>
      <c r="BG319" s="694">
        <f t="shared" si="617"/>
        <v>3573267.8971425146</v>
      </c>
      <c r="BH319" s="694">
        <f t="shared" si="617"/>
        <v>3670112.7742410884</v>
      </c>
      <c r="BI319" s="694">
        <f t="shared" si="617"/>
        <v>3767246.9664717508</v>
      </c>
      <c r="BJ319" s="694">
        <f t="shared" si="617"/>
        <v>3864671.1873636665</v>
      </c>
      <c r="BK319" s="694">
        <f t="shared" si="617"/>
        <v>3962386.1522057564</v>
      </c>
      <c r="BL319" s="694">
        <f t="shared" si="617"/>
        <v>4060392.5780510358</v>
      </c>
      <c r="BM319" s="694">
        <f t="shared" si="617"/>
        <v>4158691.1837209668</v>
      </c>
      <c r="BN319" s="694">
        <f t="shared" si="617"/>
        <v>4257282.6898098197</v>
      </c>
      <c r="BO319" s="694">
        <f t="shared" si="617"/>
        <v>4356167.8186890427</v>
      </c>
      <c r="BP319" s="694">
        <f t="shared" si="617"/>
        <v>4455992.16216412</v>
      </c>
      <c r="BQ319" s="694">
        <f t="shared" si="617"/>
        <v>4556113.1689391471</v>
      </c>
      <c r="BR319" s="694">
        <f t="shared" si="617"/>
        <v>4656531.570665854</v>
      </c>
      <c r="BS319" s="694">
        <f t="shared" si="617"/>
        <v>4757248.1008004211</v>
      </c>
      <c r="BT319" s="694">
        <f t="shared" si="617"/>
        <v>4858263.4946079282</v>
      </c>
      <c r="BU319" s="694">
        <f t="shared" si="617"/>
        <v>4959578.4891668176</v>
      </c>
      <c r="BV319" s="694">
        <f t="shared" si="617"/>
        <v>5061193.8233733671</v>
      </c>
      <c r="BW319" s="694">
        <f t="shared" si="617"/>
        <v>5163110.2379461704</v>
      </c>
      <c r="BX319" s="694">
        <f t="shared" si="617"/>
        <v>5265328.4754306339</v>
      </c>
      <c r="BY319" s="694">
        <f t="shared" si="617"/>
        <v>5367849.2802034821</v>
      </c>
      <c r="BZ319" s="694">
        <f t="shared" si="617"/>
        <v>5470673.3984772712</v>
      </c>
      <c r="CA319" s="694">
        <f t="shared" si="617"/>
        <v>5573801.5783049213</v>
      </c>
      <c r="CB319" s="694">
        <f t="shared" si="617"/>
        <v>5677234.5695842505</v>
      </c>
      <c r="CC319" s="694">
        <f t="shared" si="617"/>
        <v>5780973.1240625288</v>
      </c>
      <c r="CD319" s="694">
        <f t="shared" si="617"/>
        <v>5885017.9953410374</v>
      </c>
      <c r="CE319" s="694">
        <f t="shared" ref="CE319:DJ319" si="618">IF(SUM(CE315:CE318)&gt;1,SUBTOTAL(9,CE315:CE318),)</f>
        <v>5989369.9388796417</v>
      </c>
      <c r="CF319" s="694">
        <f t="shared" si="618"/>
        <v>6094029.712001374</v>
      </c>
      <c r="CG319" s="694">
        <f t="shared" si="618"/>
        <v>6198998.0738970302</v>
      </c>
      <c r="CH319" s="694">
        <f t="shared" si="618"/>
        <v>6304275.7856297763</v>
      </c>
      <c r="CI319" s="694">
        <f t="shared" si="618"/>
        <v>6409863.6101397639</v>
      </c>
      <c r="CJ319" s="694">
        <f t="shared" si="618"/>
        <v>6515762.3122487618</v>
      </c>
      <c r="CK319" s="694">
        <f t="shared" si="618"/>
        <v>6621972.6586647956</v>
      </c>
      <c r="CL319" s="694">
        <f t="shared" si="618"/>
        <v>6728495.417986799</v>
      </c>
      <c r="CM319" s="694">
        <f t="shared" si="618"/>
        <v>6835331.3607092779</v>
      </c>
      <c r="CN319" s="694">
        <f t="shared" si="618"/>
        <v>6942481.2592269871</v>
      </c>
      <c r="CO319" s="694">
        <f t="shared" si="618"/>
        <v>7049945.8878396135</v>
      </c>
      <c r="CP319" s="694">
        <f t="shared" si="618"/>
        <v>7157726.0227564778</v>
      </c>
      <c r="CQ319" s="694">
        <f t="shared" si="618"/>
        <v>7265822.4421012402</v>
      </c>
      <c r="CR319" s="694">
        <f t="shared" si="618"/>
        <v>7374235.9259166243</v>
      </c>
      <c r="CS319" s="694">
        <f t="shared" si="618"/>
        <v>7482967.2561691506</v>
      </c>
      <c r="CT319" s="694">
        <f t="shared" si="618"/>
        <v>7592017.2167538786</v>
      </c>
      <c r="CU319" s="694">
        <f t="shared" si="618"/>
        <v>7701386.593499166</v>
      </c>
      <c r="CV319" s="694">
        <f t="shared" si="618"/>
        <v>7811076.1741714338</v>
      </c>
      <c r="CW319" s="694">
        <f t="shared" si="618"/>
        <v>7921086.7484799484</v>
      </c>
      <c r="CX319" s="694">
        <f t="shared" si="618"/>
        <v>8031419.1080816118</v>
      </c>
      <c r="CY319" s="694">
        <f t="shared" si="618"/>
        <v>32747746.345727298</v>
      </c>
      <c r="CZ319" s="694">
        <f t="shared" si="618"/>
        <v>0</v>
      </c>
      <c r="DA319" s="694">
        <f t="shared" si="618"/>
        <v>0</v>
      </c>
      <c r="DB319" s="694">
        <f t="shared" si="618"/>
        <v>0</v>
      </c>
      <c r="DC319" s="694">
        <f t="shared" si="618"/>
        <v>0</v>
      </c>
      <c r="DD319" s="694">
        <f t="shared" si="618"/>
        <v>0</v>
      </c>
      <c r="DE319" s="694">
        <f t="shared" si="618"/>
        <v>0</v>
      </c>
      <c r="DF319" s="694">
        <f t="shared" si="618"/>
        <v>0</v>
      </c>
      <c r="DG319" s="694">
        <f t="shared" si="618"/>
        <v>0</v>
      </c>
      <c r="DH319" s="694">
        <f t="shared" si="618"/>
        <v>0</v>
      </c>
      <c r="DI319" s="694">
        <f t="shared" si="618"/>
        <v>0</v>
      </c>
      <c r="DJ319" s="694">
        <f t="shared" si="618"/>
        <v>0</v>
      </c>
      <c r="DK319" s="694">
        <f t="shared" ref="DK319:EP319" si="619">IF(SUM(DK315:DK318)&gt;1,SUBTOTAL(9,DK315:DK318),)</f>
        <v>0</v>
      </c>
      <c r="DL319" s="694">
        <f t="shared" si="619"/>
        <v>0</v>
      </c>
      <c r="DM319" s="694">
        <f t="shared" si="619"/>
        <v>0</v>
      </c>
      <c r="DN319" s="694">
        <f t="shared" si="619"/>
        <v>0</v>
      </c>
      <c r="DO319" s="694">
        <f t="shared" si="619"/>
        <v>0</v>
      </c>
      <c r="DP319" s="694">
        <f t="shared" si="619"/>
        <v>0</v>
      </c>
      <c r="DQ319" s="694">
        <f t="shared" si="619"/>
        <v>0</v>
      </c>
      <c r="DR319" s="694">
        <f t="shared" si="619"/>
        <v>0</v>
      </c>
      <c r="DS319" s="694">
        <f t="shared" si="619"/>
        <v>0</v>
      </c>
      <c r="DT319" s="694">
        <f t="shared" si="619"/>
        <v>0</v>
      </c>
      <c r="DU319" s="694">
        <f t="shared" si="619"/>
        <v>0</v>
      </c>
      <c r="DV319" s="694">
        <f t="shared" si="619"/>
        <v>0</v>
      </c>
      <c r="DW319" s="694">
        <f t="shared" si="619"/>
        <v>0</v>
      </c>
      <c r="DX319" s="694">
        <f t="shared" si="619"/>
        <v>0</v>
      </c>
      <c r="DY319" s="694">
        <f t="shared" si="619"/>
        <v>0</v>
      </c>
      <c r="DZ319" s="694">
        <f t="shared" si="619"/>
        <v>0</v>
      </c>
      <c r="EA319" s="694">
        <f t="shared" si="619"/>
        <v>0</v>
      </c>
      <c r="EB319" s="694">
        <f t="shared" si="619"/>
        <v>0</v>
      </c>
      <c r="EC319" s="694">
        <f t="shared" si="619"/>
        <v>0</v>
      </c>
      <c r="ED319" s="694">
        <f t="shared" si="619"/>
        <v>0</v>
      </c>
      <c r="EE319" s="694">
        <f t="shared" si="619"/>
        <v>0</v>
      </c>
      <c r="EF319" s="694">
        <f t="shared" si="619"/>
        <v>0</v>
      </c>
      <c r="EG319" s="694">
        <f t="shared" si="619"/>
        <v>0</v>
      </c>
      <c r="EH319" s="694">
        <f t="shared" si="619"/>
        <v>0</v>
      </c>
      <c r="EI319" s="694">
        <f t="shared" si="619"/>
        <v>0</v>
      </c>
    </row>
    <row r="320" spans="2:139">
      <c r="B320" s="46"/>
      <c r="C320" s="209"/>
      <c r="D320" s="169"/>
      <c r="E320" s="169"/>
      <c r="F320" s="169"/>
      <c r="G320" s="169"/>
      <c r="H320" s="169"/>
      <c r="I320" s="169"/>
      <c r="J320" s="169"/>
      <c r="K320" s="169"/>
      <c r="L320" s="169"/>
      <c r="M320" s="169"/>
      <c r="N320" s="169"/>
      <c r="O320" s="91"/>
      <c r="S320" s="169"/>
      <c r="T320" s="169"/>
      <c r="U320" s="169"/>
      <c r="V320" s="169"/>
      <c r="W320" s="169"/>
      <c r="X320" s="169"/>
      <c r="Y320" s="169"/>
      <c r="Z320" s="169"/>
      <c r="AA320" s="169"/>
      <c r="AB320" s="169"/>
      <c r="AC320" s="169"/>
      <c r="AD320" s="169"/>
      <c r="AE320" s="169"/>
      <c r="AF320" s="169"/>
      <c r="AG320" s="169"/>
      <c r="AH320" s="169"/>
      <c r="AI320" s="169"/>
      <c r="AJ320" s="169"/>
      <c r="AK320" s="169"/>
      <c r="AL320" s="169"/>
      <c r="AM320" s="169"/>
      <c r="AN320" s="169"/>
      <c r="AO320" s="169"/>
      <c r="AP320" s="169"/>
      <c r="AQ320" s="169"/>
      <c r="AR320" s="169"/>
      <c r="AS320" s="169"/>
      <c r="AT320" s="169"/>
      <c r="AU320" s="169"/>
      <c r="AV320" s="169"/>
      <c r="AW320" s="169"/>
      <c r="AX320" s="169"/>
      <c r="AY320" s="169"/>
      <c r="AZ320" s="169"/>
      <c r="BA320" s="169"/>
      <c r="BB320" s="169"/>
      <c r="BC320" s="169"/>
      <c r="BD320" s="169"/>
      <c r="BE320" s="169"/>
      <c r="BF320" s="169"/>
      <c r="BG320" s="169"/>
      <c r="BH320" s="169"/>
      <c r="BI320" s="169"/>
      <c r="BJ320" s="169"/>
      <c r="BK320" s="169"/>
      <c r="BL320" s="169"/>
      <c r="BM320" s="169"/>
      <c r="BN320" s="169"/>
      <c r="BO320" s="169"/>
      <c r="BP320" s="169"/>
      <c r="BQ320" s="169"/>
      <c r="BR320" s="169"/>
      <c r="BS320" s="169"/>
      <c r="BT320" s="169"/>
      <c r="BU320" s="169"/>
      <c r="BV320" s="169"/>
      <c r="BW320" s="169"/>
      <c r="BX320" s="169"/>
      <c r="BY320" s="169"/>
      <c r="BZ320" s="169"/>
      <c r="CA320" s="169"/>
      <c r="CB320" s="169"/>
      <c r="CC320" s="169"/>
      <c r="CD320" s="169"/>
      <c r="CE320" s="169"/>
      <c r="CF320" s="169"/>
      <c r="CG320" s="169"/>
      <c r="CH320" s="169"/>
      <c r="CI320" s="169"/>
      <c r="CJ320" s="169"/>
      <c r="CK320" s="169"/>
      <c r="CL320" s="169"/>
      <c r="CM320" s="169"/>
      <c r="CN320" s="169"/>
      <c r="CO320" s="169"/>
      <c r="CP320" s="169"/>
      <c r="CQ320" s="169"/>
      <c r="CR320" s="169"/>
      <c r="CS320" s="169"/>
      <c r="CT320" s="169"/>
      <c r="CU320" s="169"/>
      <c r="CV320" s="169"/>
      <c r="CW320" s="169"/>
      <c r="CX320" s="169"/>
      <c r="CY320" s="169"/>
      <c r="CZ320" s="169"/>
      <c r="DA320" s="169"/>
      <c r="DB320" s="169"/>
      <c r="DC320" s="169"/>
      <c r="DD320" s="169"/>
      <c r="DE320" s="169"/>
      <c r="DF320" s="169"/>
      <c r="DG320" s="169"/>
      <c r="DH320" s="169"/>
      <c r="DI320" s="169"/>
      <c r="DJ320" s="169"/>
      <c r="DK320" s="169"/>
      <c r="DL320" s="169"/>
      <c r="DM320" s="169"/>
      <c r="DN320" s="169"/>
      <c r="DO320" s="169"/>
      <c r="DP320" s="169"/>
      <c r="DQ320" s="169"/>
      <c r="DR320" s="169"/>
      <c r="DS320" s="169"/>
      <c r="DT320" s="169"/>
      <c r="DU320" s="169"/>
      <c r="DV320" s="169"/>
      <c r="DW320" s="169"/>
      <c r="DX320" s="169"/>
      <c r="DY320" s="169"/>
      <c r="DZ320" s="169"/>
      <c r="EA320" s="169"/>
      <c r="EB320" s="169"/>
      <c r="EC320" s="169"/>
      <c r="ED320" s="169"/>
      <c r="EE320" s="169"/>
      <c r="EF320" s="169"/>
      <c r="EG320" s="169"/>
      <c r="EH320" s="169"/>
      <c r="EI320" s="169"/>
    </row>
    <row r="321" spans="2:139">
      <c r="F321" s="201"/>
    </row>
    <row r="323" spans="2:139">
      <c r="B323" s="1043" t="s">
        <v>630</v>
      </c>
      <c r="C323" s="196"/>
      <c r="D323" s="196"/>
      <c r="E323" s="196"/>
      <c r="F323" s="197"/>
      <c r="G323" s="197"/>
      <c r="H323" s="197"/>
      <c r="I323" s="197"/>
      <c r="J323" s="197"/>
      <c r="K323" s="197"/>
      <c r="L323" s="197"/>
      <c r="M323" s="197"/>
      <c r="N323" s="197"/>
      <c r="O323" s="197"/>
      <c r="S323" s="197"/>
      <c r="T323" s="197"/>
      <c r="U323" s="197"/>
      <c r="V323" s="197"/>
      <c r="W323" s="197"/>
      <c r="X323" s="197"/>
      <c r="Y323" s="197"/>
      <c r="Z323" s="197"/>
      <c r="AA323" s="197"/>
      <c r="AB323" s="197"/>
      <c r="AC323" s="197"/>
      <c r="AD323" s="197"/>
      <c r="AE323" s="197"/>
      <c r="AF323" s="197"/>
      <c r="AG323" s="197"/>
      <c r="AH323" s="197"/>
      <c r="AI323" s="197"/>
      <c r="AJ323" s="197"/>
      <c r="AK323" s="197"/>
      <c r="AL323" s="197"/>
      <c r="AM323" s="197"/>
      <c r="AN323" s="197"/>
      <c r="AO323" s="197"/>
      <c r="AP323" s="197"/>
      <c r="AQ323" s="197"/>
      <c r="AR323" s="197"/>
      <c r="AS323" s="197"/>
      <c r="AT323" s="197"/>
      <c r="AU323" s="197"/>
      <c r="AV323" s="197"/>
      <c r="AW323" s="197"/>
      <c r="AX323" s="197"/>
      <c r="AY323" s="197"/>
      <c r="AZ323" s="197"/>
      <c r="BA323" s="197"/>
      <c r="BB323" s="197"/>
      <c r="BC323" s="197"/>
      <c r="BD323" s="197"/>
      <c r="BE323" s="197"/>
      <c r="BF323" s="197"/>
      <c r="BG323" s="197"/>
      <c r="BH323" s="197"/>
      <c r="BI323" s="197"/>
      <c r="BJ323" s="197"/>
      <c r="BK323" s="197"/>
      <c r="BL323" s="197"/>
      <c r="BM323" s="197"/>
      <c r="BN323" s="197"/>
      <c r="BO323" s="197"/>
      <c r="BP323" s="197"/>
      <c r="BQ323" s="197"/>
      <c r="BR323" s="197"/>
      <c r="BS323" s="197"/>
      <c r="BT323" s="197"/>
      <c r="BU323" s="197"/>
      <c r="BV323" s="197"/>
      <c r="BW323" s="197"/>
      <c r="BX323" s="197"/>
      <c r="BY323" s="197"/>
      <c r="BZ323" s="197"/>
      <c r="CA323" s="197"/>
      <c r="CB323" s="197"/>
      <c r="CC323" s="197"/>
      <c r="CD323" s="197"/>
      <c r="CE323" s="197"/>
      <c r="CF323" s="197"/>
      <c r="CG323" s="197"/>
      <c r="CH323" s="197"/>
      <c r="CI323" s="197"/>
      <c r="CJ323" s="197"/>
      <c r="CK323" s="197"/>
      <c r="CL323" s="197"/>
      <c r="CM323" s="197"/>
      <c r="CN323" s="197"/>
      <c r="CO323" s="197"/>
      <c r="CP323" s="197"/>
      <c r="CQ323" s="197"/>
      <c r="CR323" s="197"/>
      <c r="CS323" s="197"/>
      <c r="CT323" s="197"/>
      <c r="CU323" s="197"/>
      <c r="CV323" s="197"/>
      <c r="CW323" s="197"/>
      <c r="CX323" s="197"/>
      <c r="CY323" s="197"/>
      <c r="CZ323" s="197"/>
      <c r="DA323" s="197"/>
      <c r="DB323" s="197"/>
      <c r="DC323" s="197"/>
      <c r="DD323" s="197"/>
      <c r="DE323" s="197"/>
      <c r="DF323" s="197"/>
      <c r="DG323" s="197"/>
      <c r="DH323" s="197"/>
      <c r="DI323" s="197"/>
      <c r="DJ323" s="197"/>
      <c r="DK323" s="197"/>
      <c r="DL323" s="197"/>
      <c r="DM323" s="197"/>
      <c r="DN323" s="197"/>
      <c r="DO323" s="197"/>
      <c r="DP323" s="197"/>
      <c r="DQ323" s="197"/>
      <c r="DR323" s="197"/>
      <c r="DS323" s="197"/>
      <c r="DT323" s="197"/>
      <c r="DU323" s="197"/>
      <c r="DV323" s="197"/>
      <c r="DW323" s="197"/>
      <c r="DX323" s="197"/>
      <c r="DY323" s="197"/>
      <c r="DZ323" s="197"/>
      <c r="EA323" s="197"/>
      <c r="EB323" s="197"/>
      <c r="EC323" s="197"/>
      <c r="ED323" s="197"/>
      <c r="EE323" s="197"/>
      <c r="EF323" s="197"/>
      <c r="EG323" s="197"/>
      <c r="EH323" s="197"/>
      <c r="EI323" s="197"/>
    </row>
    <row r="324" spans="2:139">
      <c r="B324" s="198" t="s">
        <v>222</v>
      </c>
      <c r="C324" s="211"/>
      <c r="D324" s="78"/>
      <c r="E324" s="78"/>
      <c r="F324" s="78"/>
      <c r="G324" s="78"/>
      <c r="H324" s="78"/>
      <c r="I324" s="78"/>
      <c r="J324" s="78"/>
      <c r="K324" s="78"/>
      <c r="L324" s="78"/>
      <c r="M324" s="78"/>
      <c r="N324" s="78"/>
      <c r="O324" s="145"/>
      <c r="R324" s="201"/>
      <c r="S324" s="78"/>
      <c r="T324" s="78"/>
      <c r="U324" s="78"/>
      <c r="V324" s="78"/>
      <c r="W324" s="78"/>
      <c r="X324" s="78"/>
      <c r="Y324" s="78"/>
      <c r="Z324" s="78"/>
      <c r="AA324" s="78"/>
      <c r="AB324" s="78"/>
      <c r="AC324" s="78"/>
      <c r="AD324" s="78"/>
      <c r="AE324" s="78"/>
      <c r="AF324" s="78"/>
      <c r="AG324" s="78"/>
      <c r="AH324" s="78"/>
      <c r="AI324" s="78"/>
      <c r="AJ324" s="78"/>
      <c r="AK324" s="78"/>
      <c r="AL324" s="78"/>
      <c r="AM324" s="78"/>
      <c r="AN324" s="78"/>
      <c r="AO324" s="78"/>
      <c r="AP324" s="78"/>
      <c r="AQ324" s="78"/>
      <c r="AR324" s="78"/>
      <c r="AS324" s="78"/>
      <c r="AT324" s="78"/>
      <c r="AU324" s="78"/>
      <c r="AV324" s="78"/>
      <c r="AW324" s="78"/>
      <c r="AX324" s="78"/>
      <c r="AY324" s="78"/>
      <c r="AZ324" s="78"/>
      <c r="BA324" s="78"/>
      <c r="BB324" s="78"/>
      <c r="BC324" s="78"/>
      <c r="BD324" s="78"/>
      <c r="BE324" s="78"/>
      <c r="BF324" s="78"/>
      <c r="BG324" s="78"/>
      <c r="BH324" s="78"/>
      <c r="BI324" s="78"/>
      <c r="BJ324" s="78"/>
      <c r="BK324" s="78"/>
      <c r="BL324" s="78"/>
      <c r="BM324" s="78"/>
      <c r="BN324" s="78"/>
      <c r="BO324" s="78"/>
      <c r="BP324" s="78"/>
      <c r="BQ324" s="78"/>
      <c r="BR324" s="78"/>
      <c r="BS324" s="78"/>
      <c r="BT324" s="78"/>
      <c r="BU324" s="78"/>
      <c r="BV324" s="78"/>
      <c r="BW324" s="78"/>
      <c r="BX324" s="78"/>
      <c r="BY324" s="78"/>
      <c r="BZ324" s="78"/>
      <c r="CA324" s="78"/>
      <c r="CB324" s="78"/>
      <c r="CC324" s="78"/>
      <c r="CD324" s="78"/>
      <c r="CE324" s="78"/>
      <c r="CF324" s="78"/>
      <c r="CG324" s="78"/>
      <c r="CH324" s="78"/>
      <c r="CI324" s="78"/>
      <c r="CJ324" s="78"/>
      <c r="CK324" s="78"/>
      <c r="CL324" s="78"/>
      <c r="CM324" s="78"/>
      <c r="CN324" s="78"/>
      <c r="CO324" s="78"/>
      <c r="CP324" s="78"/>
      <c r="CQ324" s="78"/>
      <c r="CR324" s="78"/>
      <c r="CS324" s="78"/>
      <c r="CT324" s="78"/>
      <c r="CU324" s="78"/>
      <c r="CV324" s="78"/>
      <c r="CW324" s="78"/>
      <c r="CX324" s="78"/>
      <c r="CY324" s="78"/>
      <c r="CZ324" s="78"/>
      <c r="DA324" s="78"/>
      <c r="DB324" s="78"/>
      <c r="DC324" s="78"/>
      <c r="DD324" s="78"/>
      <c r="DE324" s="78"/>
      <c r="DF324" s="78"/>
      <c r="DG324" s="78"/>
      <c r="DH324" s="78"/>
      <c r="DI324" s="78"/>
      <c r="DJ324" s="78"/>
      <c r="DK324" s="78"/>
      <c r="DL324" s="78"/>
      <c r="DM324" s="78"/>
      <c r="DN324" s="78"/>
      <c r="DO324" s="78"/>
      <c r="DP324" s="78"/>
      <c r="DQ324" s="78"/>
      <c r="DR324" s="78"/>
      <c r="DS324" s="78"/>
      <c r="DT324" s="78"/>
      <c r="DU324" s="78"/>
      <c r="DV324" s="78"/>
      <c r="DW324" s="78"/>
      <c r="DX324" s="78"/>
      <c r="DY324" s="78"/>
      <c r="DZ324" s="78"/>
      <c r="EA324" s="78"/>
      <c r="EB324" s="78"/>
      <c r="EC324" s="78"/>
      <c r="ED324" s="78"/>
      <c r="EE324" s="78"/>
      <c r="EF324" s="78"/>
      <c r="EG324" s="78"/>
      <c r="EH324" s="78"/>
      <c r="EI324" s="78"/>
    </row>
    <row r="325" spans="2:139">
      <c r="B325" s="41" t="s">
        <v>16</v>
      </c>
      <c r="C325" s="211"/>
      <c r="D325" s="78">
        <f t="shared" ref="D325:N325" si="620">IF(IrrCalculationType=170,-D10,SUMIF($S$6:$EI$6,D$5,$S325:$EI325))</f>
        <v>13009400</v>
      </c>
      <c r="E325" s="78">
        <f t="shared" si="620"/>
        <v>0</v>
      </c>
      <c r="F325" s="78">
        <f t="shared" si="620"/>
        <v>0</v>
      </c>
      <c r="G325" s="78">
        <f t="shared" si="620"/>
        <v>0</v>
      </c>
      <c r="H325" s="78">
        <f t="shared" si="620"/>
        <v>0</v>
      </c>
      <c r="I325" s="78">
        <f t="shared" si="620"/>
        <v>0</v>
      </c>
      <c r="J325" s="78">
        <f t="shared" si="620"/>
        <v>0</v>
      </c>
      <c r="K325" s="78">
        <f t="shared" si="620"/>
        <v>0</v>
      </c>
      <c r="L325" s="78">
        <f t="shared" si="620"/>
        <v>0</v>
      </c>
      <c r="M325" s="78">
        <f t="shared" si="620"/>
        <v>0</v>
      </c>
      <c r="N325" s="78">
        <f t="shared" si="620"/>
        <v>0</v>
      </c>
      <c r="O325" s="145">
        <f>SUM(D325:N325)</f>
        <v>13009400</v>
      </c>
      <c r="R325" s="879"/>
      <c r="S325" s="78">
        <f t="shared" ref="S325:AX325" si="621">-S10</f>
        <v>13009400</v>
      </c>
      <c r="T325" s="78">
        <f t="shared" si="621"/>
        <v>0</v>
      </c>
      <c r="U325" s="78">
        <f t="shared" si="621"/>
        <v>0</v>
      </c>
      <c r="V325" s="78">
        <f t="shared" si="621"/>
        <v>0</v>
      </c>
      <c r="W325" s="78">
        <f t="shared" si="621"/>
        <v>0</v>
      </c>
      <c r="X325" s="78">
        <f t="shared" si="621"/>
        <v>0</v>
      </c>
      <c r="Y325" s="78">
        <f t="shared" si="621"/>
        <v>0</v>
      </c>
      <c r="Z325" s="78">
        <f t="shared" si="621"/>
        <v>0</v>
      </c>
      <c r="AA325" s="78">
        <f t="shared" si="621"/>
        <v>0</v>
      </c>
      <c r="AB325" s="78">
        <f t="shared" si="621"/>
        <v>0</v>
      </c>
      <c r="AC325" s="78">
        <f t="shared" si="621"/>
        <v>0</v>
      </c>
      <c r="AD325" s="78">
        <f t="shared" si="621"/>
        <v>0</v>
      </c>
      <c r="AE325" s="78">
        <f t="shared" si="621"/>
        <v>0</v>
      </c>
      <c r="AF325" s="78">
        <f t="shared" si="621"/>
        <v>0</v>
      </c>
      <c r="AG325" s="78">
        <f t="shared" si="621"/>
        <v>0</v>
      </c>
      <c r="AH325" s="78">
        <f t="shared" si="621"/>
        <v>0</v>
      </c>
      <c r="AI325" s="78">
        <f t="shared" si="621"/>
        <v>0</v>
      </c>
      <c r="AJ325" s="78">
        <f t="shared" si="621"/>
        <v>0</v>
      </c>
      <c r="AK325" s="78">
        <f t="shared" si="621"/>
        <v>0</v>
      </c>
      <c r="AL325" s="78">
        <f t="shared" si="621"/>
        <v>0</v>
      </c>
      <c r="AM325" s="78">
        <f t="shared" si="621"/>
        <v>0</v>
      </c>
      <c r="AN325" s="78">
        <f t="shared" si="621"/>
        <v>0</v>
      </c>
      <c r="AO325" s="78">
        <f t="shared" si="621"/>
        <v>0</v>
      </c>
      <c r="AP325" s="78">
        <f t="shared" si="621"/>
        <v>0</v>
      </c>
      <c r="AQ325" s="78">
        <f t="shared" si="621"/>
        <v>0</v>
      </c>
      <c r="AR325" s="78">
        <f t="shared" si="621"/>
        <v>0</v>
      </c>
      <c r="AS325" s="78">
        <f t="shared" si="621"/>
        <v>0</v>
      </c>
      <c r="AT325" s="78">
        <f t="shared" si="621"/>
        <v>0</v>
      </c>
      <c r="AU325" s="78">
        <f t="shared" si="621"/>
        <v>0</v>
      </c>
      <c r="AV325" s="78">
        <f t="shared" si="621"/>
        <v>0</v>
      </c>
      <c r="AW325" s="78">
        <f t="shared" si="621"/>
        <v>0</v>
      </c>
      <c r="AX325" s="78">
        <f t="shared" si="621"/>
        <v>0</v>
      </c>
      <c r="AY325" s="78">
        <f t="shared" ref="AY325:CD325" si="622">-AY10</f>
        <v>0</v>
      </c>
      <c r="AZ325" s="78">
        <f t="shared" si="622"/>
        <v>0</v>
      </c>
      <c r="BA325" s="78">
        <f t="shared" si="622"/>
        <v>0</v>
      </c>
      <c r="BB325" s="78">
        <f t="shared" si="622"/>
        <v>0</v>
      </c>
      <c r="BC325" s="78">
        <f t="shared" si="622"/>
        <v>0</v>
      </c>
      <c r="BD325" s="78">
        <f t="shared" si="622"/>
        <v>0</v>
      </c>
      <c r="BE325" s="78">
        <f t="shared" si="622"/>
        <v>0</v>
      </c>
      <c r="BF325" s="78">
        <f t="shared" si="622"/>
        <v>0</v>
      </c>
      <c r="BG325" s="78">
        <f t="shared" si="622"/>
        <v>0</v>
      </c>
      <c r="BH325" s="78">
        <f t="shared" si="622"/>
        <v>0</v>
      </c>
      <c r="BI325" s="78">
        <f t="shared" si="622"/>
        <v>0</v>
      </c>
      <c r="BJ325" s="78">
        <f t="shared" si="622"/>
        <v>0</v>
      </c>
      <c r="BK325" s="78">
        <f t="shared" si="622"/>
        <v>0</v>
      </c>
      <c r="BL325" s="78">
        <f t="shared" si="622"/>
        <v>0</v>
      </c>
      <c r="BM325" s="78">
        <f t="shared" si="622"/>
        <v>0</v>
      </c>
      <c r="BN325" s="78">
        <f t="shared" si="622"/>
        <v>0</v>
      </c>
      <c r="BO325" s="78">
        <f t="shared" si="622"/>
        <v>0</v>
      </c>
      <c r="BP325" s="78">
        <f t="shared" si="622"/>
        <v>0</v>
      </c>
      <c r="BQ325" s="78">
        <f t="shared" si="622"/>
        <v>0</v>
      </c>
      <c r="BR325" s="78">
        <f t="shared" si="622"/>
        <v>0</v>
      </c>
      <c r="BS325" s="78">
        <f t="shared" si="622"/>
        <v>0</v>
      </c>
      <c r="BT325" s="78">
        <f t="shared" si="622"/>
        <v>0</v>
      </c>
      <c r="BU325" s="78">
        <f t="shared" si="622"/>
        <v>0</v>
      </c>
      <c r="BV325" s="78">
        <f t="shared" si="622"/>
        <v>0</v>
      </c>
      <c r="BW325" s="78">
        <f t="shared" si="622"/>
        <v>0</v>
      </c>
      <c r="BX325" s="78">
        <f t="shared" si="622"/>
        <v>0</v>
      </c>
      <c r="BY325" s="78">
        <f t="shared" si="622"/>
        <v>0</v>
      </c>
      <c r="BZ325" s="78">
        <f t="shared" si="622"/>
        <v>0</v>
      </c>
      <c r="CA325" s="78">
        <f t="shared" si="622"/>
        <v>0</v>
      </c>
      <c r="CB325" s="78">
        <f t="shared" si="622"/>
        <v>0</v>
      </c>
      <c r="CC325" s="78">
        <f t="shared" si="622"/>
        <v>0</v>
      </c>
      <c r="CD325" s="78">
        <f t="shared" si="622"/>
        <v>0</v>
      </c>
      <c r="CE325" s="78">
        <f t="shared" ref="CE325:DJ325" si="623">-CE10</f>
        <v>0</v>
      </c>
      <c r="CF325" s="78">
        <f t="shared" si="623"/>
        <v>0</v>
      </c>
      <c r="CG325" s="78">
        <f t="shared" si="623"/>
        <v>0</v>
      </c>
      <c r="CH325" s="78">
        <f t="shared" si="623"/>
        <v>0</v>
      </c>
      <c r="CI325" s="78">
        <f t="shared" si="623"/>
        <v>0</v>
      </c>
      <c r="CJ325" s="78">
        <f t="shared" si="623"/>
        <v>0</v>
      </c>
      <c r="CK325" s="78">
        <f t="shared" si="623"/>
        <v>0</v>
      </c>
      <c r="CL325" s="78">
        <f t="shared" si="623"/>
        <v>0</v>
      </c>
      <c r="CM325" s="78">
        <f t="shared" si="623"/>
        <v>0</v>
      </c>
      <c r="CN325" s="78">
        <f t="shared" si="623"/>
        <v>0</v>
      </c>
      <c r="CO325" s="78">
        <f t="shared" si="623"/>
        <v>0</v>
      </c>
      <c r="CP325" s="78">
        <f t="shared" si="623"/>
        <v>0</v>
      </c>
      <c r="CQ325" s="78">
        <f t="shared" si="623"/>
        <v>0</v>
      </c>
      <c r="CR325" s="78">
        <f t="shared" si="623"/>
        <v>0</v>
      </c>
      <c r="CS325" s="78">
        <f t="shared" si="623"/>
        <v>0</v>
      </c>
      <c r="CT325" s="78">
        <f t="shared" si="623"/>
        <v>0</v>
      </c>
      <c r="CU325" s="78">
        <f t="shared" si="623"/>
        <v>0</v>
      </c>
      <c r="CV325" s="78">
        <f t="shared" si="623"/>
        <v>0</v>
      </c>
      <c r="CW325" s="78">
        <f t="shared" si="623"/>
        <v>0</v>
      </c>
      <c r="CX325" s="78">
        <f t="shared" si="623"/>
        <v>0</v>
      </c>
      <c r="CY325" s="78">
        <f t="shared" si="623"/>
        <v>0</v>
      </c>
      <c r="CZ325" s="78">
        <f t="shared" si="623"/>
        <v>0</v>
      </c>
      <c r="DA325" s="78">
        <f t="shared" si="623"/>
        <v>0</v>
      </c>
      <c r="DB325" s="78">
        <f t="shared" si="623"/>
        <v>0</v>
      </c>
      <c r="DC325" s="78">
        <f t="shared" si="623"/>
        <v>0</v>
      </c>
      <c r="DD325" s="78">
        <f t="shared" si="623"/>
        <v>0</v>
      </c>
      <c r="DE325" s="78">
        <f t="shared" si="623"/>
        <v>0</v>
      </c>
      <c r="DF325" s="78">
        <f t="shared" si="623"/>
        <v>0</v>
      </c>
      <c r="DG325" s="78">
        <f t="shared" si="623"/>
        <v>0</v>
      </c>
      <c r="DH325" s="78">
        <f t="shared" si="623"/>
        <v>0</v>
      </c>
      <c r="DI325" s="78">
        <f t="shared" si="623"/>
        <v>0</v>
      </c>
      <c r="DJ325" s="78">
        <f t="shared" si="623"/>
        <v>0</v>
      </c>
      <c r="DK325" s="78">
        <f t="shared" ref="DK325:EI325" si="624">-DK10</f>
        <v>0</v>
      </c>
      <c r="DL325" s="78">
        <f t="shared" si="624"/>
        <v>0</v>
      </c>
      <c r="DM325" s="78">
        <f t="shared" si="624"/>
        <v>0</v>
      </c>
      <c r="DN325" s="78">
        <f t="shared" si="624"/>
        <v>0</v>
      </c>
      <c r="DO325" s="78">
        <f t="shared" si="624"/>
        <v>0</v>
      </c>
      <c r="DP325" s="78">
        <f t="shared" si="624"/>
        <v>0</v>
      </c>
      <c r="DQ325" s="78">
        <f t="shared" si="624"/>
        <v>0</v>
      </c>
      <c r="DR325" s="78">
        <f t="shared" si="624"/>
        <v>0</v>
      </c>
      <c r="DS325" s="78">
        <f t="shared" si="624"/>
        <v>0</v>
      </c>
      <c r="DT325" s="78">
        <f t="shared" si="624"/>
        <v>0</v>
      </c>
      <c r="DU325" s="78">
        <f t="shared" si="624"/>
        <v>0</v>
      </c>
      <c r="DV325" s="78">
        <f t="shared" si="624"/>
        <v>0</v>
      </c>
      <c r="DW325" s="78">
        <f t="shared" si="624"/>
        <v>0</v>
      </c>
      <c r="DX325" s="78">
        <f t="shared" si="624"/>
        <v>0</v>
      </c>
      <c r="DY325" s="78">
        <f t="shared" si="624"/>
        <v>0</v>
      </c>
      <c r="DZ325" s="78">
        <f t="shared" si="624"/>
        <v>0</v>
      </c>
      <c r="EA325" s="78">
        <f t="shared" si="624"/>
        <v>0</v>
      </c>
      <c r="EB325" s="78">
        <f t="shared" si="624"/>
        <v>0</v>
      </c>
      <c r="EC325" s="78">
        <f t="shared" si="624"/>
        <v>0</v>
      </c>
      <c r="ED325" s="78">
        <f t="shared" si="624"/>
        <v>0</v>
      </c>
      <c r="EE325" s="78">
        <f t="shared" si="624"/>
        <v>0</v>
      </c>
      <c r="EF325" s="78">
        <f t="shared" si="624"/>
        <v>0</v>
      </c>
      <c r="EG325" s="78">
        <f t="shared" si="624"/>
        <v>0</v>
      </c>
      <c r="EH325" s="78">
        <f t="shared" si="624"/>
        <v>0</v>
      </c>
      <c r="EI325" s="78">
        <f t="shared" si="624"/>
        <v>0</v>
      </c>
    </row>
    <row r="326" spans="2:139">
      <c r="B326" s="41" t="s">
        <v>169</v>
      </c>
      <c r="C326" s="211"/>
      <c r="D326" s="78">
        <f t="shared" ref="D326:N326" si="625">IF(IrrCalculationType=170,-D11,SUMIF($S$6:$EI$6,D$5,$S326:$EI326))</f>
        <v>0</v>
      </c>
      <c r="E326" s="78">
        <f t="shared" si="625"/>
        <v>0</v>
      </c>
      <c r="F326" s="78">
        <f t="shared" si="625"/>
        <v>0</v>
      </c>
      <c r="G326" s="78">
        <f t="shared" si="625"/>
        <v>0</v>
      </c>
      <c r="H326" s="78">
        <f t="shared" si="625"/>
        <v>0</v>
      </c>
      <c r="I326" s="78">
        <f t="shared" si="625"/>
        <v>0</v>
      </c>
      <c r="J326" s="78">
        <f t="shared" si="625"/>
        <v>0</v>
      </c>
      <c r="K326" s="78">
        <f t="shared" si="625"/>
        <v>0</v>
      </c>
      <c r="L326" s="78">
        <f t="shared" si="625"/>
        <v>0</v>
      </c>
      <c r="M326" s="78">
        <f t="shared" si="625"/>
        <v>0</v>
      </c>
      <c r="N326" s="78">
        <f t="shared" si="625"/>
        <v>0</v>
      </c>
      <c r="O326" s="145">
        <f>SUM(D326:N326)</f>
        <v>0</v>
      </c>
      <c r="R326" s="879"/>
      <c r="S326" s="78">
        <f t="shared" ref="S326:AX326" si="626">-S11</f>
        <v>0</v>
      </c>
      <c r="T326" s="78">
        <f t="shared" si="626"/>
        <v>0</v>
      </c>
      <c r="U326" s="78">
        <f t="shared" si="626"/>
        <v>0</v>
      </c>
      <c r="V326" s="78">
        <f t="shared" si="626"/>
        <v>0</v>
      </c>
      <c r="W326" s="78">
        <f t="shared" si="626"/>
        <v>0</v>
      </c>
      <c r="X326" s="78">
        <f t="shared" si="626"/>
        <v>0</v>
      </c>
      <c r="Y326" s="78">
        <f t="shared" si="626"/>
        <v>0</v>
      </c>
      <c r="Z326" s="78">
        <f t="shared" si="626"/>
        <v>0</v>
      </c>
      <c r="AA326" s="78">
        <f t="shared" si="626"/>
        <v>0</v>
      </c>
      <c r="AB326" s="78">
        <f t="shared" si="626"/>
        <v>0</v>
      </c>
      <c r="AC326" s="78">
        <f t="shared" si="626"/>
        <v>0</v>
      </c>
      <c r="AD326" s="78">
        <f t="shared" si="626"/>
        <v>0</v>
      </c>
      <c r="AE326" s="78">
        <f t="shared" si="626"/>
        <v>0</v>
      </c>
      <c r="AF326" s="78">
        <f t="shared" si="626"/>
        <v>0</v>
      </c>
      <c r="AG326" s="78">
        <f t="shared" si="626"/>
        <v>0</v>
      </c>
      <c r="AH326" s="78">
        <f t="shared" si="626"/>
        <v>0</v>
      </c>
      <c r="AI326" s="78">
        <f t="shared" si="626"/>
        <v>0</v>
      </c>
      <c r="AJ326" s="78">
        <f t="shared" si="626"/>
        <v>0</v>
      </c>
      <c r="AK326" s="78">
        <f t="shared" si="626"/>
        <v>0</v>
      </c>
      <c r="AL326" s="78">
        <f t="shared" si="626"/>
        <v>0</v>
      </c>
      <c r="AM326" s="78">
        <f t="shared" si="626"/>
        <v>0</v>
      </c>
      <c r="AN326" s="78">
        <f t="shared" si="626"/>
        <v>0</v>
      </c>
      <c r="AO326" s="78">
        <f t="shared" si="626"/>
        <v>0</v>
      </c>
      <c r="AP326" s="78">
        <f t="shared" si="626"/>
        <v>0</v>
      </c>
      <c r="AQ326" s="78">
        <f t="shared" si="626"/>
        <v>0</v>
      </c>
      <c r="AR326" s="78">
        <f t="shared" si="626"/>
        <v>0</v>
      </c>
      <c r="AS326" s="78">
        <f t="shared" si="626"/>
        <v>0</v>
      </c>
      <c r="AT326" s="78">
        <f t="shared" si="626"/>
        <v>0</v>
      </c>
      <c r="AU326" s="78">
        <f t="shared" si="626"/>
        <v>0</v>
      </c>
      <c r="AV326" s="78">
        <f t="shared" si="626"/>
        <v>0</v>
      </c>
      <c r="AW326" s="78">
        <f t="shared" si="626"/>
        <v>0</v>
      </c>
      <c r="AX326" s="78">
        <f t="shared" si="626"/>
        <v>0</v>
      </c>
      <c r="AY326" s="78">
        <f t="shared" ref="AY326:CD326" si="627">-AY11</f>
        <v>0</v>
      </c>
      <c r="AZ326" s="78">
        <f t="shared" si="627"/>
        <v>0</v>
      </c>
      <c r="BA326" s="78">
        <f t="shared" si="627"/>
        <v>0</v>
      </c>
      <c r="BB326" s="78">
        <f t="shared" si="627"/>
        <v>0</v>
      </c>
      <c r="BC326" s="78">
        <f t="shared" si="627"/>
        <v>0</v>
      </c>
      <c r="BD326" s="78">
        <f t="shared" si="627"/>
        <v>0</v>
      </c>
      <c r="BE326" s="78">
        <f t="shared" si="627"/>
        <v>0</v>
      </c>
      <c r="BF326" s="78">
        <f t="shared" si="627"/>
        <v>0</v>
      </c>
      <c r="BG326" s="78">
        <f t="shared" si="627"/>
        <v>0</v>
      </c>
      <c r="BH326" s="78">
        <f t="shared" si="627"/>
        <v>0</v>
      </c>
      <c r="BI326" s="78">
        <f t="shared" si="627"/>
        <v>0</v>
      </c>
      <c r="BJ326" s="78">
        <f t="shared" si="627"/>
        <v>0</v>
      </c>
      <c r="BK326" s="78">
        <f t="shared" si="627"/>
        <v>0</v>
      </c>
      <c r="BL326" s="78">
        <f t="shared" si="627"/>
        <v>0</v>
      </c>
      <c r="BM326" s="78">
        <f t="shared" si="627"/>
        <v>0</v>
      </c>
      <c r="BN326" s="78">
        <f t="shared" si="627"/>
        <v>0</v>
      </c>
      <c r="BO326" s="78">
        <f t="shared" si="627"/>
        <v>0</v>
      </c>
      <c r="BP326" s="78">
        <f t="shared" si="627"/>
        <v>0</v>
      </c>
      <c r="BQ326" s="78">
        <f t="shared" si="627"/>
        <v>0</v>
      </c>
      <c r="BR326" s="78">
        <f t="shared" si="627"/>
        <v>0</v>
      </c>
      <c r="BS326" s="78">
        <f t="shared" si="627"/>
        <v>0</v>
      </c>
      <c r="BT326" s="78">
        <f t="shared" si="627"/>
        <v>0</v>
      </c>
      <c r="BU326" s="78">
        <f t="shared" si="627"/>
        <v>0</v>
      </c>
      <c r="BV326" s="78">
        <f t="shared" si="627"/>
        <v>0</v>
      </c>
      <c r="BW326" s="78">
        <f t="shared" si="627"/>
        <v>0</v>
      </c>
      <c r="BX326" s="78">
        <f t="shared" si="627"/>
        <v>0</v>
      </c>
      <c r="BY326" s="78">
        <f t="shared" si="627"/>
        <v>0</v>
      </c>
      <c r="BZ326" s="78">
        <f t="shared" si="627"/>
        <v>0</v>
      </c>
      <c r="CA326" s="78">
        <f t="shared" si="627"/>
        <v>0</v>
      </c>
      <c r="CB326" s="78">
        <f t="shared" si="627"/>
        <v>0</v>
      </c>
      <c r="CC326" s="78">
        <f t="shared" si="627"/>
        <v>0</v>
      </c>
      <c r="CD326" s="78">
        <f t="shared" si="627"/>
        <v>0</v>
      </c>
      <c r="CE326" s="78">
        <f t="shared" ref="CE326:DJ326" si="628">-CE11</f>
        <v>0</v>
      </c>
      <c r="CF326" s="78">
        <f t="shared" si="628"/>
        <v>0</v>
      </c>
      <c r="CG326" s="78">
        <f t="shared" si="628"/>
        <v>0</v>
      </c>
      <c r="CH326" s="78">
        <f t="shared" si="628"/>
        <v>0</v>
      </c>
      <c r="CI326" s="78">
        <f t="shared" si="628"/>
        <v>0</v>
      </c>
      <c r="CJ326" s="78">
        <f t="shared" si="628"/>
        <v>0</v>
      </c>
      <c r="CK326" s="78">
        <f t="shared" si="628"/>
        <v>0</v>
      </c>
      <c r="CL326" s="78">
        <f t="shared" si="628"/>
        <v>0</v>
      </c>
      <c r="CM326" s="78">
        <f t="shared" si="628"/>
        <v>0</v>
      </c>
      <c r="CN326" s="78">
        <f t="shared" si="628"/>
        <v>0</v>
      </c>
      <c r="CO326" s="78">
        <f t="shared" si="628"/>
        <v>0</v>
      </c>
      <c r="CP326" s="78">
        <f t="shared" si="628"/>
        <v>0</v>
      </c>
      <c r="CQ326" s="78">
        <f t="shared" si="628"/>
        <v>0</v>
      </c>
      <c r="CR326" s="78">
        <f t="shared" si="628"/>
        <v>0</v>
      </c>
      <c r="CS326" s="78">
        <f t="shared" si="628"/>
        <v>0</v>
      </c>
      <c r="CT326" s="78">
        <f t="shared" si="628"/>
        <v>0</v>
      </c>
      <c r="CU326" s="78">
        <f t="shared" si="628"/>
        <v>0</v>
      </c>
      <c r="CV326" s="78">
        <f t="shared" si="628"/>
        <v>0</v>
      </c>
      <c r="CW326" s="78">
        <f t="shared" si="628"/>
        <v>0</v>
      </c>
      <c r="CX326" s="78">
        <f t="shared" si="628"/>
        <v>0</v>
      </c>
      <c r="CY326" s="78">
        <f t="shared" si="628"/>
        <v>0</v>
      </c>
      <c r="CZ326" s="78">
        <f t="shared" si="628"/>
        <v>0</v>
      </c>
      <c r="DA326" s="78">
        <f t="shared" si="628"/>
        <v>0</v>
      </c>
      <c r="DB326" s="78">
        <f t="shared" si="628"/>
        <v>0</v>
      </c>
      <c r="DC326" s="78">
        <f t="shared" si="628"/>
        <v>0</v>
      </c>
      <c r="DD326" s="78">
        <f t="shared" si="628"/>
        <v>0</v>
      </c>
      <c r="DE326" s="78">
        <f t="shared" si="628"/>
        <v>0</v>
      </c>
      <c r="DF326" s="78">
        <f t="shared" si="628"/>
        <v>0</v>
      </c>
      <c r="DG326" s="78">
        <f t="shared" si="628"/>
        <v>0</v>
      </c>
      <c r="DH326" s="78">
        <f t="shared" si="628"/>
        <v>0</v>
      </c>
      <c r="DI326" s="78">
        <f t="shared" si="628"/>
        <v>0</v>
      </c>
      <c r="DJ326" s="78">
        <f t="shared" si="628"/>
        <v>0</v>
      </c>
      <c r="DK326" s="78">
        <f t="shared" ref="DK326:EI326" si="629">-DK11</f>
        <v>0</v>
      </c>
      <c r="DL326" s="78">
        <f t="shared" si="629"/>
        <v>0</v>
      </c>
      <c r="DM326" s="78">
        <f t="shared" si="629"/>
        <v>0</v>
      </c>
      <c r="DN326" s="78">
        <f t="shared" si="629"/>
        <v>0</v>
      </c>
      <c r="DO326" s="78">
        <f t="shared" si="629"/>
        <v>0</v>
      </c>
      <c r="DP326" s="78">
        <f t="shared" si="629"/>
        <v>0</v>
      </c>
      <c r="DQ326" s="78">
        <f t="shared" si="629"/>
        <v>0</v>
      </c>
      <c r="DR326" s="78">
        <f t="shared" si="629"/>
        <v>0</v>
      </c>
      <c r="DS326" s="78">
        <f t="shared" si="629"/>
        <v>0</v>
      </c>
      <c r="DT326" s="78">
        <f t="shared" si="629"/>
        <v>0</v>
      </c>
      <c r="DU326" s="78">
        <f t="shared" si="629"/>
        <v>0</v>
      </c>
      <c r="DV326" s="78">
        <f t="shared" si="629"/>
        <v>0</v>
      </c>
      <c r="DW326" s="78">
        <f t="shared" si="629"/>
        <v>0</v>
      </c>
      <c r="DX326" s="78">
        <f t="shared" si="629"/>
        <v>0</v>
      </c>
      <c r="DY326" s="78">
        <f t="shared" si="629"/>
        <v>0</v>
      </c>
      <c r="DZ326" s="78">
        <f t="shared" si="629"/>
        <v>0</v>
      </c>
      <c r="EA326" s="78">
        <f t="shared" si="629"/>
        <v>0</v>
      </c>
      <c r="EB326" s="78">
        <f t="shared" si="629"/>
        <v>0</v>
      </c>
      <c r="EC326" s="78">
        <f t="shared" si="629"/>
        <v>0</v>
      </c>
      <c r="ED326" s="78">
        <f t="shared" si="629"/>
        <v>0</v>
      </c>
      <c r="EE326" s="78">
        <f t="shared" si="629"/>
        <v>0</v>
      </c>
      <c r="EF326" s="78">
        <f t="shared" si="629"/>
        <v>0</v>
      </c>
      <c r="EG326" s="78">
        <f t="shared" si="629"/>
        <v>0</v>
      </c>
      <c r="EH326" s="78">
        <f t="shared" si="629"/>
        <v>0</v>
      </c>
      <c r="EI326" s="78">
        <f t="shared" si="629"/>
        <v>0</v>
      </c>
    </row>
    <row r="327" spans="2:139">
      <c r="B327" s="41" t="s">
        <v>631</v>
      </c>
      <c r="C327" s="211"/>
      <c r="D327" s="78">
        <f t="shared" ref="D327:N327" si="630">IF(IrrCalculationType=170,-D12,SUMIF($S$6:$EI$6,D$5,$S327:$EI327))</f>
        <v>0</v>
      </c>
      <c r="E327" s="78">
        <f t="shared" si="630"/>
        <v>0</v>
      </c>
      <c r="F327" s="78">
        <f t="shared" si="630"/>
        <v>0</v>
      </c>
      <c r="G327" s="78">
        <f t="shared" si="630"/>
        <v>0</v>
      </c>
      <c r="H327" s="78">
        <f t="shared" si="630"/>
        <v>0</v>
      </c>
      <c r="I327" s="78">
        <f t="shared" si="630"/>
        <v>0</v>
      </c>
      <c r="J327" s="78">
        <f t="shared" si="630"/>
        <v>0</v>
      </c>
      <c r="K327" s="78">
        <f t="shared" si="630"/>
        <v>0</v>
      </c>
      <c r="L327" s="78">
        <f t="shared" si="630"/>
        <v>0</v>
      </c>
      <c r="M327" s="78">
        <f t="shared" si="630"/>
        <v>0</v>
      </c>
      <c r="N327" s="78">
        <f t="shared" si="630"/>
        <v>0</v>
      </c>
      <c r="O327" s="145">
        <f>SUM(D327:N327)</f>
        <v>0</v>
      </c>
      <c r="R327" s="879"/>
      <c r="S327" s="78">
        <f t="shared" ref="S327:AX327" si="631">-S12</f>
        <v>0</v>
      </c>
      <c r="T327" s="78">
        <f t="shared" si="631"/>
        <v>0</v>
      </c>
      <c r="U327" s="78">
        <f t="shared" si="631"/>
        <v>0</v>
      </c>
      <c r="V327" s="78">
        <f t="shared" si="631"/>
        <v>0</v>
      </c>
      <c r="W327" s="78">
        <f t="shared" si="631"/>
        <v>0</v>
      </c>
      <c r="X327" s="78">
        <f t="shared" si="631"/>
        <v>0</v>
      </c>
      <c r="Y327" s="78">
        <f t="shared" si="631"/>
        <v>0</v>
      </c>
      <c r="Z327" s="78">
        <f t="shared" si="631"/>
        <v>0</v>
      </c>
      <c r="AA327" s="78">
        <f t="shared" si="631"/>
        <v>0</v>
      </c>
      <c r="AB327" s="78">
        <f t="shared" si="631"/>
        <v>0</v>
      </c>
      <c r="AC327" s="78">
        <f t="shared" si="631"/>
        <v>0</v>
      </c>
      <c r="AD327" s="78">
        <f t="shared" si="631"/>
        <v>0</v>
      </c>
      <c r="AE327" s="78">
        <f t="shared" si="631"/>
        <v>0</v>
      </c>
      <c r="AF327" s="78">
        <f t="shared" si="631"/>
        <v>0</v>
      </c>
      <c r="AG327" s="78">
        <f t="shared" si="631"/>
        <v>0</v>
      </c>
      <c r="AH327" s="78">
        <f t="shared" si="631"/>
        <v>0</v>
      </c>
      <c r="AI327" s="78">
        <f t="shared" si="631"/>
        <v>0</v>
      </c>
      <c r="AJ327" s="78">
        <f t="shared" si="631"/>
        <v>0</v>
      </c>
      <c r="AK327" s="78">
        <f t="shared" si="631"/>
        <v>0</v>
      </c>
      <c r="AL327" s="78">
        <f t="shared" si="631"/>
        <v>0</v>
      </c>
      <c r="AM327" s="78">
        <f t="shared" si="631"/>
        <v>0</v>
      </c>
      <c r="AN327" s="78">
        <f t="shared" si="631"/>
        <v>0</v>
      </c>
      <c r="AO327" s="78">
        <f t="shared" si="631"/>
        <v>0</v>
      </c>
      <c r="AP327" s="78">
        <f t="shared" si="631"/>
        <v>0</v>
      </c>
      <c r="AQ327" s="78">
        <f t="shared" si="631"/>
        <v>0</v>
      </c>
      <c r="AR327" s="78">
        <f t="shared" si="631"/>
        <v>0</v>
      </c>
      <c r="AS327" s="78">
        <f t="shared" si="631"/>
        <v>0</v>
      </c>
      <c r="AT327" s="78">
        <f t="shared" si="631"/>
        <v>0</v>
      </c>
      <c r="AU327" s="78">
        <f t="shared" si="631"/>
        <v>0</v>
      </c>
      <c r="AV327" s="78">
        <f t="shared" si="631"/>
        <v>0</v>
      </c>
      <c r="AW327" s="78">
        <f t="shared" si="631"/>
        <v>0</v>
      </c>
      <c r="AX327" s="78">
        <f t="shared" si="631"/>
        <v>0</v>
      </c>
      <c r="AY327" s="78">
        <f t="shared" ref="AY327:CD327" si="632">-AY12</f>
        <v>0</v>
      </c>
      <c r="AZ327" s="78">
        <f t="shared" si="632"/>
        <v>0</v>
      </c>
      <c r="BA327" s="78">
        <f t="shared" si="632"/>
        <v>0</v>
      </c>
      <c r="BB327" s="78">
        <f t="shared" si="632"/>
        <v>0</v>
      </c>
      <c r="BC327" s="78">
        <f t="shared" si="632"/>
        <v>0</v>
      </c>
      <c r="BD327" s="78">
        <f t="shared" si="632"/>
        <v>0</v>
      </c>
      <c r="BE327" s="78">
        <f t="shared" si="632"/>
        <v>0</v>
      </c>
      <c r="BF327" s="78">
        <f t="shared" si="632"/>
        <v>0</v>
      </c>
      <c r="BG327" s="78">
        <f t="shared" si="632"/>
        <v>0</v>
      </c>
      <c r="BH327" s="78">
        <f t="shared" si="632"/>
        <v>0</v>
      </c>
      <c r="BI327" s="78">
        <f t="shared" si="632"/>
        <v>0</v>
      </c>
      <c r="BJ327" s="78">
        <f t="shared" si="632"/>
        <v>0</v>
      </c>
      <c r="BK327" s="78">
        <f t="shared" si="632"/>
        <v>0</v>
      </c>
      <c r="BL327" s="78">
        <f t="shared" si="632"/>
        <v>0</v>
      </c>
      <c r="BM327" s="78">
        <f t="shared" si="632"/>
        <v>0</v>
      </c>
      <c r="BN327" s="78">
        <f t="shared" si="632"/>
        <v>0</v>
      </c>
      <c r="BO327" s="78">
        <f t="shared" si="632"/>
        <v>0</v>
      </c>
      <c r="BP327" s="78">
        <f t="shared" si="632"/>
        <v>0</v>
      </c>
      <c r="BQ327" s="78">
        <f t="shared" si="632"/>
        <v>0</v>
      </c>
      <c r="BR327" s="78">
        <f t="shared" si="632"/>
        <v>0</v>
      </c>
      <c r="BS327" s="78">
        <f t="shared" si="632"/>
        <v>0</v>
      </c>
      <c r="BT327" s="78">
        <f t="shared" si="632"/>
        <v>0</v>
      </c>
      <c r="BU327" s="78">
        <f t="shared" si="632"/>
        <v>0</v>
      </c>
      <c r="BV327" s="78">
        <f t="shared" si="632"/>
        <v>0</v>
      </c>
      <c r="BW327" s="78">
        <f t="shared" si="632"/>
        <v>0</v>
      </c>
      <c r="BX327" s="78">
        <f t="shared" si="632"/>
        <v>0</v>
      </c>
      <c r="BY327" s="78">
        <f t="shared" si="632"/>
        <v>0</v>
      </c>
      <c r="BZ327" s="78">
        <f t="shared" si="632"/>
        <v>0</v>
      </c>
      <c r="CA327" s="78">
        <f t="shared" si="632"/>
        <v>0</v>
      </c>
      <c r="CB327" s="78">
        <f t="shared" si="632"/>
        <v>0</v>
      </c>
      <c r="CC327" s="78">
        <f t="shared" si="632"/>
        <v>0</v>
      </c>
      <c r="CD327" s="78">
        <f t="shared" si="632"/>
        <v>0</v>
      </c>
      <c r="CE327" s="78">
        <f t="shared" ref="CE327:DJ327" si="633">-CE12</f>
        <v>0</v>
      </c>
      <c r="CF327" s="78">
        <f t="shared" si="633"/>
        <v>0</v>
      </c>
      <c r="CG327" s="78">
        <f t="shared" si="633"/>
        <v>0</v>
      </c>
      <c r="CH327" s="78">
        <f t="shared" si="633"/>
        <v>0</v>
      </c>
      <c r="CI327" s="78">
        <f t="shared" si="633"/>
        <v>0</v>
      </c>
      <c r="CJ327" s="78">
        <f t="shared" si="633"/>
        <v>0</v>
      </c>
      <c r="CK327" s="78">
        <f t="shared" si="633"/>
        <v>0</v>
      </c>
      <c r="CL327" s="78">
        <f t="shared" si="633"/>
        <v>0</v>
      </c>
      <c r="CM327" s="78">
        <f t="shared" si="633"/>
        <v>0</v>
      </c>
      <c r="CN327" s="78">
        <f t="shared" si="633"/>
        <v>0</v>
      </c>
      <c r="CO327" s="78">
        <f t="shared" si="633"/>
        <v>0</v>
      </c>
      <c r="CP327" s="78">
        <f t="shared" si="633"/>
        <v>0</v>
      </c>
      <c r="CQ327" s="78">
        <f t="shared" si="633"/>
        <v>0</v>
      </c>
      <c r="CR327" s="78">
        <f t="shared" si="633"/>
        <v>0</v>
      </c>
      <c r="CS327" s="78">
        <f t="shared" si="633"/>
        <v>0</v>
      </c>
      <c r="CT327" s="78">
        <f t="shared" si="633"/>
        <v>0</v>
      </c>
      <c r="CU327" s="78">
        <f t="shared" si="633"/>
        <v>0</v>
      </c>
      <c r="CV327" s="78">
        <f t="shared" si="633"/>
        <v>0</v>
      </c>
      <c r="CW327" s="78">
        <f t="shared" si="633"/>
        <v>0</v>
      </c>
      <c r="CX327" s="78">
        <f t="shared" si="633"/>
        <v>0</v>
      </c>
      <c r="CY327" s="78">
        <f t="shared" si="633"/>
        <v>0</v>
      </c>
      <c r="CZ327" s="78">
        <f t="shared" si="633"/>
        <v>0</v>
      </c>
      <c r="DA327" s="78">
        <f t="shared" si="633"/>
        <v>0</v>
      </c>
      <c r="DB327" s="78">
        <f t="shared" si="633"/>
        <v>0</v>
      </c>
      <c r="DC327" s="78">
        <f t="shared" si="633"/>
        <v>0</v>
      </c>
      <c r="DD327" s="78">
        <f t="shared" si="633"/>
        <v>0</v>
      </c>
      <c r="DE327" s="78">
        <f t="shared" si="633"/>
        <v>0</v>
      </c>
      <c r="DF327" s="78">
        <f t="shared" si="633"/>
        <v>0</v>
      </c>
      <c r="DG327" s="78">
        <f t="shared" si="633"/>
        <v>0</v>
      </c>
      <c r="DH327" s="78">
        <f t="shared" si="633"/>
        <v>0</v>
      </c>
      <c r="DI327" s="78">
        <f t="shared" si="633"/>
        <v>0</v>
      </c>
      <c r="DJ327" s="78">
        <f t="shared" si="633"/>
        <v>0</v>
      </c>
      <c r="DK327" s="78">
        <f t="shared" ref="DK327:EI327" si="634">-DK12</f>
        <v>0</v>
      </c>
      <c r="DL327" s="78">
        <f t="shared" si="634"/>
        <v>0</v>
      </c>
      <c r="DM327" s="78">
        <f t="shared" si="634"/>
        <v>0</v>
      </c>
      <c r="DN327" s="78">
        <f t="shared" si="634"/>
        <v>0</v>
      </c>
      <c r="DO327" s="78">
        <f t="shared" si="634"/>
        <v>0</v>
      </c>
      <c r="DP327" s="78">
        <f t="shared" si="634"/>
        <v>0</v>
      </c>
      <c r="DQ327" s="78">
        <f t="shared" si="634"/>
        <v>0</v>
      </c>
      <c r="DR327" s="78">
        <f t="shared" si="634"/>
        <v>0</v>
      </c>
      <c r="DS327" s="78">
        <f t="shared" si="634"/>
        <v>0</v>
      </c>
      <c r="DT327" s="78">
        <f t="shared" si="634"/>
        <v>0</v>
      </c>
      <c r="DU327" s="78">
        <f t="shared" si="634"/>
        <v>0</v>
      </c>
      <c r="DV327" s="78">
        <f t="shared" si="634"/>
        <v>0</v>
      </c>
      <c r="DW327" s="78">
        <f t="shared" si="634"/>
        <v>0</v>
      </c>
      <c r="DX327" s="78">
        <f t="shared" si="634"/>
        <v>0</v>
      </c>
      <c r="DY327" s="78">
        <f t="shared" si="634"/>
        <v>0</v>
      </c>
      <c r="DZ327" s="78">
        <f t="shared" si="634"/>
        <v>0</v>
      </c>
      <c r="EA327" s="78">
        <f t="shared" si="634"/>
        <v>0</v>
      </c>
      <c r="EB327" s="78">
        <f t="shared" si="634"/>
        <v>0</v>
      </c>
      <c r="EC327" s="78">
        <f t="shared" si="634"/>
        <v>0</v>
      </c>
      <c r="ED327" s="78">
        <f t="shared" si="634"/>
        <v>0</v>
      </c>
      <c r="EE327" s="78">
        <f t="shared" si="634"/>
        <v>0</v>
      </c>
      <c r="EF327" s="78">
        <f t="shared" si="634"/>
        <v>0</v>
      </c>
      <c r="EG327" s="78">
        <f t="shared" si="634"/>
        <v>0</v>
      </c>
      <c r="EH327" s="78">
        <f t="shared" si="634"/>
        <v>0</v>
      </c>
      <c r="EI327" s="78">
        <f t="shared" si="634"/>
        <v>0</v>
      </c>
    </row>
    <row r="328" spans="2:139">
      <c r="B328" s="198" t="s">
        <v>632</v>
      </c>
      <c r="C328" s="211"/>
      <c r="D328" s="78"/>
      <c r="E328" s="78"/>
      <c r="F328" s="78"/>
      <c r="G328" s="78"/>
      <c r="H328" s="78"/>
      <c r="I328" s="78"/>
      <c r="J328" s="78"/>
      <c r="K328" s="78"/>
      <c r="L328" s="78"/>
      <c r="M328" s="78"/>
      <c r="N328" s="78"/>
      <c r="O328" s="145"/>
      <c r="R328" s="879"/>
      <c r="S328" s="78"/>
      <c r="T328" s="78"/>
      <c r="U328" s="78"/>
      <c r="V328" s="78"/>
      <c r="W328" s="78"/>
      <c r="X328" s="78"/>
      <c r="Y328" s="78"/>
      <c r="Z328" s="78"/>
      <c r="AA328" s="78"/>
      <c r="AB328" s="78"/>
      <c r="AC328" s="78"/>
      <c r="AD328" s="78"/>
      <c r="AE328" s="78"/>
      <c r="AF328" s="78"/>
      <c r="AG328" s="78"/>
      <c r="AH328" s="78"/>
      <c r="AI328" s="78"/>
      <c r="AJ328" s="78"/>
      <c r="AK328" s="78"/>
      <c r="AL328" s="78"/>
      <c r="AM328" s="78"/>
      <c r="AN328" s="78"/>
      <c r="AO328" s="78"/>
      <c r="AP328" s="78"/>
      <c r="AQ328" s="78"/>
      <c r="AR328" s="78"/>
      <c r="AS328" s="78"/>
      <c r="AT328" s="78"/>
      <c r="AU328" s="78"/>
      <c r="AV328" s="78"/>
      <c r="AW328" s="78"/>
      <c r="AX328" s="78"/>
      <c r="AY328" s="78"/>
      <c r="AZ328" s="78"/>
      <c r="BA328" s="78"/>
      <c r="BB328" s="78"/>
      <c r="BC328" s="78"/>
      <c r="BD328" s="78"/>
      <c r="BE328" s="78"/>
      <c r="BF328" s="78"/>
      <c r="BG328" s="78"/>
      <c r="BH328" s="78"/>
      <c r="BI328" s="78"/>
      <c r="BJ328" s="78"/>
      <c r="BK328" s="78"/>
      <c r="BL328" s="78"/>
      <c r="BM328" s="78"/>
      <c r="BN328" s="78"/>
      <c r="BO328" s="78"/>
      <c r="BP328" s="78"/>
      <c r="BQ328" s="78"/>
      <c r="BR328" s="78"/>
      <c r="BS328" s="78"/>
      <c r="BT328" s="78"/>
      <c r="BU328" s="78"/>
      <c r="BV328" s="78"/>
      <c r="BW328" s="78"/>
      <c r="BX328" s="78"/>
      <c r="BY328" s="78"/>
      <c r="BZ328" s="78"/>
      <c r="CA328" s="78"/>
      <c r="CB328" s="78"/>
      <c r="CC328" s="78"/>
      <c r="CD328" s="78"/>
      <c r="CE328" s="78"/>
      <c r="CF328" s="78"/>
      <c r="CG328" s="78"/>
      <c r="CH328" s="78"/>
      <c r="CI328" s="78"/>
      <c r="CJ328" s="78"/>
      <c r="CK328" s="78"/>
      <c r="CL328" s="78"/>
      <c r="CM328" s="78"/>
      <c r="CN328" s="78"/>
      <c r="CO328" s="78"/>
      <c r="CP328" s="78"/>
      <c r="CQ328" s="78"/>
      <c r="CR328" s="78"/>
      <c r="CS328" s="78"/>
      <c r="CT328" s="78"/>
      <c r="CU328" s="78"/>
      <c r="CV328" s="78"/>
      <c r="CW328" s="78"/>
      <c r="CX328" s="78"/>
      <c r="CY328" s="78"/>
      <c r="CZ328" s="78"/>
      <c r="DA328" s="78"/>
      <c r="DB328" s="78"/>
      <c r="DC328" s="78"/>
      <c r="DD328" s="78"/>
      <c r="DE328" s="78"/>
      <c r="DF328" s="78"/>
      <c r="DG328" s="78"/>
      <c r="DH328" s="78"/>
      <c r="DI328" s="78"/>
      <c r="DJ328" s="78"/>
      <c r="DK328" s="78"/>
      <c r="DL328" s="78"/>
      <c r="DM328" s="78"/>
      <c r="DN328" s="78"/>
      <c r="DO328" s="78"/>
      <c r="DP328" s="78"/>
      <c r="DQ328" s="78"/>
      <c r="DR328" s="78"/>
      <c r="DS328" s="78"/>
      <c r="DT328" s="78"/>
      <c r="DU328" s="78"/>
      <c r="DV328" s="78"/>
      <c r="DW328" s="78"/>
      <c r="DX328" s="78"/>
      <c r="DY328" s="78"/>
      <c r="DZ328" s="78"/>
      <c r="EA328" s="78"/>
      <c r="EB328" s="78"/>
      <c r="EC328" s="78"/>
      <c r="ED328" s="78"/>
      <c r="EE328" s="78"/>
      <c r="EF328" s="78"/>
      <c r="EG328" s="78"/>
      <c r="EH328" s="78"/>
      <c r="EI328" s="78"/>
    </row>
    <row r="329" spans="2:139">
      <c r="B329" s="41" t="s">
        <v>171</v>
      </c>
      <c r="C329" s="211"/>
      <c r="D329" s="78">
        <f t="shared" ref="D329:N329" si="635">IF(IrrCalculationType=170,-D54,SUMIF($S$6:$EI$6,D$5,$S329:$EI329))</f>
        <v>0</v>
      </c>
      <c r="E329" s="78">
        <f t="shared" si="635"/>
        <v>439367</v>
      </c>
      <c r="F329" s="78">
        <f t="shared" si="635"/>
        <v>439367</v>
      </c>
      <c r="G329" s="78">
        <f t="shared" si="635"/>
        <v>439367</v>
      </c>
      <c r="H329" s="78">
        <f t="shared" si="635"/>
        <v>439367</v>
      </c>
      <c r="I329" s="78">
        <f t="shared" si="635"/>
        <v>439367</v>
      </c>
      <c r="J329" s="78">
        <f t="shared" si="635"/>
        <v>439367</v>
      </c>
      <c r="K329" s="78">
        <f t="shared" si="635"/>
        <v>439367</v>
      </c>
      <c r="L329" s="78">
        <f t="shared" si="635"/>
        <v>0</v>
      </c>
      <c r="M329" s="78">
        <f t="shared" si="635"/>
        <v>0</v>
      </c>
      <c r="N329" s="78">
        <f t="shared" si="635"/>
        <v>0</v>
      </c>
      <c r="O329" s="145">
        <f>SUM(D329:N329)</f>
        <v>3075569</v>
      </c>
      <c r="R329" s="879"/>
      <c r="S329" s="78">
        <f t="shared" ref="S329:AX329" si="636">-S54</f>
        <v>0</v>
      </c>
      <c r="T329" s="78">
        <f t="shared" si="636"/>
        <v>36613.916666666664</v>
      </c>
      <c r="U329" s="78">
        <f t="shared" si="636"/>
        <v>36613.916666666664</v>
      </c>
      <c r="V329" s="78">
        <f t="shared" si="636"/>
        <v>36613.916666666664</v>
      </c>
      <c r="W329" s="78">
        <f t="shared" si="636"/>
        <v>36613.916666666664</v>
      </c>
      <c r="X329" s="78">
        <f t="shared" si="636"/>
        <v>36613.916666666664</v>
      </c>
      <c r="Y329" s="78">
        <f t="shared" si="636"/>
        <v>36613.916666666664</v>
      </c>
      <c r="Z329" s="78">
        <f t="shared" si="636"/>
        <v>36613.916666666664</v>
      </c>
      <c r="AA329" s="78">
        <f t="shared" si="636"/>
        <v>36613.916666666664</v>
      </c>
      <c r="AB329" s="78">
        <f t="shared" si="636"/>
        <v>36613.916666666664</v>
      </c>
      <c r="AC329" s="78">
        <f t="shared" si="636"/>
        <v>36613.916666666664</v>
      </c>
      <c r="AD329" s="78">
        <f t="shared" si="636"/>
        <v>36613.916666666664</v>
      </c>
      <c r="AE329" s="78">
        <f t="shared" si="636"/>
        <v>36613.916666666664</v>
      </c>
      <c r="AF329" s="78">
        <f t="shared" si="636"/>
        <v>36613.916666666664</v>
      </c>
      <c r="AG329" s="78">
        <f t="shared" si="636"/>
        <v>36613.916666666664</v>
      </c>
      <c r="AH329" s="78">
        <f t="shared" si="636"/>
        <v>36613.916666666664</v>
      </c>
      <c r="AI329" s="78">
        <f t="shared" si="636"/>
        <v>36613.916666666664</v>
      </c>
      <c r="AJ329" s="78">
        <f t="shared" si="636"/>
        <v>36613.916666666664</v>
      </c>
      <c r="AK329" s="78">
        <f t="shared" si="636"/>
        <v>36613.916666666664</v>
      </c>
      <c r="AL329" s="78">
        <f t="shared" si="636"/>
        <v>36613.916666666664</v>
      </c>
      <c r="AM329" s="78">
        <f t="shared" si="636"/>
        <v>36613.916666666664</v>
      </c>
      <c r="AN329" s="78">
        <f t="shared" si="636"/>
        <v>36613.916666666664</v>
      </c>
      <c r="AO329" s="78">
        <f t="shared" si="636"/>
        <v>36613.916666666664</v>
      </c>
      <c r="AP329" s="78">
        <f t="shared" si="636"/>
        <v>36613.916666666664</v>
      </c>
      <c r="AQ329" s="78">
        <f t="shared" si="636"/>
        <v>36613.916666666664</v>
      </c>
      <c r="AR329" s="78">
        <f t="shared" si="636"/>
        <v>36613.916666666664</v>
      </c>
      <c r="AS329" s="78">
        <f t="shared" si="636"/>
        <v>36613.916666666664</v>
      </c>
      <c r="AT329" s="78">
        <f t="shared" si="636"/>
        <v>36613.916666666664</v>
      </c>
      <c r="AU329" s="78">
        <f t="shared" si="636"/>
        <v>36613.916666666664</v>
      </c>
      <c r="AV329" s="78">
        <f t="shared" si="636"/>
        <v>36613.916666666664</v>
      </c>
      <c r="AW329" s="78">
        <f t="shared" si="636"/>
        <v>36613.916666666664</v>
      </c>
      <c r="AX329" s="78">
        <f t="shared" si="636"/>
        <v>36613.916666666664</v>
      </c>
      <c r="AY329" s="78">
        <f t="shared" ref="AY329:CD329" si="637">-AY54</f>
        <v>36613.916666666664</v>
      </c>
      <c r="AZ329" s="78">
        <f t="shared" si="637"/>
        <v>36613.916666666664</v>
      </c>
      <c r="BA329" s="78">
        <f t="shared" si="637"/>
        <v>36613.916666666664</v>
      </c>
      <c r="BB329" s="78">
        <f t="shared" si="637"/>
        <v>36613.916666666664</v>
      </c>
      <c r="BC329" s="78">
        <f t="shared" si="637"/>
        <v>36613.916666666664</v>
      </c>
      <c r="BD329" s="78">
        <f t="shared" si="637"/>
        <v>36613.916666666664</v>
      </c>
      <c r="BE329" s="78">
        <f t="shared" si="637"/>
        <v>36613.916666666664</v>
      </c>
      <c r="BF329" s="78">
        <f t="shared" si="637"/>
        <v>36613.916666666664</v>
      </c>
      <c r="BG329" s="78">
        <f t="shared" si="637"/>
        <v>36613.916666666664</v>
      </c>
      <c r="BH329" s="78">
        <f t="shared" si="637"/>
        <v>36613.916666666664</v>
      </c>
      <c r="BI329" s="78">
        <f t="shared" si="637"/>
        <v>36613.916666666664</v>
      </c>
      <c r="BJ329" s="78">
        <f t="shared" si="637"/>
        <v>36613.916666666664</v>
      </c>
      <c r="BK329" s="78">
        <f t="shared" si="637"/>
        <v>36613.916666666664</v>
      </c>
      <c r="BL329" s="78">
        <f t="shared" si="637"/>
        <v>36613.916666666664</v>
      </c>
      <c r="BM329" s="78">
        <f t="shared" si="637"/>
        <v>36613.916666666664</v>
      </c>
      <c r="BN329" s="78">
        <f t="shared" si="637"/>
        <v>36613.916666666664</v>
      </c>
      <c r="BO329" s="78">
        <f t="shared" si="637"/>
        <v>36613.916666666664</v>
      </c>
      <c r="BP329" s="78">
        <f t="shared" si="637"/>
        <v>36613.916666666664</v>
      </c>
      <c r="BQ329" s="78">
        <f t="shared" si="637"/>
        <v>36613.916666666664</v>
      </c>
      <c r="BR329" s="78">
        <f t="shared" si="637"/>
        <v>36613.916666666664</v>
      </c>
      <c r="BS329" s="78">
        <f t="shared" si="637"/>
        <v>36613.916666666664</v>
      </c>
      <c r="BT329" s="78">
        <f t="shared" si="637"/>
        <v>36613.916666666664</v>
      </c>
      <c r="BU329" s="78">
        <f t="shared" si="637"/>
        <v>36613.916666666664</v>
      </c>
      <c r="BV329" s="78">
        <f t="shared" si="637"/>
        <v>36613.916666666664</v>
      </c>
      <c r="BW329" s="78">
        <f t="shared" si="637"/>
        <v>36613.916666666664</v>
      </c>
      <c r="BX329" s="78">
        <f t="shared" si="637"/>
        <v>36613.916666666664</v>
      </c>
      <c r="BY329" s="78">
        <f t="shared" si="637"/>
        <v>36613.916666666664</v>
      </c>
      <c r="BZ329" s="78">
        <f t="shared" si="637"/>
        <v>36613.916666666664</v>
      </c>
      <c r="CA329" s="78">
        <f t="shared" si="637"/>
        <v>36613.916666666664</v>
      </c>
      <c r="CB329" s="78">
        <f t="shared" si="637"/>
        <v>36613.916666666664</v>
      </c>
      <c r="CC329" s="78">
        <f t="shared" si="637"/>
        <v>36613.916666666664</v>
      </c>
      <c r="CD329" s="78">
        <f t="shared" si="637"/>
        <v>36613.916666666664</v>
      </c>
      <c r="CE329" s="78">
        <f t="shared" ref="CE329:DJ329" si="638">-CE54</f>
        <v>36613.916666666664</v>
      </c>
      <c r="CF329" s="78">
        <f t="shared" si="638"/>
        <v>36613.916666666664</v>
      </c>
      <c r="CG329" s="78">
        <f t="shared" si="638"/>
        <v>36613.916666666664</v>
      </c>
      <c r="CH329" s="78">
        <f t="shared" si="638"/>
        <v>36613.916666666664</v>
      </c>
      <c r="CI329" s="78">
        <f t="shared" si="638"/>
        <v>36613.916666666664</v>
      </c>
      <c r="CJ329" s="78">
        <f t="shared" si="638"/>
        <v>36613.916666666664</v>
      </c>
      <c r="CK329" s="78">
        <f t="shared" si="638"/>
        <v>36613.916666666664</v>
      </c>
      <c r="CL329" s="78">
        <f t="shared" si="638"/>
        <v>36613.916666666664</v>
      </c>
      <c r="CM329" s="78">
        <f t="shared" si="638"/>
        <v>36613.916666666664</v>
      </c>
      <c r="CN329" s="78">
        <f t="shared" si="638"/>
        <v>36613.916666666664</v>
      </c>
      <c r="CO329" s="78">
        <f t="shared" si="638"/>
        <v>36613.916666666664</v>
      </c>
      <c r="CP329" s="78">
        <f t="shared" si="638"/>
        <v>36613.916666666664</v>
      </c>
      <c r="CQ329" s="78">
        <f t="shared" si="638"/>
        <v>36613.916666666664</v>
      </c>
      <c r="CR329" s="78">
        <f t="shared" si="638"/>
        <v>36613.916666666664</v>
      </c>
      <c r="CS329" s="78">
        <f t="shared" si="638"/>
        <v>36613.916666666664</v>
      </c>
      <c r="CT329" s="78">
        <f t="shared" si="638"/>
        <v>36613.916666666664</v>
      </c>
      <c r="CU329" s="78">
        <f t="shared" si="638"/>
        <v>36613.916666666664</v>
      </c>
      <c r="CV329" s="78">
        <f t="shared" si="638"/>
        <v>36613.916666666664</v>
      </c>
      <c r="CW329" s="78">
        <f t="shared" si="638"/>
        <v>36613.916666666664</v>
      </c>
      <c r="CX329" s="78">
        <f t="shared" si="638"/>
        <v>36613.916666666664</v>
      </c>
      <c r="CY329" s="78">
        <f t="shared" si="638"/>
        <v>36613.916666666664</v>
      </c>
      <c r="CZ329" s="78">
        <f t="shared" si="638"/>
        <v>0</v>
      </c>
      <c r="DA329" s="78">
        <f t="shared" si="638"/>
        <v>0</v>
      </c>
      <c r="DB329" s="78">
        <f t="shared" si="638"/>
        <v>0</v>
      </c>
      <c r="DC329" s="78">
        <f t="shared" si="638"/>
        <v>0</v>
      </c>
      <c r="DD329" s="78">
        <f t="shared" si="638"/>
        <v>0</v>
      </c>
      <c r="DE329" s="78">
        <f t="shared" si="638"/>
        <v>0</v>
      </c>
      <c r="DF329" s="78">
        <f t="shared" si="638"/>
        <v>0</v>
      </c>
      <c r="DG329" s="78">
        <f t="shared" si="638"/>
        <v>0</v>
      </c>
      <c r="DH329" s="78">
        <f t="shared" si="638"/>
        <v>0</v>
      </c>
      <c r="DI329" s="78">
        <f t="shared" si="638"/>
        <v>0</v>
      </c>
      <c r="DJ329" s="78">
        <f t="shared" si="638"/>
        <v>0</v>
      </c>
      <c r="DK329" s="78">
        <f t="shared" ref="DK329:EI329" si="639">-DK54</f>
        <v>0</v>
      </c>
      <c r="DL329" s="78">
        <f t="shared" si="639"/>
        <v>0</v>
      </c>
      <c r="DM329" s="78">
        <f t="shared" si="639"/>
        <v>0</v>
      </c>
      <c r="DN329" s="78">
        <f t="shared" si="639"/>
        <v>0</v>
      </c>
      <c r="DO329" s="78">
        <f t="shared" si="639"/>
        <v>0</v>
      </c>
      <c r="DP329" s="78">
        <f t="shared" si="639"/>
        <v>0</v>
      </c>
      <c r="DQ329" s="78">
        <f t="shared" si="639"/>
        <v>0</v>
      </c>
      <c r="DR329" s="78">
        <f t="shared" si="639"/>
        <v>0</v>
      </c>
      <c r="DS329" s="78">
        <f t="shared" si="639"/>
        <v>0</v>
      </c>
      <c r="DT329" s="78">
        <f t="shared" si="639"/>
        <v>0</v>
      </c>
      <c r="DU329" s="78">
        <f t="shared" si="639"/>
        <v>0</v>
      </c>
      <c r="DV329" s="78">
        <f t="shared" si="639"/>
        <v>0</v>
      </c>
      <c r="DW329" s="78">
        <f t="shared" si="639"/>
        <v>0</v>
      </c>
      <c r="DX329" s="78">
        <f t="shared" si="639"/>
        <v>0</v>
      </c>
      <c r="DY329" s="78">
        <f t="shared" si="639"/>
        <v>0</v>
      </c>
      <c r="DZ329" s="78">
        <f t="shared" si="639"/>
        <v>0</v>
      </c>
      <c r="EA329" s="78">
        <f t="shared" si="639"/>
        <v>0</v>
      </c>
      <c r="EB329" s="78">
        <f t="shared" si="639"/>
        <v>0</v>
      </c>
      <c r="EC329" s="78">
        <f t="shared" si="639"/>
        <v>0</v>
      </c>
      <c r="ED329" s="78">
        <f t="shared" si="639"/>
        <v>0</v>
      </c>
      <c r="EE329" s="78">
        <f t="shared" si="639"/>
        <v>0</v>
      </c>
      <c r="EF329" s="78">
        <f t="shared" si="639"/>
        <v>0</v>
      </c>
      <c r="EG329" s="78">
        <f t="shared" si="639"/>
        <v>0</v>
      </c>
      <c r="EH329" s="78">
        <f t="shared" si="639"/>
        <v>0</v>
      </c>
      <c r="EI329" s="78">
        <f t="shared" si="639"/>
        <v>0</v>
      </c>
    </row>
    <row r="330" spans="2:139">
      <c r="B330" s="880" t="s">
        <v>633</v>
      </c>
      <c r="C330" s="211"/>
      <c r="D330" s="78">
        <f t="shared" ref="D330:N330" si="640">IF(IrrCalculationType=170,D374,SUMIF($S$6:$EI$6,D$5,$S330:$EI330))</f>
        <v>0</v>
      </c>
      <c r="E330" s="78">
        <f t="shared" si="640"/>
        <v>-439367</v>
      </c>
      <c r="F330" s="78">
        <f t="shared" si="640"/>
        <v>-439367</v>
      </c>
      <c r="G330" s="78">
        <f t="shared" si="640"/>
        <v>-439367</v>
      </c>
      <c r="H330" s="78">
        <f t="shared" si="640"/>
        <v>-439367</v>
      </c>
      <c r="I330" s="78">
        <f t="shared" si="640"/>
        <v>-439367</v>
      </c>
      <c r="J330" s="78">
        <f t="shared" si="640"/>
        <v>-439367</v>
      </c>
      <c r="K330" s="78">
        <f t="shared" si="640"/>
        <v>-439367</v>
      </c>
      <c r="L330" s="78">
        <f t="shared" si="640"/>
        <v>0</v>
      </c>
      <c r="M330" s="78">
        <f t="shared" si="640"/>
        <v>0</v>
      </c>
      <c r="N330" s="78">
        <f t="shared" si="640"/>
        <v>0</v>
      </c>
      <c r="O330" s="145">
        <f>SUM(D330:N330)</f>
        <v>-3075569</v>
      </c>
      <c r="R330" s="879"/>
      <c r="S330" s="78">
        <f t="shared" ref="S330:AX330" si="641">S374</f>
        <v>0</v>
      </c>
      <c r="T330" s="78">
        <f t="shared" si="641"/>
        <v>-36613.916666666664</v>
      </c>
      <c r="U330" s="78">
        <f t="shared" si="641"/>
        <v>-36613.916666666664</v>
      </c>
      <c r="V330" s="78">
        <f t="shared" si="641"/>
        <v>-36613.916666666664</v>
      </c>
      <c r="W330" s="78">
        <f t="shared" si="641"/>
        <v>-36613.916666666664</v>
      </c>
      <c r="X330" s="78">
        <f t="shared" si="641"/>
        <v>-36613.916666666664</v>
      </c>
      <c r="Y330" s="78">
        <f t="shared" si="641"/>
        <v>-36613.916666666664</v>
      </c>
      <c r="Z330" s="78">
        <f t="shared" si="641"/>
        <v>-36613.916666666664</v>
      </c>
      <c r="AA330" s="78">
        <f t="shared" si="641"/>
        <v>-36613.916666666664</v>
      </c>
      <c r="AB330" s="78">
        <f t="shared" si="641"/>
        <v>-36613.916666666664</v>
      </c>
      <c r="AC330" s="78">
        <f t="shared" si="641"/>
        <v>-36613.916666666664</v>
      </c>
      <c r="AD330" s="78">
        <f t="shared" si="641"/>
        <v>-36613.916666666664</v>
      </c>
      <c r="AE330" s="78">
        <f t="shared" si="641"/>
        <v>-36613.916666666664</v>
      </c>
      <c r="AF330" s="78">
        <f t="shared" si="641"/>
        <v>-36613.916666666664</v>
      </c>
      <c r="AG330" s="78">
        <f t="shared" si="641"/>
        <v>-36613.916666666664</v>
      </c>
      <c r="AH330" s="78">
        <f t="shared" si="641"/>
        <v>-36613.916666666664</v>
      </c>
      <c r="AI330" s="78">
        <f t="shared" si="641"/>
        <v>-36613.916666666664</v>
      </c>
      <c r="AJ330" s="78">
        <f t="shared" si="641"/>
        <v>-36613.916666666664</v>
      </c>
      <c r="AK330" s="78">
        <f t="shared" si="641"/>
        <v>-36613.916666666664</v>
      </c>
      <c r="AL330" s="78">
        <f t="shared" si="641"/>
        <v>-36613.916666666664</v>
      </c>
      <c r="AM330" s="78">
        <f t="shared" si="641"/>
        <v>-36613.916666666664</v>
      </c>
      <c r="AN330" s="78">
        <f t="shared" si="641"/>
        <v>-36613.916666666664</v>
      </c>
      <c r="AO330" s="78">
        <f t="shared" si="641"/>
        <v>-36613.916666666664</v>
      </c>
      <c r="AP330" s="78">
        <f t="shared" si="641"/>
        <v>-36613.916666666664</v>
      </c>
      <c r="AQ330" s="78">
        <f t="shared" si="641"/>
        <v>-36613.916666666664</v>
      </c>
      <c r="AR330" s="78">
        <f t="shared" si="641"/>
        <v>-36613.916666666664</v>
      </c>
      <c r="AS330" s="78">
        <f t="shared" si="641"/>
        <v>-36613.916666666664</v>
      </c>
      <c r="AT330" s="78">
        <f t="shared" si="641"/>
        <v>-36613.916666666664</v>
      </c>
      <c r="AU330" s="78">
        <f t="shared" si="641"/>
        <v>-36613.916666666664</v>
      </c>
      <c r="AV330" s="78">
        <f t="shared" si="641"/>
        <v>-36613.916666666664</v>
      </c>
      <c r="AW330" s="78">
        <f t="shared" si="641"/>
        <v>-36613.916666666664</v>
      </c>
      <c r="AX330" s="78">
        <f t="shared" si="641"/>
        <v>-36613.916666666664</v>
      </c>
      <c r="AY330" s="78">
        <f t="shared" ref="AY330:CD330" si="642">AY374</f>
        <v>-36613.916666666664</v>
      </c>
      <c r="AZ330" s="78">
        <f t="shared" si="642"/>
        <v>-36613.916666666664</v>
      </c>
      <c r="BA330" s="78">
        <f t="shared" si="642"/>
        <v>-36613.916666666664</v>
      </c>
      <c r="BB330" s="78">
        <f t="shared" si="642"/>
        <v>-36613.916666666664</v>
      </c>
      <c r="BC330" s="78">
        <f t="shared" si="642"/>
        <v>-36613.916666666664</v>
      </c>
      <c r="BD330" s="78">
        <f t="shared" si="642"/>
        <v>-36613.916666666664</v>
      </c>
      <c r="BE330" s="78">
        <f t="shared" si="642"/>
        <v>-36613.916666666664</v>
      </c>
      <c r="BF330" s="78">
        <f t="shared" si="642"/>
        <v>-36613.916666666664</v>
      </c>
      <c r="BG330" s="78">
        <f t="shared" si="642"/>
        <v>-36613.916666666664</v>
      </c>
      <c r="BH330" s="78">
        <f t="shared" si="642"/>
        <v>-36613.916666666664</v>
      </c>
      <c r="BI330" s="78">
        <f t="shared" si="642"/>
        <v>-36613.916666666664</v>
      </c>
      <c r="BJ330" s="78">
        <f t="shared" si="642"/>
        <v>-36613.916666666664</v>
      </c>
      <c r="BK330" s="78">
        <f t="shared" si="642"/>
        <v>-36613.916666666664</v>
      </c>
      <c r="BL330" s="78">
        <f t="shared" si="642"/>
        <v>-36613.916666666664</v>
      </c>
      <c r="BM330" s="78">
        <f t="shared" si="642"/>
        <v>-36613.916666666664</v>
      </c>
      <c r="BN330" s="78">
        <f t="shared" si="642"/>
        <v>-36613.916666666664</v>
      </c>
      <c r="BO330" s="78">
        <f t="shared" si="642"/>
        <v>-36613.916666666664</v>
      </c>
      <c r="BP330" s="78">
        <f t="shared" si="642"/>
        <v>-36613.916666666664</v>
      </c>
      <c r="BQ330" s="78">
        <f t="shared" si="642"/>
        <v>-36613.916666666664</v>
      </c>
      <c r="BR330" s="78">
        <f t="shared" si="642"/>
        <v>-36613.916666666664</v>
      </c>
      <c r="BS330" s="78">
        <f t="shared" si="642"/>
        <v>-36613.916666666664</v>
      </c>
      <c r="BT330" s="78">
        <f t="shared" si="642"/>
        <v>-36613.916666666664</v>
      </c>
      <c r="BU330" s="78">
        <f t="shared" si="642"/>
        <v>-36613.916666666664</v>
      </c>
      <c r="BV330" s="78">
        <f t="shared" si="642"/>
        <v>-36613.916666666664</v>
      </c>
      <c r="BW330" s="78">
        <f t="shared" si="642"/>
        <v>-36613.916666666664</v>
      </c>
      <c r="BX330" s="78">
        <f t="shared" si="642"/>
        <v>-36613.916666666664</v>
      </c>
      <c r="BY330" s="78">
        <f t="shared" si="642"/>
        <v>-36613.916666666664</v>
      </c>
      <c r="BZ330" s="78">
        <f t="shared" si="642"/>
        <v>-36613.916666666664</v>
      </c>
      <c r="CA330" s="78">
        <f t="shared" si="642"/>
        <v>-36613.916666666664</v>
      </c>
      <c r="CB330" s="78">
        <f t="shared" si="642"/>
        <v>-36613.916666666664</v>
      </c>
      <c r="CC330" s="78">
        <f t="shared" si="642"/>
        <v>-36613.916666666664</v>
      </c>
      <c r="CD330" s="78">
        <f t="shared" si="642"/>
        <v>-36613.916666666664</v>
      </c>
      <c r="CE330" s="78">
        <f t="shared" ref="CE330:DJ330" si="643">CE374</f>
        <v>-36613.916666666664</v>
      </c>
      <c r="CF330" s="78">
        <f t="shared" si="643"/>
        <v>-36613.916666666664</v>
      </c>
      <c r="CG330" s="78">
        <f t="shared" si="643"/>
        <v>-36613.916666666664</v>
      </c>
      <c r="CH330" s="78">
        <f t="shared" si="643"/>
        <v>-36613.916666666664</v>
      </c>
      <c r="CI330" s="78">
        <f t="shared" si="643"/>
        <v>-36613.916666666664</v>
      </c>
      <c r="CJ330" s="78">
        <f t="shared" si="643"/>
        <v>-36613.916666666664</v>
      </c>
      <c r="CK330" s="78">
        <f t="shared" si="643"/>
        <v>-36613.916666666664</v>
      </c>
      <c r="CL330" s="78">
        <f t="shared" si="643"/>
        <v>-36613.916666666664</v>
      </c>
      <c r="CM330" s="78">
        <f t="shared" si="643"/>
        <v>-36613.916666666664</v>
      </c>
      <c r="CN330" s="78">
        <f t="shared" si="643"/>
        <v>-36613.916666666664</v>
      </c>
      <c r="CO330" s="78">
        <f t="shared" si="643"/>
        <v>-36613.916666666664</v>
      </c>
      <c r="CP330" s="78">
        <f t="shared" si="643"/>
        <v>-36613.916666666664</v>
      </c>
      <c r="CQ330" s="78">
        <f t="shared" si="643"/>
        <v>-36613.916666666664</v>
      </c>
      <c r="CR330" s="78">
        <f t="shared" si="643"/>
        <v>-36613.916666666664</v>
      </c>
      <c r="CS330" s="78">
        <f t="shared" si="643"/>
        <v>-36613.916666666664</v>
      </c>
      <c r="CT330" s="78">
        <f t="shared" si="643"/>
        <v>-36613.916666666664</v>
      </c>
      <c r="CU330" s="78">
        <f t="shared" si="643"/>
        <v>-36613.916666666664</v>
      </c>
      <c r="CV330" s="78">
        <f t="shared" si="643"/>
        <v>-36613.916666666664</v>
      </c>
      <c r="CW330" s="78">
        <f t="shared" si="643"/>
        <v>-36613.916666666664</v>
      </c>
      <c r="CX330" s="78">
        <f t="shared" si="643"/>
        <v>-36613.916666666664</v>
      </c>
      <c r="CY330" s="78">
        <f t="shared" si="643"/>
        <v>-36613.916666666664</v>
      </c>
      <c r="CZ330" s="78">
        <f t="shared" si="643"/>
        <v>0</v>
      </c>
      <c r="DA330" s="78">
        <f t="shared" si="643"/>
        <v>0</v>
      </c>
      <c r="DB330" s="78">
        <f t="shared" si="643"/>
        <v>0</v>
      </c>
      <c r="DC330" s="78">
        <f t="shared" si="643"/>
        <v>0</v>
      </c>
      <c r="DD330" s="78">
        <f t="shared" si="643"/>
        <v>0</v>
      </c>
      <c r="DE330" s="78">
        <f t="shared" si="643"/>
        <v>0</v>
      </c>
      <c r="DF330" s="78">
        <f t="shared" si="643"/>
        <v>0</v>
      </c>
      <c r="DG330" s="78">
        <f t="shared" si="643"/>
        <v>0</v>
      </c>
      <c r="DH330" s="78">
        <f t="shared" si="643"/>
        <v>0</v>
      </c>
      <c r="DI330" s="78">
        <f t="shared" si="643"/>
        <v>0</v>
      </c>
      <c r="DJ330" s="78">
        <f t="shared" si="643"/>
        <v>0</v>
      </c>
      <c r="DK330" s="78">
        <f t="shared" ref="DK330:EI330" si="644">DK374</f>
        <v>0</v>
      </c>
      <c r="DL330" s="78">
        <f t="shared" si="644"/>
        <v>0</v>
      </c>
      <c r="DM330" s="78">
        <f t="shared" si="644"/>
        <v>0</v>
      </c>
      <c r="DN330" s="78">
        <f t="shared" si="644"/>
        <v>0</v>
      </c>
      <c r="DO330" s="78">
        <f t="shared" si="644"/>
        <v>0</v>
      </c>
      <c r="DP330" s="78">
        <f t="shared" si="644"/>
        <v>0</v>
      </c>
      <c r="DQ330" s="78">
        <f t="shared" si="644"/>
        <v>0</v>
      </c>
      <c r="DR330" s="78">
        <f t="shared" si="644"/>
        <v>0</v>
      </c>
      <c r="DS330" s="78">
        <f t="shared" si="644"/>
        <v>0</v>
      </c>
      <c r="DT330" s="78">
        <f t="shared" si="644"/>
        <v>0</v>
      </c>
      <c r="DU330" s="78">
        <f t="shared" si="644"/>
        <v>0</v>
      </c>
      <c r="DV330" s="78">
        <f t="shared" si="644"/>
        <v>0</v>
      </c>
      <c r="DW330" s="78">
        <f t="shared" si="644"/>
        <v>0</v>
      </c>
      <c r="DX330" s="78">
        <f t="shared" si="644"/>
        <v>0</v>
      </c>
      <c r="DY330" s="78">
        <f t="shared" si="644"/>
        <v>0</v>
      </c>
      <c r="DZ330" s="78">
        <f t="shared" si="644"/>
        <v>0</v>
      </c>
      <c r="EA330" s="78">
        <f t="shared" si="644"/>
        <v>0</v>
      </c>
      <c r="EB330" s="78">
        <f t="shared" si="644"/>
        <v>0</v>
      </c>
      <c r="EC330" s="78">
        <f t="shared" si="644"/>
        <v>0</v>
      </c>
      <c r="ED330" s="78">
        <f t="shared" si="644"/>
        <v>0</v>
      </c>
      <c r="EE330" s="78">
        <f t="shared" si="644"/>
        <v>0</v>
      </c>
      <c r="EF330" s="78">
        <f t="shared" si="644"/>
        <v>0</v>
      </c>
      <c r="EG330" s="78">
        <f t="shared" si="644"/>
        <v>0</v>
      </c>
      <c r="EH330" s="78">
        <f t="shared" si="644"/>
        <v>0</v>
      </c>
      <c r="EI330" s="78">
        <f t="shared" si="644"/>
        <v>0</v>
      </c>
    </row>
    <row r="331" spans="2:139">
      <c r="B331" s="41" t="s">
        <v>634</v>
      </c>
      <c r="C331" s="211"/>
      <c r="D331" s="78">
        <f t="shared" ref="D331:N331" si="645">IF(IrrCalculationType=170,-SUM(D60,D71),SUMIF($S$6:$EI$6,D$5,$S331:$EI331))</f>
        <v>0</v>
      </c>
      <c r="E331" s="78">
        <f t="shared" si="645"/>
        <v>0</v>
      </c>
      <c r="F331" s="78">
        <f t="shared" si="645"/>
        <v>0</v>
      </c>
      <c r="G331" s="78">
        <f t="shared" si="645"/>
        <v>0</v>
      </c>
      <c r="H331" s="78">
        <f t="shared" si="645"/>
        <v>0</v>
      </c>
      <c r="I331" s="78">
        <f t="shared" si="645"/>
        <v>0</v>
      </c>
      <c r="J331" s="78">
        <f t="shared" si="645"/>
        <v>0</v>
      </c>
      <c r="K331" s="78">
        <f t="shared" si="645"/>
        <v>0</v>
      </c>
      <c r="L331" s="78">
        <f t="shared" si="645"/>
        <v>0</v>
      </c>
      <c r="M331" s="78">
        <f t="shared" si="645"/>
        <v>0</v>
      </c>
      <c r="N331" s="78">
        <f t="shared" si="645"/>
        <v>0</v>
      </c>
      <c r="O331" s="145">
        <f>SUM(D331:N331)</f>
        <v>0</v>
      </c>
      <c r="R331" s="879"/>
      <c r="S331" s="78">
        <f t="shared" ref="S331:AX331" si="646">-SUM(S60,S71)</f>
        <v>0</v>
      </c>
      <c r="T331" s="78">
        <f t="shared" si="646"/>
        <v>0</v>
      </c>
      <c r="U331" s="78">
        <f t="shared" si="646"/>
        <v>0</v>
      </c>
      <c r="V331" s="78">
        <f t="shared" si="646"/>
        <v>0</v>
      </c>
      <c r="W331" s="78">
        <f t="shared" si="646"/>
        <v>0</v>
      </c>
      <c r="X331" s="78">
        <f t="shared" si="646"/>
        <v>0</v>
      </c>
      <c r="Y331" s="78">
        <f t="shared" si="646"/>
        <v>0</v>
      </c>
      <c r="Z331" s="78">
        <f t="shared" si="646"/>
        <v>0</v>
      </c>
      <c r="AA331" s="78">
        <f t="shared" si="646"/>
        <v>0</v>
      </c>
      <c r="AB331" s="78">
        <f t="shared" si="646"/>
        <v>0</v>
      </c>
      <c r="AC331" s="78">
        <f t="shared" si="646"/>
        <v>0</v>
      </c>
      <c r="AD331" s="78">
        <f t="shared" si="646"/>
        <v>0</v>
      </c>
      <c r="AE331" s="78">
        <f t="shared" si="646"/>
        <v>0</v>
      </c>
      <c r="AF331" s="78">
        <f t="shared" si="646"/>
        <v>0</v>
      </c>
      <c r="AG331" s="78">
        <f t="shared" si="646"/>
        <v>0</v>
      </c>
      <c r="AH331" s="78">
        <f t="shared" si="646"/>
        <v>0</v>
      </c>
      <c r="AI331" s="78">
        <f t="shared" si="646"/>
        <v>0</v>
      </c>
      <c r="AJ331" s="78">
        <f t="shared" si="646"/>
        <v>0</v>
      </c>
      <c r="AK331" s="78">
        <f t="shared" si="646"/>
        <v>0</v>
      </c>
      <c r="AL331" s="78">
        <f t="shared" si="646"/>
        <v>0</v>
      </c>
      <c r="AM331" s="78">
        <f t="shared" si="646"/>
        <v>0</v>
      </c>
      <c r="AN331" s="78">
        <f t="shared" si="646"/>
        <v>0</v>
      </c>
      <c r="AO331" s="78">
        <f t="shared" si="646"/>
        <v>0</v>
      </c>
      <c r="AP331" s="78">
        <f t="shared" si="646"/>
        <v>0</v>
      </c>
      <c r="AQ331" s="78">
        <f t="shared" si="646"/>
        <v>0</v>
      </c>
      <c r="AR331" s="78">
        <f t="shared" si="646"/>
        <v>0</v>
      </c>
      <c r="AS331" s="78">
        <f t="shared" si="646"/>
        <v>0</v>
      </c>
      <c r="AT331" s="78">
        <f t="shared" si="646"/>
        <v>0</v>
      </c>
      <c r="AU331" s="78">
        <f t="shared" si="646"/>
        <v>0</v>
      </c>
      <c r="AV331" s="78">
        <f t="shared" si="646"/>
        <v>0</v>
      </c>
      <c r="AW331" s="78">
        <f t="shared" si="646"/>
        <v>0</v>
      </c>
      <c r="AX331" s="78">
        <f t="shared" si="646"/>
        <v>0</v>
      </c>
      <c r="AY331" s="78">
        <f t="shared" ref="AY331:CD331" si="647">-SUM(AY60,AY71)</f>
        <v>0</v>
      </c>
      <c r="AZ331" s="78">
        <f t="shared" si="647"/>
        <v>0</v>
      </c>
      <c r="BA331" s="78">
        <f t="shared" si="647"/>
        <v>0</v>
      </c>
      <c r="BB331" s="78">
        <f t="shared" si="647"/>
        <v>0</v>
      </c>
      <c r="BC331" s="78">
        <f t="shared" si="647"/>
        <v>0</v>
      </c>
      <c r="BD331" s="78">
        <f t="shared" si="647"/>
        <v>0</v>
      </c>
      <c r="BE331" s="78">
        <f t="shared" si="647"/>
        <v>0</v>
      </c>
      <c r="BF331" s="78">
        <f t="shared" si="647"/>
        <v>0</v>
      </c>
      <c r="BG331" s="78">
        <f t="shared" si="647"/>
        <v>0</v>
      </c>
      <c r="BH331" s="78">
        <f t="shared" si="647"/>
        <v>0</v>
      </c>
      <c r="BI331" s="78">
        <f t="shared" si="647"/>
        <v>0</v>
      </c>
      <c r="BJ331" s="78">
        <f t="shared" si="647"/>
        <v>0</v>
      </c>
      <c r="BK331" s="78">
        <f t="shared" si="647"/>
        <v>0</v>
      </c>
      <c r="BL331" s="78">
        <f t="shared" si="647"/>
        <v>0</v>
      </c>
      <c r="BM331" s="78">
        <f t="shared" si="647"/>
        <v>0</v>
      </c>
      <c r="BN331" s="78">
        <f t="shared" si="647"/>
        <v>0</v>
      </c>
      <c r="BO331" s="78">
        <f t="shared" si="647"/>
        <v>0</v>
      </c>
      <c r="BP331" s="78">
        <f t="shared" si="647"/>
        <v>0</v>
      </c>
      <c r="BQ331" s="78">
        <f t="shared" si="647"/>
        <v>0</v>
      </c>
      <c r="BR331" s="78">
        <f t="shared" si="647"/>
        <v>0</v>
      </c>
      <c r="BS331" s="78">
        <f t="shared" si="647"/>
        <v>0</v>
      </c>
      <c r="BT331" s="78">
        <f t="shared" si="647"/>
        <v>0</v>
      </c>
      <c r="BU331" s="78">
        <f t="shared" si="647"/>
        <v>0</v>
      </c>
      <c r="BV331" s="78">
        <f t="shared" si="647"/>
        <v>0</v>
      </c>
      <c r="BW331" s="78">
        <f t="shared" si="647"/>
        <v>0</v>
      </c>
      <c r="BX331" s="78">
        <f t="shared" si="647"/>
        <v>0</v>
      </c>
      <c r="BY331" s="78">
        <f t="shared" si="647"/>
        <v>0</v>
      </c>
      <c r="BZ331" s="78">
        <f t="shared" si="647"/>
        <v>0</v>
      </c>
      <c r="CA331" s="78">
        <f t="shared" si="647"/>
        <v>0</v>
      </c>
      <c r="CB331" s="78">
        <f t="shared" si="647"/>
        <v>0</v>
      </c>
      <c r="CC331" s="78">
        <f t="shared" si="647"/>
        <v>0</v>
      </c>
      <c r="CD331" s="78">
        <f t="shared" si="647"/>
        <v>0</v>
      </c>
      <c r="CE331" s="78">
        <f t="shared" ref="CE331:DJ331" si="648">-SUM(CE60,CE71)</f>
        <v>0</v>
      </c>
      <c r="CF331" s="78">
        <f t="shared" si="648"/>
        <v>0</v>
      </c>
      <c r="CG331" s="78">
        <f t="shared" si="648"/>
        <v>0</v>
      </c>
      <c r="CH331" s="78">
        <f t="shared" si="648"/>
        <v>0</v>
      </c>
      <c r="CI331" s="78">
        <f t="shared" si="648"/>
        <v>0</v>
      </c>
      <c r="CJ331" s="78">
        <f t="shared" si="648"/>
        <v>0</v>
      </c>
      <c r="CK331" s="78">
        <f t="shared" si="648"/>
        <v>0</v>
      </c>
      <c r="CL331" s="78">
        <f t="shared" si="648"/>
        <v>0</v>
      </c>
      <c r="CM331" s="78">
        <f t="shared" si="648"/>
        <v>0</v>
      </c>
      <c r="CN331" s="78">
        <f t="shared" si="648"/>
        <v>0</v>
      </c>
      <c r="CO331" s="78">
        <f t="shared" si="648"/>
        <v>0</v>
      </c>
      <c r="CP331" s="78">
        <f t="shared" si="648"/>
        <v>0</v>
      </c>
      <c r="CQ331" s="78">
        <f t="shared" si="648"/>
        <v>0</v>
      </c>
      <c r="CR331" s="78">
        <f t="shared" si="648"/>
        <v>0</v>
      </c>
      <c r="CS331" s="78">
        <f t="shared" si="648"/>
        <v>0</v>
      </c>
      <c r="CT331" s="78">
        <f t="shared" si="648"/>
        <v>0</v>
      </c>
      <c r="CU331" s="78">
        <f t="shared" si="648"/>
        <v>0</v>
      </c>
      <c r="CV331" s="78">
        <f t="shared" si="648"/>
        <v>0</v>
      </c>
      <c r="CW331" s="78">
        <f t="shared" si="648"/>
        <v>0</v>
      </c>
      <c r="CX331" s="78">
        <f t="shared" si="648"/>
        <v>0</v>
      </c>
      <c r="CY331" s="78">
        <f t="shared" si="648"/>
        <v>0</v>
      </c>
      <c r="CZ331" s="78">
        <f t="shared" si="648"/>
        <v>0</v>
      </c>
      <c r="DA331" s="78">
        <f t="shared" si="648"/>
        <v>0</v>
      </c>
      <c r="DB331" s="78">
        <f t="shared" si="648"/>
        <v>0</v>
      </c>
      <c r="DC331" s="78">
        <f t="shared" si="648"/>
        <v>0</v>
      </c>
      <c r="DD331" s="78">
        <f t="shared" si="648"/>
        <v>0</v>
      </c>
      <c r="DE331" s="78">
        <f t="shared" si="648"/>
        <v>0</v>
      </c>
      <c r="DF331" s="78">
        <f t="shared" si="648"/>
        <v>0</v>
      </c>
      <c r="DG331" s="78">
        <f t="shared" si="648"/>
        <v>0</v>
      </c>
      <c r="DH331" s="78">
        <f t="shared" si="648"/>
        <v>0</v>
      </c>
      <c r="DI331" s="78">
        <f t="shared" si="648"/>
        <v>0</v>
      </c>
      <c r="DJ331" s="78">
        <f t="shared" si="648"/>
        <v>0</v>
      </c>
      <c r="DK331" s="78">
        <f t="shared" ref="DK331:EI331" si="649">-SUM(DK60,DK71)</f>
        <v>0</v>
      </c>
      <c r="DL331" s="78">
        <f t="shared" si="649"/>
        <v>0</v>
      </c>
      <c r="DM331" s="78">
        <f t="shared" si="649"/>
        <v>0</v>
      </c>
      <c r="DN331" s="78">
        <f t="shared" si="649"/>
        <v>0</v>
      </c>
      <c r="DO331" s="78">
        <f t="shared" si="649"/>
        <v>0</v>
      </c>
      <c r="DP331" s="78">
        <f t="shared" si="649"/>
        <v>0</v>
      </c>
      <c r="DQ331" s="78">
        <f t="shared" si="649"/>
        <v>0</v>
      </c>
      <c r="DR331" s="78">
        <f t="shared" si="649"/>
        <v>0</v>
      </c>
      <c r="DS331" s="78">
        <f t="shared" si="649"/>
        <v>0</v>
      </c>
      <c r="DT331" s="78">
        <f t="shared" si="649"/>
        <v>0</v>
      </c>
      <c r="DU331" s="78">
        <f t="shared" si="649"/>
        <v>0</v>
      </c>
      <c r="DV331" s="78">
        <f t="shared" si="649"/>
        <v>0</v>
      </c>
      <c r="DW331" s="78">
        <f t="shared" si="649"/>
        <v>0</v>
      </c>
      <c r="DX331" s="78">
        <f t="shared" si="649"/>
        <v>0</v>
      </c>
      <c r="DY331" s="78">
        <f t="shared" si="649"/>
        <v>0</v>
      </c>
      <c r="DZ331" s="78">
        <f t="shared" si="649"/>
        <v>0</v>
      </c>
      <c r="EA331" s="78">
        <f t="shared" si="649"/>
        <v>0</v>
      </c>
      <c r="EB331" s="78">
        <f t="shared" si="649"/>
        <v>0</v>
      </c>
      <c r="EC331" s="78">
        <f t="shared" si="649"/>
        <v>0</v>
      </c>
      <c r="ED331" s="78">
        <f t="shared" si="649"/>
        <v>0</v>
      </c>
      <c r="EE331" s="78">
        <f t="shared" si="649"/>
        <v>0</v>
      </c>
      <c r="EF331" s="78">
        <f t="shared" si="649"/>
        <v>0</v>
      </c>
      <c r="EG331" s="78">
        <f t="shared" si="649"/>
        <v>0</v>
      </c>
      <c r="EH331" s="78">
        <f t="shared" si="649"/>
        <v>0</v>
      </c>
      <c r="EI331" s="78">
        <f t="shared" si="649"/>
        <v>0</v>
      </c>
    </row>
    <row r="332" spans="2:139">
      <c r="B332" s="198" t="s">
        <v>227</v>
      </c>
      <c r="C332" s="211"/>
      <c r="D332" s="78"/>
      <c r="E332" s="78"/>
      <c r="F332" s="78"/>
      <c r="G332" s="78"/>
      <c r="H332" s="78"/>
      <c r="I332" s="78"/>
      <c r="J332" s="78"/>
      <c r="K332" s="78"/>
      <c r="L332" s="78"/>
      <c r="M332" s="78"/>
      <c r="N332" s="78"/>
      <c r="O332" s="145"/>
      <c r="R332" s="879"/>
      <c r="S332" s="78"/>
      <c r="T332" s="78"/>
      <c r="U332" s="78"/>
      <c r="V332" s="78"/>
      <c r="W332" s="78"/>
      <c r="X332" s="78"/>
      <c r="Y332" s="78"/>
      <c r="Z332" s="78"/>
      <c r="AA332" s="78"/>
      <c r="AB332" s="78"/>
      <c r="AC332" s="78"/>
      <c r="AD332" s="78"/>
      <c r="AE332" s="78"/>
      <c r="AF332" s="78"/>
      <c r="AG332" s="78"/>
      <c r="AH332" s="78"/>
      <c r="AI332" s="78"/>
      <c r="AJ332" s="78"/>
      <c r="AK332" s="78"/>
      <c r="AL332" s="78"/>
      <c r="AM332" s="78"/>
      <c r="AN332" s="78"/>
      <c r="AO332" s="78"/>
      <c r="AP332" s="78"/>
      <c r="AQ332" s="78"/>
      <c r="AR332" s="78"/>
      <c r="AS332" s="78"/>
      <c r="AT332" s="78"/>
      <c r="AU332" s="78"/>
      <c r="AV332" s="78"/>
      <c r="AW332" s="78"/>
      <c r="AX332" s="78"/>
      <c r="AY332" s="78"/>
      <c r="AZ332" s="78"/>
      <c r="BA332" s="78"/>
      <c r="BB332" s="78"/>
      <c r="BC332" s="78"/>
      <c r="BD332" s="78"/>
      <c r="BE332" s="78"/>
      <c r="BF332" s="78"/>
      <c r="BG332" s="78"/>
      <c r="BH332" s="78"/>
      <c r="BI332" s="78"/>
      <c r="BJ332" s="78"/>
      <c r="BK332" s="78"/>
      <c r="BL332" s="78"/>
      <c r="BM332" s="78"/>
      <c r="BN332" s="78"/>
      <c r="BO332" s="78"/>
      <c r="BP332" s="78"/>
      <c r="BQ332" s="78"/>
      <c r="BR332" s="78"/>
      <c r="BS332" s="78"/>
      <c r="BT332" s="78"/>
      <c r="BU332" s="78"/>
      <c r="BV332" s="78"/>
      <c r="BW332" s="78"/>
      <c r="BX332" s="78"/>
      <c r="BY332" s="78"/>
      <c r="BZ332" s="78"/>
      <c r="CA332" s="78"/>
      <c r="CB332" s="78"/>
      <c r="CC332" s="78"/>
      <c r="CD332" s="78"/>
      <c r="CE332" s="78"/>
      <c r="CF332" s="78"/>
      <c r="CG332" s="78"/>
      <c r="CH332" s="78"/>
      <c r="CI332" s="78"/>
      <c r="CJ332" s="78"/>
      <c r="CK332" s="78"/>
      <c r="CL332" s="78"/>
      <c r="CM332" s="78"/>
      <c r="CN332" s="78"/>
      <c r="CO332" s="78"/>
      <c r="CP332" s="78"/>
      <c r="CQ332" s="78"/>
      <c r="CR332" s="78"/>
      <c r="CS332" s="78"/>
      <c r="CT332" s="78"/>
      <c r="CU332" s="78"/>
      <c r="CV332" s="78"/>
      <c r="CW332" s="78"/>
      <c r="CX332" s="78"/>
      <c r="CY332" s="78"/>
      <c r="CZ332" s="78"/>
      <c r="DA332" s="78"/>
      <c r="DB332" s="78"/>
      <c r="DC332" s="78"/>
      <c r="DD332" s="78"/>
      <c r="DE332" s="78"/>
      <c r="DF332" s="78"/>
      <c r="DG332" s="78"/>
      <c r="DH332" s="78"/>
      <c r="DI332" s="78"/>
      <c r="DJ332" s="78"/>
      <c r="DK332" s="78"/>
      <c r="DL332" s="78"/>
      <c r="DM332" s="78"/>
      <c r="DN332" s="78"/>
      <c r="DO332" s="78"/>
      <c r="DP332" s="78"/>
      <c r="DQ332" s="78"/>
      <c r="DR332" s="78"/>
      <c r="DS332" s="78"/>
      <c r="DT332" s="78"/>
      <c r="DU332" s="78"/>
      <c r="DV332" s="78"/>
      <c r="DW332" s="78"/>
      <c r="DX332" s="78"/>
      <c r="DY332" s="78"/>
      <c r="DZ332" s="78"/>
      <c r="EA332" s="78"/>
      <c r="EB332" s="78"/>
      <c r="EC332" s="78"/>
      <c r="ED332" s="78"/>
      <c r="EE332" s="78"/>
      <c r="EF332" s="78"/>
      <c r="EG332" s="78"/>
      <c r="EH332" s="78"/>
      <c r="EI332" s="78"/>
    </row>
    <row r="333" spans="2:139">
      <c r="B333" s="41" t="s">
        <v>181</v>
      </c>
      <c r="C333" s="211"/>
      <c r="D333" s="78">
        <f t="shared" ref="D333:N333" si="650">IF(IrrCalculationType=170,-D91,SUMIF($S$6:$EI$6,D$5,$S333:$EI333))</f>
        <v>0</v>
      </c>
      <c r="E333" s="78">
        <f t="shared" si="650"/>
        <v>0</v>
      </c>
      <c r="F333" s="78">
        <f t="shared" si="650"/>
        <v>0</v>
      </c>
      <c r="G333" s="78">
        <f t="shared" si="650"/>
        <v>0</v>
      </c>
      <c r="H333" s="78">
        <f t="shared" si="650"/>
        <v>0</v>
      </c>
      <c r="I333" s="78">
        <f t="shared" si="650"/>
        <v>0</v>
      </c>
      <c r="J333" s="78">
        <f t="shared" si="650"/>
        <v>0</v>
      </c>
      <c r="K333" s="78">
        <f t="shared" si="650"/>
        <v>0</v>
      </c>
      <c r="L333" s="78">
        <f t="shared" si="650"/>
        <v>0</v>
      </c>
      <c r="M333" s="78">
        <f t="shared" si="650"/>
        <v>0</v>
      </c>
      <c r="N333" s="78">
        <f t="shared" si="650"/>
        <v>0</v>
      </c>
      <c r="O333" s="145">
        <f>SUM(D333:N333)</f>
        <v>0</v>
      </c>
      <c r="R333" s="879"/>
      <c r="S333" s="78">
        <f t="shared" ref="S333:AX333" si="651">-S91</f>
        <v>0</v>
      </c>
      <c r="T333" s="78">
        <f t="shared" si="651"/>
        <v>0</v>
      </c>
      <c r="U333" s="78">
        <f t="shared" si="651"/>
        <v>0</v>
      </c>
      <c r="V333" s="78">
        <f t="shared" si="651"/>
        <v>0</v>
      </c>
      <c r="W333" s="78">
        <f t="shared" si="651"/>
        <v>0</v>
      </c>
      <c r="X333" s="78">
        <f t="shared" si="651"/>
        <v>0</v>
      </c>
      <c r="Y333" s="78">
        <f t="shared" si="651"/>
        <v>0</v>
      </c>
      <c r="Z333" s="78">
        <f t="shared" si="651"/>
        <v>0</v>
      </c>
      <c r="AA333" s="78">
        <f t="shared" si="651"/>
        <v>0</v>
      </c>
      <c r="AB333" s="78">
        <f t="shared" si="651"/>
        <v>0</v>
      </c>
      <c r="AC333" s="78">
        <f t="shared" si="651"/>
        <v>0</v>
      </c>
      <c r="AD333" s="78">
        <f t="shared" si="651"/>
        <v>0</v>
      </c>
      <c r="AE333" s="78">
        <f t="shared" si="651"/>
        <v>0</v>
      </c>
      <c r="AF333" s="78">
        <f t="shared" si="651"/>
        <v>0</v>
      </c>
      <c r="AG333" s="78">
        <f t="shared" si="651"/>
        <v>0</v>
      </c>
      <c r="AH333" s="78">
        <f t="shared" si="651"/>
        <v>0</v>
      </c>
      <c r="AI333" s="78">
        <f t="shared" si="651"/>
        <v>0</v>
      </c>
      <c r="AJ333" s="78">
        <f t="shared" si="651"/>
        <v>0</v>
      </c>
      <c r="AK333" s="78">
        <f t="shared" si="651"/>
        <v>0</v>
      </c>
      <c r="AL333" s="78">
        <f t="shared" si="651"/>
        <v>0</v>
      </c>
      <c r="AM333" s="78">
        <f t="shared" si="651"/>
        <v>0</v>
      </c>
      <c r="AN333" s="78">
        <f t="shared" si="651"/>
        <v>0</v>
      </c>
      <c r="AO333" s="78">
        <f t="shared" si="651"/>
        <v>0</v>
      </c>
      <c r="AP333" s="78">
        <f t="shared" si="651"/>
        <v>0</v>
      </c>
      <c r="AQ333" s="78">
        <f t="shared" si="651"/>
        <v>0</v>
      </c>
      <c r="AR333" s="78">
        <f t="shared" si="651"/>
        <v>0</v>
      </c>
      <c r="AS333" s="78">
        <f t="shared" si="651"/>
        <v>0</v>
      </c>
      <c r="AT333" s="78">
        <f t="shared" si="651"/>
        <v>0</v>
      </c>
      <c r="AU333" s="78">
        <f t="shared" si="651"/>
        <v>0</v>
      </c>
      <c r="AV333" s="78">
        <f t="shared" si="651"/>
        <v>0</v>
      </c>
      <c r="AW333" s="78">
        <f t="shared" si="651"/>
        <v>0</v>
      </c>
      <c r="AX333" s="78">
        <f t="shared" si="651"/>
        <v>0</v>
      </c>
      <c r="AY333" s="78">
        <f t="shared" ref="AY333:CD333" si="652">-AY91</f>
        <v>0</v>
      </c>
      <c r="AZ333" s="78">
        <f t="shared" si="652"/>
        <v>0</v>
      </c>
      <c r="BA333" s="78">
        <f t="shared" si="652"/>
        <v>0</v>
      </c>
      <c r="BB333" s="78">
        <f t="shared" si="652"/>
        <v>0</v>
      </c>
      <c r="BC333" s="78">
        <f t="shared" si="652"/>
        <v>0</v>
      </c>
      <c r="BD333" s="78">
        <f t="shared" si="652"/>
        <v>0</v>
      </c>
      <c r="BE333" s="78">
        <f t="shared" si="652"/>
        <v>0</v>
      </c>
      <c r="BF333" s="78">
        <f t="shared" si="652"/>
        <v>0</v>
      </c>
      <c r="BG333" s="78">
        <f t="shared" si="652"/>
        <v>0</v>
      </c>
      <c r="BH333" s="78">
        <f t="shared" si="652"/>
        <v>0</v>
      </c>
      <c r="BI333" s="78">
        <f t="shared" si="652"/>
        <v>0</v>
      </c>
      <c r="BJ333" s="78">
        <f t="shared" si="652"/>
        <v>0</v>
      </c>
      <c r="BK333" s="78">
        <f t="shared" si="652"/>
        <v>0</v>
      </c>
      <c r="BL333" s="78">
        <f t="shared" si="652"/>
        <v>0</v>
      </c>
      <c r="BM333" s="78">
        <f t="shared" si="652"/>
        <v>0</v>
      </c>
      <c r="BN333" s="78">
        <f t="shared" si="652"/>
        <v>0</v>
      </c>
      <c r="BO333" s="78">
        <f t="shared" si="652"/>
        <v>0</v>
      </c>
      <c r="BP333" s="78">
        <f t="shared" si="652"/>
        <v>0</v>
      </c>
      <c r="BQ333" s="78">
        <f t="shared" si="652"/>
        <v>0</v>
      </c>
      <c r="BR333" s="78">
        <f t="shared" si="652"/>
        <v>0</v>
      </c>
      <c r="BS333" s="78">
        <f t="shared" si="652"/>
        <v>0</v>
      </c>
      <c r="BT333" s="78">
        <f t="shared" si="652"/>
        <v>0</v>
      </c>
      <c r="BU333" s="78">
        <f t="shared" si="652"/>
        <v>0</v>
      </c>
      <c r="BV333" s="78">
        <f t="shared" si="652"/>
        <v>0</v>
      </c>
      <c r="BW333" s="78">
        <f t="shared" si="652"/>
        <v>0</v>
      </c>
      <c r="BX333" s="78">
        <f t="shared" si="652"/>
        <v>0</v>
      </c>
      <c r="BY333" s="78">
        <f t="shared" si="652"/>
        <v>0</v>
      </c>
      <c r="BZ333" s="78">
        <f t="shared" si="652"/>
        <v>0</v>
      </c>
      <c r="CA333" s="78">
        <f t="shared" si="652"/>
        <v>0</v>
      </c>
      <c r="CB333" s="78">
        <f t="shared" si="652"/>
        <v>0</v>
      </c>
      <c r="CC333" s="78">
        <f t="shared" si="652"/>
        <v>0</v>
      </c>
      <c r="CD333" s="78">
        <f t="shared" si="652"/>
        <v>0</v>
      </c>
      <c r="CE333" s="78">
        <f t="shared" ref="CE333:DJ333" si="653">-CE91</f>
        <v>0</v>
      </c>
      <c r="CF333" s="78">
        <f t="shared" si="653"/>
        <v>0</v>
      </c>
      <c r="CG333" s="78">
        <f t="shared" si="653"/>
        <v>0</v>
      </c>
      <c r="CH333" s="78">
        <f t="shared" si="653"/>
        <v>0</v>
      </c>
      <c r="CI333" s="78">
        <f t="shared" si="653"/>
        <v>0</v>
      </c>
      <c r="CJ333" s="78">
        <f t="shared" si="653"/>
        <v>0</v>
      </c>
      <c r="CK333" s="78">
        <f t="shared" si="653"/>
        <v>0</v>
      </c>
      <c r="CL333" s="78">
        <f t="shared" si="653"/>
        <v>0</v>
      </c>
      <c r="CM333" s="78">
        <f t="shared" si="653"/>
        <v>0</v>
      </c>
      <c r="CN333" s="78">
        <f t="shared" si="653"/>
        <v>0</v>
      </c>
      <c r="CO333" s="78">
        <f t="shared" si="653"/>
        <v>0</v>
      </c>
      <c r="CP333" s="78">
        <f t="shared" si="653"/>
        <v>0</v>
      </c>
      <c r="CQ333" s="78">
        <f t="shared" si="653"/>
        <v>0</v>
      </c>
      <c r="CR333" s="78">
        <f t="shared" si="653"/>
        <v>0</v>
      </c>
      <c r="CS333" s="78">
        <f t="shared" si="653"/>
        <v>0</v>
      </c>
      <c r="CT333" s="78">
        <f t="shared" si="653"/>
        <v>0</v>
      </c>
      <c r="CU333" s="78">
        <f t="shared" si="653"/>
        <v>0</v>
      </c>
      <c r="CV333" s="78">
        <f t="shared" si="653"/>
        <v>0</v>
      </c>
      <c r="CW333" s="78">
        <f t="shared" si="653"/>
        <v>0</v>
      </c>
      <c r="CX333" s="78">
        <f t="shared" si="653"/>
        <v>0</v>
      </c>
      <c r="CY333" s="78">
        <f t="shared" si="653"/>
        <v>0</v>
      </c>
      <c r="CZ333" s="78">
        <f t="shared" si="653"/>
        <v>0</v>
      </c>
      <c r="DA333" s="78">
        <f t="shared" si="653"/>
        <v>0</v>
      </c>
      <c r="DB333" s="78">
        <f t="shared" si="653"/>
        <v>0</v>
      </c>
      <c r="DC333" s="78">
        <f t="shared" si="653"/>
        <v>0</v>
      </c>
      <c r="DD333" s="78">
        <f t="shared" si="653"/>
        <v>0</v>
      </c>
      <c r="DE333" s="78">
        <f t="shared" si="653"/>
        <v>0</v>
      </c>
      <c r="DF333" s="78">
        <f t="shared" si="653"/>
        <v>0</v>
      </c>
      <c r="DG333" s="78">
        <f t="shared" si="653"/>
        <v>0</v>
      </c>
      <c r="DH333" s="78">
        <f t="shared" si="653"/>
        <v>0</v>
      </c>
      <c r="DI333" s="78">
        <f t="shared" si="653"/>
        <v>0</v>
      </c>
      <c r="DJ333" s="78">
        <f t="shared" si="653"/>
        <v>0</v>
      </c>
      <c r="DK333" s="78">
        <f t="shared" ref="DK333:EI333" si="654">-DK91</f>
        <v>0</v>
      </c>
      <c r="DL333" s="78">
        <f t="shared" si="654"/>
        <v>0</v>
      </c>
      <c r="DM333" s="78">
        <f t="shared" si="654"/>
        <v>0</v>
      </c>
      <c r="DN333" s="78">
        <f t="shared" si="654"/>
        <v>0</v>
      </c>
      <c r="DO333" s="78">
        <f t="shared" si="654"/>
        <v>0</v>
      </c>
      <c r="DP333" s="78">
        <f t="shared" si="654"/>
        <v>0</v>
      </c>
      <c r="DQ333" s="78">
        <f t="shared" si="654"/>
        <v>0</v>
      </c>
      <c r="DR333" s="78">
        <f t="shared" si="654"/>
        <v>0</v>
      </c>
      <c r="DS333" s="78">
        <f t="shared" si="654"/>
        <v>0</v>
      </c>
      <c r="DT333" s="78">
        <f t="shared" si="654"/>
        <v>0</v>
      </c>
      <c r="DU333" s="78">
        <f t="shared" si="654"/>
        <v>0</v>
      </c>
      <c r="DV333" s="78">
        <f t="shared" si="654"/>
        <v>0</v>
      </c>
      <c r="DW333" s="78">
        <f t="shared" si="654"/>
        <v>0</v>
      </c>
      <c r="DX333" s="78">
        <f t="shared" si="654"/>
        <v>0</v>
      </c>
      <c r="DY333" s="78">
        <f t="shared" si="654"/>
        <v>0</v>
      </c>
      <c r="DZ333" s="78">
        <f t="shared" si="654"/>
        <v>0</v>
      </c>
      <c r="EA333" s="78">
        <f t="shared" si="654"/>
        <v>0</v>
      </c>
      <c r="EB333" s="78">
        <f t="shared" si="654"/>
        <v>0</v>
      </c>
      <c r="EC333" s="78">
        <f t="shared" si="654"/>
        <v>0</v>
      </c>
      <c r="ED333" s="78">
        <f t="shared" si="654"/>
        <v>0</v>
      </c>
      <c r="EE333" s="78">
        <f t="shared" si="654"/>
        <v>0</v>
      </c>
      <c r="EF333" s="78">
        <f t="shared" si="654"/>
        <v>0</v>
      </c>
      <c r="EG333" s="78">
        <f t="shared" si="654"/>
        <v>0</v>
      </c>
      <c r="EH333" s="78">
        <f t="shared" si="654"/>
        <v>0</v>
      </c>
      <c r="EI333" s="78">
        <f t="shared" si="654"/>
        <v>0</v>
      </c>
    </row>
    <row r="334" spans="2:139">
      <c r="B334" s="41" t="s">
        <v>635</v>
      </c>
      <c r="C334" s="211"/>
      <c r="D334" s="78">
        <f t="shared" ref="D334:O334" si="655">SUBTOTAL(9,D335:D338)</f>
        <v>0</v>
      </c>
      <c r="E334" s="78">
        <f t="shared" si="655"/>
        <v>0</v>
      </c>
      <c r="F334" s="78">
        <f t="shared" si="655"/>
        <v>0</v>
      </c>
      <c r="G334" s="78">
        <f t="shared" si="655"/>
        <v>0</v>
      </c>
      <c r="H334" s="78">
        <f t="shared" si="655"/>
        <v>0</v>
      </c>
      <c r="I334" s="78">
        <f t="shared" si="655"/>
        <v>0</v>
      </c>
      <c r="J334" s="78">
        <f t="shared" si="655"/>
        <v>0</v>
      </c>
      <c r="K334" s="78">
        <f t="shared" si="655"/>
        <v>0</v>
      </c>
      <c r="L334" s="78">
        <f t="shared" si="655"/>
        <v>0</v>
      </c>
      <c r="M334" s="78">
        <f t="shared" si="655"/>
        <v>0</v>
      </c>
      <c r="N334" s="78">
        <f t="shared" si="655"/>
        <v>0</v>
      </c>
      <c r="O334" s="145">
        <f t="shared" si="655"/>
        <v>0</v>
      </c>
      <c r="R334" s="879"/>
      <c r="S334" s="78">
        <f t="shared" ref="S334:AX334" si="656">SUBTOTAL(9,S335:S338)</f>
        <v>0</v>
      </c>
      <c r="T334" s="78">
        <f t="shared" si="656"/>
        <v>0</v>
      </c>
      <c r="U334" s="78">
        <f t="shared" si="656"/>
        <v>0</v>
      </c>
      <c r="V334" s="78">
        <f t="shared" si="656"/>
        <v>0</v>
      </c>
      <c r="W334" s="78">
        <f t="shared" si="656"/>
        <v>0</v>
      </c>
      <c r="X334" s="78">
        <f t="shared" si="656"/>
        <v>0</v>
      </c>
      <c r="Y334" s="78">
        <f t="shared" si="656"/>
        <v>0</v>
      </c>
      <c r="Z334" s="78">
        <f t="shared" si="656"/>
        <v>0</v>
      </c>
      <c r="AA334" s="78">
        <f t="shared" si="656"/>
        <v>0</v>
      </c>
      <c r="AB334" s="78">
        <f t="shared" si="656"/>
        <v>0</v>
      </c>
      <c r="AC334" s="78">
        <f t="shared" si="656"/>
        <v>0</v>
      </c>
      <c r="AD334" s="78">
        <f t="shared" si="656"/>
        <v>0</v>
      </c>
      <c r="AE334" s="78">
        <f t="shared" si="656"/>
        <v>0</v>
      </c>
      <c r="AF334" s="78">
        <f t="shared" si="656"/>
        <v>0</v>
      </c>
      <c r="AG334" s="78">
        <f t="shared" si="656"/>
        <v>0</v>
      </c>
      <c r="AH334" s="78">
        <f t="shared" si="656"/>
        <v>0</v>
      </c>
      <c r="AI334" s="78">
        <f t="shared" si="656"/>
        <v>0</v>
      </c>
      <c r="AJ334" s="78">
        <f t="shared" si="656"/>
        <v>0</v>
      </c>
      <c r="AK334" s="78">
        <f t="shared" si="656"/>
        <v>0</v>
      </c>
      <c r="AL334" s="78">
        <f t="shared" si="656"/>
        <v>0</v>
      </c>
      <c r="AM334" s="78">
        <f t="shared" si="656"/>
        <v>0</v>
      </c>
      <c r="AN334" s="78">
        <f t="shared" si="656"/>
        <v>0</v>
      </c>
      <c r="AO334" s="78">
        <f t="shared" si="656"/>
        <v>0</v>
      </c>
      <c r="AP334" s="78">
        <f t="shared" si="656"/>
        <v>0</v>
      </c>
      <c r="AQ334" s="78">
        <f t="shared" si="656"/>
        <v>0</v>
      </c>
      <c r="AR334" s="78">
        <f t="shared" si="656"/>
        <v>0</v>
      </c>
      <c r="AS334" s="78">
        <f t="shared" si="656"/>
        <v>0</v>
      </c>
      <c r="AT334" s="78">
        <f t="shared" si="656"/>
        <v>0</v>
      </c>
      <c r="AU334" s="78">
        <f t="shared" si="656"/>
        <v>0</v>
      </c>
      <c r="AV334" s="78">
        <f t="shared" si="656"/>
        <v>0</v>
      </c>
      <c r="AW334" s="78">
        <f t="shared" si="656"/>
        <v>0</v>
      </c>
      <c r="AX334" s="78">
        <f t="shared" si="656"/>
        <v>0</v>
      </c>
      <c r="AY334" s="78">
        <f t="shared" ref="AY334:CD334" si="657">SUBTOTAL(9,AY335:AY338)</f>
        <v>0</v>
      </c>
      <c r="AZ334" s="78">
        <f t="shared" si="657"/>
        <v>0</v>
      </c>
      <c r="BA334" s="78">
        <f t="shared" si="657"/>
        <v>0</v>
      </c>
      <c r="BB334" s="78">
        <f t="shared" si="657"/>
        <v>0</v>
      </c>
      <c r="BC334" s="78">
        <f t="shared" si="657"/>
        <v>0</v>
      </c>
      <c r="BD334" s="78">
        <f t="shared" si="657"/>
        <v>0</v>
      </c>
      <c r="BE334" s="78">
        <f t="shared" si="657"/>
        <v>0</v>
      </c>
      <c r="BF334" s="78">
        <f t="shared" si="657"/>
        <v>0</v>
      </c>
      <c r="BG334" s="78">
        <f t="shared" si="657"/>
        <v>0</v>
      </c>
      <c r="BH334" s="78">
        <f t="shared" si="657"/>
        <v>0</v>
      </c>
      <c r="BI334" s="78">
        <f t="shared" si="657"/>
        <v>0</v>
      </c>
      <c r="BJ334" s="78">
        <f t="shared" si="657"/>
        <v>0</v>
      </c>
      <c r="BK334" s="78">
        <f t="shared" si="657"/>
        <v>0</v>
      </c>
      <c r="BL334" s="78">
        <f t="shared" si="657"/>
        <v>0</v>
      </c>
      <c r="BM334" s="78">
        <f t="shared" si="657"/>
        <v>0</v>
      </c>
      <c r="BN334" s="78">
        <f t="shared" si="657"/>
        <v>0</v>
      </c>
      <c r="BO334" s="78">
        <f t="shared" si="657"/>
        <v>0</v>
      </c>
      <c r="BP334" s="78">
        <f t="shared" si="657"/>
        <v>0</v>
      </c>
      <c r="BQ334" s="78">
        <f t="shared" si="657"/>
        <v>0</v>
      </c>
      <c r="BR334" s="78">
        <f t="shared" si="657"/>
        <v>0</v>
      </c>
      <c r="BS334" s="78">
        <f t="shared" si="657"/>
        <v>0</v>
      </c>
      <c r="BT334" s="78">
        <f t="shared" si="657"/>
        <v>0</v>
      </c>
      <c r="BU334" s="78">
        <f t="shared" si="657"/>
        <v>0</v>
      </c>
      <c r="BV334" s="78">
        <f t="shared" si="657"/>
        <v>0</v>
      </c>
      <c r="BW334" s="78">
        <f t="shared" si="657"/>
        <v>0</v>
      </c>
      <c r="BX334" s="78">
        <f t="shared" si="657"/>
        <v>0</v>
      </c>
      <c r="BY334" s="78">
        <f t="shared" si="657"/>
        <v>0</v>
      </c>
      <c r="BZ334" s="78">
        <f t="shared" si="657"/>
        <v>0</v>
      </c>
      <c r="CA334" s="78">
        <f t="shared" si="657"/>
        <v>0</v>
      </c>
      <c r="CB334" s="78">
        <f t="shared" si="657"/>
        <v>0</v>
      </c>
      <c r="CC334" s="78">
        <f t="shared" si="657"/>
        <v>0</v>
      </c>
      <c r="CD334" s="78">
        <f t="shared" si="657"/>
        <v>0</v>
      </c>
      <c r="CE334" s="78">
        <f t="shared" ref="CE334:DJ334" si="658">SUBTOTAL(9,CE335:CE338)</f>
        <v>0</v>
      </c>
      <c r="CF334" s="78">
        <f t="shared" si="658"/>
        <v>0</v>
      </c>
      <c r="CG334" s="78">
        <f t="shared" si="658"/>
        <v>0</v>
      </c>
      <c r="CH334" s="78">
        <f t="shared" si="658"/>
        <v>0</v>
      </c>
      <c r="CI334" s="78">
        <f t="shared" si="658"/>
        <v>0</v>
      </c>
      <c r="CJ334" s="78">
        <f t="shared" si="658"/>
        <v>0</v>
      </c>
      <c r="CK334" s="78">
        <f t="shared" si="658"/>
        <v>0</v>
      </c>
      <c r="CL334" s="78">
        <f t="shared" si="658"/>
        <v>0</v>
      </c>
      <c r="CM334" s="78">
        <f t="shared" si="658"/>
        <v>0</v>
      </c>
      <c r="CN334" s="78">
        <f t="shared" si="658"/>
        <v>0</v>
      </c>
      <c r="CO334" s="78">
        <f t="shared" si="658"/>
        <v>0</v>
      </c>
      <c r="CP334" s="78">
        <f t="shared" si="658"/>
        <v>0</v>
      </c>
      <c r="CQ334" s="78">
        <f t="shared" si="658"/>
        <v>0</v>
      </c>
      <c r="CR334" s="78">
        <f t="shared" si="658"/>
        <v>0</v>
      </c>
      <c r="CS334" s="78">
        <f t="shared" si="658"/>
        <v>0</v>
      </c>
      <c r="CT334" s="78">
        <f t="shared" si="658"/>
        <v>0</v>
      </c>
      <c r="CU334" s="78">
        <f t="shared" si="658"/>
        <v>0</v>
      </c>
      <c r="CV334" s="78">
        <f t="shared" si="658"/>
        <v>0</v>
      </c>
      <c r="CW334" s="78">
        <f t="shared" si="658"/>
        <v>0</v>
      </c>
      <c r="CX334" s="78">
        <f t="shared" si="658"/>
        <v>0</v>
      </c>
      <c r="CY334" s="78">
        <f t="shared" si="658"/>
        <v>0</v>
      </c>
      <c r="CZ334" s="78">
        <f t="shared" si="658"/>
        <v>0</v>
      </c>
      <c r="DA334" s="78">
        <f t="shared" si="658"/>
        <v>0</v>
      </c>
      <c r="DB334" s="78">
        <f t="shared" si="658"/>
        <v>0</v>
      </c>
      <c r="DC334" s="78">
        <f t="shared" si="658"/>
        <v>0</v>
      </c>
      <c r="DD334" s="78">
        <f t="shared" si="658"/>
        <v>0</v>
      </c>
      <c r="DE334" s="78">
        <f t="shared" si="658"/>
        <v>0</v>
      </c>
      <c r="DF334" s="78">
        <f t="shared" si="658"/>
        <v>0</v>
      </c>
      <c r="DG334" s="78">
        <f t="shared" si="658"/>
        <v>0</v>
      </c>
      <c r="DH334" s="78">
        <f t="shared" si="658"/>
        <v>0</v>
      </c>
      <c r="DI334" s="78">
        <f t="shared" si="658"/>
        <v>0</v>
      </c>
      <c r="DJ334" s="78">
        <f t="shared" si="658"/>
        <v>0</v>
      </c>
      <c r="DK334" s="78">
        <f t="shared" ref="DK334:EP334" si="659">SUBTOTAL(9,DK335:DK338)</f>
        <v>0</v>
      </c>
      <c r="DL334" s="78">
        <f t="shared" si="659"/>
        <v>0</v>
      </c>
      <c r="DM334" s="78">
        <f t="shared" si="659"/>
        <v>0</v>
      </c>
      <c r="DN334" s="78">
        <f t="shared" si="659"/>
        <v>0</v>
      </c>
      <c r="DO334" s="78">
        <f t="shared" si="659"/>
        <v>0</v>
      </c>
      <c r="DP334" s="78">
        <f t="shared" si="659"/>
        <v>0</v>
      </c>
      <c r="DQ334" s="78">
        <f t="shared" si="659"/>
        <v>0</v>
      </c>
      <c r="DR334" s="78">
        <f t="shared" si="659"/>
        <v>0</v>
      </c>
      <c r="DS334" s="78">
        <f t="shared" si="659"/>
        <v>0</v>
      </c>
      <c r="DT334" s="78">
        <f t="shared" si="659"/>
        <v>0</v>
      </c>
      <c r="DU334" s="78">
        <f t="shared" si="659"/>
        <v>0</v>
      </c>
      <c r="DV334" s="78">
        <f t="shared" si="659"/>
        <v>0</v>
      </c>
      <c r="DW334" s="78">
        <f t="shared" si="659"/>
        <v>0</v>
      </c>
      <c r="DX334" s="78">
        <f t="shared" si="659"/>
        <v>0</v>
      </c>
      <c r="DY334" s="78">
        <f t="shared" si="659"/>
        <v>0</v>
      </c>
      <c r="DZ334" s="78">
        <f t="shared" si="659"/>
        <v>0</v>
      </c>
      <c r="EA334" s="78">
        <f t="shared" si="659"/>
        <v>0</v>
      </c>
      <c r="EB334" s="78">
        <f t="shared" si="659"/>
        <v>0</v>
      </c>
      <c r="EC334" s="78">
        <f t="shared" si="659"/>
        <v>0</v>
      </c>
      <c r="ED334" s="78">
        <f t="shared" si="659"/>
        <v>0</v>
      </c>
      <c r="EE334" s="78">
        <f t="shared" si="659"/>
        <v>0</v>
      </c>
      <c r="EF334" s="78">
        <f t="shared" si="659"/>
        <v>0</v>
      </c>
      <c r="EG334" s="78">
        <f t="shared" si="659"/>
        <v>0</v>
      </c>
      <c r="EH334" s="78">
        <f t="shared" si="659"/>
        <v>0</v>
      </c>
      <c r="EI334" s="78">
        <f t="shared" si="659"/>
        <v>0</v>
      </c>
    </row>
    <row r="335" spans="2:139" hidden="1" outlineLevel="1">
      <c r="B335" s="79" t="s">
        <v>403</v>
      </c>
      <c r="C335" s="211"/>
      <c r="D335" s="78">
        <f t="shared" ref="D335:N335" si="660">IF(IrrCalculationType=170,D221,SUMIF($S$6:$EI$6,D$5,$S335:$EI335))</f>
        <v>0</v>
      </c>
      <c r="E335" s="78">
        <f t="shared" si="660"/>
        <v>0</v>
      </c>
      <c r="F335" s="78">
        <f t="shared" si="660"/>
        <v>0</v>
      </c>
      <c r="G335" s="78">
        <f t="shared" si="660"/>
        <v>0</v>
      </c>
      <c r="H335" s="78">
        <f t="shared" si="660"/>
        <v>0</v>
      </c>
      <c r="I335" s="78">
        <f t="shared" si="660"/>
        <v>0</v>
      </c>
      <c r="J335" s="78">
        <f t="shared" si="660"/>
        <v>0</v>
      </c>
      <c r="K335" s="78">
        <f t="shared" si="660"/>
        <v>0</v>
      </c>
      <c r="L335" s="78">
        <f t="shared" si="660"/>
        <v>0</v>
      </c>
      <c r="M335" s="78">
        <f t="shared" si="660"/>
        <v>0</v>
      </c>
      <c r="N335" s="78">
        <f t="shared" si="660"/>
        <v>0</v>
      </c>
      <c r="O335" s="145">
        <f t="shared" ref="O335:O340" si="661">SUM(D335:N335)</f>
        <v>0</v>
      </c>
      <c r="R335" s="879"/>
      <c r="S335" s="78">
        <f t="shared" ref="S335:AX335" si="662">S221</f>
        <v>0</v>
      </c>
      <c r="T335" s="78">
        <f t="shared" si="662"/>
        <v>0</v>
      </c>
      <c r="U335" s="78">
        <f t="shared" si="662"/>
        <v>0</v>
      </c>
      <c r="V335" s="78">
        <f t="shared" si="662"/>
        <v>0</v>
      </c>
      <c r="W335" s="78">
        <f t="shared" si="662"/>
        <v>0</v>
      </c>
      <c r="X335" s="78">
        <f t="shared" si="662"/>
        <v>0</v>
      </c>
      <c r="Y335" s="78">
        <f t="shared" si="662"/>
        <v>0</v>
      </c>
      <c r="Z335" s="78">
        <f t="shared" si="662"/>
        <v>0</v>
      </c>
      <c r="AA335" s="78">
        <f t="shared" si="662"/>
        <v>0</v>
      </c>
      <c r="AB335" s="78">
        <f t="shared" si="662"/>
        <v>0</v>
      </c>
      <c r="AC335" s="78">
        <f t="shared" si="662"/>
        <v>0</v>
      </c>
      <c r="AD335" s="78">
        <f t="shared" si="662"/>
        <v>0</v>
      </c>
      <c r="AE335" s="78">
        <f t="shared" si="662"/>
        <v>0</v>
      </c>
      <c r="AF335" s="78">
        <f t="shared" si="662"/>
        <v>0</v>
      </c>
      <c r="AG335" s="78">
        <f t="shared" si="662"/>
        <v>0</v>
      </c>
      <c r="AH335" s="78">
        <f t="shared" si="662"/>
        <v>0</v>
      </c>
      <c r="AI335" s="78">
        <f t="shared" si="662"/>
        <v>0</v>
      </c>
      <c r="AJ335" s="78">
        <f t="shared" si="662"/>
        <v>0</v>
      </c>
      <c r="AK335" s="78">
        <f t="shared" si="662"/>
        <v>0</v>
      </c>
      <c r="AL335" s="78">
        <f t="shared" si="662"/>
        <v>0</v>
      </c>
      <c r="AM335" s="78">
        <f t="shared" si="662"/>
        <v>0</v>
      </c>
      <c r="AN335" s="78">
        <f t="shared" si="662"/>
        <v>0</v>
      </c>
      <c r="AO335" s="78">
        <f t="shared" si="662"/>
        <v>0</v>
      </c>
      <c r="AP335" s="78">
        <f t="shared" si="662"/>
        <v>0</v>
      </c>
      <c r="AQ335" s="78">
        <f t="shared" si="662"/>
        <v>0</v>
      </c>
      <c r="AR335" s="78">
        <f t="shared" si="662"/>
        <v>0</v>
      </c>
      <c r="AS335" s="78">
        <f t="shared" si="662"/>
        <v>0</v>
      </c>
      <c r="AT335" s="78">
        <f t="shared" si="662"/>
        <v>0</v>
      </c>
      <c r="AU335" s="78">
        <f t="shared" si="662"/>
        <v>0</v>
      </c>
      <c r="AV335" s="78">
        <f t="shared" si="662"/>
        <v>0</v>
      </c>
      <c r="AW335" s="78">
        <f t="shared" si="662"/>
        <v>0</v>
      </c>
      <c r="AX335" s="78">
        <f t="shared" si="662"/>
        <v>0</v>
      </c>
      <c r="AY335" s="78">
        <f t="shared" ref="AY335:CD335" si="663">AY221</f>
        <v>0</v>
      </c>
      <c r="AZ335" s="78">
        <f t="shared" si="663"/>
        <v>0</v>
      </c>
      <c r="BA335" s="78">
        <f t="shared" si="663"/>
        <v>0</v>
      </c>
      <c r="BB335" s="78">
        <f t="shared" si="663"/>
        <v>0</v>
      </c>
      <c r="BC335" s="78">
        <f t="shared" si="663"/>
        <v>0</v>
      </c>
      <c r="BD335" s="78">
        <f t="shared" si="663"/>
        <v>0</v>
      </c>
      <c r="BE335" s="78">
        <f t="shared" si="663"/>
        <v>0</v>
      </c>
      <c r="BF335" s="78">
        <f t="shared" si="663"/>
        <v>0</v>
      </c>
      <c r="BG335" s="78">
        <f t="shared" si="663"/>
        <v>0</v>
      </c>
      <c r="BH335" s="78">
        <f t="shared" si="663"/>
        <v>0</v>
      </c>
      <c r="BI335" s="78">
        <f t="shared" si="663"/>
        <v>0</v>
      </c>
      <c r="BJ335" s="78">
        <f t="shared" si="663"/>
        <v>0</v>
      </c>
      <c r="BK335" s="78">
        <f t="shared" si="663"/>
        <v>0</v>
      </c>
      <c r="BL335" s="78">
        <f t="shared" si="663"/>
        <v>0</v>
      </c>
      <c r="BM335" s="78">
        <f t="shared" si="663"/>
        <v>0</v>
      </c>
      <c r="BN335" s="78">
        <f t="shared" si="663"/>
        <v>0</v>
      </c>
      <c r="BO335" s="78">
        <f t="shared" si="663"/>
        <v>0</v>
      </c>
      <c r="BP335" s="78">
        <f t="shared" si="663"/>
        <v>0</v>
      </c>
      <c r="BQ335" s="78">
        <f t="shared" si="663"/>
        <v>0</v>
      </c>
      <c r="BR335" s="78">
        <f t="shared" si="663"/>
        <v>0</v>
      </c>
      <c r="BS335" s="78">
        <f t="shared" si="663"/>
        <v>0</v>
      </c>
      <c r="BT335" s="78">
        <f t="shared" si="663"/>
        <v>0</v>
      </c>
      <c r="BU335" s="78">
        <f t="shared" si="663"/>
        <v>0</v>
      </c>
      <c r="BV335" s="78">
        <f t="shared" si="663"/>
        <v>0</v>
      </c>
      <c r="BW335" s="78">
        <f t="shared" si="663"/>
        <v>0</v>
      </c>
      <c r="BX335" s="78">
        <f t="shared" si="663"/>
        <v>0</v>
      </c>
      <c r="BY335" s="78">
        <f t="shared" si="663"/>
        <v>0</v>
      </c>
      <c r="BZ335" s="78">
        <f t="shared" si="663"/>
        <v>0</v>
      </c>
      <c r="CA335" s="78">
        <f t="shared" si="663"/>
        <v>0</v>
      </c>
      <c r="CB335" s="78">
        <f t="shared" si="663"/>
        <v>0</v>
      </c>
      <c r="CC335" s="78">
        <f t="shared" si="663"/>
        <v>0</v>
      </c>
      <c r="CD335" s="78">
        <f t="shared" si="663"/>
        <v>0</v>
      </c>
      <c r="CE335" s="78">
        <f t="shared" ref="CE335:DJ335" si="664">CE221</f>
        <v>0</v>
      </c>
      <c r="CF335" s="78">
        <f t="shared" si="664"/>
        <v>0</v>
      </c>
      <c r="CG335" s="78">
        <f t="shared" si="664"/>
        <v>0</v>
      </c>
      <c r="CH335" s="78">
        <f t="shared" si="664"/>
        <v>0</v>
      </c>
      <c r="CI335" s="78">
        <f t="shared" si="664"/>
        <v>0</v>
      </c>
      <c r="CJ335" s="78">
        <f t="shared" si="664"/>
        <v>0</v>
      </c>
      <c r="CK335" s="78">
        <f t="shared" si="664"/>
        <v>0</v>
      </c>
      <c r="CL335" s="78">
        <f t="shared" si="664"/>
        <v>0</v>
      </c>
      <c r="CM335" s="78">
        <f t="shared" si="664"/>
        <v>0</v>
      </c>
      <c r="CN335" s="78">
        <f t="shared" si="664"/>
        <v>0</v>
      </c>
      <c r="CO335" s="78">
        <f t="shared" si="664"/>
        <v>0</v>
      </c>
      <c r="CP335" s="78">
        <f t="shared" si="664"/>
        <v>0</v>
      </c>
      <c r="CQ335" s="78">
        <f t="shared" si="664"/>
        <v>0</v>
      </c>
      <c r="CR335" s="78">
        <f t="shared" si="664"/>
        <v>0</v>
      </c>
      <c r="CS335" s="78">
        <f t="shared" si="664"/>
        <v>0</v>
      </c>
      <c r="CT335" s="78">
        <f t="shared" si="664"/>
        <v>0</v>
      </c>
      <c r="CU335" s="78">
        <f t="shared" si="664"/>
        <v>0</v>
      </c>
      <c r="CV335" s="78">
        <f t="shared" si="664"/>
        <v>0</v>
      </c>
      <c r="CW335" s="78">
        <f t="shared" si="664"/>
        <v>0</v>
      </c>
      <c r="CX335" s="78">
        <f t="shared" si="664"/>
        <v>0</v>
      </c>
      <c r="CY335" s="78">
        <f t="shared" si="664"/>
        <v>0</v>
      </c>
      <c r="CZ335" s="78">
        <f t="shared" si="664"/>
        <v>0</v>
      </c>
      <c r="DA335" s="78">
        <f t="shared" si="664"/>
        <v>0</v>
      </c>
      <c r="DB335" s="78">
        <f t="shared" si="664"/>
        <v>0</v>
      </c>
      <c r="DC335" s="78">
        <f t="shared" si="664"/>
        <v>0</v>
      </c>
      <c r="DD335" s="78">
        <f t="shared" si="664"/>
        <v>0</v>
      </c>
      <c r="DE335" s="78">
        <f t="shared" si="664"/>
        <v>0</v>
      </c>
      <c r="DF335" s="78">
        <f t="shared" si="664"/>
        <v>0</v>
      </c>
      <c r="DG335" s="78">
        <f t="shared" si="664"/>
        <v>0</v>
      </c>
      <c r="DH335" s="78">
        <f t="shared" si="664"/>
        <v>0</v>
      </c>
      <c r="DI335" s="78">
        <f t="shared" si="664"/>
        <v>0</v>
      </c>
      <c r="DJ335" s="78">
        <f t="shared" si="664"/>
        <v>0</v>
      </c>
      <c r="DK335" s="78">
        <f t="shared" ref="DK335:EI335" si="665">DK221</f>
        <v>0</v>
      </c>
      <c r="DL335" s="78">
        <f t="shared" si="665"/>
        <v>0</v>
      </c>
      <c r="DM335" s="78">
        <f t="shared" si="665"/>
        <v>0</v>
      </c>
      <c r="DN335" s="78">
        <f t="shared" si="665"/>
        <v>0</v>
      </c>
      <c r="DO335" s="78">
        <f t="shared" si="665"/>
        <v>0</v>
      </c>
      <c r="DP335" s="78">
        <f t="shared" si="665"/>
        <v>0</v>
      </c>
      <c r="DQ335" s="78">
        <f t="shared" si="665"/>
        <v>0</v>
      </c>
      <c r="DR335" s="78">
        <f t="shared" si="665"/>
        <v>0</v>
      </c>
      <c r="DS335" s="78">
        <f t="shared" si="665"/>
        <v>0</v>
      </c>
      <c r="DT335" s="78">
        <f t="shared" si="665"/>
        <v>0</v>
      </c>
      <c r="DU335" s="78">
        <f t="shared" si="665"/>
        <v>0</v>
      </c>
      <c r="DV335" s="78">
        <f t="shared" si="665"/>
        <v>0</v>
      </c>
      <c r="DW335" s="78">
        <f t="shared" si="665"/>
        <v>0</v>
      </c>
      <c r="DX335" s="78">
        <f t="shared" si="665"/>
        <v>0</v>
      </c>
      <c r="DY335" s="78">
        <f t="shared" si="665"/>
        <v>0</v>
      </c>
      <c r="DZ335" s="78">
        <f t="shared" si="665"/>
        <v>0</v>
      </c>
      <c r="EA335" s="78">
        <f t="shared" si="665"/>
        <v>0</v>
      </c>
      <c r="EB335" s="78">
        <f t="shared" si="665"/>
        <v>0</v>
      </c>
      <c r="EC335" s="78">
        <f t="shared" si="665"/>
        <v>0</v>
      </c>
      <c r="ED335" s="78">
        <f t="shared" si="665"/>
        <v>0</v>
      </c>
      <c r="EE335" s="78">
        <f t="shared" si="665"/>
        <v>0</v>
      </c>
      <c r="EF335" s="78">
        <f t="shared" si="665"/>
        <v>0</v>
      </c>
      <c r="EG335" s="78">
        <f t="shared" si="665"/>
        <v>0</v>
      </c>
      <c r="EH335" s="78">
        <f t="shared" si="665"/>
        <v>0</v>
      </c>
      <c r="EI335" s="78">
        <f t="shared" si="665"/>
        <v>0</v>
      </c>
    </row>
    <row r="336" spans="2:139" hidden="1" outlineLevel="1">
      <c r="B336" s="79" t="s">
        <v>636</v>
      </c>
      <c r="C336" s="211"/>
      <c r="D336" s="78">
        <f t="shared" ref="D336:N336" si="666">IF(IrrCalculationType=170,D228,SUMIF($S$6:$EI$6,D$5,$S336:$EI336))</f>
        <v>0</v>
      </c>
      <c r="E336" s="78">
        <f t="shared" si="666"/>
        <v>0</v>
      </c>
      <c r="F336" s="78">
        <f t="shared" si="666"/>
        <v>0</v>
      </c>
      <c r="G336" s="78">
        <f t="shared" si="666"/>
        <v>0</v>
      </c>
      <c r="H336" s="78">
        <f t="shared" si="666"/>
        <v>0</v>
      </c>
      <c r="I336" s="78">
        <f t="shared" si="666"/>
        <v>0</v>
      </c>
      <c r="J336" s="78">
        <f t="shared" si="666"/>
        <v>0</v>
      </c>
      <c r="K336" s="78">
        <f t="shared" si="666"/>
        <v>0</v>
      </c>
      <c r="L336" s="78">
        <f t="shared" si="666"/>
        <v>0</v>
      </c>
      <c r="M336" s="78">
        <f t="shared" si="666"/>
        <v>0</v>
      </c>
      <c r="N336" s="78">
        <f t="shared" si="666"/>
        <v>0</v>
      </c>
      <c r="O336" s="145">
        <f t="shared" si="661"/>
        <v>0</v>
      </c>
      <c r="R336" s="879"/>
      <c r="S336" s="78">
        <f t="shared" ref="S336:AX336" si="667">S228</f>
        <v>0</v>
      </c>
      <c r="T336" s="78">
        <f t="shared" si="667"/>
        <v>0</v>
      </c>
      <c r="U336" s="78">
        <f t="shared" si="667"/>
        <v>0</v>
      </c>
      <c r="V336" s="78">
        <f t="shared" si="667"/>
        <v>0</v>
      </c>
      <c r="W336" s="78">
        <f t="shared" si="667"/>
        <v>0</v>
      </c>
      <c r="X336" s="78">
        <f t="shared" si="667"/>
        <v>0</v>
      </c>
      <c r="Y336" s="78">
        <f t="shared" si="667"/>
        <v>0</v>
      </c>
      <c r="Z336" s="78">
        <f t="shared" si="667"/>
        <v>0</v>
      </c>
      <c r="AA336" s="78">
        <f t="shared" si="667"/>
        <v>0</v>
      </c>
      <c r="AB336" s="78">
        <f t="shared" si="667"/>
        <v>0</v>
      </c>
      <c r="AC336" s="78">
        <f t="shared" si="667"/>
        <v>0</v>
      </c>
      <c r="AD336" s="78">
        <f t="shared" si="667"/>
        <v>0</v>
      </c>
      <c r="AE336" s="78">
        <f t="shared" si="667"/>
        <v>0</v>
      </c>
      <c r="AF336" s="78">
        <f t="shared" si="667"/>
        <v>0</v>
      </c>
      <c r="AG336" s="78">
        <f t="shared" si="667"/>
        <v>0</v>
      </c>
      <c r="AH336" s="78">
        <f t="shared" si="667"/>
        <v>0</v>
      </c>
      <c r="AI336" s="78">
        <f t="shared" si="667"/>
        <v>0</v>
      </c>
      <c r="AJ336" s="78">
        <f t="shared" si="667"/>
        <v>0</v>
      </c>
      <c r="AK336" s="78">
        <f t="shared" si="667"/>
        <v>0</v>
      </c>
      <c r="AL336" s="78">
        <f t="shared" si="667"/>
        <v>0</v>
      </c>
      <c r="AM336" s="78">
        <f t="shared" si="667"/>
        <v>0</v>
      </c>
      <c r="AN336" s="78">
        <f t="shared" si="667"/>
        <v>0</v>
      </c>
      <c r="AO336" s="78">
        <f t="shared" si="667"/>
        <v>0</v>
      </c>
      <c r="AP336" s="78">
        <f t="shared" si="667"/>
        <v>0</v>
      </c>
      <c r="AQ336" s="78">
        <f t="shared" si="667"/>
        <v>0</v>
      </c>
      <c r="AR336" s="78">
        <f t="shared" si="667"/>
        <v>0</v>
      </c>
      <c r="AS336" s="78">
        <f t="shared" si="667"/>
        <v>0</v>
      </c>
      <c r="AT336" s="78">
        <f t="shared" si="667"/>
        <v>0</v>
      </c>
      <c r="AU336" s="78">
        <f t="shared" si="667"/>
        <v>0</v>
      </c>
      <c r="AV336" s="78">
        <f t="shared" si="667"/>
        <v>0</v>
      </c>
      <c r="AW336" s="78">
        <f t="shared" si="667"/>
        <v>0</v>
      </c>
      <c r="AX336" s="78">
        <f t="shared" si="667"/>
        <v>0</v>
      </c>
      <c r="AY336" s="78">
        <f t="shared" ref="AY336:CD336" si="668">AY228</f>
        <v>0</v>
      </c>
      <c r="AZ336" s="78">
        <f t="shared" si="668"/>
        <v>0</v>
      </c>
      <c r="BA336" s="78">
        <f t="shared" si="668"/>
        <v>0</v>
      </c>
      <c r="BB336" s="78">
        <f t="shared" si="668"/>
        <v>0</v>
      </c>
      <c r="BC336" s="78">
        <f t="shared" si="668"/>
        <v>0</v>
      </c>
      <c r="BD336" s="78">
        <f t="shared" si="668"/>
        <v>0</v>
      </c>
      <c r="BE336" s="78">
        <f t="shared" si="668"/>
        <v>0</v>
      </c>
      <c r="BF336" s="78">
        <f t="shared" si="668"/>
        <v>0</v>
      </c>
      <c r="BG336" s="78">
        <f t="shared" si="668"/>
        <v>0</v>
      </c>
      <c r="BH336" s="78">
        <f t="shared" si="668"/>
        <v>0</v>
      </c>
      <c r="BI336" s="78">
        <f t="shared" si="668"/>
        <v>0</v>
      </c>
      <c r="BJ336" s="78">
        <f t="shared" si="668"/>
        <v>0</v>
      </c>
      <c r="BK336" s="78">
        <f t="shared" si="668"/>
        <v>0</v>
      </c>
      <c r="BL336" s="78">
        <f t="shared" si="668"/>
        <v>0</v>
      </c>
      <c r="BM336" s="78">
        <f t="shared" si="668"/>
        <v>0</v>
      </c>
      <c r="BN336" s="78">
        <f t="shared" si="668"/>
        <v>0</v>
      </c>
      <c r="BO336" s="78">
        <f t="shared" si="668"/>
        <v>0</v>
      </c>
      <c r="BP336" s="78">
        <f t="shared" si="668"/>
        <v>0</v>
      </c>
      <c r="BQ336" s="78">
        <f t="shared" si="668"/>
        <v>0</v>
      </c>
      <c r="BR336" s="78">
        <f t="shared" si="668"/>
        <v>0</v>
      </c>
      <c r="BS336" s="78">
        <f t="shared" si="668"/>
        <v>0</v>
      </c>
      <c r="BT336" s="78">
        <f t="shared" si="668"/>
        <v>0</v>
      </c>
      <c r="BU336" s="78">
        <f t="shared" si="668"/>
        <v>0</v>
      </c>
      <c r="BV336" s="78">
        <f t="shared" si="668"/>
        <v>0</v>
      </c>
      <c r="BW336" s="78">
        <f t="shared" si="668"/>
        <v>0</v>
      </c>
      <c r="BX336" s="78">
        <f t="shared" si="668"/>
        <v>0</v>
      </c>
      <c r="BY336" s="78">
        <f t="shared" si="668"/>
        <v>0</v>
      </c>
      <c r="BZ336" s="78">
        <f t="shared" si="668"/>
        <v>0</v>
      </c>
      <c r="CA336" s="78">
        <f t="shared" si="668"/>
        <v>0</v>
      </c>
      <c r="CB336" s="78">
        <f t="shared" si="668"/>
        <v>0</v>
      </c>
      <c r="CC336" s="78">
        <f t="shared" si="668"/>
        <v>0</v>
      </c>
      <c r="CD336" s="78">
        <f t="shared" si="668"/>
        <v>0</v>
      </c>
      <c r="CE336" s="78">
        <f t="shared" ref="CE336:DJ336" si="669">CE228</f>
        <v>0</v>
      </c>
      <c r="CF336" s="78">
        <f t="shared" si="669"/>
        <v>0</v>
      </c>
      <c r="CG336" s="78">
        <f t="shared" si="669"/>
        <v>0</v>
      </c>
      <c r="CH336" s="78">
        <f t="shared" si="669"/>
        <v>0</v>
      </c>
      <c r="CI336" s="78">
        <f t="shared" si="669"/>
        <v>0</v>
      </c>
      <c r="CJ336" s="78">
        <f t="shared" si="669"/>
        <v>0</v>
      </c>
      <c r="CK336" s="78">
        <f t="shared" si="669"/>
        <v>0</v>
      </c>
      <c r="CL336" s="78">
        <f t="shared" si="669"/>
        <v>0</v>
      </c>
      <c r="CM336" s="78">
        <f t="shared" si="669"/>
        <v>0</v>
      </c>
      <c r="CN336" s="78">
        <f t="shared" si="669"/>
        <v>0</v>
      </c>
      <c r="CO336" s="78">
        <f t="shared" si="669"/>
        <v>0</v>
      </c>
      <c r="CP336" s="78">
        <f t="shared" si="669"/>
        <v>0</v>
      </c>
      <c r="CQ336" s="78">
        <f t="shared" si="669"/>
        <v>0</v>
      </c>
      <c r="CR336" s="78">
        <f t="shared" si="669"/>
        <v>0</v>
      </c>
      <c r="CS336" s="78">
        <f t="shared" si="669"/>
        <v>0</v>
      </c>
      <c r="CT336" s="78">
        <f t="shared" si="669"/>
        <v>0</v>
      </c>
      <c r="CU336" s="78">
        <f t="shared" si="669"/>
        <v>0</v>
      </c>
      <c r="CV336" s="78">
        <f t="shared" si="669"/>
        <v>0</v>
      </c>
      <c r="CW336" s="78">
        <f t="shared" si="669"/>
        <v>0</v>
      </c>
      <c r="CX336" s="78">
        <f t="shared" si="669"/>
        <v>0</v>
      </c>
      <c r="CY336" s="78">
        <f t="shared" si="669"/>
        <v>0</v>
      </c>
      <c r="CZ336" s="78">
        <f t="shared" si="669"/>
        <v>0</v>
      </c>
      <c r="DA336" s="78">
        <f t="shared" si="669"/>
        <v>0</v>
      </c>
      <c r="DB336" s="78">
        <f t="shared" si="669"/>
        <v>0</v>
      </c>
      <c r="DC336" s="78">
        <f t="shared" si="669"/>
        <v>0</v>
      </c>
      <c r="DD336" s="78">
        <f t="shared" si="669"/>
        <v>0</v>
      </c>
      <c r="DE336" s="78">
        <f t="shared" si="669"/>
        <v>0</v>
      </c>
      <c r="DF336" s="78">
        <f t="shared" si="669"/>
        <v>0</v>
      </c>
      <c r="DG336" s="78">
        <f t="shared" si="669"/>
        <v>0</v>
      </c>
      <c r="DH336" s="78">
        <f t="shared" si="669"/>
        <v>0</v>
      </c>
      <c r="DI336" s="78">
        <f t="shared" si="669"/>
        <v>0</v>
      </c>
      <c r="DJ336" s="78">
        <f t="shared" si="669"/>
        <v>0</v>
      </c>
      <c r="DK336" s="78">
        <f t="shared" ref="DK336:EI336" si="670">DK228</f>
        <v>0</v>
      </c>
      <c r="DL336" s="78">
        <f t="shared" si="670"/>
        <v>0</v>
      </c>
      <c r="DM336" s="78">
        <f t="shared" si="670"/>
        <v>0</v>
      </c>
      <c r="DN336" s="78">
        <f t="shared" si="670"/>
        <v>0</v>
      </c>
      <c r="DO336" s="78">
        <f t="shared" si="670"/>
        <v>0</v>
      </c>
      <c r="DP336" s="78">
        <f t="shared" si="670"/>
        <v>0</v>
      </c>
      <c r="DQ336" s="78">
        <f t="shared" si="670"/>
        <v>0</v>
      </c>
      <c r="DR336" s="78">
        <f t="shared" si="670"/>
        <v>0</v>
      </c>
      <c r="DS336" s="78">
        <f t="shared" si="670"/>
        <v>0</v>
      </c>
      <c r="DT336" s="78">
        <f t="shared" si="670"/>
        <v>0</v>
      </c>
      <c r="DU336" s="78">
        <f t="shared" si="670"/>
        <v>0</v>
      </c>
      <c r="DV336" s="78">
        <f t="shared" si="670"/>
        <v>0</v>
      </c>
      <c r="DW336" s="78">
        <f t="shared" si="670"/>
        <v>0</v>
      </c>
      <c r="DX336" s="78">
        <f t="shared" si="670"/>
        <v>0</v>
      </c>
      <c r="DY336" s="78">
        <f t="shared" si="670"/>
        <v>0</v>
      </c>
      <c r="DZ336" s="78">
        <f t="shared" si="670"/>
        <v>0</v>
      </c>
      <c r="EA336" s="78">
        <f t="shared" si="670"/>
        <v>0</v>
      </c>
      <c r="EB336" s="78">
        <f t="shared" si="670"/>
        <v>0</v>
      </c>
      <c r="EC336" s="78">
        <f t="shared" si="670"/>
        <v>0</v>
      </c>
      <c r="ED336" s="78">
        <f t="shared" si="670"/>
        <v>0</v>
      </c>
      <c r="EE336" s="78">
        <f t="shared" si="670"/>
        <v>0</v>
      </c>
      <c r="EF336" s="78">
        <f t="shared" si="670"/>
        <v>0</v>
      </c>
      <c r="EG336" s="78">
        <f t="shared" si="670"/>
        <v>0</v>
      </c>
      <c r="EH336" s="78">
        <f t="shared" si="670"/>
        <v>0</v>
      </c>
      <c r="EI336" s="78">
        <f t="shared" si="670"/>
        <v>0</v>
      </c>
    </row>
    <row r="337" spans="2:139" hidden="1" outlineLevel="1">
      <c r="B337" s="79" t="s">
        <v>182</v>
      </c>
      <c r="C337" s="211"/>
      <c r="D337" s="78">
        <f t="shared" ref="D337:N337" si="671">IF(IrrCalculationType=170,D235,SUMIF($S$6:$EI$6,D$5,$S337:$EI337))</f>
        <v>0</v>
      </c>
      <c r="E337" s="78">
        <f t="shared" si="671"/>
        <v>0</v>
      </c>
      <c r="F337" s="78">
        <f t="shared" si="671"/>
        <v>0</v>
      </c>
      <c r="G337" s="78">
        <f t="shared" si="671"/>
        <v>0</v>
      </c>
      <c r="H337" s="78">
        <f t="shared" si="671"/>
        <v>0</v>
      </c>
      <c r="I337" s="78">
        <f t="shared" si="671"/>
        <v>0</v>
      </c>
      <c r="J337" s="78">
        <f t="shared" si="671"/>
        <v>0</v>
      </c>
      <c r="K337" s="78">
        <f t="shared" si="671"/>
        <v>0</v>
      </c>
      <c r="L337" s="78">
        <f t="shared" si="671"/>
        <v>0</v>
      </c>
      <c r="M337" s="78">
        <f t="shared" si="671"/>
        <v>0</v>
      </c>
      <c r="N337" s="78">
        <f t="shared" si="671"/>
        <v>0</v>
      </c>
      <c r="O337" s="145">
        <f t="shared" si="661"/>
        <v>0</v>
      </c>
      <c r="R337" s="879"/>
      <c r="S337" s="78">
        <f t="shared" ref="S337:AX337" si="672">S235</f>
        <v>0</v>
      </c>
      <c r="T337" s="78">
        <f t="shared" si="672"/>
        <v>0</v>
      </c>
      <c r="U337" s="78">
        <f t="shared" si="672"/>
        <v>0</v>
      </c>
      <c r="V337" s="78">
        <f t="shared" si="672"/>
        <v>0</v>
      </c>
      <c r="W337" s="78">
        <f t="shared" si="672"/>
        <v>0</v>
      </c>
      <c r="X337" s="78">
        <f t="shared" si="672"/>
        <v>0</v>
      </c>
      <c r="Y337" s="78">
        <f t="shared" si="672"/>
        <v>0</v>
      </c>
      <c r="Z337" s="78">
        <f t="shared" si="672"/>
        <v>0</v>
      </c>
      <c r="AA337" s="78">
        <f t="shared" si="672"/>
        <v>0</v>
      </c>
      <c r="AB337" s="78">
        <f t="shared" si="672"/>
        <v>0</v>
      </c>
      <c r="AC337" s="78">
        <f t="shared" si="672"/>
        <v>0</v>
      </c>
      <c r="AD337" s="78">
        <f t="shared" si="672"/>
        <v>0</v>
      </c>
      <c r="AE337" s="78">
        <f t="shared" si="672"/>
        <v>0</v>
      </c>
      <c r="AF337" s="78">
        <f t="shared" si="672"/>
        <v>0</v>
      </c>
      <c r="AG337" s="78">
        <f t="shared" si="672"/>
        <v>0</v>
      </c>
      <c r="AH337" s="78">
        <f t="shared" si="672"/>
        <v>0</v>
      </c>
      <c r="AI337" s="78">
        <f t="shared" si="672"/>
        <v>0</v>
      </c>
      <c r="AJ337" s="78">
        <f t="shared" si="672"/>
        <v>0</v>
      </c>
      <c r="AK337" s="78">
        <f t="shared" si="672"/>
        <v>0</v>
      </c>
      <c r="AL337" s="78">
        <f t="shared" si="672"/>
        <v>0</v>
      </c>
      <c r="AM337" s="78">
        <f t="shared" si="672"/>
        <v>0</v>
      </c>
      <c r="AN337" s="78">
        <f t="shared" si="672"/>
        <v>0</v>
      </c>
      <c r="AO337" s="78">
        <f t="shared" si="672"/>
        <v>0</v>
      </c>
      <c r="AP337" s="78">
        <f t="shared" si="672"/>
        <v>0</v>
      </c>
      <c r="AQ337" s="78">
        <f t="shared" si="672"/>
        <v>0</v>
      </c>
      <c r="AR337" s="78">
        <f t="shared" si="672"/>
        <v>0</v>
      </c>
      <c r="AS337" s="78">
        <f t="shared" si="672"/>
        <v>0</v>
      </c>
      <c r="AT337" s="78">
        <f t="shared" si="672"/>
        <v>0</v>
      </c>
      <c r="AU337" s="78">
        <f t="shared" si="672"/>
        <v>0</v>
      </c>
      <c r="AV337" s="78">
        <f t="shared" si="672"/>
        <v>0</v>
      </c>
      <c r="AW337" s="78">
        <f t="shared" si="672"/>
        <v>0</v>
      </c>
      <c r="AX337" s="78">
        <f t="shared" si="672"/>
        <v>0</v>
      </c>
      <c r="AY337" s="78">
        <f t="shared" ref="AY337:CD337" si="673">AY235</f>
        <v>0</v>
      </c>
      <c r="AZ337" s="78">
        <f t="shared" si="673"/>
        <v>0</v>
      </c>
      <c r="BA337" s="78">
        <f t="shared" si="673"/>
        <v>0</v>
      </c>
      <c r="BB337" s="78">
        <f t="shared" si="673"/>
        <v>0</v>
      </c>
      <c r="BC337" s="78">
        <f t="shared" si="673"/>
        <v>0</v>
      </c>
      <c r="BD337" s="78">
        <f t="shared" si="673"/>
        <v>0</v>
      </c>
      <c r="BE337" s="78">
        <f t="shared" si="673"/>
        <v>0</v>
      </c>
      <c r="BF337" s="78">
        <f t="shared" si="673"/>
        <v>0</v>
      </c>
      <c r="BG337" s="78">
        <f t="shared" si="673"/>
        <v>0</v>
      </c>
      <c r="BH337" s="78">
        <f t="shared" si="673"/>
        <v>0</v>
      </c>
      <c r="BI337" s="78">
        <f t="shared" si="673"/>
        <v>0</v>
      </c>
      <c r="BJ337" s="78">
        <f t="shared" si="673"/>
        <v>0</v>
      </c>
      <c r="BK337" s="78">
        <f t="shared" si="673"/>
        <v>0</v>
      </c>
      <c r="BL337" s="78">
        <f t="shared" si="673"/>
        <v>0</v>
      </c>
      <c r="BM337" s="78">
        <f t="shared" si="673"/>
        <v>0</v>
      </c>
      <c r="BN337" s="78">
        <f t="shared" si="673"/>
        <v>0</v>
      </c>
      <c r="BO337" s="78">
        <f t="shared" si="673"/>
        <v>0</v>
      </c>
      <c r="BP337" s="78">
        <f t="shared" si="673"/>
        <v>0</v>
      </c>
      <c r="BQ337" s="78">
        <f t="shared" si="673"/>
        <v>0</v>
      </c>
      <c r="BR337" s="78">
        <f t="shared" si="673"/>
        <v>0</v>
      </c>
      <c r="BS337" s="78">
        <f t="shared" si="673"/>
        <v>0</v>
      </c>
      <c r="BT337" s="78">
        <f t="shared" si="673"/>
        <v>0</v>
      </c>
      <c r="BU337" s="78">
        <f t="shared" si="673"/>
        <v>0</v>
      </c>
      <c r="BV337" s="78">
        <f t="shared" si="673"/>
        <v>0</v>
      </c>
      <c r="BW337" s="78">
        <f t="shared" si="673"/>
        <v>0</v>
      </c>
      <c r="BX337" s="78">
        <f t="shared" si="673"/>
        <v>0</v>
      </c>
      <c r="BY337" s="78">
        <f t="shared" si="673"/>
        <v>0</v>
      </c>
      <c r="BZ337" s="78">
        <f t="shared" si="673"/>
        <v>0</v>
      </c>
      <c r="CA337" s="78">
        <f t="shared" si="673"/>
        <v>0</v>
      </c>
      <c r="CB337" s="78">
        <f t="shared" si="673"/>
        <v>0</v>
      </c>
      <c r="CC337" s="78">
        <f t="shared" si="673"/>
        <v>0</v>
      </c>
      <c r="CD337" s="78">
        <f t="shared" si="673"/>
        <v>0</v>
      </c>
      <c r="CE337" s="78">
        <f t="shared" ref="CE337:DJ337" si="674">CE235</f>
        <v>0</v>
      </c>
      <c r="CF337" s="78">
        <f t="shared" si="674"/>
        <v>0</v>
      </c>
      <c r="CG337" s="78">
        <f t="shared" si="674"/>
        <v>0</v>
      </c>
      <c r="CH337" s="78">
        <f t="shared" si="674"/>
        <v>0</v>
      </c>
      <c r="CI337" s="78">
        <f t="shared" si="674"/>
        <v>0</v>
      </c>
      <c r="CJ337" s="78">
        <f t="shared" si="674"/>
        <v>0</v>
      </c>
      <c r="CK337" s="78">
        <f t="shared" si="674"/>
        <v>0</v>
      </c>
      <c r="CL337" s="78">
        <f t="shared" si="674"/>
        <v>0</v>
      </c>
      <c r="CM337" s="78">
        <f t="shared" si="674"/>
        <v>0</v>
      </c>
      <c r="CN337" s="78">
        <f t="shared" si="674"/>
        <v>0</v>
      </c>
      <c r="CO337" s="78">
        <f t="shared" si="674"/>
        <v>0</v>
      </c>
      <c r="CP337" s="78">
        <f t="shared" si="674"/>
        <v>0</v>
      </c>
      <c r="CQ337" s="78">
        <f t="shared" si="674"/>
        <v>0</v>
      </c>
      <c r="CR337" s="78">
        <f t="shared" si="674"/>
        <v>0</v>
      </c>
      <c r="CS337" s="78">
        <f t="shared" si="674"/>
        <v>0</v>
      </c>
      <c r="CT337" s="78">
        <f t="shared" si="674"/>
        <v>0</v>
      </c>
      <c r="CU337" s="78">
        <f t="shared" si="674"/>
        <v>0</v>
      </c>
      <c r="CV337" s="78">
        <f t="shared" si="674"/>
        <v>0</v>
      </c>
      <c r="CW337" s="78">
        <f t="shared" si="674"/>
        <v>0</v>
      </c>
      <c r="CX337" s="78">
        <f t="shared" si="674"/>
        <v>0</v>
      </c>
      <c r="CY337" s="78">
        <f t="shared" si="674"/>
        <v>0</v>
      </c>
      <c r="CZ337" s="78">
        <f t="shared" si="674"/>
        <v>0</v>
      </c>
      <c r="DA337" s="78">
        <f t="shared" si="674"/>
        <v>0</v>
      </c>
      <c r="DB337" s="78">
        <f t="shared" si="674"/>
        <v>0</v>
      </c>
      <c r="DC337" s="78">
        <f t="shared" si="674"/>
        <v>0</v>
      </c>
      <c r="DD337" s="78">
        <f t="shared" si="674"/>
        <v>0</v>
      </c>
      <c r="DE337" s="78">
        <f t="shared" si="674"/>
        <v>0</v>
      </c>
      <c r="DF337" s="78">
        <f t="shared" si="674"/>
        <v>0</v>
      </c>
      <c r="DG337" s="78">
        <f t="shared" si="674"/>
        <v>0</v>
      </c>
      <c r="DH337" s="78">
        <f t="shared" si="674"/>
        <v>0</v>
      </c>
      <c r="DI337" s="78">
        <f t="shared" si="674"/>
        <v>0</v>
      </c>
      <c r="DJ337" s="78">
        <f t="shared" si="674"/>
        <v>0</v>
      </c>
      <c r="DK337" s="78">
        <f t="shared" ref="DK337:EI337" si="675">DK235</f>
        <v>0</v>
      </c>
      <c r="DL337" s="78">
        <f t="shared" si="675"/>
        <v>0</v>
      </c>
      <c r="DM337" s="78">
        <f t="shared" si="675"/>
        <v>0</v>
      </c>
      <c r="DN337" s="78">
        <f t="shared" si="675"/>
        <v>0</v>
      </c>
      <c r="DO337" s="78">
        <f t="shared" si="675"/>
        <v>0</v>
      </c>
      <c r="DP337" s="78">
        <f t="shared" si="675"/>
        <v>0</v>
      </c>
      <c r="DQ337" s="78">
        <f t="shared" si="675"/>
        <v>0</v>
      </c>
      <c r="DR337" s="78">
        <f t="shared" si="675"/>
        <v>0</v>
      </c>
      <c r="DS337" s="78">
        <f t="shared" si="675"/>
        <v>0</v>
      </c>
      <c r="DT337" s="78">
        <f t="shared" si="675"/>
        <v>0</v>
      </c>
      <c r="DU337" s="78">
        <f t="shared" si="675"/>
        <v>0</v>
      </c>
      <c r="DV337" s="78">
        <f t="shared" si="675"/>
        <v>0</v>
      </c>
      <c r="DW337" s="78">
        <f t="shared" si="675"/>
        <v>0</v>
      </c>
      <c r="DX337" s="78">
        <f t="shared" si="675"/>
        <v>0</v>
      </c>
      <c r="DY337" s="78">
        <f t="shared" si="675"/>
        <v>0</v>
      </c>
      <c r="DZ337" s="78">
        <f t="shared" si="675"/>
        <v>0</v>
      </c>
      <c r="EA337" s="78">
        <f t="shared" si="675"/>
        <v>0</v>
      </c>
      <c r="EB337" s="78">
        <f t="shared" si="675"/>
        <v>0</v>
      </c>
      <c r="EC337" s="78">
        <f t="shared" si="675"/>
        <v>0</v>
      </c>
      <c r="ED337" s="78">
        <f t="shared" si="675"/>
        <v>0</v>
      </c>
      <c r="EE337" s="78">
        <f t="shared" si="675"/>
        <v>0</v>
      </c>
      <c r="EF337" s="78">
        <f t="shared" si="675"/>
        <v>0</v>
      </c>
      <c r="EG337" s="78">
        <f t="shared" si="675"/>
        <v>0</v>
      </c>
      <c r="EH337" s="78">
        <f t="shared" si="675"/>
        <v>0</v>
      </c>
      <c r="EI337" s="78">
        <f t="shared" si="675"/>
        <v>0</v>
      </c>
    </row>
    <row r="338" spans="2:139" hidden="1" outlineLevel="1">
      <c r="B338" s="79" t="s">
        <v>454</v>
      </c>
      <c r="C338" s="211"/>
      <c r="D338" s="78">
        <f t="shared" ref="D338:N338" si="676">IF(IrrCalculationType=170,D242,SUMIF($S$6:$EI$6,D$5,$S338:$EI338))</f>
        <v>0</v>
      </c>
      <c r="E338" s="78">
        <f t="shared" si="676"/>
        <v>0</v>
      </c>
      <c r="F338" s="78">
        <f t="shared" si="676"/>
        <v>0</v>
      </c>
      <c r="G338" s="78">
        <f t="shared" si="676"/>
        <v>0</v>
      </c>
      <c r="H338" s="78">
        <f t="shared" si="676"/>
        <v>0</v>
      </c>
      <c r="I338" s="78">
        <f t="shared" si="676"/>
        <v>0</v>
      </c>
      <c r="J338" s="78">
        <f t="shared" si="676"/>
        <v>0</v>
      </c>
      <c r="K338" s="78">
        <f t="shared" si="676"/>
        <v>0</v>
      </c>
      <c r="L338" s="78">
        <f t="shared" si="676"/>
        <v>0</v>
      </c>
      <c r="M338" s="78">
        <f t="shared" si="676"/>
        <v>0</v>
      </c>
      <c r="N338" s="78">
        <f t="shared" si="676"/>
        <v>0</v>
      </c>
      <c r="O338" s="145">
        <f t="shared" si="661"/>
        <v>0</v>
      </c>
      <c r="R338" s="879"/>
      <c r="S338" s="78">
        <f t="shared" ref="S338:AX338" si="677">S242</f>
        <v>0</v>
      </c>
      <c r="T338" s="78">
        <f t="shared" si="677"/>
        <v>0</v>
      </c>
      <c r="U338" s="78">
        <f t="shared" si="677"/>
        <v>0</v>
      </c>
      <c r="V338" s="78">
        <f t="shared" si="677"/>
        <v>0</v>
      </c>
      <c r="W338" s="78">
        <f t="shared" si="677"/>
        <v>0</v>
      </c>
      <c r="X338" s="78">
        <f t="shared" si="677"/>
        <v>0</v>
      </c>
      <c r="Y338" s="78">
        <f t="shared" si="677"/>
        <v>0</v>
      </c>
      <c r="Z338" s="78">
        <f t="shared" si="677"/>
        <v>0</v>
      </c>
      <c r="AA338" s="78">
        <f t="shared" si="677"/>
        <v>0</v>
      </c>
      <c r="AB338" s="78">
        <f t="shared" si="677"/>
        <v>0</v>
      </c>
      <c r="AC338" s="78">
        <f t="shared" si="677"/>
        <v>0</v>
      </c>
      <c r="AD338" s="78">
        <f t="shared" si="677"/>
        <v>0</v>
      </c>
      <c r="AE338" s="78">
        <f t="shared" si="677"/>
        <v>0</v>
      </c>
      <c r="AF338" s="78">
        <f t="shared" si="677"/>
        <v>0</v>
      </c>
      <c r="AG338" s="78">
        <f t="shared" si="677"/>
        <v>0</v>
      </c>
      <c r="AH338" s="78">
        <f t="shared" si="677"/>
        <v>0</v>
      </c>
      <c r="AI338" s="78">
        <f t="shared" si="677"/>
        <v>0</v>
      </c>
      <c r="AJ338" s="78">
        <f t="shared" si="677"/>
        <v>0</v>
      </c>
      <c r="AK338" s="78">
        <f t="shared" si="677"/>
        <v>0</v>
      </c>
      <c r="AL338" s="78">
        <f t="shared" si="677"/>
        <v>0</v>
      </c>
      <c r="AM338" s="78">
        <f t="shared" si="677"/>
        <v>0</v>
      </c>
      <c r="AN338" s="78">
        <f t="shared" si="677"/>
        <v>0</v>
      </c>
      <c r="AO338" s="78">
        <f t="shared" si="677"/>
        <v>0</v>
      </c>
      <c r="AP338" s="78">
        <f t="shared" si="677"/>
        <v>0</v>
      </c>
      <c r="AQ338" s="78">
        <f t="shared" si="677"/>
        <v>0</v>
      </c>
      <c r="AR338" s="78">
        <f t="shared" si="677"/>
        <v>0</v>
      </c>
      <c r="AS338" s="78">
        <f t="shared" si="677"/>
        <v>0</v>
      </c>
      <c r="AT338" s="78">
        <f t="shared" si="677"/>
        <v>0</v>
      </c>
      <c r="AU338" s="78">
        <f t="shared" si="677"/>
        <v>0</v>
      </c>
      <c r="AV338" s="78">
        <f t="shared" si="677"/>
        <v>0</v>
      </c>
      <c r="AW338" s="78">
        <f t="shared" si="677"/>
        <v>0</v>
      </c>
      <c r="AX338" s="78">
        <f t="shared" si="677"/>
        <v>0</v>
      </c>
      <c r="AY338" s="78">
        <f t="shared" ref="AY338:CD338" si="678">AY242</f>
        <v>0</v>
      </c>
      <c r="AZ338" s="78">
        <f t="shared" si="678"/>
        <v>0</v>
      </c>
      <c r="BA338" s="78">
        <f t="shared" si="678"/>
        <v>0</v>
      </c>
      <c r="BB338" s="78">
        <f t="shared" si="678"/>
        <v>0</v>
      </c>
      <c r="BC338" s="78">
        <f t="shared" si="678"/>
        <v>0</v>
      </c>
      <c r="BD338" s="78">
        <f t="shared" si="678"/>
        <v>0</v>
      </c>
      <c r="BE338" s="78">
        <f t="shared" si="678"/>
        <v>0</v>
      </c>
      <c r="BF338" s="78">
        <f t="shared" si="678"/>
        <v>0</v>
      </c>
      <c r="BG338" s="78">
        <f t="shared" si="678"/>
        <v>0</v>
      </c>
      <c r="BH338" s="78">
        <f t="shared" si="678"/>
        <v>0</v>
      </c>
      <c r="BI338" s="78">
        <f t="shared" si="678"/>
        <v>0</v>
      </c>
      <c r="BJ338" s="78">
        <f t="shared" si="678"/>
        <v>0</v>
      </c>
      <c r="BK338" s="78">
        <f t="shared" si="678"/>
        <v>0</v>
      </c>
      <c r="BL338" s="78">
        <f t="shared" si="678"/>
        <v>0</v>
      </c>
      <c r="BM338" s="78">
        <f t="shared" si="678"/>
        <v>0</v>
      </c>
      <c r="BN338" s="78">
        <f t="shared" si="678"/>
        <v>0</v>
      </c>
      <c r="BO338" s="78">
        <f t="shared" si="678"/>
        <v>0</v>
      </c>
      <c r="BP338" s="78">
        <f t="shared" si="678"/>
        <v>0</v>
      </c>
      <c r="BQ338" s="78">
        <f t="shared" si="678"/>
        <v>0</v>
      </c>
      <c r="BR338" s="78">
        <f t="shared" si="678"/>
        <v>0</v>
      </c>
      <c r="BS338" s="78">
        <f t="shared" si="678"/>
        <v>0</v>
      </c>
      <c r="BT338" s="78">
        <f t="shared" si="678"/>
        <v>0</v>
      </c>
      <c r="BU338" s="78">
        <f t="shared" si="678"/>
        <v>0</v>
      </c>
      <c r="BV338" s="78">
        <f t="shared" si="678"/>
        <v>0</v>
      </c>
      <c r="BW338" s="78">
        <f t="shared" si="678"/>
        <v>0</v>
      </c>
      <c r="BX338" s="78">
        <f t="shared" si="678"/>
        <v>0</v>
      </c>
      <c r="BY338" s="78">
        <f t="shared" si="678"/>
        <v>0</v>
      </c>
      <c r="BZ338" s="78">
        <f t="shared" si="678"/>
        <v>0</v>
      </c>
      <c r="CA338" s="78">
        <f t="shared" si="678"/>
        <v>0</v>
      </c>
      <c r="CB338" s="78">
        <f t="shared" si="678"/>
        <v>0</v>
      </c>
      <c r="CC338" s="78">
        <f t="shared" si="678"/>
        <v>0</v>
      </c>
      <c r="CD338" s="78">
        <f t="shared" si="678"/>
        <v>0</v>
      </c>
      <c r="CE338" s="78">
        <f t="shared" ref="CE338:DJ338" si="679">CE242</f>
        <v>0</v>
      </c>
      <c r="CF338" s="78">
        <f t="shared" si="679"/>
        <v>0</v>
      </c>
      <c r="CG338" s="78">
        <f t="shared" si="679"/>
        <v>0</v>
      </c>
      <c r="CH338" s="78">
        <f t="shared" si="679"/>
        <v>0</v>
      </c>
      <c r="CI338" s="78">
        <f t="shared" si="679"/>
        <v>0</v>
      </c>
      <c r="CJ338" s="78">
        <f t="shared" si="679"/>
        <v>0</v>
      </c>
      <c r="CK338" s="78">
        <f t="shared" si="679"/>
        <v>0</v>
      </c>
      <c r="CL338" s="78">
        <f t="shared" si="679"/>
        <v>0</v>
      </c>
      <c r="CM338" s="78">
        <f t="shared" si="679"/>
        <v>0</v>
      </c>
      <c r="CN338" s="78">
        <f t="shared" si="679"/>
        <v>0</v>
      </c>
      <c r="CO338" s="78">
        <f t="shared" si="679"/>
        <v>0</v>
      </c>
      <c r="CP338" s="78">
        <f t="shared" si="679"/>
        <v>0</v>
      </c>
      <c r="CQ338" s="78">
        <f t="shared" si="679"/>
        <v>0</v>
      </c>
      <c r="CR338" s="78">
        <f t="shared" si="679"/>
        <v>0</v>
      </c>
      <c r="CS338" s="78">
        <f t="shared" si="679"/>
        <v>0</v>
      </c>
      <c r="CT338" s="78">
        <f t="shared" si="679"/>
        <v>0</v>
      </c>
      <c r="CU338" s="78">
        <f t="shared" si="679"/>
        <v>0</v>
      </c>
      <c r="CV338" s="78">
        <f t="shared" si="679"/>
        <v>0</v>
      </c>
      <c r="CW338" s="78">
        <f t="shared" si="679"/>
        <v>0</v>
      </c>
      <c r="CX338" s="78">
        <f t="shared" si="679"/>
        <v>0</v>
      </c>
      <c r="CY338" s="78">
        <f t="shared" si="679"/>
        <v>0</v>
      </c>
      <c r="CZ338" s="78">
        <f t="shared" si="679"/>
        <v>0</v>
      </c>
      <c r="DA338" s="78">
        <f t="shared" si="679"/>
        <v>0</v>
      </c>
      <c r="DB338" s="78">
        <f t="shared" si="679"/>
        <v>0</v>
      </c>
      <c r="DC338" s="78">
        <f t="shared" si="679"/>
        <v>0</v>
      </c>
      <c r="DD338" s="78">
        <f t="shared" si="679"/>
        <v>0</v>
      </c>
      <c r="DE338" s="78">
        <f t="shared" si="679"/>
        <v>0</v>
      </c>
      <c r="DF338" s="78">
        <f t="shared" si="679"/>
        <v>0</v>
      </c>
      <c r="DG338" s="78">
        <f t="shared" si="679"/>
        <v>0</v>
      </c>
      <c r="DH338" s="78">
        <f t="shared" si="679"/>
        <v>0</v>
      </c>
      <c r="DI338" s="78">
        <f t="shared" si="679"/>
        <v>0</v>
      </c>
      <c r="DJ338" s="78">
        <f t="shared" si="679"/>
        <v>0</v>
      </c>
      <c r="DK338" s="78">
        <f t="shared" ref="DK338:EI338" si="680">DK242</f>
        <v>0</v>
      </c>
      <c r="DL338" s="78">
        <f t="shared" si="680"/>
        <v>0</v>
      </c>
      <c r="DM338" s="78">
        <f t="shared" si="680"/>
        <v>0</v>
      </c>
      <c r="DN338" s="78">
        <f t="shared" si="680"/>
        <v>0</v>
      </c>
      <c r="DO338" s="78">
        <f t="shared" si="680"/>
        <v>0</v>
      </c>
      <c r="DP338" s="78">
        <f t="shared" si="680"/>
        <v>0</v>
      </c>
      <c r="DQ338" s="78">
        <f t="shared" si="680"/>
        <v>0</v>
      </c>
      <c r="DR338" s="78">
        <f t="shared" si="680"/>
        <v>0</v>
      </c>
      <c r="DS338" s="78">
        <f t="shared" si="680"/>
        <v>0</v>
      </c>
      <c r="DT338" s="78">
        <f t="shared" si="680"/>
        <v>0</v>
      </c>
      <c r="DU338" s="78">
        <f t="shared" si="680"/>
        <v>0</v>
      </c>
      <c r="DV338" s="78">
        <f t="shared" si="680"/>
        <v>0</v>
      </c>
      <c r="DW338" s="78">
        <f t="shared" si="680"/>
        <v>0</v>
      </c>
      <c r="DX338" s="78">
        <f t="shared" si="680"/>
        <v>0</v>
      </c>
      <c r="DY338" s="78">
        <f t="shared" si="680"/>
        <v>0</v>
      </c>
      <c r="DZ338" s="78">
        <f t="shared" si="680"/>
        <v>0</v>
      </c>
      <c r="EA338" s="78">
        <f t="shared" si="680"/>
        <v>0</v>
      </c>
      <c r="EB338" s="78">
        <f t="shared" si="680"/>
        <v>0</v>
      </c>
      <c r="EC338" s="78">
        <f t="shared" si="680"/>
        <v>0</v>
      </c>
      <c r="ED338" s="78">
        <f t="shared" si="680"/>
        <v>0</v>
      </c>
      <c r="EE338" s="78">
        <f t="shared" si="680"/>
        <v>0</v>
      </c>
      <c r="EF338" s="78">
        <f t="shared" si="680"/>
        <v>0</v>
      </c>
      <c r="EG338" s="78">
        <f t="shared" si="680"/>
        <v>0</v>
      </c>
      <c r="EH338" s="78">
        <f t="shared" si="680"/>
        <v>0</v>
      </c>
      <c r="EI338" s="78">
        <f t="shared" si="680"/>
        <v>0</v>
      </c>
    </row>
    <row r="339" spans="2:139" collapsed="1">
      <c r="B339" s="41" t="s">
        <v>182</v>
      </c>
      <c r="C339" s="211"/>
      <c r="D339" s="78">
        <f t="shared" ref="D339:N339" si="681">IF(IrrCalculationType=170,-D92,SUMIF($S$6:$EI$6,D$5,$S339:$EI339))</f>
        <v>0</v>
      </c>
      <c r="E339" s="78">
        <f t="shared" si="681"/>
        <v>0</v>
      </c>
      <c r="F339" s="78">
        <f t="shared" si="681"/>
        <v>0</v>
      </c>
      <c r="G339" s="78">
        <f t="shared" si="681"/>
        <v>0</v>
      </c>
      <c r="H339" s="78">
        <f t="shared" si="681"/>
        <v>0</v>
      </c>
      <c r="I339" s="78">
        <f t="shared" si="681"/>
        <v>0</v>
      </c>
      <c r="J339" s="78">
        <f t="shared" si="681"/>
        <v>0</v>
      </c>
      <c r="K339" s="78">
        <f t="shared" si="681"/>
        <v>0</v>
      </c>
      <c r="L339" s="78">
        <f t="shared" si="681"/>
        <v>0</v>
      </c>
      <c r="M339" s="78">
        <f t="shared" si="681"/>
        <v>0</v>
      </c>
      <c r="N339" s="78">
        <f t="shared" si="681"/>
        <v>0</v>
      </c>
      <c r="O339" s="145">
        <f t="shared" si="661"/>
        <v>0</v>
      </c>
      <c r="R339" s="879"/>
      <c r="S339" s="78">
        <f t="shared" ref="S339:AX339" si="682">-S92</f>
        <v>0</v>
      </c>
      <c r="T339" s="78">
        <f t="shared" si="682"/>
        <v>0</v>
      </c>
      <c r="U339" s="78">
        <f t="shared" si="682"/>
        <v>0</v>
      </c>
      <c r="V339" s="78">
        <f t="shared" si="682"/>
        <v>0</v>
      </c>
      <c r="W339" s="78">
        <f t="shared" si="682"/>
        <v>0</v>
      </c>
      <c r="X339" s="78">
        <f t="shared" si="682"/>
        <v>0</v>
      </c>
      <c r="Y339" s="78">
        <f t="shared" si="682"/>
        <v>0</v>
      </c>
      <c r="Z339" s="78">
        <f t="shared" si="682"/>
        <v>0</v>
      </c>
      <c r="AA339" s="78">
        <f t="shared" si="682"/>
        <v>0</v>
      </c>
      <c r="AB339" s="78">
        <f t="shared" si="682"/>
        <v>0</v>
      </c>
      <c r="AC339" s="78">
        <f t="shared" si="682"/>
        <v>0</v>
      </c>
      <c r="AD339" s="78">
        <f t="shared" si="682"/>
        <v>0</v>
      </c>
      <c r="AE339" s="78">
        <f t="shared" si="682"/>
        <v>0</v>
      </c>
      <c r="AF339" s="78">
        <f t="shared" si="682"/>
        <v>0</v>
      </c>
      <c r="AG339" s="78">
        <f t="shared" si="682"/>
        <v>0</v>
      </c>
      <c r="AH339" s="78">
        <f t="shared" si="682"/>
        <v>0</v>
      </c>
      <c r="AI339" s="78">
        <f t="shared" si="682"/>
        <v>0</v>
      </c>
      <c r="AJ339" s="78">
        <f t="shared" si="682"/>
        <v>0</v>
      </c>
      <c r="AK339" s="78">
        <f t="shared" si="682"/>
        <v>0</v>
      </c>
      <c r="AL339" s="78">
        <f t="shared" si="682"/>
        <v>0</v>
      </c>
      <c r="AM339" s="78">
        <f t="shared" si="682"/>
        <v>0</v>
      </c>
      <c r="AN339" s="78">
        <f t="shared" si="682"/>
        <v>0</v>
      </c>
      <c r="AO339" s="78">
        <f t="shared" si="682"/>
        <v>0</v>
      </c>
      <c r="AP339" s="78">
        <f t="shared" si="682"/>
        <v>0</v>
      </c>
      <c r="AQ339" s="78">
        <f t="shared" si="682"/>
        <v>0</v>
      </c>
      <c r="AR339" s="78">
        <f t="shared" si="682"/>
        <v>0</v>
      </c>
      <c r="AS339" s="78">
        <f t="shared" si="682"/>
        <v>0</v>
      </c>
      <c r="AT339" s="78">
        <f t="shared" si="682"/>
        <v>0</v>
      </c>
      <c r="AU339" s="78">
        <f t="shared" si="682"/>
        <v>0</v>
      </c>
      <c r="AV339" s="78">
        <f t="shared" si="682"/>
        <v>0</v>
      </c>
      <c r="AW339" s="78">
        <f t="shared" si="682"/>
        <v>0</v>
      </c>
      <c r="AX339" s="78">
        <f t="shared" si="682"/>
        <v>0</v>
      </c>
      <c r="AY339" s="78">
        <f t="shared" ref="AY339:CD339" si="683">-AY92</f>
        <v>0</v>
      </c>
      <c r="AZ339" s="78">
        <f t="shared" si="683"/>
        <v>0</v>
      </c>
      <c r="BA339" s="78">
        <f t="shared" si="683"/>
        <v>0</v>
      </c>
      <c r="BB339" s="78">
        <f t="shared" si="683"/>
        <v>0</v>
      </c>
      <c r="BC339" s="78">
        <f t="shared" si="683"/>
        <v>0</v>
      </c>
      <c r="BD339" s="78">
        <f t="shared" si="683"/>
        <v>0</v>
      </c>
      <c r="BE339" s="78">
        <f t="shared" si="683"/>
        <v>0</v>
      </c>
      <c r="BF339" s="78">
        <f t="shared" si="683"/>
        <v>0</v>
      </c>
      <c r="BG339" s="78">
        <f t="shared" si="683"/>
        <v>0</v>
      </c>
      <c r="BH339" s="78">
        <f t="shared" si="683"/>
        <v>0</v>
      </c>
      <c r="BI339" s="78">
        <f t="shared" si="683"/>
        <v>0</v>
      </c>
      <c r="BJ339" s="78">
        <f t="shared" si="683"/>
        <v>0</v>
      </c>
      <c r="BK339" s="78">
        <f t="shared" si="683"/>
        <v>0</v>
      </c>
      <c r="BL339" s="78">
        <f t="shared" si="683"/>
        <v>0</v>
      </c>
      <c r="BM339" s="78">
        <f t="shared" si="683"/>
        <v>0</v>
      </c>
      <c r="BN339" s="78">
        <f t="shared" si="683"/>
        <v>0</v>
      </c>
      <c r="BO339" s="78">
        <f t="shared" si="683"/>
        <v>0</v>
      </c>
      <c r="BP339" s="78">
        <f t="shared" si="683"/>
        <v>0</v>
      </c>
      <c r="BQ339" s="78">
        <f t="shared" si="683"/>
        <v>0</v>
      </c>
      <c r="BR339" s="78">
        <f t="shared" si="683"/>
        <v>0</v>
      </c>
      <c r="BS339" s="78">
        <f t="shared" si="683"/>
        <v>0</v>
      </c>
      <c r="BT339" s="78">
        <f t="shared" si="683"/>
        <v>0</v>
      </c>
      <c r="BU339" s="78">
        <f t="shared" si="683"/>
        <v>0</v>
      </c>
      <c r="BV339" s="78">
        <f t="shared" si="683"/>
        <v>0</v>
      </c>
      <c r="BW339" s="78">
        <f t="shared" si="683"/>
        <v>0</v>
      </c>
      <c r="BX339" s="78">
        <f t="shared" si="683"/>
        <v>0</v>
      </c>
      <c r="BY339" s="78">
        <f t="shared" si="683"/>
        <v>0</v>
      </c>
      <c r="BZ339" s="78">
        <f t="shared" si="683"/>
        <v>0</v>
      </c>
      <c r="CA339" s="78">
        <f t="shared" si="683"/>
        <v>0</v>
      </c>
      <c r="CB339" s="78">
        <f t="shared" si="683"/>
        <v>0</v>
      </c>
      <c r="CC339" s="78">
        <f t="shared" si="683"/>
        <v>0</v>
      </c>
      <c r="CD339" s="78">
        <f t="shared" si="683"/>
        <v>0</v>
      </c>
      <c r="CE339" s="78">
        <f t="shared" ref="CE339:DJ339" si="684">-CE92</f>
        <v>0</v>
      </c>
      <c r="CF339" s="78">
        <f t="shared" si="684"/>
        <v>0</v>
      </c>
      <c r="CG339" s="78">
        <f t="shared" si="684"/>
        <v>0</v>
      </c>
      <c r="CH339" s="78">
        <f t="shared" si="684"/>
        <v>0</v>
      </c>
      <c r="CI339" s="78">
        <f t="shared" si="684"/>
        <v>0</v>
      </c>
      <c r="CJ339" s="78">
        <f t="shared" si="684"/>
        <v>0</v>
      </c>
      <c r="CK339" s="78">
        <f t="shared" si="684"/>
        <v>0</v>
      </c>
      <c r="CL339" s="78">
        <f t="shared" si="684"/>
        <v>0</v>
      </c>
      <c r="CM339" s="78">
        <f t="shared" si="684"/>
        <v>0</v>
      </c>
      <c r="CN339" s="78">
        <f t="shared" si="684"/>
        <v>0</v>
      </c>
      <c r="CO339" s="78">
        <f t="shared" si="684"/>
        <v>0</v>
      </c>
      <c r="CP339" s="78">
        <f t="shared" si="684"/>
        <v>0</v>
      </c>
      <c r="CQ339" s="78">
        <f t="shared" si="684"/>
        <v>0</v>
      </c>
      <c r="CR339" s="78">
        <f t="shared" si="684"/>
        <v>0</v>
      </c>
      <c r="CS339" s="78">
        <f t="shared" si="684"/>
        <v>0</v>
      </c>
      <c r="CT339" s="78">
        <f t="shared" si="684"/>
        <v>0</v>
      </c>
      <c r="CU339" s="78">
        <f t="shared" si="684"/>
        <v>0</v>
      </c>
      <c r="CV339" s="78">
        <f t="shared" si="684"/>
        <v>0</v>
      </c>
      <c r="CW339" s="78">
        <f t="shared" si="684"/>
        <v>0</v>
      </c>
      <c r="CX339" s="78">
        <f t="shared" si="684"/>
        <v>0</v>
      </c>
      <c r="CY339" s="78">
        <f t="shared" si="684"/>
        <v>0</v>
      </c>
      <c r="CZ339" s="78">
        <f t="shared" si="684"/>
        <v>0</v>
      </c>
      <c r="DA339" s="78">
        <f t="shared" si="684"/>
        <v>0</v>
      </c>
      <c r="DB339" s="78">
        <f t="shared" si="684"/>
        <v>0</v>
      </c>
      <c r="DC339" s="78">
        <f t="shared" si="684"/>
        <v>0</v>
      </c>
      <c r="DD339" s="78">
        <f t="shared" si="684"/>
        <v>0</v>
      </c>
      <c r="DE339" s="78">
        <f t="shared" si="684"/>
        <v>0</v>
      </c>
      <c r="DF339" s="78">
        <f t="shared" si="684"/>
        <v>0</v>
      </c>
      <c r="DG339" s="78">
        <f t="shared" si="684"/>
        <v>0</v>
      </c>
      <c r="DH339" s="78">
        <f t="shared" si="684"/>
        <v>0</v>
      </c>
      <c r="DI339" s="78">
        <f t="shared" si="684"/>
        <v>0</v>
      </c>
      <c r="DJ339" s="78">
        <f t="shared" si="684"/>
        <v>0</v>
      </c>
      <c r="DK339" s="78">
        <f t="shared" ref="DK339:EI339" si="685">-DK92</f>
        <v>0</v>
      </c>
      <c r="DL339" s="78">
        <f t="shared" si="685"/>
        <v>0</v>
      </c>
      <c r="DM339" s="78">
        <f t="shared" si="685"/>
        <v>0</v>
      </c>
      <c r="DN339" s="78">
        <f t="shared" si="685"/>
        <v>0</v>
      </c>
      <c r="DO339" s="78">
        <f t="shared" si="685"/>
        <v>0</v>
      </c>
      <c r="DP339" s="78">
        <f t="shared" si="685"/>
        <v>0</v>
      </c>
      <c r="DQ339" s="78">
        <f t="shared" si="685"/>
        <v>0</v>
      </c>
      <c r="DR339" s="78">
        <f t="shared" si="685"/>
        <v>0</v>
      </c>
      <c r="DS339" s="78">
        <f t="shared" si="685"/>
        <v>0</v>
      </c>
      <c r="DT339" s="78">
        <f t="shared" si="685"/>
        <v>0</v>
      </c>
      <c r="DU339" s="78">
        <f t="shared" si="685"/>
        <v>0</v>
      </c>
      <c r="DV339" s="78">
        <f t="shared" si="685"/>
        <v>0</v>
      </c>
      <c r="DW339" s="78">
        <f t="shared" si="685"/>
        <v>0</v>
      </c>
      <c r="DX339" s="78">
        <f t="shared" si="685"/>
        <v>0</v>
      </c>
      <c r="DY339" s="78">
        <f t="shared" si="685"/>
        <v>0</v>
      </c>
      <c r="DZ339" s="78">
        <f t="shared" si="685"/>
        <v>0</v>
      </c>
      <c r="EA339" s="78">
        <f t="shared" si="685"/>
        <v>0</v>
      </c>
      <c r="EB339" s="78">
        <f t="shared" si="685"/>
        <v>0</v>
      </c>
      <c r="EC339" s="78">
        <f t="shared" si="685"/>
        <v>0</v>
      </c>
      <c r="ED339" s="78">
        <f t="shared" si="685"/>
        <v>0</v>
      </c>
      <c r="EE339" s="78">
        <f t="shared" si="685"/>
        <v>0</v>
      </c>
      <c r="EF339" s="78">
        <f t="shared" si="685"/>
        <v>0</v>
      </c>
      <c r="EG339" s="78">
        <f t="shared" si="685"/>
        <v>0</v>
      </c>
      <c r="EH339" s="78">
        <f t="shared" si="685"/>
        <v>0</v>
      </c>
      <c r="EI339" s="78">
        <f t="shared" si="685"/>
        <v>0</v>
      </c>
    </row>
    <row r="340" spans="2:139">
      <c r="B340" s="880" t="s">
        <v>637</v>
      </c>
      <c r="C340" s="211"/>
      <c r="D340" s="78">
        <f t="shared" ref="D340:N340" si="686">IF(IrrCalculationType=170,D375,SUMIF($S$6:$EI$6,D$5,$S340:$EI340))</f>
        <v>0</v>
      </c>
      <c r="E340" s="78">
        <f t="shared" si="686"/>
        <v>0</v>
      </c>
      <c r="F340" s="78">
        <f t="shared" si="686"/>
        <v>0</v>
      </c>
      <c r="G340" s="78">
        <f t="shared" si="686"/>
        <v>0</v>
      </c>
      <c r="H340" s="78">
        <f t="shared" si="686"/>
        <v>0</v>
      </c>
      <c r="I340" s="78">
        <f t="shared" si="686"/>
        <v>0</v>
      </c>
      <c r="J340" s="78">
        <f t="shared" si="686"/>
        <v>0</v>
      </c>
      <c r="K340" s="78">
        <f t="shared" si="686"/>
        <v>0</v>
      </c>
      <c r="L340" s="78">
        <f t="shared" si="686"/>
        <v>0</v>
      </c>
      <c r="M340" s="78">
        <f t="shared" si="686"/>
        <v>0</v>
      </c>
      <c r="N340" s="78">
        <f t="shared" si="686"/>
        <v>0</v>
      </c>
      <c r="O340" s="145">
        <f t="shared" si="661"/>
        <v>0</v>
      </c>
      <c r="R340" s="879"/>
      <c r="S340" s="78">
        <f t="shared" ref="S340:AX340" si="687">S375</f>
        <v>0</v>
      </c>
      <c r="T340" s="78">
        <f t="shared" si="687"/>
        <v>0</v>
      </c>
      <c r="U340" s="78">
        <f t="shared" si="687"/>
        <v>0</v>
      </c>
      <c r="V340" s="78">
        <f t="shared" si="687"/>
        <v>0</v>
      </c>
      <c r="W340" s="78">
        <f t="shared" si="687"/>
        <v>0</v>
      </c>
      <c r="X340" s="78">
        <f t="shared" si="687"/>
        <v>0</v>
      </c>
      <c r="Y340" s="78">
        <f t="shared" si="687"/>
        <v>0</v>
      </c>
      <c r="Z340" s="78">
        <f t="shared" si="687"/>
        <v>0</v>
      </c>
      <c r="AA340" s="78">
        <f t="shared" si="687"/>
        <v>0</v>
      </c>
      <c r="AB340" s="78">
        <f t="shared" si="687"/>
        <v>0</v>
      </c>
      <c r="AC340" s="78">
        <f t="shared" si="687"/>
        <v>0</v>
      </c>
      <c r="AD340" s="78">
        <f t="shared" si="687"/>
        <v>0</v>
      </c>
      <c r="AE340" s="78">
        <f t="shared" si="687"/>
        <v>0</v>
      </c>
      <c r="AF340" s="78">
        <f t="shared" si="687"/>
        <v>0</v>
      </c>
      <c r="AG340" s="78">
        <f t="shared" si="687"/>
        <v>0</v>
      </c>
      <c r="AH340" s="78">
        <f t="shared" si="687"/>
        <v>0</v>
      </c>
      <c r="AI340" s="78">
        <f t="shared" si="687"/>
        <v>0</v>
      </c>
      <c r="AJ340" s="78">
        <f t="shared" si="687"/>
        <v>0</v>
      </c>
      <c r="AK340" s="78">
        <f t="shared" si="687"/>
        <v>0</v>
      </c>
      <c r="AL340" s="78">
        <f t="shared" si="687"/>
        <v>0</v>
      </c>
      <c r="AM340" s="78">
        <f t="shared" si="687"/>
        <v>0</v>
      </c>
      <c r="AN340" s="78">
        <f t="shared" si="687"/>
        <v>0</v>
      </c>
      <c r="AO340" s="78">
        <f t="shared" si="687"/>
        <v>0</v>
      </c>
      <c r="AP340" s="78">
        <f t="shared" si="687"/>
        <v>0</v>
      </c>
      <c r="AQ340" s="78">
        <f t="shared" si="687"/>
        <v>0</v>
      </c>
      <c r="AR340" s="78">
        <f t="shared" si="687"/>
        <v>0</v>
      </c>
      <c r="AS340" s="78">
        <f t="shared" si="687"/>
        <v>0</v>
      </c>
      <c r="AT340" s="78">
        <f t="shared" si="687"/>
        <v>0</v>
      </c>
      <c r="AU340" s="78">
        <f t="shared" si="687"/>
        <v>0</v>
      </c>
      <c r="AV340" s="78">
        <f t="shared" si="687"/>
        <v>0</v>
      </c>
      <c r="AW340" s="78">
        <f t="shared" si="687"/>
        <v>0</v>
      </c>
      <c r="AX340" s="78">
        <f t="shared" si="687"/>
        <v>0</v>
      </c>
      <c r="AY340" s="78">
        <f t="shared" ref="AY340:CD340" si="688">AY375</f>
        <v>0</v>
      </c>
      <c r="AZ340" s="78">
        <f t="shared" si="688"/>
        <v>0</v>
      </c>
      <c r="BA340" s="78">
        <f t="shared" si="688"/>
        <v>0</v>
      </c>
      <c r="BB340" s="78">
        <f t="shared" si="688"/>
        <v>0</v>
      </c>
      <c r="BC340" s="78">
        <f t="shared" si="688"/>
        <v>0</v>
      </c>
      <c r="BD340" s="78">
        <f t="shared" si="688"/>
        <v>0</v>
      </c>
      <c r="BE340" s="78">
        <f t="shared" si="688"/>
        <v>0</v>
      </c>
      <c r="BF340" s="78">
        <f t="shared" si="688"/>
        <v>0</v>
      </c>
      <c r="BG340" s="78">
        <f t="shared" si="688"/>
        <v>0</v>
      </c>
      <c r="BH340" s="78">
        <f t="shared" si="688"/>
        <v>0</v>
      </c>
      <c r="BI340" s="78">
        <f t="shared" si="688"/>
        <v>0</v>
      </c>
      <c r="BJ340" s="78">
        <f t="shared" si="688"/>
        <v>0</v>
      </c>
      <c r="BK340" s="78">
        <f t="shared" si="688"/>
        <v>0</v>
      </c>
      <c r="BL340" s="78">
        <f t="shared" si="688"/>
        <v>0</v>
      </c>
      <c r="BM340" s="78">
        <f t="shared" si="688"/>
        <v>0</v>
      </c>
      <c r="BN340" s="78">
        <f t="shared" si="688"/>
        <v>0</v>
      </c>
      <c r="BO340" s="78">
        <f t="shared" si="688"/>
        <v>0</v>
      </c>
      <c r="BP340" s="78">
        <f t="shared" si="688"/>
        <v>0</v>
      </c>
      <c r="BQ340" s="78">
        <f t="shared" si="688"/>
        <v>0</v>
      </c>
      <c r="BR340" s="78">
        <f t="shared" si="688"/>
        <v>0</v>
      </c>
      <c r="BS340" s="78">
        <f t="shared" si="688"/>
        <v>0</v>
      </c>
      <c r="BT340" s="78">
        <f t="shared" si="688"/>
        <v>0</v>
      </c>
      <c r="BU340" s="78">
        <f t="shared" si="688"/>
        <v>0</v>
      </c>
      <c r="BV340" s="78">
        <f t="shared" si="688"/>
        <v>0</v>
      </c>
      <c r="BW340" s="78">
        <f t="shared" si="688"/>
        <v>0</v>
      </c>
      <c r="BX340" s="78">
        <f t="shared" si="688"/>
        <v>0</v>
      </c>
      <c r="BY340" s="78">
        <f t="shared" si="688"/>
        <v>0</v>
      </c>
      <c r="BZ340" s="78">
        <f t="shared" si="688"/>
        <v>0</v>
      </c>
      <c r="CA340" s="78">
        <f t="shared" si="688"/>
        <v>0</v>
      </c>
      <c r="CB340" s="78">
        <f t="shared" si="688"/>
        <v>0</v>
      </c>
      <c r="CC340" s="78">
        <f t="shared" si="688"/>
        <v>0</v>
      </c>
      <c r="CD340" s="78">
        <f t="shared" si="688"/>
        <v>0</v>
      </c>
      <c r="CE340" s="78">
        <f t="shared" ref="CE340:DJ340" si="689">CE375</f>
        <v>0</v>
      </c>
      <c r="CF340" s="78">
        <f t="shared" si="689"/>
        <v>0</v>
      </c>
      <c r="CG340" s="78">
        <f t="shared" si="689"/>
        <v>0</v>
      </c>
      <c r="CH340" s="78">
        <f t="shared" si="689"/>
        <v>0</v>
      </c>
      <c r="CI340" s="78">
        <f t="shared" si="689"/>
        <v>0</v>
      </c>
      <c r="CJ340" s="78">
        <f t="shared" si="689"/>
        <v>0</v>
      </c>
      <c r="CK340" s="78">
        <f t="shared" si="689"/>
        <v>0</v>
      </c>
      <c r="CL340" s="78">
        <f t="shared" si="689"/>
        <v>0</v>
      </c>
      <c r="CM340" s="78">
        <f t="shared" si="689"/>
        <v>0</v>
      </c>
      <c r="CN340" s="78">
        <f t="shared" si="689"/>
        <v>0</v>
      </c>
      <c r="CO340" s="78">
        <f t="shared" si="689"/>
        <v>0</v>
      </c>
      <c r="CP340" s="78">
        <f t="shared" si="689"/>
        <v>0</v>
      </c>
      <c r="CQ340" s="78">
        <f t="shared" si="689"/>
        <v>0</v>
      </c>
      <c r="CR340" s="78">
        <f t="shared" si="689"/>
        <v>0</v>
      </c>
      <c r="CS340" s="78">
        <f t="shared" si="689"/>
        <v>0</v>
      </c>
      <c r="CT340" s="78">
        <f t="shared" si="689"/>
        <v>0</v>
      </c>
      <c r="CU340" s="78">
        <f t="shared" si="689"/>
        <v>0</v>
      </c>
      <c r="CV340" s="78">
        <f t="shared" si="689"/>
        <v>0</v>
      </c>
      <c r="CW340" s="78">
        <f t="shared" si="689"/>
        <v>0</v>
      </c>
      <c r="CX340" s="78">
        <f t="shared" si="689"/>
        <v>0</v>
      </c>
      <c r="CY340" s="78">
        <f t="shared" si="689"/>
        <v>0</v>
      </c>
      <c r="CZ340" s="78">
        <f t="shared" si="689"/>
        <v>0</v>
      </c>
      <c r="DA340" s="78">
        <f t="shared" si="689"/>
        <v>0</v>
      </c>
      <c r="DB340" s="78">
        <f t="shared" si="689"/>
        <v>0</v>
      </c>
      <c r="DC340" s="78">
        <f t="shared" si="689"/>
        <v>0</v>
      </c>
      <c r="DD340" s="78">
        <f t="shared" si="689"/>
        <v>0</v>
      </c>
      <c r="DE340" s="78">
        <f t="shared" si="689"/>
        <v>0</v>
      </c>
      <c r="DF340" s="78">
        <f t="shared" si="689"/>
        <v>0</v>
      </c>
      <c r="DG340" s="78">
        <f t="shared" si="689"/>
        <v>0</v>
      </c>
      <c r="DH340" s="78">
        <f t="shared" si="689"/>
        <v>0</v>
      </c>
      <c r="DI340" s="78">
        <f t="shared" si="689"/>
        <v>0</v>
      </c>
      <c r="DJ340" s="78">
        <f t="shared" si="689"/>
        <v>0</v>
      </c>
      <c r="DK340" s="78">
        <f t="shared" ref="DK340:EI340" si="690">DK375</f>
        <v>0</v>
      </c>
      <c r="DL340" s="78">
        <f t="shared" si="690"/>
        <v>0</v>
      </c>
      <c r="DM340" s="78">
        <f t="shared" si="690"/>
        <v>0</v>
      </c>
      <c r="DN340" s="78">
        <f t="shared" si="690"/>
        <v>0</v>
      </c>
      <c r="DO340" s="78">
        <f t="shared" si="690"/>
        <v>0</v>
      </c>
      <c r="DP340" s="78">
        <f t="shared" si="690"/>
        <v>0</v>
      </c>
      <c r="DQ340" s="78">
        <f t="shared" si="690"/>
        <v>0</v>
      </c>
      <c r="DR340" s="78">
        <f t="shared" si="690"/>
        <v>0</v>
      </c>
      <c r="DS340" s="78">
        <f t="shared" si="690"/>
        <v>0</v>
      </c>
      <c r="DT340" s="78">
        <f t="shared" si="690"/>
        <v>0</v>
      </c>
      <c r="DU340" s="78">
        <f t="shared" si="690"/>
        <v>0</v>
      </c>
      <c r="DV340" s="78">
        <f t="shared" si="690"/>
        <v>0</v>
      </c>
      <c r="DW340" s="78">
        <f t="shared" si="690"/>
        <v>0</v>
      </c>
      <c r="DX340" s="78">
        <f t="shared" si="690"/>
        <v>0</v>
      </c>
      <c r="DY340" s="78">
        <f t="shared" si="690"/>
        <v>0</v>
      </c>
      <c r="DZ340" s="78">
        <f t="shared" si="690"/>
        <v>0</v>
      </c>
      <c r="EA340" s="78">
        <f t="shared" si="690"/>
        <v>0</v>
      </c>
      <c r="EB340" s="78">
        <f t="shared" si="690"/>
        <v>0</v>
      </c>
      <c r="EC340" s="78">
        <f t="shared" si="690"/>
        <v>0</v>
      </c>
      <c r="ED340" s="78">
        <f t="shared" si="690"/>
        <v>0</v>
      </c>
      <c r="EE340" s="78">
        <f t="shared" si="690"/>
        <v>0</v>
      </c>
      <c r="EF340" s="78">
        <f t="shared" si="690"/>
        <v>0</v>
      </c>
      <c r="EG340" s="78">
        <f t="shared" si="690"/>
        <v>0</v>
      </c>
      <c r="EH340" s="78">
        <f t="shared" si="690"/>
        <v>0</v>
      </c>
      <c r="EI340" s="78">
        <f t="shared" si="690"/>
        <v>0</v>
      </c>
    </row>
    <row r="341" spans="2:139">
      <c r="B341" s="198" t="s">
        <v>638</v>
      </c>
      <c r="C341" s="211"/>
      <c r="D341" s="78"/>
      <c r="E341" s="78"/>
      <c r="F341" s="78"/>
      <c r="G341" s="78"/>
      <c r="H341" s="78"/>
      <c r="I341" s="78"/>
      <c r="J341" s="78"/>
      <c r="K341" s="78"/>
      <c r="L341" s="78"/>
      <c r="M341" s="78"/>
      <c r="N341" s="78"/>
      <c r="O341" s="145"/>
      <c r="R341" s="201"/>
      <c r="S341" s="78"/>
      <c r="T341" s="78"/>
      <c r="U341" s="78"/>
      <c r="V341" s="78"/>
      <c r="W341" s="78"/>
      <c r="X341" s="78"/>
      <c r="Y341" s="78"/>
      <c r="Z341" s="78"/>
      <c r="AA341" s="78"/>
      <c r="AB341" s="78"/>
      <c r="AC341" s="78"/>
      <c r="AD341" s="78"/>
      <c r="AE341" s="78"/>
      <c r="AF341" s="78"/>
      <c r="AG341" s="78"/>
      <c r="AH341" s="78"/>
      <c r="AI341" s="78"/>
      <c r="AJ341" s="78"/>
      <c r="AK341" s="78"/>
      <c r="AL341" s="78"/>
      <c r="AM341" s="78"/>
      <c r="AN341" s="78"/>
      <c r="AO341" s="78"/>
      <c r="AP341" s="78"/>
      <c r="AQ341" s="78"/>
      <c r="AR341" s="78"/>
      <c r="AS341" s="78"/>
      <c r="AT341" s="78"/>
      <c r="AU341" s="78"/>
      <c r="AV341" s="78"/>
      <c r="AW341" s="78"/>
      <c r="AX341" s="78"/>
      <c r="AY341" s="78"/>
      <c r="AZ341" s="78"/>
      <c r="BA341" s="78"/>
      <c r="BB341" s="78"/>
      <c r="BC341" s="78"/>
      <c r="BD341" s="78"/>
      <c r="BE341" s="78"/>
      <c r="BF341" s="78"/>
      <c r="BG341" s="78"/>
      <c r="BH341" s="78"/>
      <c r="BI341" s="78"/>
      <c r="BJ341" s="78"/>
      <c r="BK341" s="78"/>
      <c r="BL341" s="78"/>
      <c r="BM341" s="78"/>
      <c r="BN341" s="78"/>
      <c r="BO341" s="78"/>
      <c r="BP341" s="78"/>
      <c r="BQ341" s="78"/>
      <c r="BR341" s="78"/>
      <c r="BS341" s="78"/>
      <c r="BT341" s="78"/>
      <c r="BU341" s="78"/>
      <c r="BV341" s="78"/>
      <c r="BW341" s="78"/>
      <c r="BX341" s="78"/>
      <c r="BY341" s="78"/>
      <c r="BZ341" s="78"/>
      <c r="CA341" s="78"/>
      <c r="CB341" s="78"/>
      <c r="CC341" s="78"/>
      <c r="CD341" s="78"/>
      <c r="CE341" s="78"/>
      <c r="CF341" s="78"/>
      <c r="CG341" s="78"/>
      <c r="CH341" s="78"/>
      <c r="CI341" s="78"/>
      <c r="CJ341" s="78"/>
      <c r="CK341" s="78"/>
      <c r="CL341" s="78"/>
      <c r="CM341" s="78"/>
      <c r="CN341" s="78"/>
      <c r="CO341" s="78"/>
      <c r="CP341" s="78"/>
      <c r="CQ341" s="78"/>
      <c r="CR341" s="78"/>
      <c r="CS341" s="78"/>
      <c r="CT341" s="78"/>
      <c r="CU341" s="78"/>
      <c r="CV341" s="78"/>
      <c r="CW341" s="78"/>
      <c r="CX341" s="78"/>
      <c r="CY341" s="78"/>
      <c r="CZ341" s="78"/>
      <c r="DA341" s="78"/>
      <c r="DB341" s="78"/>
      <c r="DC341" s="78"/>
      <c r="DD341" s="78"/>
      <c r="DE341" s="78"/>
      <c r="DF341" s="78"/>
      <c r="DG341" s="78"/>
      <c r="DH341" s="78"/>
      <c r="DI341" s="78"/>
      <c r="DJ341" s="78"/>
      <c r="DK341" s="78"/>
      <c r="DL341" s="78"/>
      <c r="DM341" s="78"/>
      <c r="DN341" s="78"/>
      <c r="DO341" s="78"/>
      <c r="DP341" s="78"/>
      <c r="DQ341" s="78"/>
      <c r="DR341" s="78"/>
      <c r="DS341" s="78"/>
      <c r="DT341" s="78"/>
      <c r="DU341" s="78"/>
      <c r="DV341" s="78"/>
      <c r="DW341" s="78"/>
      <c r="DX341" s="78"/>
      <c r="DY341" s="78"/>
      <c r="DZ341" s="78"/>
      <c r="EA341" s="78"/>
      <c r="EB341" s="78"/>
      <c r="EC341" s="78"/>
      <c r="ED341" s="78"/>
      <c r="EE341" s="78"/>
      <c r="EF341" s="78"/>
      <c r="EG341" s="78"/>
      <c r="EH341" s="78"/>
      <c r="EI341" s="78"/>
    </row>
    <row r="342" spans="2:139">
      <c r="B342" s="41" t="s">
        <v>639</v>
      </c>
      <c r="C342" s="211"/>
      <c r="D342" s="203">
        <f t="shared" ref="D342:N342" si="691">IF(IrrCalculationType=170,MAX(-SUM(D133,D138,D140,D156,D161,D163,D179,D184,D186),),SUMIF($S$6:$EI$6,D$5,$S342:$EI342))</f>
        <v>0</v>
      </c>
      <c r="E342" s="203">
        <f t="shared" si="691"/>
        <v>0</v>
      </c>
      <c r="F342" s="203">
        <f t="shared" si="691"/>
        <v>0</v>
      </c>
      <c r="G342" s="203">
        <f t="shared" si="691"/>
        <v>0</v>
      </c>
      <c r="H342" s="203">
        <f t="shared" si="691"/>
        <v>0</v>
      </c>
      <c r="I342" s="203">
        <f t="shared" si="691"/>
        <v>0</v>
      </c>
      <c r="J342" s="203">
        <f t="shared" si="691"/>
        <v>0</v>
      </c>
      <c r="K342" s="203">
        <f t="shared" si="691"/>
        <v>0</v>
      </c>
      <c r="L342" s="203">
        <f t="shared" si="691"/>
        <v>0</v>
      </c>
      <c r="M342" s="203">
        <f t="shared" si="691"/>
        <v>0</v>
      </c>
      <c r="N342" s="203">
        <f t="shared" si="691"/>
        <v>0</v>
      </c>
      <c r="O342" s="145">
        <f t="shared" ref="O342:O358" si="692">SUM(D342:N342)</f>
        <v>0</v>
      </c>
      <c r="R342" s="879"/>
      <c r="S342" s="203">
        <f t="shared" ref="S342:AX342" si="693">MAX(-SUM(S133,S138,S140,S156,S161,S163,S179,S184,S186),)</f>
        <v>0</v>
      </c>
      <c r="T342" s="203">
        <f t="shared" si="693"/>
        <v>0</v>
      </c>
      <c r="U342" s="203">
        <f t="shared" si="693"/>
        <v>0</v>
      </c>
      <c r="V342" s="203">
        <f t="shared" si="693"/>
        <v>0</v>
      </c>
      <c r="W342" s="203">
        <f t="shared" si="693"/>
        <v>0</v>
      </c>
      <c r="X342" s="203">
        <f t="shared" si="693"/>
        <v>0</v>
      </c>
      <c r="Y342" s="203">
        <f t="shared" si="693"/>
        <v>0</v>
      </c>
      <c r="Z342" s="203">
        <f t="shared" si="693"/>
        <v>0</v>
      </c>
      <c r="AA342" s="203">
        <f t="shared" si="693"/>
        <v>0</v>
      </c>
      <c r="AB342" s="203">
        <f t="shared" si="693"/>
        <v>0</v>
      </c>
      <c r="AC342" s="203">
        <f t="shared" si="693"/>
        <v>0</v>
      </c>
      <c r="AD342" s="203">
        <f t="shared" si="693"/>
        <v>0</v>
      </c>
      <c r="AE342" s="203">
        <f t="shared" si="693"/>
        <v>0</v>
      </c>
      <c r="AF342" s="203">
        <f t="shared" si="693"/>
        <v>0</v>
      </c>
      <c r="AG342" s="203">
        <f t="shared" si="693"/>
        <v>0</v>
      </c>
      <c r="AH342" s="203">
        <f t="shared" si="693"/>
        <v>0</v>
      </c>
      <c r="AI342" s="203">
        <f t="shared" si="693"/>
        <v>0</v>
      </c>
      <c r="AJ342" s="203">
        <f t="shared" si="693"/>
        <v>0</v>
      </c>
      <c r="AK342" s="203">
        <f t="shared" si="693"/>
        <v>0</v>
      </c>
      <c r="AL342" s="203">
        <f t="shared" si="693"/>
        <v>0</v>
      </c>
      <c r="AM342" s="203">
        <f t="shared" si="693"/>
        <v>0</v>
      </c>
      <c r="AN342" s="203">
        <f t="shared" si="693"/>
        <v>0</v>
      </c>
      <c r="AO342" s="203">
        <f t="shared" si="693"/>
        <v>0</v>
      </c>
      <c r="AP342" s="203">
        <f t="shared" si="693"/>
        <v>0</v>
      </c>
      <c r="AQ342" s="203">
        <f t="shared" si="693"/>
        <v>0</v>
      </c>
      <c r="AR342" s="203">
        <f t="shared" si="693"/>
        <v>0</v>
      </c>
      <c r="AS342" s="203">
        <f t="shared" si="693"/>
        <v>0</v>
      </c>
      <c r="AT342" s="203">
        <f t="shared" si="693"/>
        <v>0</v>
      </c>
      <c r="AU342" s="203">
        <f t="shared" si="693"/>
        <v>0</v>
      </c>
      <c r="AV342" s="203">
        <f t="shared" si="693"/>
        <v>0</v>
      </c>
      <c r="AW342" s="203">
        <f t="shared" si="693"/>
        <v>0</v>
      </c>
      <c r="AX342" s="203">
        <f t="shared" si="693"/>
        <v>0</v>
      </c>
      <c r="AY342" s="203">
        <f t="shared" ref="AY342:CD342" si="694">MAX(-SUM(AY133,AY138,AY140,AY156,AY161,AY163,AY179,AY184,AY186),)</f>
        <v>0</v>
      </c>
      <c r="AZ342" s="203">
        <f t="shared" si="694"/>
        <v>0</v>
      </c>
      <c r="BA342" s="203">
        <f t="shared" si="694"/>
        <v>0</v>
      </c>
      <c r="BB342" s="203">
        <f t="shared" si="694"/>
        <v>0</v>
      </c>
      <c r="BC342" s="203">
        <f t="shared" si="694"/>
        <v>0</v>
      </c>
      <c r="BD342" s="203">
        <f t="shared" si="694"/>
        <v>0</v>
      </c>
      <c r="BE342" s="203">
        <f t="shared" si="694"/>
        <v>0</v>
      </c>
      <c r="BF342" s="203">
        <f t="shared" si="694"/>
        <v>0</v>
      </c>
      <c r="BG342" s="203">
        <f t="shared" si="694"/>
        <v>0</v>
      </c>
      <c r="BH342" s="203">
        <f t="shared" si="694"/>
        <v>0</v>
      </c>
      <c r="BI342" s="203">
        <f t="shared" si="694"/>
        <v>0</v>
      </c>
      <c r="BJ342" s="203">
        <f t="shared" si="694"/>
        <v>0</v>
      </c>
      <c r="BK342" s="203">
        <f t="shared" si="694"/>
        <v>0</v>
      </c>
      <c r="BL342" s="203">
        <f t="shared" si="694"/>
        <v>0</v>
      </c>
      <c r="BM342" s="203">
        <f t="shared" si="694"/>
        <v>0</v>
      </c>
      <c r="BN342" s="203">
        <f t="shared" si="694"/>
        <v>0</v>
      </c>
      <c r="BO342" s="203">
        <f t="shared" si="694"/>
        <v>0</v>
      </c>
      <c r="BP342" s="203">
        <f t="shared" si="694"/>
        <v>0</v>
      </c>
      <c r="BQ342" s="203">
        <f t="shared" si="694"/>
        <v>0</v>
      </c>
      <c r="BR342" s="203">
        <f t="shared" si="694"/>
        <v>0</v>
      </c>
      <c r="BS342" s="203">
        <f t="shared" si="694"/>
        <v>0</v>
      </c>
      <c r="BT342" s="203">
        <f t="shared" si="694"/>
        <v>0</v>
      </c>
      <c r="BU342" s="203">
        <f t="shared" si="694"/>
        <v>0</v>
      </c>
      <c r="BV342" s="203">
        <f t="shared" si="694"/>
        <v>0</v>
      </c>
      <c r="BW342" s="203">
        <f t="shared" si="694"/>
        <v>0</v>
      </c>
      <c r="BX342" s="203">
        <f t="shared" si="694"/>
        <v>0</v>
      </c>
      <c r="BY342" s="203">
        <f t="shared" si="694"/>
        <v>0</v>
      </c>
      <c r="BZ342" s="203">
        <f t="shared" si="694"/>
        <v>0</v>
      </c>
      <c r="CA342" s="203">
        <f t="shared" si="694"/>
        <v>0</v>
      </c>
      <c r="CB342" s="203">
        <f t="shared" si="694"/>
        <v>0</v>
      </c>
      <c r="CC342" s="203">
        <f t="shared" si="694"/>
        <v>0</v>
      </c>
      <c r="CD342" s="203">
        <f t="shared" si="694"/>
        <v>0</v>
      </c>
      <c r="CE342" s="203">
        <f t="shared" ref="CE342:DJ342" si="695">MAX(-SUM(CE133,CE138,CE140,CE156,CE161,CE163,CE179,CE184,CE186),)</f>
        <v>0</v>
      </c>
      <c r="CF342" s="203">
        <f t="shared" si="695"/>
        <v>0</v>
      </c>
      <c r="CG342" s="203">
        <f t="shared" si="695"/>
        <v>0</v>
      </c>
      <c r="CH342" s="203">
        <f t="shared" si="695"/>
        <v>0</v>
      </c>
      <c r="CI342" s="203">
        <f t="shared" si="695"/>
        <v>0</v>
      </c>
      <c r="CJ342" s="203">
        <f t="shared" si="695"/>
        <v>0</v>
      </c>
      <c r="CK342" s="203">
        <f t="shared" si="695"/>
        <v>0</v>
      </c>
      <c r="CL342" s="203">
        <f t="shared" si="695"/>
        <v>0</v>
      </c>
      <c r="CM342" s="203">
        <f t="shared" si="695"/>
        <v>0</v>
      </c>
      <c r="CN342" s="203">
        <f t="shared" si="695"/>
        <v>0</v>
      </c>
      <c r="CO342" s="203">
        <f t="shared" si="695"/>
        <v>0</v>
      </c>
      <c r="CP342" s="203">
        <f t="shared" si="695"/>
        <v>0</v>
      </c>
      <c r="CQ342" s="203">
        <f t="shared" si="695"/>
        <v>0</v>
      </c>
      <c r="CR342" s="203">
        <f t="shared" si="695"/>
        <v>0</v>
      </c>
      <c r="CS342" s="203">
        <f t="shared" si="695"/>
        <v>0</v>
      </c>
      <c r="CT342" s="203">
        <f t="shared" si="695"/>
        <v>0</v>
      </c>
      <c r="CU342" s="203">
        <f t="shared" si="695"/>
        <v>0</v>
      </c>
      <c r="CV342" s="203">
        <f t="shared" si="695"/>
        <v>0</v>
      </c>
      <c r="CW342" s="203">
        <f t="shared" si="695"/>
        <v>0</v>
      </c>
      <c r="CX342" s="203">
        <f t="shared" si="695"/>
        <v>0</v>
      </c>
      <c r="CY342" s="203">
        <f t="shared" si="695"/>
        <v>0</v>
      </c>
      <c r="CZ342" s="203">
        <f t="shared" si="695"/>
        <v>0</v>
      </c>
      <c r="DA342" s="203">
        <f t="shared" si="695"/>
        <v>0</v>
      </c>
      <c r="DB342" s="203">
        <f t="shared" si="695"/>
        <v>0</v>
      </c>
      <c r="DC342" s="203">
        <f t="shared" si="695"/>
        <v>0</v>
      </c>
      <c r="DD342" s="203">
        <f t="shared" si="695"/>
        <v>0</v>
      </c>
      <c r="DE342" s="203">
        <f t="shared" si="695"/>
        <v>0</v>
      </c>
      <c r="DF342" s="203">
        <f t="shared" si="695"/>
        <v>0</v>
      </c>
      <c r="DG342" s="203">
        <f t="shared" si="695"/>
        <v>0</v>
      </c>
      <c r="DH342" s="203">
        <f t="shared" si="695"/>
        <v>0</v>
      </c>
      <c r="DI342" s="203">
        <f t="shared" si="695"/>
        <v>0</v>
      </c>
      <c r="DJ342" s="203">
        <f t="shared" si="695"/>
        <v>0</v>
      </c>
      <c r="DK342" s="203">
        <f t="shared" ref="DK342:EI342" si="696">MAX(-SUM(DK133,DK138,DK140,DK156,DK161,DK163,DK179,DK184,DK186),)</f>
        <v>0</v>
      </c>
      <c r="DL342" s="203">
        <f t="shared" si="696"/>
        <v>0</v>
      </c>
      <c r="DM342" s="203">
        <f t="shared" si="696"/>
        <v>0</v>
      </c>
      <c r="DN342" s="203">
        <f t="shared" si="696"/>
        <v>0</v>
      </c>
      <c r="DO342" s="203">
        <f t="shared" si="696"/>
        <v>0</v>
      </c>
      <c r="DP342" s="203">
        <f t="shared" si="696"/>
        <v>0</v>
      </c>
      <c r="DQ342" s="203">
        <f t="shared" si="696"/>
        <v>0</v>
      </c>
      <c r="DR342" s="203">
        <f t="shared" si="696"/>
        <v>0</v>
      </c>
      <c r="DS342" s="203">
        <f t="shared" si="696"/>
        <v>0</v>
      </c>
      <c r="DT342" s="203">
        <f t="shared" si="696"/>
        <v>0</v>
      </c>
      <c r="DU342" s="203">
        <f t="shared" si="696"/>
        <v>0</v>
      </c>
      <c r="DV342" s="203">
        <f t="shared" si="696"/>
        <v>0</v>
      </c>
      <c r="DW342" s="203">
        <f t="shared" si="696"/>
        <v>0</v>
      </c>
      <c r="DX342" s="203">
        <f t="shared" si="696"/>
        <v>0</v>
      </c>
      <c r="DY342" s="203">
        <f t="shared" si="696"/>
        <v>0</v>
      </c>
      <c r="DZ342" s="203">
        <f t="shared" si="696"/>
        <v>0</v>
      </c>
      <c r="EA342" s="203">
        <f t="shared" si="696"/>
        <v>0</v>
      </c>
      <c r="EB342" s="203">
        <f t="shared" si="696"/>
        <v>0</v>
      </c>
      <c r="EC342" s="203">
        <f t="shared" si="696"/>
        <v>0</v>
      </c>
      <c r="ED342" s="203">
        <f t="shared" si="696"/>
        <v>0</v>
      </c>
      <c r="EE342" s="203">
        <f t="shared" si="696"/>
        <v>0</v>
      </c>
      <c r="EF342" s="203">
        <f t="shared" si="696"/>
        <v>0</v>
      </c>
      <c r="EG342" s="203">
        <f t="shared" si="696"/>
        <v>0</v>
      </c>
      <c r="EH342" s="203">
        <f t="shared" si="696"/>
        <v>0</v>
      </c>
      <c r="EI342" s="203">
        <f t="shared" si="696"/>
        <v>0</v>
      </c>
    </row>
    <row r="343" spans="2:139">
      <c r="B343" s="880" t="s">
        <v>640</v>
      </c>
      <c r="C343" s="211"/>
      <c r="D343" s="78">
        <f t="shared" ref="D343:N343" si="697">IF(IrrCalculationType=170,D387,SUMIF($S$6:$EI$6,D$5,$S343:$EI343))</f>
        <v>0</v>
      </c>
      <c r="E343" s="78">
        <f t="shared" si="697"/>
        <v>0</v>
      </c>
      <c r="F343" s="78">
        <f t="shared" si="697"/>
        <v>0</v>
      </c>
      <c r="G343" s="78">
        <f t="shared" si="697"/>
        <v>0</v>
      </c>
      <c r="H343" s="78">
        <f t="shared" si="697"/>
        <v>0</v>
      </c>
      <c r="I343" s="78">
        <f t="shared" si="697"/>
        <v>0</v>
      </c>
      <c r="J343" s="78">
        <f t="shared" si="697"/>
        <v>0</v>
      </c>
      <c r="K343" s="78">
        <f t="shared" si="697"/>
        <v>0</v>
      </c>
      <c r="L343" s="78">
        <f t="shared" si="697"/>
        <v>0</v>
      </c>
      <c r="M343" s="78">
        <f t="shared" si="697"/>
        <v>0</v>
      </c>
      <c r="N343" s="78">
        <f t="shared" si="697"/>
        <v>0</v>
      </c>
      <c r="O343" s="145">
        <f t="shared" si="692"/>
        <v>0</v>
      </c>
      <c r="R343" s="879"/>
      <c r="S343" s="78">
        <f t="shared" ref="S343:AX343" si="698">S387</f>
        <v>0</v>
      </c>
      <c r="T343" s="78">
        <f t="shared" si="698"/>
        <v>0</v>
      </c>
      <c r="U343" s="78">
        <f t="shared" si="698"/>
        <v>0</v>
      </c>
      <c r="V343" s="78">
        <f t="shared" si="698"/>
        <v>0</v>
      </c>
      <c r="W343" s="78">
        <f t="shared" si="698"/>
        <v>0</v>
      </c>
      <c r="X343" s="78">
        <f t="shared" si="698"/>
        <v>0</v>
      </c>
      <c r="Y343" s="78">
        <f t="shared" si="698"/>
        <v>0</v>
      </c>
      <c r="Z343" s="78">
        <f t="shared" si="698"/>
        <v>0</v>
      </c>
      <c r="AA343" s="78">
        <f t="shared" si="698"/>
        <v>0</v>
      </c>
      <c r="AB343" s="78">
        <f t="shared" si="698"/>
        <v>0</v>
      </c>
      <c r="AC343" s="78">
        <f t="shared" si="698"/>
        <v>0</v>
      </c>
      <c r="AD343" s="78">
        <f t="shared" si="698"/>
        <v>0</v>
      </c>
      <c r="AE343" s="78">
        <f t="shared" si="698"/>
        <v>0</v>
      </c>
      <c r="AF343" s="78">
        <f t="shared" si="698"/>
        <v>0</v>
      </c>
      <c r="AG343" s="78">
        <f t="shared" si="698"/>
        <v>0</v>
      </c>
      <c r="AH343" s="78">
        <f t="shared" si="698"/>
        <v>0</v>
      </c>
      <c r="AI343" s="78">
        <f t="shared" si="698"/>
        <v>0</v>
      </c>
      <c r="AJ343" s="78">
        <f t="shared" si="698"/>
        <v>0</v>
      </c>
      <c r="AK343" s="78">
        <f t="shared" si="698"/>
        <v>0</v>
      </c>
      <c r="AL343" s="78">
        <f t="shared" si="698"/>
        <v>0</v>
      </c>
      <c r="AM343" s="78">
        <f t="shared" si="698"/>
        <v>0</v>
      </c>
      <c r="AN343" s="78">
        <f t="shared" si="698"/>
        <v>0</v>
      </c>
      <c r="AO343" s="78">
        <f t="shared" si="698"/>
        <v>0</v>
      </c>
      <c r="AP343" s="78">
        <f t="shared" si="698"/>
        <v>0</v>
      </c>
      <c r="AQ343" s="78">
        <f t="shared" si="698"/>
        <v>0</v>
      </c>
      <c r="AR343" s="78">
        <f t="shared" si="698"/>
        <v>0</v>
      </c>
      <c r="AS343" s="78">
        <f t="shared" si="698"/>
        <v>0</v>
      </c>
      <c r="AT343" s="78">
        <f t="shared" si="698"/>
        <v>0</v>
      </c>
      <c r="AU343" s="78">
        <f t="shared" si="698"/>
        <v>0</v>
      </c>
      <c r="AV343" s="78">
        <f t="shared" si="698"/>
        <v>0</v>
      </c>
      <c r="AW343" s="78">
        <f t="shared" si="698"/>
        <v>0</v>
      </c>
      <c r="AX343" s="78">
        <f t="shared" si="698"/>
        <v>0</v>
      </c>
      <c r="AY343" s="78">
        <f t="shared" ref="AY343:CD343" si="699">AY387</f>
        <v>0</v>
      </c>
      <c r="AZ343" s="78">
        <f t="shared" si="699"/>
        <v>0</v>
      </c>
      <c r="BA343" s="78">
        <f t="shared" si="699"/>
        <v>0</v>
      </c>
      <c r="BB343" s="78">
        <f t="shared" si="699"/>
        <v>0</v>
      </c>
      <c r="BC343" s="78">
        <f t="shared" si="699"/>
        <v>0</v>
      </c>
      <c r="BD343" s="78">
        <f t="shared" si="699"/>
        <v>0</v>
      </c>
      <c r="BE343" s="78">
        <f t="shared" si="699"/>
        <v>0</v>
      </c>
      <c r="BF343" s="78">
        <f t="shared" si="699"/>
        <v>0</v>
      </c>
      <c r="BG343" s="78">
        <f t="shared" si="699"/>
        <v>0</v>
      </c>
      <c r="BH343" s="78">
        <f t="shared" si="699"/>
        <v>0</v>
      </c>
      <c r="BI343" s="78">
        <f t="shared" si="699"/>
        <v>0</v>
      </c>
      <c r="BJ343" s="78">
        <f t="shared" si="699"/>
        <v>0</v>
      </c>
      <c r="BK343" s="78">
        <f t="shared" si="699"/>
        <v>0</v>
      </c>
      <c r="BL343" s="78">
        <f t="shared" si="699"/>
        <v>0</v>
      </c>
      <c r="BM343" s="78">
        <f t="shared" si="699"/>
        <v>0</v>
      </c>
      <c r="BN343" s="78">
        <f t="shared" si="699"/>
        <v>0</v>
      </c>
      <c r="BO343" s="78">
        <f t="shared" si="699"/>
        <v>0</v>
      </c>
      <c r="BP343" s="78">
        <f t="shared" si="699"/>
        <v>0</v>
      </c>
      <c r="BQ343" s="78">
        <f t="shared" si="699"/>
        <v>0</v>
      </c>
      <c r="BR343" s="78">
        <f t="shared" si="699"/>
        <v>0</v>
      </c>
      <c r="BS343" s="78">
        <f t="shared" si="699"/>
        <v>0</v>
      </c>
      <c r="BT343" s="78">
        <f t="shared" si="699"/>
        <v>0</v>
      </c>
      <c r="BU343" s="78">
        <f t="shared" si="699"/>
        <v>0</v>
      </c>
      <c r="BV343" s="78">
        <f t="shared" si="699"/>
        <v>0</v>
      </c>
      <c r="BW343" s="78">
        <f t="shared" si="699"/>
        <v>0</v>
      </c>
      <c r="BX343" s="78">
        <f t="shared" si="699"/>
        <v>0</v>
      </c>
      <c r="BY343" s="78">
        <f t="shared" si="699"/>
        <v>0</v>
      </c>
      <c r="BZ343" s="78">
        <f t="shared" si="699"/>
        <v>0</v>
      </c>
      <c r="CA343" s="78">
        <f t="shared" si="699"/>
        <v>0</v>
      </c>
      <c r="CB343" s="78">
        <f t="shared" si="699"/>
        <v>0</v>
      </c>
      <c r="CC343" s="78">
        <f t="shared" si="699"/>
        <v>0</v>
      </c>
      <c r="CD343" s="78">
        <f t="shared" si="699"/>
        <v>0</v>
      </c>
      <c r="CE343" s="78">
        <f t="shared" ref="CE343:DJ343" si="700">CE387</f>
        <v>0</v>
      </c>
      <c r="CF343" s="78">
        <f t="shared" si="700"/>
        <v>0</v>
      </c>
      <c r="CG343" s="78">
        <f t="shared" si="700"/>
        <v>0</v>
      </c>
      <c r="CH343" s="78">
        <f t="shared" si="700"/>
        <v>0</v>
      </c>
      <c r="CI343" s="78">
        <f t="shared" si="700"/>
        <v>0</v>
      </c>
      <c r="CJ343" s="78">
        <f t="shared" si="700"/>
        <v>0</v>
      </c>
      <c r="CK343" s="78">
        <f t="shared" si="700"/>
        <v>0</v>
      </c>
      <c r="CL343" s="78">
        <f t="shared" si="700"/>
        <v>0</v>
      </c>
      <c r="CM343" s="78">
        <f t="shared" si="700"/>
        <v>0</v>
      </c>
      <c r="CN343" s="78">
        <f t="shared" si="700"/>
        <v>0</v>
      </c>
      <c r="CO343" s="78">
        <f t="shared" si="700"/>
        <v>0</v>
      </c>
      <c r="CP343" s="78">
        <f t="shared" si="700"/>
        <v>0</v>
      </c>
      <c r="CQ343" s="78">
        <f t="shared" si="700"/>
        <v>0</v>
      </c>
      <c r="CR343" s="78">
        <f t="shared" si="700"/>
        <v>0</v>
      </c>
      <c r="CS343" s="78">
        <f t="shared" si="700"/>
        <v>0</v>
      </c>
      <c r="CT343" s="78">
        <f t="shared" si="700"/>
        <v>0</v>
      </c>
      <c r="CU343" s="78">
        <f t="shared" si="700"/>
        <v>0</v>
      </c>
      <c r="CV343" s="78">
        <f t="shared" si="700"/>
        <v>0</v>
      </c>
      <c r="CW343" s="78">
        <f t="shared" si="700"/>
        <v>0</v>
      </c>
      <c r="CX343" s="78">
        <f t="shared" si="700"/>
        <v>0</v>
      </c>
      <c r="CY343" s="78">
        <f t="shared" si="700"/>
        <v>0</v>
      </c>
      <c r="CZ343" s="78">
        <f t="shared" si="700"/>
        <v>0</v>
      </c>
      <c r="DA343" s="78">
        <f t="shared" si="700"/>
        <v>0</v>
      </c>
      <c r="DB343" s="78">
        <f t="shared" si="700"/>
        <v>0</v>
      </c>
      <c r="DC343" s="78">
        <f t="shared" si="700"/>
        <v>0</v>
      </c>
      <c r="DD343" s="78">
        <f t="shared" si="700"/>
        <v>0</v>
      </c>
      <c r="DE343" s="78">
        <f t="shared" si="700"/>
        <v>0</v>
      </c>
      <c r="DF343" s="78">
        <f t="shared" si="700"/>
        <v>0</v>
      </c>
      <c r="DG343" s="78">
        <f t="shared" si="700"/>
        <v>0</v>
      </c>
      <c r="DH343" s="78">
        <f t="shared" si="700"/>
        <v>0</v>
      </c>
      <c r="DI343" s="78">
        <f t="shared" si="700"/>
        <v>0</v>
      </c>
      <c r="DJ343" s="78">
        <f t="shared" si="700"/>
        <v>0</v>
      </c>
      <c r="DK343" s="78">
        <f t="shared" ref="DK343:EI343" si="701">DK387</f>
        <v>0</v>
      </c>
      <c r="DL343" s="78">
        <f t="shared" si="701"/>
        <v>0</v>
      </c>
      <c r="DM343" s="78">
        <f t="shared" si="701"/>
        <v>0</v>
      </c>
      <c r="DN343" s="78">
        <f t="shared" si="701"/>
        <v>0</v>
      </c>
      <c r="DO343" s="78">
        <f t="shared" si="701"/>
        <v>0</v>
      </c>
      <c r="DP343" s="78">
        <f t="shared" si="701"/>
        <v>0</v>
      </c>
      <c r="DQ343" s="78">
        <f t="shared" si="701"/>
        <v>0</v>
      </c>
      <c r="DR343" s="78">
        <f t="shared" si="701"/>
        <v>0</v>
      </c>
      <c r="DS343" s="78">
        <f t="shared" si="701"/>
        <v>0</v>
      </c>
      <c r="DT343" s="78">
        <f t="shared" si="701"/>
        <v>0</v>
      </c>
      <c r="DU343" s="78">
        <f t="shared" si="701"/>
        <v>0</v>
      </c>
      <c r="DV343" s="78">
        <f t="shared" si="701"/>
        <v>0</v>
      </c>
      <c r="DW343" s="78">
        <f t="shared" si="701"/>
        <v>0</v>
      </c>
      <c r="DX343" s="78">
        <f t="shared" si="701"/>
        <v>0</v>
      </c>
      <c r="DY343" s="78">
        <f t="shared" si="701"/>
        <v>0</v>
      </c>
      <c r="DZ343" s="78">
        <f t="shared" si="701"/>
        <v>0</v>
      </c>
      <c r="EA343" s="78">
        <f t="shared" si="701"/>
        <v>0</v>
      </c>
      <c r="EB343" s="78">
        <f t="shared" si="701"/>
        <v>0</v>
      </c>
      <c r="EC343" s="78">
        <f t="shared" si="701"/>
        <v>0</v>
      </c>
      <c r="ED343" s="78">
        <f t="shared" si="701"/>
        <v>0</v>
      </c>
      <c r="EE343" s="78">
        <f t="shared" si="701"/>
        <v>0</v>
      </c>
      <c r="EF343" s="78">
        <f t="shared" si="701"/>
        <v>0</v>
      </c>
      <c r="EG343" s="78">
        <f t="shared" si="701"/>
        <v>0</v>
      </c>
      <c r="EH343" s="78">
        <f t="shared" si="701"/>
        <v>0</v>
      </c>
      <c r="EI343" s="78">
        <f t="shared" si="701"/>
        <v>0</v>
      </c>
    </row>
    <row r="344" spans="2:139">
      <c r="B344" s="880" t="s">
        <v>641</v>
      </c>
      <c r="C344" s="211"/>
      <c r="D344" s="78">
        <f t="shared" ref="D344:N344" si="702">IF(IrrCalculationType=170,D392,SUMIF($S$6:$EI$6,D$5,$S344:$EI344))</f>
        <v>0</v>
      </c>
      <c r="E344" s="78">
        <f t="shared" si="702"/>
        <v>0</v>
      </c>
      <c r="F344" s="78">
        <f t="shared" si="702"/>
        <v>0</v>
      </c>
      <c r="G344" s="78">
        <f t="shared" si="702"/>
        <v>0</v>
      </c>
      <c r="H344" s="78">
        <f t="shared" si="702"/>
        <v>0</v>
      </c>
      <c r="I344" s="78">
        <f t="shared" si="702"/>
        <v>0</v>
      </c>
      <c r="J344" s="78">
        <f t="shared" si="702"/>
        <v>0</v>
      </c>
      <c r="K344" s="78">
        <f t="shared" si="702"/>
        <v>0</v>
      </c>
      <c r="L344" s="78">
        <f t="shared" si="702"/>
        <v>0</v>
      </c>
      <c r="M344" s="78">
        <f t="shared" si="702"/>
        <v>0</v>
      </c>
      <c r="N344" s="78">
        <f t="shared" si="702"/>
        <v>0</v>
      </c>
      <c r="O344" s="145">
        <f t="shared" si="692"/>
        <v>0</v>
      </c>
      <c r="R344" s="879"/>
      <c r="S344" s="78">
        <f t="shared" ref="S344:AX344" si="703">S392</f>
        <v>0</v>
      </c>
      <c r="T344" s="78">
        <f t="shared" si="703"/>
        <v>0</v>
      </c>
      <c r="U344" s="78">
        <f t="shared" si="703"/>
        <v>0</v>
      </c>
      <c r="V344" s="78">
        <f t="shared" si="703"/>
        <v>0</v>
      </c>
      <c r="W344" s="78">
        <f t="shared" si="703"/>
        <v>0</v>
      </c>
      <c r="X344" s="78">
        <f t="shared" si="703"/>
        <v>0</v>
      </c>
      <c r="Y344" s="78">
        <f t="shared" si="703"/>
        <v>0</v>
      </c>
      <c r="Z344" s="78">
        <f t="shared" si="703"/>
        <v>0</v>
      </c>
      <c r="AA344" s="78">
        <f t="shared" si="703"/>
        <v>0</v>
      </c>
      <c r="AB344" s="78">
        <f t="shared" si="703"/>
        <v>0</v>
      </c>
      <c r="AC344" s="78">
        <f t="shared" si="703"/>
        <v>0</v>
      </c>
      <c r="AD344" s="78">
        <f t="shared" si="703"/>
        <v>0</v>
      </c>
      <c r="AE344" s="78">
        <f t="shared" si="703"/>
        <v>0</v>
      </c>
      <c r="AF344" s="78">
        <f t="shared" si="703"/>
        <v>0</v>
      </c>
      <c r="AG344" s="78">
        <f t="shared" si="703"/>
        <v>0</v>
      </c>
      <c r="AH344" s="78">
        <f t="shared" si="703"/>
        <v>0</v>
      </c>
      <c r="AI344" s="78">
        <f t="shared" si="703"/>
        <v>0</v>
      </c>
      <c r="AJ344" s="78">
        <f t="shared" si="703"/>
        <v>0</v>
      </c>
      <c r="AK344" s="78">
        <f t="shared" si="703"/>
        <v>0</v>
      </c>
      <c r="AL344" s="78">
        <f t="shared" si="703"/>
        <v>0</v>
      </c>
      <c r="AM344" s="78">
        <f t="shared" si="703"/>
        <v>0</v>
      </c>
      <c r="AN344" s="78">
        <f t="shared" si="703"/>
        <v>0</v>
      </c>
      <c r="AO344" s="78">
        <f t="shared" si="703"/>
        <v>0</v>
      </c>
      <c r="AP344" s="78">
        <f t="shared" si="703"/>
        <v>0</v>
      </c>
      <c r="AQ344" s="78">
        <f t="shared" si="703"/>
        <v>0</v>
      </c>
      <c r="AR344" s="78">
        <f t="shared" si="703"/>
        <v>0</v>
      </c>
      <c r="AS344" s="78">
        <f t="shared" si="703"/>
        <v>0</v>
      </c>
      <c r="AT344" s="78">
        <f t="shared" si="703"/>
        <v>0</v>
      </c>
      <c r="AU344" s="78">
        <f t="shared" si="703"/>
        <v>0</v>
      </c>
      <c r="AV344" s="78">
        <f t="shared" si="703"/>
        <v>0</v>
      </c>
      <c r="AW344" s="78">
        <f t="shared" si="703"/>
        <v>0</v>
      </c>
      <c r="AX344" s="78">
        <f t="shared" si="703"/>
        <v>0</v>
      </c>
      <c r="AY344" s="78">
        <f t="shared" ref="AY344:CD344" si="704">AY392</f>
        <v>0</v>
      </c>
      <c r="AZ344" s="78">
        <f t="shared" si="704"/>
        <v>0</v>
      </c>
      <c r="BA344" s="78">
        <f t="shared" si="704"/>
        <v>0</v>
      </c>
      <c r="BB344" s="78">
        <f t="shared" si="704"/>
        <v>0</v>
      </c>
      <c r="BC344" s="78">
        <f t="shared" si="704"/>
        <v>0</v>
      </c>
      <c r="BD344" s="78">
        <f t="shared" si="704"/>
        <v>0</v>
      </c>
      <c r="BE344" s="78">
        <f t="shared" si="704"/>
        <v>0</v>
      </c>
      <c r="BF344" s="78">
        <f t="shared" si="704"/>
        <v>0</v>
      </c>
      <c r="BG344" s="78">
        <f t="shared" si="704"/>
        <v>0</v>
      </c>
      <c r="BH344" s="78">
        <f t="shared" si="704"/>
        <v>0</v>
      </c>
      <c r="BI344" s="78">
        <f t="shared" si="704"/>
        <v>0</v>
      </c>
      <c r="BJ344" s="78">
        <f t="shared" si="704"/>
        <v>0</v>
      </c>
      <c r="BK344" s="78">
        <f t="shared" si="704"/>
        <v>0</v>
      </c>
      <c r="BL344" s="78">
        <f t="shared" si="704"/>
        <v>0</v>
      </c>
      <c r="BM344" s="78">
        <f t="shared" si="704"/>
        <v>0</v>
      </c>
      <c r="BN344" s="78">
        <f t="shared" si="704"/>
        <v>0</v>
      </c>
      <c r="BO344" s="78">
        <f t="shared" si="704"/>
        <v>0</v>
      </c>
      <c r="BP344" s="78">
        <f t="shared" si="704"/>
        <v>0</v>
      </c>
      <c r="BQ344" s="78">
        <f t="shared" si="704"/>
        <v>0</v>
      </c>
      <c r="BR344" s="78">
        <f t="shared" si="704"/>
        <v>0</v>
      </c>
      <c r="BS344" s="78">
        <f t="shared" si="704"/>
        <v>0</v>
      </c>
      <c r="BT344" s="78">
        <f t="shared" si="704"/>
        <v>0</v>
      </c>
      <c r="BU344" s="78">
        <f t="shared" si="704"/>
        <v>0</v>
      </c>
      <c r="BV344" s="78">
        <f t="shared" si="704"/>
        <v>0</v>
      </c>
      <c r="BW344" s="78">
        <f t="shared" si="704"/>
        <v>0</v>
      </c>
      <c r="BX344" s="78">
        <f t="shared" si="704"/>
        <v>0</v>
      </c>
      <c r="BY344" s="78">
        <f t="shared" si="704"/>
        <v>0</v>
      </c>
      <c r="BZ344" s="78">
        <f t="shared" si="704"/>
        <v>0</v>
      </c>
      <c r="CA344" s="78">
        <f t="shared" si="704"/>
        <v>0</v>
      </c>
      <c r="CB344" s="78">
        <f t="shared" si="704"/>
        <v>0</v>
      </c>
      <c r="CC344" s="78">
        <f t="shared" si="704"/>
        <v>0</v>
      </c>
      <c r="CD344" s="78">
        <f t="shared" si="704"/>
        <v>0</v>
      </c>
      <c r="CE344" s="78">
        <f t="shared" ref="CE344:DJ344" si="705">CE392</f>
        <v>0</v>
      </c>
      <c r="CF344" s="78">
        <f t="shared" si="705"/>
        <v>0</v>
      </c>
      <c r="CG344" s="78">
        <f t="shared" si="705"/>
        <v>0</v>
      </c>
      <c r="CH344" s="78">
        <f t="shared" si="705"/>
        <v>0</v>
      </c>
      <c r="CI344" s="78">
        <f t="shared" si="705"/>
        <v>0</v>
      </c>
      <c r="CJ344" s="78">
        <f t="shared" si="705"/>
        <v>0</v>
      </c>
      <c r="CK344" s="78">
        <f t="shared" si="705"/>
        <v>0</v>
      </c>
      <c r="CL344" s="78">
        <f t="shared" si="705"/>
        <v>0</v>
      </c>
      <c r="CM344" s="78">
        <f t="shared" si="705"/>
        <v>0</v>
      </c>
      <c r="CN344" s="78">
        <f t="shared" si="705"/>
        <v>0</v>
      </c>
      <c r="CO344" s="78">
        <f t="shared" si="705"/>
        <v>0</v>
      </c>
      <c r="CP344" s="78">
        <f t="shared" si="705"/>
        <v>0</v>
      </c>
      <c r="CQ344" s="78">
        <f t="shared" si="705"/>
        <v>0</v>
      </c>
      <c r="CR344" s="78">
        <f t="shared" si="705"/>
        <v>0</v>
      </c>
      <c r="CS344" s="78">
        <f t="shared" si="705"/>
        <v>0</v>
      </c>
      <c r="CT344" s="78">
        <f t="shared" si="705"/>
        <v>0</v>
      </c>
      <c r="CU344" s="78">
        <f t="shared" si="705"/>
        <v>0</v>
      </c>
      <c r="CV344" s="78">
        <f t="shared" si="705"/>
        <v>0</v>
      </c>
      <c r="CW344" s="78">
        <f t="shared" si="705"/>
        <v>0</v>
      </c>
      <c r="CX344" s="78">
        <f t="shared" si="705"/>
        <v>0</v>
      </c>
      <c r="CY344" s="78">
        <f t="shared" si="705"/>
        <v>0</v>
      </c>
      <c r="CZ344" s="78">
        <f t="shared" si="705"/>
        <v>0</v>
      </c>
      <c r="DA344" s="78">
        <f t="shared" si="705"/>
        <v>0</v>
      </c>
      <c r="DB344" s="78">
        <f t="shared" si="705"/>
        <v>0</v>
      </c>
      <c r="DC344" s="78">
        <f t="shared" si="705"/>
        <v>0</v>
      </c>
      <c r="DD344" s="78">
        <f t="shared" si="705"/>
        <v>0</v>
      </c>
      <c r="DE344" s="78">
        <f t="shared" si="705"/>
        <v>0</v>
      </c>
      <c r="DF344" s="78">
        <f t="shared" si="705"/>
        <v>0</v>
      </c>
      <c r="DG344" s="78">
        <f t="shared" si="705"/>
        <v>0</v>
      </c>
      <c r="DH344" s="78">
        <f t="shared" si="705"/>
        <v>0</v>
      </c>
      <c r="DI344" s="78">
        <f t="shared" si="705"/>
        <v>0</v>
      </c>
      <c r="DJ344" s="78">
        <f t="shared" si="705"/>
        <v>0</v>
      </c>
      <c r="DK344" s="78">
        <f t="shared" ref="DK344:EI344" si="706">DK392</f>
        <v>0</v>
      </c>
      <c r="DL344" s="78">
        <f t="shared" si="706"/>
        <v>0</v>
      </c>
      <c r="DM344" s="78">
        <f t="shared" si="706"/>
        <v>0</v>
      </c>
      <c r="DN344" s="78">
        <f t="shared" si="706"/>
        <v>0</v>
      </c>
      <c r="DO344" s="78">
        <f t="shared" si="706"/>
        <v>0</v>
      </c>
      <c r="DP344" s="78">
        <f t="shared" si="706"/>
        <v>0</v>
      </c>
      <c r="DQ344" s="78">
        <f t="shared" si="706"/>
        <v>0</v>
      </c>
      <c r="DR344" s="78">
        <f t="shared" si="706"/>
        <v>0</v>
      </c>
      <c r="DS344" s="78">
        <f t="shared" si="706"/>
        <v>0</v>
      </c>
      <c r="DT344" s="78">
        <f t="shared" si="706"/>
        <v>0</v>
      </c>
      <c r="DU344" s="78">
        <f t="shared" si="706"/>
        <v>0</v>
      </c>
      <c r="DV344" s="78">
        <f t="shared" si="706"/>
        <v>0</v>
      </c>
      <c r="DW344" s="78">
        <f t="shared" si="706"/>
        <v>0</v>
      </c>
      <c r="DX344" s="78">
        <f t="shared" si="706"/>
        <v>0</v>
      </c>
      <c r="DY344" s="78">
        <f t="shared" si="706"/>
        <v>0</v>
      </c>
      <c r="DZ344" s="78">
        <f t="shared" si="706"/>
        <v>0</v>
      </c>
      <c r="EA344" s="78">
        <f t="shared" si="706"/>
        <v>0</v>
      </c>
      <c r="EB344" s="78">
        <f t="shared" si="706"/>
        <v>0</v>
      </c>
      <c r="EC344" s="78">
        <f t="shared" si="706"/>
        <v>0</v>
      </c>
      <c r="ED344" s="78">
        <f t="shared" si="706"/>
        <v>0</v>
      </c>
      <c r="EE344" s="78">
        <f t="shared" si="706"/>
        <v>0</v>
      </c>
      <c r="EF344" s="78">
        <f t="shared" si="706"/>
        <v>0</v>
      </c>
      <c r="EG344" s="78">
        <f t="shared" si="706"/>
        <v>0</v>
      </c>
      <c r="EH344" s="78">
        <f t="shared" si="706"/>
        <v>0</v>
      </c>
      <c r="EI344" s="78">
        <f t="shared" si="706"/>
        <v>0</v>
      </c>
    </row>
    <row r="345" spans="2:139">
      <c r="B345" s="880" t="s">
        <v>642</v>
      </c>
      <c r="C345" s="211"/>
      <c r="D345" s="78">
        <f t="shared" ref="D345:N345" si="707">IF(IrrCalculationType=170,D397,SUMIF($S$6:$EI$6,D$5,$S345:$EI345))</f>
        <v>0</v>
      </c>
      <c r="E345" s="78">
        <f t="shared" si="707"/>
        <v>0</v>
      </c>
      <c r="F345" s="78">
        <f t="shared" si="707"/>
        <v>0</v>
      </c>
      <c r="G345" s="78">
        <f t="shared" si="707"/>
        <v>0</v>
      </c>
      <c r="H345" s="78">
        <f t="shared" si="707"/>
        <v>0</v>
      </c>
      <c r="I345" s="78">
        <f t="shared" si="707"/>
        <v>0</v>
      </c>
      <c r="J345" s="78">
        <f t="shared" si="707"/>
        <v>0</v>
      </c>
      <c r="K345" s="78">
        <f t="shared" si="707"/>
        <v>0</v>
      </c>
      <c r="L345" s="78">
        <f t="shared" si="707"/>
        <v>0</v>
      </c>
      <c r="M345" s="78">
        <f t="shared" si="707"/>
        <v>0</v>
      </c>
      <c r="N345" s="78">
        <f t="shared" si="707"/>
        <v>0</v>
      </c>
      <c r="O345" s="145">
        <f t="shared" si="692"/>
        <v>0</v>
      </c>
      <c r="R345" s="879"/>
      <c r="S345" s="78">
        <f t="shared" ref="S345:AX345" si="708">S397</f>
        <v>0</v>
      </c>
      <c r="T345" s="78">
        <f t="shared" si="708"/>
        <v>0</v>
      </c>
      <c r="U345" s="78">
        <f t="shared" si="708"/>
        <v>0</v>
      </c>
      <c r="V345" s="78">
        <f t="shared" si="708"/>
        <v>0</v>
      </c>
      <c r="W345" s="78">
        <f t="shared" si="708"/>
        <v>0</v>
      </c>
      <c r="X345" s="78">
        <f t="shared" si="708"/>
        <v>0</v>
      </c>
      <c r="Y345" s="78">
        <f t="shared" si="708"/>
        <v>0</v>
      </c>
      <c r="Z345" s="78">
        <f t="shared" si="708"/>
        <v>0</v>
      </c>
      <c r="AA345" s="78">
        <f t="shared" si="708"/>
        <v>0</v>
      </c>
      <c r="AB345" s="78">
        <f t="shared" si="708"/>
        <v>0</v>
      </c>
      <c r="AC345" s="78">
        <f t="shared" si="708"/>
        <v>0</v>
      </c>
      <c r="AD345" s="78">
        <f t="shared" si="708"/>
        <v>0</v>
      </c>
      <c r="AE345" s="78">
        <f t="shared" si="708"/>
        <v>0</v>
      </c>
      <c r="AF345" s="78">
        <f t="shared" si="708"/>
        <v>0</v>
      </c>
      <c r="AG345" s="78">
        <f t="shared" si="708"/>
        <v>0</v>
      </c>
      <c r="AH345" s="78">
        <f t="shared" si="708"/>
        <v>0</v>
      </c>
      <c r="AI345" s="78">
        <f t="shared" si="708"/>
        <v>0</v>
      </c>
      <c r="AJ345" s="78">
        <f t="shared" si="708"/>
        <v>0</v>
      </c>
      <c r="AK345" s="78">
        <f t="shared" si="708"/>
        <v>0</v>
      </c>
      <c r="AL345" s="78">
        <f t="shared" si="708"/>
        <v>0</v>
      </c>
      <c r="AM345" s="78">
        <f t="shared" si="708"/>
        <v>0</v>
      </c>
      <c r="AN345" s="78">
        <f t="shared" si="708"/>
        <v>0</v>
      </c>
      <c r="AO345" s="78">
        <f t="shared" si="708"/>
        <v>0</v>
      </c>
      <c r="AP345" s="78">
        <f t="shared" si="708"/>
        <v>0</v>
      </c>
      <c r="AQ345" s="78">
        <f t="shared" si="708"/>
        <v>0</v>
      </c>
      <c r="AR345" s="78">
        <f t="shared" si="708"/>
        <v>0</v>
      </c>
      <c r="AS345" s="78">
        <f t="shared" si="708"/>
        <v>0</v>
      </c>
      <c r="AT345" s="78">
        <f t="shared" si="708"/>
        <v>0</v>
      </c>
      <c r="AU345" s="78">
        <f t="shared" si="708"/>
        <v>0</v>
      </c>
      <c r="AV345" s="78">
        <f t="shared" si="708"/>
        <v>0</v>
      </c>
      <c r="AW345" s="78">
        <f t="shared" si="708"/>
        <v>0</v>
      </c>
      <c r="AX345" s="78">
        <f t="shared" si="708"/>
        <v>0</v>
      </c>
      <c r="AY345" s="78">
        <f t="shared" ref="AY345:CD345" si="709">AY397</f>
        <v>0</v>
      </c>
      <c r="AZ345" s="78">
        <f t="shared" si="709"/>
        <v>0</v>
      </c>
      <c r="BA345" s="78">
        <f t="shared" si="709"/>
        <v>0</v>
      </c>
      <c r="BB345" s="78">
        <f t="shared" si="709"/>
        <v>0</v>
      </c>
      <c r="BC345" s="78">
        <f t="shared" si="709"/>
        <v>0</v>
      </c>
      <c r="BD345" s="78">
        <f t="shared" si="709"/>
        <v>0</v>
      </c>
      <c r="BE345" s="78">
        <f t="shared" si="709"/>
        <v>0</v>
      </c>
      <c r="BF345" s="78">
        <f t="shared" si="709"/>
        <v>0</v>
      </c>
      <c r="BG345" s="78">
        <f t="shared" si="709"/>
        <v>0</v>
      </c>
      <c r="BH345" s="78">
        <f t="shared" si="709"/>
        <v>0</v>
      </c>
      <c r="BI345" s="78">
        <f t="shared" si="709"/>
        <v>0</v>
      </c>
      <c r="BJ345" s="78">
        <f t="shared" si="709"/>
        <v>0</v>
      </c>
      <c r="BK345" s="78">
        <f t="shared" si="709"/>
        <v>0</v>
      </c>
      <c r="BL345" s="78">
        <f t="shared" si="709"/>
        <v>0</v>
      </c>
      <c r="BM345" s="78">
        <f t="shared" si="709"/>
        <v>0</v>
      </c>
      <c r="BN345" s="78">
        <f t="shared" si="709"/>
        <v>0</v>
      </c>
      <c r="BO345" s="78">
        <f t="shared" si="709"/>
        <v>0</v>
      </c>
      <c r="BP345" s="78">
        <f t="shared" si="709"/>
        <v>0</v>
      </c>
      <c r="BQ345" s="78">
        <f t="shared" si="709"/>
        <v>0</v>
      </c>
      <c r="BR345" s="78">
        <f t="shared" si="709"/>
        <v>0</v>
      </c>
      <c r="BS345" s="78">
        <f t="shared" si="709"/>
        <v>0</v>
      </c>
      <c r="BT345" s="78">
        <f t="shared" si="709"/>
        <v>0</v>
      </c>
      <c r="BU345" s="78">
        <f t="shared" si="709"/>
        <v>0</v>
      </c>
      <c r="BV345" s="78">
        <f t="shared" si="709"/>
        <v>0</v>
      </c>
      <c r="BW345" s="78">
        <f t="shared" si="709"/>
        <v>0</v>
      </c>
      <c r="BX345" s="78">
        <f t="shared" si="709"/>
        <v>0</v>
      </c>
      <c r="BY345" s="78">
        <f t="shared" si="709"/>
        <v>0</v>
      </c>
      <c r="BZ345" s="78">
        <f t="shared" si="709"/>
        <v>0</v>
      </c>
      <c r="CA345" s="78">
        <f t="shared" si="709"/>
        <v>0</v>
      </c>
      <c r="CB345" s="78">
        <f t="shared" si="709"/>
        <v>0</v>
      </c>
      <c r="CC345" s="78">
        <f t="shared" si="709"/>
        <v>0</v>
      </c>
      <c r="CD345" s="78">
        <f t="shared" si="709"/>
        <v>0</v>
      </c>
      <c r="CE345" s="78">
        <f t="shared" ref="CE345:DJ345" si="710">CE397</f>
        <v>0</v>
      </c>
      <c r="CF345" s="78">
        <f t="shared" si="710"/>
        <v>0</v>
      </c>
      <c r="CG345" s="78">
        <f t="shared" si="710"/>
        <v>0</v>
      </c>
      <c r="CH345" s="78">
        <f t="shared" si="710"/>
        <v>0</v>
      </c>
      <c r="CI345" s="78">
        <f t="shared" si="710"/>
        <v>0</v>
      </c>
      <c r="CJ345" s="78">
        <f t="shared" si="710"/>
        <v>0</v>
      </c>
      <c r="CK345" s="78">
        <f t="shared" si="710"/>
        <v>0</v>
      </c>
      <c r="CL345" s="78">
        <f t="shared" si="710"/>
        <v>0</v>
      </c>
      <c r="CM345" s="78">
        <f t="shared" si="710"/>
        <v>0</v>
      </c>
      <c r="CN345" s="78">
        <f t="shared" si="710"/>
        <v>0</v>
      </c>
      <c r="CO345" s="78">
        <f t="shared" si="710"/>
        <v>0</v>
      </c>
      <c r="CP345" s="78">
        <f t="shared" si="710"/>
        <v>0</v>
      </c>
      <c r="CQ345" s="78">
        <f t="shared" si="710"/>
        <v>0</v>
      </c>
      <c r="CR345" s="78">
        <f t="shared" si="710"/>
        <v>0</v>
      </c>
      <c r="CS345" s="78">
        <f t="shared" si="710"/>
        <v>0</v>
      </c>
      <c r="CT345" s="78">
        <f t="shared" si="710"/>
        <v>0</v>
      </c>
      <c r="CU345" s="78">
        <f t="shared" si="710"/>
        <v>0</v>
      </c>
      <c r="CV345" s="78">
        <f t="shared" si="710"/>
        <v>0</v>
      </c>
      <c r="CW345" s="78">
        <f t="shared" si="710"/>
        <v>0</v>
      </c>
      <c r="CX345" s="78">
        <f t="shared" si="710"/>
        <v>0</v>
      </c>
      <c r="CY345" s="78">
        <f t="shared" si="710"/>
        <v>0</v>
      </c>
      <c r="CZ345" s="78">
        <f t="shared" si="710"/>
        <v>0</v>
      </c>
      <c r="DA345" s="78">
        <f t="shared" si="710"/>
        <v>0</v>
      </c>
      <c r="DB345" s="78">
        <f t="shared" si="710"/>
        <v>0</v>
      </c>
      <c r="DC345" s="78">
        <f t="shared" si="710"/>
        <v>0</v>
      </c>
      <c r="DD345" s="78">
        <f t="shared" si="710"/>
        <v>0</v>
      </c>
      <c r="DE345" s="78">
        <f t="shared" si="710"/>
        <v>0</v>
      </c>
      <c r="DF345" s="78">
        <f t="shared" si="710"/>
        <v>0</v>
      </c>
      <c r="DG345" s="78">
        <f t="shared" si="710"/>
        <v>0</v>
      </c>
      <c r="DH345" s="78">
        <f t="shared" si="710"/>
        <v>0</v>
      </c>
      <c r="DI345" s="78">
        <f t="shared" si="710"/>
        <v>0</v>
      </c>
      <c r="DJ345" s="78">
        <f t="shared" si="710"/>
        <v>0</v>
      </c>
      <c r="DK345" s="78">
        <f t="shared" ref="DK345:EI345" si="711">DK397</f>
        <v>0</v>
      </c>
      <c r="DL345" s="78">
        <f t="shared" si="711"/>
        <v>0</v>
      </c>
      <c r="DM345" s="78">
        <f t="shared" si="711"/>
        <v>0</v>
      </c>
      <c r="DN345" s="78">
        <f t="shared" si="711"/>
        <v>0</v>
      </c>
      <c r="DO345" s="78">
        <f t="shared" si="711"/>
        <v>0</v>
      </c>
      <c r="DP345" s="78">
        <f t="shared" si="711"/>
        <v>0</v>
      </c>
      <c r="DQ345" s="78">
        <f t="shared" si="711"/>
        <v>0</v>
      </c>
      <c r="DR345" s="78">
        <f t="shared" si="711"/>
        <v>0</v>
      </c>
      <c r="DS345" s="78">
        <f t="shared" si="711"/>
        <v>0</v>
      </c>
      <c r="DT345" s="78">
        <f t="shared" si="711"/>
        <v>0</v>
      </c>
      <c r="DU345" s="78">
        <f t="shared" si="711"/>
        <v>0</v>
      </c>
      <c r="DV345" s="78">
        <f t="shared" si="711"/>
        <v>0</v>
      </c>
      <c r="DW345" s="78">
        <f t="shared" si="711"/>
        <v>0</v>
      </c>
      <c r="DX345" s="78">
        <f t="shared" si="711"/>
        <v>0</v>
      </c>
      <c r="DY345" s="78">
        <f t="shared" si="711"/>
        <v>0</v>
      </c>
      <c r="DZ345" s="78">
        <f t="shared" si="711"/>
        <v>0</v>
      </c>
      <c r="EA345" s="78">
        <f t="shared" si="711"/>
        <v>0</v>
      </c>
      <c r="EB345" s="78">
        <f t="shared" si="711"/>
        <v>0</v>
      </c>
      <c r="EC345" s="78">
        <f t="shared" si="711"/>
        <v>0</v>
      </c>
      <c r="ED345" s="78">
        <f t="shared" si="711"/>
        <v>0</v>
      </c>
      <c r="EE345" s="78">
        <f t="shared" si="711"/>
        <v>0</v>
      </c>
      <c r="EF345" s="78">
        <f t="shared" si="711"/>
        <v>0</v>
      </c>
      <c r="EG345" s="78">
        <f t="shared" si="711"/>
        <v>0</v>
      </c>
      <c r="EH345" s="78">
        <f t="shared" si="711"/>
        <v>0</v>
      </c>
      <c r="EI345" s="78">
        <f t="shared" si="711"/>
        <v>0</v>
      </c>
    </row>
    <row r="346" spans="2:139">
      <c r="B346" s="880" t="s">
        <v>643</v>
      </c>
      <c r="C346" s="211"/>
      <c r="D346" s="78">
        <f t="shared" ref="D346:N346" si="712">IF(IrrCalculationType=170,D378,SUMIF($S$6:$EI$6,D$5,$S346:$EI346))</f>
        <v>0</v>
      </c>
      <c r="E346" s="78">
        <f t="shared" si="712"/>
        <v>0</v>
      </c>
      <c r="F346" s="78">
        <f t="shared" si="712"/>
        <v>0</v>
      </c>
      <c r="G346" s="78">
        <f t="shared" si="712"/>
        <v>0</v>
      </c>
      <c r="H346" s="78">
        <f t="shared" si="712"/>
        <v>0</v>
      </c>
      <c r="I346" s="78">
        <f t="shared" si="712"/>
        <v>0</v>
      </c>
      <c r="J346" s="78">
        <f t="shared" si="712"/>
        <v>0</v>
      </c>
      <c r="K346" s="78">
        <f t="shared" si="712"/>
        <v>0</v>
      </c>
      <c r="L346" s="78">
        <f t="shared" si="712"/>
        <v>0</v>
      </c>
      <c r="M346" s="78">
        <f t="shared" si="712"/>
        <v>0</v>
      </c>
      <c r="N346" s="78">
        <f t="shared" si="712"/>
        <v>0</v>
      </c>
      <c r="O346" s="145">
        <f t="shared" si="692"/>
        <v>0</v>
      </c>
      <c r="R346" s="879"/>
      <c r="S346" s="78">
        <f t="shared" ref="S346:AX346" si="713">S378</f>
        <v>0</v>
      </c>
      <c r="T346" s="78">
        <f t="shared" si="713"/>
        <v>0</v>
      </c>
      <c r="U346" s="78">
        <f t="shared" si="713"/>
        <v>0</v>
      </c>
      <c r="V346" s="78">
        <f t="shared" si="713"/>
        <v>0</v>
      </c>
      <c r="W346" s="78">
        <f t="shared" si="713"/>
        <v>0</v>
      </c>
      <c r="X346" s="78">
        <f t="shared" si="713"/>
        <v>0</v>
      </c>
      <c r="Y346" s="78">
        <f t="shared" si="713"/>
        <v>0</v>
      </c>
      <c r="Z346" s="78">
        <f t="shared" si="713"/>
        <v>0</v>
      </c>
      <c r="AA346" s="78">
        <f t="shared" si="713"/>
        <v>0</v>
      </c>
      <c r="AB346" s="78">
        <f t="shared" si="713"/>
        <v>0</v>
      </c>
      <c r="AC346" s="78">
        <f t="shared" si="713"/>
        <v>0</v>
      </c>
      <c r="AD346" s="78">
        <f t="shared" si="713"/>
        <v>0</v>
      </c>
      <c r="AE346" s="78">
        <f t="shared" si="713"/>
        <v>0</v>
      </c>
      <c r="AF346" s="78">
        <f t="shared" si="713"/>
        <v>0</v>
      </c>
      <c r="AG346" s="78">
        <f t="shared" si="713"/>
        <v>0</v>
      </c>
      <c r="AH346" s="78">
        <f t="shared" si="713"/>
        <v>0</v>
      </c>
      <c r="AI346" s="78">
        <f t="shared" si="713"/>
        <v>0</v>
      </c>
      <c r="AJ346" s="78">
        <f t="shared" si="713"/>
        <v>0</v>
      </c>
      <c r="AK346" s="78">
        <f t="shared" si="713"/>
        <v>0</v>
      </c>
      <c r="AL346" s="78">
        <f t="shared" si="713"/>
        <v>0</v>
      </c>
      <c r="AM346" s="78">
        <f t="shared" si="713"/>
        <v>0</v>
      </c>
      <c r="AN346" s="78">
        <f t="shared" si="713"/>
        <v>0</v>
      </c>
      <c r="AO346" s="78">
        <f t="shared" si="713"/>
        <v>0</v>
      </c>
      <c r="AP346" s="78">
        <f t="shared" si="713"/>
        <v>0</v>
      </c>
      <c r="AQ346" s="78">
        <f t="shared" si="713"/>
        <v>0</v>
      </c>
      <c r="AR346" s="78">
        <f t="shared" si="713"/>
        <v>0</v>
      </c>
      <c r="AS346" s="78">
        <f t="shared" si="713"/>
        <v>0</v>
      </c>
      <c r="AT346" s="78">
        <f t="shared" si="713"/>
        <v>0</v>
      </c>
      <c r="AU346" s="78">
        <f t="shared" si="713"/>
        <v>0</v>
      </c>
      <c r="AV346" s="78">
        <f t="shared" si="713"/>
        <v>0</v>
      </c>
      <c r="AW346" s="78">
        <f t="shared" si="713"/>
        <v>0</v>
      </c>
      <c r="AX346" s="78">
        <f t="shared" si="713"/>
        <v>0</v>
      </c>
      <c r="AY346" s="78">
        <f t="shared" ref="AY346:CD346" si="714">AY378</f>
        <v>0</v>
      </c>
      <c r="AZ346" s="78">
        <f t="shared" si="714"/>
        <v>0</v>
      </c>
      <c r="BA346" s="78">
        <f t="shared" si="714"/>
        <v>0</v>
      </c>
      <c r="BB346" s="78">
        <f t="shared" si="714"/>
        <v>0</v>
      </c>
      <c r="BC346" s="78">
        <f t="shared" si="714"/>
        <v>0</v>
      </c>
      <c r="BD346" s="78">
        <f t="shared" si="714"/>
        <v>0</v>
      </c>
      <c r="BE346" s="78">
        <f t="shared" si="714"/>
        <v>0</v>
      </c>
      <c r="BF346" s="78">
        <f t="shared" si="714"/>
        <v>0</v>
      </c>
      <c r="BG346" s="78">
        <f t="shared" si="714"/>
        <v>0</v>
      </c>
      <c r="BH346" s="78">
        <f t="shared" si="714"/>
        <v>0</v>
      </c>
      <c r="BI346" s="78">
        <f t="shared" si="714"/>
        <v>0</v>
      </c>
      <c r="BJ346" s="78">
        <f t="shared" si="714"/>
        <v>0</v>
      </c>
      <c r="BK346" s="78">
        <f t="shared" si="714"/>
        <v>0</v>
      </c>
      <c r="BL346" s="78">
        <f t="shared" si="714"/>
        <v>0</v>
      </c>
      <c r="BM346" s="78">
        <f t="shared" si="714"/>
        <v>0</v>
      </c>
      <c r="BN346" s="78">
        <f t="shared" si="714"/>
        <v>0</v>
      </c>
      <c r="BO346" s="78">
        <f t="shared" si="714"/>
        <v>0</v>
      </c>
      <c r="BP346" s="78">
        <f t="shared" si="714"/>
        <v>0</v>
      </c>
      <c r="BQ346" s="78">
        <f t="shared" si="714"/>
        <v>0</v>
      </c>
      <c r="BR346" s="78">
        <f t="shared" si="714"/>
        <v>0</v>
      </c>
      <c r="BS346" s="78">
        <f t="shared" si="714"/>
        <v>0</v>
      </c>
      <c r="BT346" s="78">
        <f t="shared" si="714"/>
        <v>0</v>
      </c>
      <c r="BU346" s="78">
        <f t="shared" si="714"/>
        <v>0</v>
      </c>
      <c r="BV346" s="78">
        <f t="shared" si="714"/>
        <v>0</v>
      </c>
      <c r="BW346" s="78">
        <f t="shared" si="714"/>
        <v>0</v>
      </c>
      <c r="BX346" s="78">
        <f t="shared" si="714"/>
        <v>0</v>
      </c>
      <c r="BY346" s="78">
        <f t="shared" si="714"/>
        <v>0</v>
      </c>
      <c r="BZ346" s="78">
        <f t="shared" si="714"/>
        <v>0</v>
      </c>
      <c r="CA346" s="78">
        <f t="shared" si="714"/>
        <v>0</v>
      </c>
      <c r="CB346" s="78">
        <f t="shared" si="714"/>
        <v>0</v>
      </c>
      <c r="CC346" s="78">
        <f t="shared" si="714"/>
        <v>0</v>
      </c>
      <c r="CD346" s="78">
        <f t="shared" si="714"/>
        <v>0</v>
      </c>
      <c r="CE346" s="78">
        <f t="shared" ref="CE346:DJ346" si="715">CE378</f>
        <v>0</v>
      </c>
      <c r="CF346" s="78">
        <f t="shared" si="715"/>
        <v>0</v>
      </c>
      <c r="CG346" s="78">
        <f t="shared" si="715"/>
        <v>0</v>
      </c>
      <c r="CH346" s="78">
        <f t="shared" si="715"/>
        <v>0</v>
      </c>
      <c r="CI346" s="78">
        <f t="shared" si="715"/>
        <v>0</v>
      </c>
      <c r="CJ346" s="78">
        <f t="shared" si="715"/>
        <v>0</v>
      </c>
      <c r="CK346" s="78">
        <f t="shared" si="715"/>
        <v>0</v>
      </c>
      <c r="CL346" s="78">
        <f t="shared" si="715"/>
        <v>0</v>
      </c>
      <c r="CM346" s="78">
        <f t="shared" si="715"/>
        <v>0</v>
      </c>
      <c r="CN346" s="78">
        <f t="shared" si="715"/>
        <v>0</v>
      </c>
      <c r="CO346" s="78">
        <f t="shared" si="715"/>
        <v>0</v>
      </c>
      <c r="CP346" s="78">
        <f t="shared" si="715"/>
        <v>0</v>
      </c>
      <c r="CQ346" s="78">
        <f t="shared" si="715"/>
        <v>0</v>
      </c>
      <c r="CR346" s="78">
        <f t="shared" si="715"/>
        <v>0</v>
      </c>
      <c r="CS346" s="78">
        <f t="shared" si="715"/>
        <v>0</v>
      </c>
      <c r="CT346" s="78">
        <f t="shared" si="715"/>
        <v>0</v>
      </c>
      <c r="CU346" s="78">
        <f t="shared" si="715"/>
        <v>0</v>
      </c>
      <c r="CV346" s="78">
        <f t="shared" si="715"/>
        <v>0</v>
      </c>
      <c r="CW346" s="78">
        <f t="shared" si="715"/>
        <v>0</v>
      </c>
      <c r="CX346" s="78">
        <f t="shared" si="715"/>
        <v>0</v>
      </c>
      <c r="CY346" s="78">
        <f t="shared" si="715"/>
        <v>0</v>
      </c>
      <c r="CZ346" s="78">
        <f t="shared" si="715"/>
        <v>0</v>
      </c>
      <c r="DA346" s="78">
        <f t="shared" si="715"/>
        <v>0</v>
      </c>
      <c r="DB346" s="78">
        <f t="shared" si="715"/>
        <v>0</v>
      </c>
      <c r="DC346" s="78">
        <f t="shared" si="715"/>
        <v>0</v>
      </c>
      <c r="DD346" s="78">
        <f t="shared" si="715"/>
        <v>0</v>
      </c>
      <c r="DE346" s="78">
        <f t="shared" si="715"/>
        <v>0</v>
      </c>
      <c r="DF346" s="78">
        <f t="shared" si="715"/>
        <v>0</v>
      </c>
      <c r="DG346" s="78">
        <f t="shared" si="715"/>
        <v>0</v>
      </c>
      <c r="DH346" s="78">
        <f t="shared" si="715"/>
        <v>0</v>
      </c>
      <c r="DI346" s="78">
        <f t="shared" si="715"/>
        <v>0</v>
      </c>
      <c r="DJ346" s="78">
        <f t="shared" si="715"/>
        <v>0</v>
      </c>
      <c r="DK346" s="78">
        <f t="shared" ref="DK346:EI346" si="716">DK378</f>
        <v>0</v>
      </c>
      <c r="DL346" s="78">
        <f t="shared" si="716"/>
        <v>0</v>
      </c>
      <c r="DM346" s="78">
        <f t="shared" si="716"/>
        <v>0</v>
      </c>
      <c r="DN346" s="78">
        <f t="shared" si="716"/>
        <v>0</v>
      </c>
      <c r="DO346" s="78">
        <f t="shared" si="716"/>
        <v>0</v>
      </c>
      <c r="DP346" s="78">
        <f t="shared" si="716"/>
        <v>0</v>
      </c>
      <c r="DQ346" s="78">
        <f t="shared" si="716"/>
        <v>0</v>
      </c>
      <c r="DR346" s="78">
        <f t="shared" si="716"/>
        <v>0</v>
      </c>
      <c r="DS346" s="78">
        <f t="shared" si="716"/>
        <v>0</v>
      </c>
      <c r="DT346" s="78">
        <f t="shared" si="716"/>
        <v>0</v>
      </c>
      <c r="DU346" s="78">
        <f t="shared" si="716"/>
        <v>0</v>
      </c>
      <c r="DV346" s="78">
        <f t="shared" si="716"/>
        <v>0</v>
      </c>
      <c r="DW346" s="78">
        <f t="shared" si="716"/>
        <v>0</v>
      </c>
      <c r="DX346" s="78">
        <f t="shared" si="716"/>
        <v>0</v>
      </c>
      <c r="DY346" s="78">
        <f t="shared" si="716"/>
        <v>0</v>
      </c>
      <c r="DZ346" s="78">
        <f t="shared" si="716"/>
        <v>0</v>
      </c>
      <c r="EA346" s="78">
        <f t="shared" si="716"/>
        <v>0</v>
      </c>
      <c r="EB346" s="78">
        <f t="shared" si="716"/>
        <v>0</v>
      </c>
      <c r="EC346" s="78">
        <f t="shared" si="716"/>
        <v>0</v>
      </c>
      <c r="ED346" s="78">
        <f t="shared" si="716"/>
        <v>0</v>
      </c>
      <c r="EE346" s="78">
        <f t="shared" si="716"/>
        <v>0</v>
      </c>
      <c r="EF346" s="78">
        <f t="shared" si="716"/>
        <v>0</v>
      </c>
      <c r="EG346" s="78">
        <f t="shared" si="716"/>
        <v>0</v>
      </c>
      <c r="EH346" s="78">
        <f t="shared" si="716"/>
        <v>0</v>
      </c>
      <c r="EI346" s="78">
        <f t="shared" si="716"/>
        <v>0</v>
      </c>
    </row>
    <row r="347" spans="2:139">
      <c r="B347" s="41" t="s">
        <v>644</v>
      </c>
      <c r="C347" s="211"/>
      <c r="D347" s="78">
        <f t="shared" ref="D347:N347" si="717">IF(IrrCalculationType=170,MAX(-D206-D208,),SUMIF($S$6:$EI$6,D$5,$S347:$EI347))</f>
        <v>0</v>
      </c>
      <c r="E347" s="78">
        <f t="shared" si="717"/>
        <v>0</v>
      </c>
      <c r="F347" s="78">
        <f t="shared" si="717"/>
        <v>0</v>
      </c>
      <c r="G347" s="78">
        <f t="shared" si="717"/>
        <v>0</v>
      </c>
      <c r="H347" s="78">
        <f t="shared" si="717"/>
        <v>0</v>
      </c>
      <c r="I347" s="78">
        <f t="shared" si="717"/>
        <v>0</v>
      </c>
      <c r="J347" s="78">
        <f t="shared" si="717"/>
        <v>0</v>
      </c>
      <c r="K347" s="78">
        <f t="shared" si="717"/>
        <v>0</v>
      </c>
      <c r="L347" s="78">
        <f t="shared" si="717"/>
        <v>0</v>
      </c>
      <c r="M347" s="78">
        <f t="shared" si="717"/>
        <v>0</v>
      </c>
      <c r="N347" s="78">
        <f t="shared" si="717"/>
        <v>0</v>
      </c>
      <c r="O347" s="145">
        <f t="shared" si="692"/>
        <v>0</v>
      </c>
      <c r="R347" s="879"/>
      <c r="S347" s="78">
        <f t="shared" ref="S347:AX347" si="718">MAX(-S206-S208,)</f>
        <v>0</v>
      </c>
      <c r="T347" s="78">
        <f t="shared" si="718"/>
        <v>0</v>
      </c>
      <c r="U347" s="78">
        <f t="shared" si="718"/>
        <v>0</v>
      </c>
      <c r="V347" s="78">
        <f t="shared" si="718"/>
        <v>0</v>
      </c>
      <c r="W347" s="78">
        <f t="shared" si="718"/>
        <v>0</v>
      </c>
      <c r="X347" s="78">
        <f t="shared" si="718"/>
        <v>0</v>
      </c>
      <c r="Y347" s="78">
        <f t="shared" si="718"/>
        <v>0</v>
      </c>
      <c r="Z347" s="78">
        <f t="shared" si="718"/>
        <v>0</v>
      </c>
      <c r="AA347" s="78">
        <f t="shared" si="718"/>
        <v>0</v>
      </c>
      <c r="AB347" s="78">
        <f t="shared" si="718"/>
        <v>0</v>
      </c>
      <c r="AC347" s="78">
        <f t="shared" si="718"/>
        <v>0</v>
      </c>
      <c r="AD347" s="78">
        <f t="shared" si="718"/>
        <v>0</v>
      </c>
      <c r="AE347" s="78">
        <f t="shared" si="718"/>
        <v>0</v>
      </c>
      <c r="AF347" s="78">
        <f t="shared" si="718"/>
        <v>0</v>
      </c>
      <c r="AG347" s="78">
        <f t="shared" si="718"/>
        <v>0</v>
      </c>
      <c r="AH347" s="78">
        <f t="shared" si="718"/>
        <v>0</v>
      </c>
      <c r="AI347" s="78">
        <f t="shared" si="718"/>
        <v>0</v>
      </c>
      <c r="AJ347" s="78">
        <f t="shared" si="718"/>
        <v>0</v>
      </c>
      <c r="AK347" s="78">
        <f t="shared" si="718"/>
        <v>0</v>
      </c>
      <c r="AL347" s="78">
        <f t="shared" si="718"/>
        <v>0</v>
      </c>
      <c r="AM347" s="78">
        <f t="shared" si="718"/>
        <v>0</v>
      </c>
      <c r="AN347" s="78">
        <f t="shared" si="718"/>
        <v>0</v>
      </c>
      <c r="AO347" s="78">
        <f t="shared" si="718"/>
        <v>0</v>
      </c>
      <c r="AP347" s="78">
        <f t="shared" si="718"/>
        <v>0</v>
      </c>
      <c r="AQ347" s="78">
        <f t="shared" si="718"/>
        <v>0</v>
      </c>
      <c r="AR347" s="78">
        <f t="shared" si="718"/>
        <v>0</v>
      </c>
      <c r="AS347" s="78">
        <f t="shared" si="718"/>
        <v>0</v>
      </c>
      <c r="AT347" s="78">
        <f t="shared" si="718"/>
        <v>0</v>
      </c>
      <c r="AU347" s="78">
        <f t="shared" si="718"/>
        <v>0</v>
      </c>
      <c r="AV347" s="78">
        <f t="shared" si="718"/>
        <v>0</v>
      </c>
      <c r="AW347" s="78">
        <f t="shared" si="718"/>
        <v>0</v>
      </c>
      <c r="AX347" s="78">
        <f t="shared" si="718"/>
        <v>0</v>
      </c>
      <c r="AY347" s="78">
        <f t="shared" ref="AY347:CD347" si="719">MAX(-AY206-AY208,)</f>
        <v>0</v>
      </c>
      <c r="AZ347" s="78">
        <f t="shared" si="719"/>
        <v>0</v>
      </c>
      <c r="BA347" s="78">
        <f t="shared" si="719"/>
        <v>0</v>
      </c>
      <c r="BB347" s="78">
        <f t="shared" si="719"/>
        <v>0</v>
      </c>
      <c r="BC347" s="78">
        <f t="shared" si="719"/>
        <v>0</v>
      </c>
      <c r="BD347" s="78">
        <f t="shared" si="719"/>
        <v>0</v>
      </c>
      <c r="BE347" s="78">
        <f t="shared" si="719"/>
        <v>0</v>
      </c>
      <c r="BF347" s="78">
        <f t="shared" si="719"/>
        <v>0</v>
      </c>
      <c r="BG347" s="78">
        <f t="shared" si="719"/>
        <v>0</v>
      </c>
      <c r="BH347" s="78">
        <f t="shared" si="719"/>
        <v>0</v>
      </c>
      <c r="BI347" s="78">
        <f t="shared" si="719"/>
        <v>0</v>
      </c>
      <c r="BJ347" s="78">
        <f t="shared" si="719"/>
        <v>0</v>
      </c>
      <c r="BK347" s="78">
        <f t="shared" si="719"/>
        <v>0</v>
      </c>
      <c r="BL347" s="78">
        <f t="shared" si="719"/>
        <v>0</v>
      </c>
      <c r="BM347" s="78">
        <f t="shared" si="719"/>
        <v>0</v>
      </c>
      <c r="BN347" s="78">
        <f t="shared" si="719"/>
        <v>0</v>
      </c>
      <c r="BO347" s="78">
        <f t="shared" si="719"/>
        <v>0</v>
      </c>
      <c r="BP347" s="78">
        <f t="shared" si="719"/>
        <v>0</v>
      </c>
      <c r="BQ347" s="78">
        <f t="shared" si="719"/>
        <v>0</v>
      </c>
      <c r="BR347" s="78">
        <f t="shared" si="719"/>
        <v>0</v>
      </c>
      <c r="BS347" s="78">
        <f t="shared" si="719"/>
        <v>0</v>
      </c>
      <c r="BT347" s="78">
        <f t="shared" si="719"/>
        <v>0</v>
      </c>
      <c r="BU347" s="78">
        <f t="shared" si="719"/>
        <v>0</v>
      </c>
      <c r="BV347" s="78">
        <f t="shared" si="719"/>
        <v>0</v>
      </c>
      <c r="BW347" s="78">
        <f t="shared" si="719"/>
        <v>0</v>
      </c>
      <c r="BX347" s="78">
        <f t="shared" si="719"/>
        <v>0</v>
      </c>
      <c r="BY347" s="78">
        <f t="shared" si="719"/>
        <v>0</v>
      </c>
      <c r="BZ347" s="78">
        <f t="shared" si="719"/>
        <v>0</v>
      </c>
      <c r="CA347" s="78">
        <f t="shared" si="719"/>
        <v>0</v>
      </c>
      <c r="CB347" s="78">
        <f t="shared" si="719"/>
        <v>0</v>
      </c>
      <c r="CC347" s="78">
        <f t="shared" si="719"/>
        <v>0</v>
      </c>
      <c r="CD347" s="78">
        <f t="shared" si="719"/>
        <v>0</v>
      </c>
      <c r="CE347" s="78">
        <f t="shared" ref="CE347:DJ347" si="720">MAX(-CE206-CE208,)</f>
        <v>0</v>
      </c>
      <c r="CF347" s="78">
        <f t="shared" si="720"/>
        <v>0</v>
      </c>
      <c r="CG347" s="78">
        <f t="shared" si="720"/>
        <v>0</v>
      </c>
      <c r="CH347" s="78">
        <f t="shared" si="720"/>
        <v>0</v>
      </c>
      <c r="CI347" s="78">
        <f t="shared" si="720"/>
        <v>0</v>
      </c>
      <c r="CJ347" s="78">
        <f t="shared" si="720"/>
        <v>0</v>
      </c>
      <c r="CK347" s="78">
        <f t="shared" si="720"/>
        <v>0</v>
      </c>
      <c r="CL347" s="78">
        <f t="shared" si="720"/>
        <v>0</v>
      </c>
      <c r="CM347" s="78">
        <f t="shared" si="720"/>
        <v>0</v>
      </c>
      <c r="CN347" s="78">
        <f t="shared" si="720"/>
        <v>0</v>
      </c>
      <c r="CO347" s="78">
        <f t="shared" si="720"/>
        <v>0</v>
      </c>
      <c r="CP347" s="78">
        <f t="shared" si="720"/>
        <v>0</v>
      </c>
      <c r="CQ347" s="78">
        <f t="shared" si="720"/>
        <v>0</v>
      </c>
      <c r="CR347" s="78">
        <f t="shared" si="720"/>
        <v>0</v>
      </c>
      <c r="CS347" s="78">
        <f t="shared" si="720"/>
        <v>0</v>
      </c>
      <c r="CT347" s="78">
        <f t="shared" si="720"/>
        <v>0</v>
      </c>
      <c r="CU347" s="78">
        <f t="shared" si="720"/>
        <v>0</v>
      </c>
      <c r="CV347" s="78">
        <f t="shared" si="720"/>
        <v>0</v>
      </c>
      <c r="CW347" s="78">
        <f t="shared" si="720"/>
        <v>0</v>
      </c>
      <c r="CX347" s="78">
        <f t="shared" si="720"/>
        <v>0</v>
      </c>
      <c r="CY347" s="78">
        <f t="shared" si="720"/>
        <v>0</v>
      </c>
      <c r="CZ347" s="78">
        <f t="shared" si="720"/>
        <v>0</v>
      </c>
      <c r="DA347" s="78">
        <f t="shared" si="720"/>
        <v>0</v>
      </c>
      <c r="DB347" s="78">
        <f t="shared" si="720"/>
        <v>0</v>
      </c>
      <c r="DC347" s="78">
        <f t="shared" si="720"/>
        <v>0</v>
      </c>
      <c r="DD347" s="78">
        <f t="shared" si="720"/>
        <v>0</v>
      </c>
      <c r="DE347" s="78">
        <f t="shared" si="720"/>
        <v>0</v>
      </c>
      <c r="DF347" s="78">
        <f t="shared" si="720"/>
        <v>0</v>
      </c>
      <c r="DG347" s="78">
        <f t="shared" si="720"/>
        <v>0</v>
      </c>
      <c r="DH347" s="78">
        <f t="shared" si="720"/>
        <v>0</v>
      </c>
      <c r="DI347" s="78">
        <f t="shared" si="720"/>
        <v>0</v>
      </c>
      <c r="DJ347" s="78">
        <f t="shared" si="720"/>
        <v>0</v>
      </c>
      <c r="DK347" s="78">
        <f t="shared" ref="DK347:EI347" si="721">MAX(-DK206-DK208,)</f>
        <v>0</v>
      </c>
      <c r="DL347" s="78">
        <f t="shared" si="721"/>
        <v>0</v>
      </c>
      <c r="DM347" s="78">
        <f t="shared" si="721"/>
        <v>0</v>
      </c>
      <c r="DN347" s="78">
        <f t="shared" si="721"/>
        <v>0</v>
      </c>
      <c r="DO347" s="78">
        <f t="shared" si="721"/>
        <v>0</v>
      </c>
      <c r="DP347" s="78">
        <f t="shared" si="721"/>
        <v>0</v>
      </c>
      <c r="DQ347" s="78">
        <f t="shared" si="721"/>
        <v>0</v>
      </c>
      <c r="DR347" s="78">
        <f t="shared" si="721"/>
        <v>0</v>
      </c>
      <c r="DS347" s="78">
        <f t="shared" si="721"/>
        <v>0</v>
      </c>
      <c r="DT347" s="78">
        <f t="shared" si="721"/>
        <v>0</v>
      </c>
      <c r="DU347" s="78">
        <f t="shared" si="721"/>
        <v>0</v>
      </c>
      <c r="DV347" s="78">
        <f t="shared" si="721"/>
        <v>0</v>
      </c>
      <c r="DW347" s="78">
        <f t="shared" si="721"/>
        <v>0</v>
      </c>
      <c r="DX347" s="78">
        <f t="shared" si="721"/>
        <v>0</v>
      </c>
      <c r="DY347" s="78">
        <f t="shared" si="721"/>
        <v>0</v>
      </c>
      <c r="DZ347" s="78">
        <f t="shared" si="721"/>
        <v>0</v>
      </c>
      <c r="EA347" s="78">
        <f t="shared" si="721"/>
        <v>0</v>
      </c>
      <c r="EB347" s="78">
        <f t="shared" si="721"/>
        <v>0</v>
      </c>
      <c r="EC347" s="78">
        <f t="shared" si="721"/>
        <v>0</v>
      </c>
      <c r="ED347" s="78">
        <f t="shared" si="721"/>
        <v>0</v>
      </c>
      <c r="EE347" s="78">
        <f t="shared" si="721"/>
        <v>0</v>
      </c>
      <c r="EF347" s="78">
        <f t="shared" si="721"/>
        <v>0</v>
      </c>
      <c r="EG347" s="78">
        <f t="shared" si="721"/>
        <v>0</v>
      </c>
      <c r="EH347" s="78">
        <f t="shared" si="721"/>
        <v>0</v>
      </c>
      <c r="EI347" s="78">
        <f t="shared" si="721"/>
        <v>0</v>
      </c>
    </row>
    <row r="348" spans="2:139">
      <c r="B348" s="880" t="s">
        <v>645</v>
      </c>
      <c r="C348" s="211"/>
      <c r="D348" s="78">
        <f t="shared" ref="D348:N348" si="722">IF(IrrCalculationType=170,D393,SUMIF($S$6:$EI$6,D$5,$S348:$EI348))</f>
        <v>0</v>
      </c>
      <c r="E348" s="78">
        <f t="shared" si="722"/>
        <v>0</v>
      </c>
      <c r="F348" s="78">
        <f t="shared" si="722"/>
        <v>0</v>
      </c>
      <c r="G348" s="78">
        <f t="shared" si="722"/>
        <v>0</v>
      </c>
      <c r="H348" s="78">
        <f t="shared" si="722"/>
        <v>0</v>
      </c>
      <c r="I348" s="78">
        <f t="shared" si="722"/>
        <v>0</v>
      </c>
      <c r="J348" s="78">
        <f t="shared" si="722"/>
        <v>0</v>
      </c>
      <c r="K348" s="78">
        <f t="shared" si="722"/>
        <v>0</v>
      </c>
      <c r="L348" s="78">
        <f t="shared" si="722"/>
        <v>0</v>
      </c>
      <c r="M348" s="78">
        <f t="shared" si="722"/>
        <v>0</v>
      </c>
      <c r="N348" s="78">
        <f t="shared" si="722"/>
        <v>0</v>
      </c>
      <c r="O348" s="145">
        <f t="shared" si="692"/>
        <v>0</v>
      </c>
      <c r="R348" s="879"/>
      <c r="S348" s="78">
        <f t="shared" ref="S348:AX348" si="723">S393</f>
        <v>0</v>
      </c>
      <c r="T348" s="78">
        <f t="shared" si="723"/>
        <v>0</v>
      </c>
      <c r="U348" s="78">
        <f t="shared" si="723"/>
        <v>0</v>
      </c>
      <c r="V348" s="78">
        <f t="shared" si="723"/>
        <v>0</v>
      </c>
      <c r="W348" s="78">
        <f t="shared" si="723"/>
        <v>0</v>
      </c>
      <c r="X348" s="78">
        <f t="shared" si="723"/>
        <v>0</v>
      </c>
      <c r="Y348" s="78">
        <f t="shared" si="723"/>
        <v>0</v>
      </c>
      <c r="Z348" s="78">
        <f t="shared" si="723"/>
        <v>0</v>
      </c>
      <c r="AA348" s="78">
        <f t="shared" si="723"/>
        <v>0</v>
      </c>
      <c r="AB348" s="78">
        <f t="shared" si="723"/>
        <v>0</v>
      </c>
      <c r="AC348" s="78">
        <f t="shared" si="723"/>
        <v>0</v>
      </c>
      <c r="AD348" s="78">
        <f t="shared" si="723"/>
        <v>0</v>
      </c>
      <c r="AE348" s="78">
        <f t="shared" si="723"/>
        <v>0</v>
      </c>
      <c r="AF348" s="78">
        <f t="shared" si="723"/>
        <v>0</v>
      </c>
      <c r="AG348" s="78">
        <f t="shared" si="723"/>
        <v>0</v>
      </c>
      <c r="AH348" s="78">
        <f t="shared" si="723"/>
        <v>0</v>
      </c>
      <c r="AI348" s="78">
        <f t="shared" si="723"/>
        <v>0</v>
      </c>
      <c r="AJ348" s="78">
        <f t="shared" si="723"/>
        <v>0</v>
      </c>
      <c r="AK348" s="78">
        <f t="shared" si="723"/>
        <v>0</v>
      </c>
      <c r="AL348" s="78">
        <f t="shared" si="723"/>
        <v>0</v>
      </c>
      <c r="AM348" s="78">
        <f t="shared" si="723"/>
        <v>0</v>
      </c>
      <c r="AN348" s="78">
        <f t="shared" si="723"/>
        <v>0</v>
      </c>
      <c r="AO348" s="78">
        <f t="shared" si="723"/>
        <v>0</v>
      </c>
      <c r="AP348" s="78">
        <f t="shared" si="723"/>
        <v>0</v>
      </c>
      <c r="AQ348" s="78">
        <f t="shared" si="723"/>
        <v>0</v>
      </c>
      <c r="AR348" s="78">
        <f t="shared" si="723"/>
        <v>0</v>
      </c>
      <c r="AS348" s="78">
        <f t="shared" si="723"/>
        <v>0</v>
      </c>
      <c r="AT348" s="78">
        <f t="shared" si="723"/>
        <v>0</v>
      </c>
      <c r="AU348" s="78">
        <f t="shared" si="723"/>
        <v>0</v>
      </c>
      <c r="AV348" s="78">
        <f t="shared" si="723"/>
        <v>0</v>
      </c>
      <c r="AW348" s="78">
        <f t="shared" si="723"/>
        <v>0</v>
      </c>
      <c r="AX348" s="78">
        <f t="shared" si="723"/>
        <v>0</v>
      </c>
      <c r="AY348" s="78">
        <f t="shared" ref="AY348:CD348" si="724">AY393</f>
        <v>0</v>
      </c>
      <c r="AZ348" s="78">
        <f t="shared" si="724"/>
        <v>0</v>
      </c>
      <c r="BA348" s="78">
        <f t="shared" si="724"/>
        <v>0</v>
      </c>
      <c r="BB348" s="78">
        <f t="shared" si="724"/>
        <v>0</v>
      </c>
      <c r="BC348" s="78">
        <f t="shared" si="724"/>
        <v>0</v>
      </c>
      <c r="BD348" s="78">
        <f t="shared" si="724"/>
        <v>0</v>
      </c>
      <c r="BE348" s="78">
        <f t="shared" si="724"/>
        <v>0</v>
      </c>
      <c r="BF348" s="78">
        <f t="shared" si="724"/>
        <v>0</v>
      </c>
      <c r="BG348" s="78">
        <f t="shared" si="724"/>
        <v>0</v>
      </c>
      <c r="BH348" s="78">
        <f t="shared" si="724"/>
        <v>0</v>
      </c>
      <c r="BI348" s="78">
        <f t="shared" si="724"/>
        <v>0</v>
      </c>
      <c r="BJ348" s="78">
        <f t="shared" si="724"/>
        <v>0</v>
      </c>
      <c r="BK348" s="78">
        <f t="shared" si="724"/>
        <v>0</v>
      </c>
      <c r="BL348" s="78">
        <f t="shared" si="724"/>
        <v>0</v>
      </c>
      <c r="BM348" s="78">
        <f t="shared" si="724"/>
        <v>0</v>
      </c>
      <c r="BN348" s="78">
        <f t="shared" si="724"/>
        <v>0</v>
      </c>
      <c r="BO348" s="78">
        <f t="shared" si="724"/>
        <v>0</v>
      </c>
      <c r="BP348" s="78">
        <f t="shared" si="724"/>
        <v>0</v>
      </c>
      <c r="BQ348" s="78">
        <f t="shared" si="724"/>
        <v>0</v>
      </c>
      <c r="BR348" s="78">
        <f t="shared" si="724"/>
        <v>0</v>
      </c>
      <c r="BS348" s="78">
        <f t="shared" si="724"/>
        <v>0</v>
      </c>
      <c r="BT348" s="78">
        <f t="shared" si="724"/>
        <v>0</v>
      </c>
      <c r="BU348" s="78">
        <f t="shared" si="724"/>
        <v>0</v>
      </c>
      <c r="BV348" s="78">
        <f t="shared" si="724"/>
        <v>0</v>
      </c>
      <c r="BW348" s="78">
        <f t="shared" si="724"/>
        <v>0</v>
      </c>
      <c r="BX348" s="78">
        <f t="shared" si="724"/>
        <v>0</v>
      </c>
      <c r="BY348" s="78">
        <f t="shared" si="724"/>
        <v>0</v>
      </c>
      <c r="BZ348" s="78">
        <f t="shared" si="724"/>
        <v>0</v>
      </c>
      <c r="CA348" s="78">
        <f t="shared" si="724"/>
        <v>0</v>
      </c>
      <c r="CB348" s="78">
        <f t="shared" si="724"/>
        <v>0</v>
      </c>
      <c r="CC348" s="78">
        <f t="shared" si="724"/>
        <v>0</v>
      </c>
      <c r="CD348" s="78">
        <f t="shared" si="724"/>
        <v>0</v>
      </c>
      <c r="CE348" s="78">
        <f t="shared" ref="CE348:DJ348" si="725">CE393</f>
        <v>0</v>
      </c>
      <c r="CF348" s="78">
        <f t="shared" si="725"/>
        <v>0</v>
      </c>
      <c r="CG348" s="78">
        <f t="shared" si="725"/>
        <v>0</v>
      </c>
      <c r="CH348" s="78">
        <f t="shared" si="725"/>
        <v>0</v>
      </c>
      <c r="CI348" s="78">
        <f t="shared" si="725"/>
        <v>0</v>
      </c>
      <c r="CJ348" s="78">
        <f t="shared" si="725"/>
        <v>0</v>
      </c>
      <c r="CK348" s="78">
        <f t="shared" si="725"/>
        <v>0</v>
      </c>
      <c r="CL348" s="78">
        <f t="shared" si="725"/>
        <v>0</v>
      </c>
      <c r="CM348" s="78">
        <f t="shared" si="725"/>
        <v>0</v>
      </c>
      <c r="CN348" s="78">
        <f t="shared" si="725"/>
        <v>0</v>
      </c>
      <c r="CO348" s="78">
        <f t="shared" si="725"/>
        <v>0</v>
      </c>
      <c r="CP348" s="78">
        <f t="shared" si="725"/>
        <v>0</v>
      </c>
      <c r="CQ348" s="78">
        <f t="shared" si="725"/>
        <v>0</v>
      </c>
      <c r="CR348" s="78">
        <f t="shared" si="725"/>
        <v>0</v>
      </c>
      <c r="CS348" s="78">
        <f t="shared" si="725"/>
        <v>0</v>
      </c>
      <c r="CT348" s="78">
        <f t="shared" si="725"/>
        <v>0</v>
      </c>
      <c r="CU348" s="78">
        <f t="shared" si="725"/>
        <v>0</v>
      </c>
      <c r="CV348" s="78">
        <f t="shared" si="725"/>
        <v>0</v>
      </c>
      <c r="CW348" s="78">
        <f t="shared" si="725"/>
        <v>0</v>
      </c>
      <c r="CX348" s="78">
        <f t="shared" si="725"/>
        <v>0</v>
      </c>
      <c r="CY348" s="78">
        <f t="shared" si="725"/>
        <v>0</v>
      </c>
      <c r="CZ348" s="78">
        <f t="shared" si="725"/>
        <v>0</v>
      </c>
      <c r="DA348" s="78">
        <f t="shared" si="725"/>
        <v>0</v>
      </c>
      <c r="DB348" s="78">
        <f t="shared" si="725"/>
        <v>0</v>
      </c>
      <c r="DC348" s="78">
        <f t="shared" si="725"/>
        <v>0</v>
      </c>
      <c r="DD348" s="78">
        <f t="shared" si="725"/>
        <v>0</v>
      </c>
      <c r="DE348" s="78">
        <f t="shared" si="725"/>
        <v>0</v>
      </c>
      <c r="DF348" s="78">
        <f t="shared" si="725"/>
        <v>0</v>
      </c>
      <c r="DG348" s="78">
        <f t="shared" si="725"/>
        <v>0</v>
      </c>
      <c r="DH348" s="78">
        <f t="shared" si="725"/>
        <v>0</v>
      </c>
      <c r="DI348" s="78">
        <f t="shared" si="725"/>
        <v>0</v>
      </c>
      <c r="DJ348" s="78">
        <f t="shared" si="725"/>
        <v>0</v>
      </c>
      <c r="DK348" s="78">
        <f t="shared" ref="DK348:EI348" si="726">DK393</f>
        <v>0</v>
      </c>
      <c r="DL348" s="78">
        <f t="shared" si="726"/>
        <v>0</v>
      </c>
      <c r="DM348" s="78">
        <f t="shared" si="726"/>
        <v>0</v>
      </c>
      <c r="DN348" s="78">
        <f t="shared" si="726"/>
        <v>0</v>
      </c>
      <c r="DO348" s="78">
        <f t="shared" si="726"/>
        <v>0</v>
      </c>
      <c r="DP348" s="78">
        <f t="shared" si="726"/>
        <v>0</v>
      </c>
      <c r="DQ348" s="78">
        <f t="shared" si="726"/>
        <v>0</v>
      </c>
      <c r="DR348" s="78">
        <f t="shared" si="726"/>
        <v>0</v>
      </c>
      <c r="DS348" s="78">
        <f t="shared" si="726"/>
        <v>0</v>
      </c>
      <c r="DT348" s="78">
        <f t="shared" si="726"/>
        <v>0</v>
      </c>
      <c r="DU348" s="78">
        <f t="shared" si="726"/>
        <v>0</v>
      </c>
      <c r="DV348" s="78">
        <f t="shared" si="726"/>
        <v>0</v>
      </c>
      <c r="DW348" s="78">
        <f t="shared" si="726"/>
        <v>0</v>
      </c>
      <c r="DX348" s="78">
        <f t="shared" si="726"/>
        <v>0</v>
      </c>
      <c r="DY348" s="78">
        <f t="shared" si="726"/>
        <v>0</v>
      </c>
      <c r="DZ348" s="78">
        <f t="shared" si="726"/>
        <v>0</v>
      </c>
      <c r="EA348" s="78">
        <f t="shared" si="726"/>
        <v>0</v>
      </c>
      <c r="EB348" s="78">
        <f t="shared" si="726"/>
        <v>0</v>
      </c>
      <c r="EC348" s="78">
        <f t="shared" si="726"/>
        <v>0</v>
      </c>
      <c r="ED348" s="78">
        <f t="shared" si="726"/>
        <v>0</v>
      </c>
      <c r="EE348" s="78">
        <f t="shared" si="726"/>
        <v>0</v>
      </c>
      <c r="EF348" s="78">
        <f t="shared" si="726"/>
        <v>0</v>
      </c>
      <c r="EG348" s="78">
        <f t="shared" si="726"/>
        <v>0</v>
      </c>
      <c r="EH348" s="78">
        <f t="shared" si="726"/>
        <v>0</v>
      </c>
      <c r="EI348" s="78">
        <f t="shared" si="726"/>
        <v>0</v>
      </c>
    </row>
    <row r="349" spans="2:139">
      <c r="B349" s="880" t="s">
        <v>646</v>
      </c>
      <c r="C349" s="211"/>
      <c r="D349" s="78">
        <f t="shared" ref="D349:N349" si="727">IF(IrrCalculationType=170,D398,SUMIF($S$6:$EI$6,D$5,$S349:$EI349))</f>
        <v>0</v>
      </c>
      <c r="E349" s="78">
        <f t="shared" si="727"/>
        <v>0</v>
      </c>
      <c r="F349" s="78">
        <f t="shared" si="727"/>
        <v>0</v>
      </c>
      <c r="G349" s="78">
        <f t="shared" si="727"/>
        <v>0</v>
      </c>
      <c r="H349" s="78">
        <f t="shared" si="727"/>
        <v>0</v>
      </c>
      <c r="I349" s="78">
        <f t="shared" si="727"/>
        <v>0</v>
      </c>
      <c r="J349" s="78">
        <f t="shared" si="727"/>
        <v>0</v>
      </c>
      <c r="K349" s="78">
        <f t="shared" si="727"/>
        <v>0</v>
      </c>
      <c r="L349" s="78">
        <f t="shared" si="727"/>
        <v>0</v>
      </c>
      <c r="M349" s="78">
        <f t="shared" si="727"/>
        <v>0</v>
      </c>
      <c r="N349" s="78">
        <f t="shared" si="727"/>
        <v>0</v>
      </c>
      <c r="O349" s="145">
        <f t="shared" si="692"/>
        <v>0</v>
      </c>
      <c r="R349" s="879"/>
      <c r="S349" s="78">
        <f t="shared" ref="S349:AX349" si="728">S398</f>
        <v>0</v>
      </c>
      <c r="T349" s="78">
        <f t="shared" si="728"/>
        <v>0</v>
      </c>
      <c r="U349" s="78">
        <f t="shared" si="728"/>
        <v>0</v>
      </c>
      <c r="V349" s="78">
        <f t="shared" si="728"/>
        <v>0</v>
      </c>
      <c r="W349" s="78">
        <f t="shared" si="728"/>
        <v>0</v>
      </c>
      <c r="X349" s="78">
        <f t="shared" si="728"/>
        <v>0</v>
      </c>
      <c r="Y349" s="78">
        <f t="shared" si="728"/>
        <v>0</v>
      </c>
      <c r="Z349" s="78">
        <f t="shared" si="728"/>
        <v>0</v>
      </c>
      <c r="AA349" s="78">
        <f t="shared" si="728"/>
        <v>0</v>
      </c>
      <c r="AB349" s="78">
        <f t="shared" si="728"/>
        <v>0</v>
      </c>
      <c r="AC349" s="78">
        <f t="shared" si="728"/>
        <v>0</v>
      </c>
      <c r="AD349" s="78">
        <f t="shared" si="728"/>
        <v>0</v>
      </c>
      <c r="AE349" s="78">
        <f t="shared" si="728"/>
        <v>0</v>
      </c>
      <c r="AF349" s="78">
        <f t="shared" si="728"/>
        <v>0</v>
      </c>
      <c r="AG349" s="78">
        <f t="shared" si="728"/>
        <v>0</v>
      </c>
      <c r="AH349" s="78">
        <f t="shared" si="728"/>
        <v>0</v>
      </c>
      <c r="AI349" s="78">
        <f t="shared" si="728"/>
        <v>0</v>
      </c>
      <c r="AJ349" s="78">
        <f t="shared" si="728"/>
        <v>0</v>
      </c>
      <c r="AK349" s="78">
        <f t="shared" si="728"/>
        <v>0</v>
      </c>
      <c r="AL349" s="78">
        <f t="shared" si="728"/>
        <v>0</v>
      </c>
      <c r="AM349" s="78">
        <f t="shared" si="728"/>
        <v>0</v>
      </c>
      <c r="AN349" s="78">
        <f t="shared" si="728"/>
        <v>0</v>
      </c>
      <c r="AO349" s="78">
        <f t="shared" si="728"/>
        <v>0</v>
      </c>
      <c r="AP349" s="78">
        <f t="shared" si="728"/>
        <v>0</v>
      </c>
      <c r="AQ349" s="78">
        <f t="shared" si="728"/>
        <v>0</v>
      </c>
      <c r="AR349" s="78">
        <f t="shared" si="728"/>
        <v>0</v>
      </c>
      <c r="AS349" s="78">
        <f t="shared" si="728"/>
        <v>0</v>
      </c>
      <c r="AT349" s="78">
        <f t="shared" si="728"/>
        <v>0</v>
      </c>
      <c r="AU349" s="78">
        <f t="shared" si="728"/>
        <v>0</v>
      </c>
      <c r="AV349" s="78">
        <f t="shared" si="728"/>
        <v>0</v>
      </c>
      <c r="AW349" s="78">
        <f t="shared" si="728"/>
        <v>0</v>
      </c>
      <c r="AX349" s="78">
        <f t="shared" si="728"/>
        <v>0</v>
      </c>
      <c r="AY349" s="78">
        <f t="shared" ref="AY349:CD349" si="729">AY398</f>
        <v>0</v>
      </c>
      <c r="AZ349" s="78">
        <f t="shared" si="729"/>
        <v>0</v>
      </c>
      <c r="BA349" s="78">
        <f t="shared" si="729"/>
        <v>0</v>
      </c>
      <c r="BB349" s="78">
        <f t="shared" si="729"/>
        <v>0</v>
      </c>
      <c r="BC349" s="78">
        <f t="shared" si="729"/>
        <v>0</v>
      </c>
      <c r="BD349" s="78">
        <f t="shared" si="729"/>
        <v>0</v>
      </c>
      <c r="BE349" s="78">
        <f t="shared" si="729"/>
        <v>0</v>
      </c>
      <c r="BF349" s="78">
        <f t="shared" si="729"/>
        <v>0</v>
      </c>
      <c r="BG349" s="78">
        <f t="shared" si="729"/>
        <v>0</v>
      </c>
      <c r="BH349" s="78">
        <f t="shared" si="729"/>
        <v>0</v>
      </c>
      <c r="BI349" s="78">
        <f t="shared" si="729"/>
        <v>0</v>
      </c>
      <c r="BJ349" s="78">
        <f t="shared" si="729"/>
        <v>0</v>
      </c>
      <c r="BK349" s="78">
        <f t="shared" si="729"/>
        <v>0</v>
      </c>
      <c r="BL349" s="78">
        <f t="shared" si="729"/>
        <v>0</v>
      </c>
      <c r="BM349" s="78">
        <f t="shared" si="729"/>
        <v>0</v>
      </c>
      <c r="BN349" s="78">
        <f t="shared" si="729"/>
        <v>0</v>
      </c>
      <c r="BO349" s="78">
        <f t="shared" si="729"/>
        <v>0</v>
      </c>
      <c r="BP349" s="78">
        <f t="shared" si="729"/>
        <v>0</v>
      </c>
      <c r="BQ349" s="78">
        <f t="shared" si="729"/>
        <v>0</v>
      </c>
      <c r="BR349" s="78">
        <f t="shared" si="729"/>
        <v>0</v>
      </c>
      <c r="BS349" s="78">
        <f t="shared" si="729"/>
        <v>0</v>
      </c>
      <c r="BT349" s="78">
        <f t="shared" si="729"/>
        <v>0</v>
      </c>
      <c r="BU349" s="78">
        <f t="shared" si="729"/>
        <v>0</v>
      </c>
      <c r="BV349" s="78">
        <f t="shared" si="729"/>
        <v>0</v>
      </c>
      <c r="BW349" s="78">
        <f t="shared" si="729"/>
        <v>0</v>
      </c>
      <c r="BX349" s="78">
        <f t="shared" si="729"/>
        <v>0</v>
      </c>
      <c r="BY349" s="78">
        <f t="shared" si="729"/>
        <v>0</v>
      </c>
      <c r="BZ349" s="78">
        <f t="shared" si="729"/>
        <v>0</v>
      </c>
      <c r="CA349" s="78">
        <f t="shared" si="729"/>
        <v>0</v>
      </c>
      <c r="CB349" s="78">
        <f t="shared" si="729"/>
        <v>0</v>
      </c>
      <c r="CC349" s="78">
        <f t="shared" si="729"/>
        <v>0</v>
      </c>
      <c r="CD349" s="78">
        <f t="shared" si="729"/>
        <v>0</v>
      </c>
      <c r="CE349" s="78">
        <f t="shared" ref="CE349:DJ349" si="730">CE398</f>
        <v>0</v>
      </c>
      <c r="CF349" s="78">
        <f t="shared" si="730"/>
        <v>0</v>
      </c>
      <c r="CG349" s="78">
        <f t="shared" si="730"/>
        <v>0</v>
      </c>
      <c r="CH349" s="78">
        <f t="shared" si="730"/>
        <v>0</v>
      </c>
      <c r="CI349" s="78">
        <f t="shared" si="730"/>
        <v>0</v>
      </c>
      <c r="CJ349" s="78">
        <f t="shared" si="730"/>
        <v>0</v>
      </c>
      <c r="CK349" s="78">
        <f t="shared" si="730"/>
        <v>0</v>
      </c>
      <c r="CL349" s="78">
        <f t="shared" si="730"/>
        <v>0</v>
      </c>
      <c r="CM349" s="78">
        <f t="shared" si="730"/>
        <v>0</v>
      </c>
      <c r="CN349" s="78">
        <f t="shared" si="730"/>
        <v>0</v>
      </c>
      <c r="CO349" s="78">
        <f t="shared" si="730"/>
        <v>0</v>
      </c>
      <c r="CP349" s="78">
        <f t="shared" si="730"/>
        <v>0</v>
      </c>
      <c r="CQ349" s="78">
        <f t="shared" si="730"/>
        <v>0</v>
      </c>
      <c r="CR349" s="78">
        <f t="shared" si="730"/>
        <v>0</v>
      </c>
      <c r="CS349" s="78">
        <f t="shared" si="730"/>
        <v>0</v>
      </c>
      <c r="CT349" s="78">
        <f t="shared" si="730"/>
        <v>0</v>
      </c>
      <c r="CU349" s="78">
        <f t="shared" si="730"/>
        <v>0</v>
      </c>
      <c r="CV349" s="78">
        <f t="shared" si="730"/>
        <v>0</v>
      </c>
      <c r="CW349" s="78">
        <f t="shared" si="730"/>
        <v>0</v>
      </c>
      <c r="CX349" s="78">
        <f t="shared" si="730"/>
        <v>0</v>
      </c>
      <c r="CY349" s="78">
        <f t="shared" si="730"/>
        <v>0</v>
      </c>
      <c r="CZ349" s="78">
        <f t="shared" si="730"/>
        <v>0</v>
      </c>
      <c r="DA349" s="78">
        <f t="shared" si="730"/>
        <v>0</v>
      </c>
      <c r="DB349" s="78">
        <f t="shared" si="730"/>
        <v>0</v>
      </c>
      <c r="DC349" s="78">
        <f t="shared" si="730"/>
        <v>0</v>
      </c>
      <c r="DD349" s="78">
        <f t="shared" si="730"/>
        <v>0</v>
      </c>
      <c r="DE349" s="78">
        <f t="shared" si="730"/>
        <v>0</v>
      </c>
      <c r="DF349" s="78">
        <f t="shared" si="730"/>
        <v>0</v>
      </c>
      <c r="DG349" s="78">
        <f t="shared" si="730"/>
        <v>0</v>
      </c>
      <c r="DH349" s="78">
        <f t="shared" si="730"/>
        <v>0</v>
      </c>
      <c r="DI349" s="78">
        <f t="shared" si="730"/>
        <v>0</v>
      </c>
      <c r="DJ349" s="78">
        <f t="shared" si="730"/>
        <v>0</v>
      </c>
      <c r="DK349" s="78">
        <f t="shared" ref="DK349:EI349" si="731">DK398</f>
        <v>0</v>
      </c>
      <c r="DL349" s="78">
        <f t="shared" si="731"/>
        <v>0</v>
      </c>
      <c r="DM349" s="78">
        <f t="shared" si="731"/>
        <v>0</v>
      </c>
      <c r="DN349" s="78">
        <f t="shared" si="731"/>
        <v>0</v>
      </c>
      <c r="DO349" s="78">
        <f t="shared" si="731"/>
        <v>0</v>
      </c>
      <c r="DP349" s="78">
        <f t="shared" si="731"/>
        <v>0</v>
      </c>
      <c r="DQ349" s="78">
        <f t="shared" si="731"/>
        <v>0</v>
      </c>
      <c r="DR349" s="78">
        <f t="shared" si="731"/>
        <v>0</v>
      </c>
      <c r="DS349" s="78">
        <f t="shared" si="731"/>
        <v>0</v>
      </c>
      <c r="DT349" s="78">
        <f t="shared" si="731"/>
        <v>0</v>
      </c>
      <c r="DU349" s="78">
        <f t="shared" si="731"/>
        <v>0</v>
      </c>
      <c r="DV349" s="78">
        <f t="shared" si="731"/>
        <v>0</v>
      </c>
      <c r="DW349" s="78">
        <f t="shared" si="731"/>
        <v>0</v>
      </c>
      <c r="DX349" s="78">
        <f t="shared" si="731"/>
        <v>0</v>
      </c>
      <c r="DY349" s="78">
        <f t="shared" si="731"/>
        <v>0</v>
      </c>
      <c r="DZ349" s="78">
        <f t="shared" si="731"/>
        <v>0</v>
      </c>
      <c r="EA349" s="78">
        <f t="shared" si="731"/>
        <v>0</v>
      </c>
      <c r="EB349" s="78">
        <f t="shared" si="731"/>
        <v>0</v>
      </c>
      <c r="EC349" s="78">
        <f t="shared" si="731"/>
        <v>0</v>
      </c>
      <c r="ED349" s="78">
        <f t="shared" si="731"/>
        <v>0</v>
      </c>
      <c r="EE349" s="78">
        <f t="shared" si="731"/>
        <v>0</v>
      </c>
      <c r="EF349" s="78">
        <f t="shared" si="731"/>
        <v>0</v>
      </c>
      <c r="EG349" s="78">
        <f t="shared" si="731"/>
        <v>0</v>
      </c>
      <c r="EH349" s="78">
        <f t="shared" si="731"/>
        <v>0</v>
      </c>
      <c r="EI349" s="78">
        <f t="shared" si="731"/>
        <v>0</v>
      </c>
    </row>
    <row r="350" spans="2:139">
      <c r="B350" s="880" t="s">
        <v>647</v>
      </c>
      <c r="C350" s="211"/>
      <c r="D350" s="78">
        <f t="shared" ref="D350:N350" si="732">IF(IrrCalculationType=170,D379,SUMIF($S$6:$EI$6,D$5,$S350:$EI350))</f>
        <v>0</v>
      </c>
      <c r="E350" s="78">
        <f t="shared" si="732"/>
        <v>0</v>
      </c>
      <c r="F350" s="78">
        <f t="shared" si="732"/>
        <v>0</v>
      </c>
      <c r="G350" s="78">
        <f t="shared" si="732"/>
        <v>0</v>
      </c>
      <c r="H350" s="78">
        <f t="shared" si="732"/>
        <v>0</v>
      </c>
      <c r="I350" s="78">
        <f t="shared" si="732"/>
        <v>0</v>
      </c>
      <c r="J350" s="78">
        <f t="shared" si="732"/>
        <v>0</v>
      </c>
      <c r="K350" s="78">
        <f t="shared" si="732"/>
        <v>0</v>
      </c>
      <c r="L350" s="78">
        <f t="shared" si="732"/>
        <v>0</v>
      </c>
      <c r="M350" s="78">
        <f t="shared" si="732"/>
        <v>0</v>
      </c>
      <c r="N350" s="78">
        <f t="shared" si="732"/>
        <v>0</v>
      </c>
      <c r="O350" s="145">
        <f t="shared" si="692"/>
        <v>0</v>
      </c>
      <c r="R350" s="879"/>
      <c r="S350" s="78">
        <f t="shared" ref="S350:AX350" si="733">S379</f>
        <v>0</v>
      </c>
      <c r="T350" s="78">
        <f t="shared" si="733"/>
        <v>0</v>
      </c>
      <c r="U350" s="78">
        <f t="shared" si="733"/>
        <v>0</v>
      </c>
      <c r="V350" s="78">
        <f t="shared" si="733"/>
        <v>0</v>
      </c>
      <c r="W350" s="78">
        <f t="shared" si="733"/>
        <v>0</v>
      </c>
      <c r="X350" s="78">
        <f t="shared" si="733"/>
        <v>0</v>
      </c>
      <c r="Y350" s="78">
        <f t="shared" si="733"/>
        <v>0</v>
      </c>
      <c r="Z350" s="78">
        <f t="shared" si="733"/>
        <v>0</v>
      </c>
      <c r="AA350" s="78">
        <f t="shared" si="733"/>
        <v>0</v>
      </c>
      <c r="AB350" s="78">
        <f t="shared" si="733"/>
        <v>0</v>
      </c>
      <c r="AC350" s="78">
        <f t="shared" si="733"/>
        <v>0</v>
      </c>
      <c r="AD350" s="78">
        <f t="shared" si="733"/>
        <v>0</v>
      </c>
      <c r="AE350" s="78">
        <f t="shared" si="733"/>
        <v>0</v>
      </c>
      <c r="AF350" s="78">
        <f t="shared" si="733"/>
        <v>0</v>
      </c>
      <c r="AG350" s="78">
        <f t="shared" si="733"/>
        <v>0</v>
      </c>
      <c r="AH350" s="78">
        <f t="shared" si="733"/>
        <v>0</v>
      </c>
      <c r="AI350" s="78">
        <f t="shared" si="733"/>
        <v>0</v>
      </c>
      <c r="AJ350" s="78">
        <f t="shared" si="733"/>
        <v>0</v>
      </c>
      <c r="AK350" s="78">
        <f t="shared" si="733"/>
        <v>0</v>
      </c>
      <c r="AL350" s="78">
        <f t="shared" si="733"/>
        <v>0</v>
      </c>
      <c r="AM350" s="78">
        <f t="shared" si="733"/>
        <v>0</v>
      </c>
      <c r="AN350" s="78">
        <f t="shared" si="733"/>
        <v>0</v>
      </c>
      <c r="AO350" s="78">
        <f t="shared" si="733"/>
        <v>0</v>
      </c>
      <c r="AP350" s="78">
        <f t="shared" si="733"/>
        <v>0</v>
      </c>
      <c r="AQ350" s="78">
        <f t="shared" si="733"/>
        <v>0</v>
      </c>
      <c r="AR350" s="78">
        <f t="shared" si="733"/>
        <v>0</v>
      </c>
      <c r="AS350" s="78">
        <f t="shared" si="733"/>
        <v>0</v>
      </c>
      <c r="AT350" s="78">
        <f t="shared" si="733"/>
        <v>0</v>
      </c>
      <c r="AU350" s="78">
        <f t="shared" si="733"/>
        <v>0</v>
      </c>
      <c r="AV350" s="78">
        <f t="shared" si="733"/>
        <v>0</v>
      </c>
      <c r="AW350" s="78">
        <f t="shared" si="733"/>
        <v>0</v>
      </c>
      <c r="AX350" s="78">
        <f t="shared" si="733"/>
        <v>0</v>
      </c>
      <c r="AY350" s="78">
        <f t="shared" ref="AY350:CD350" si="734">AY379</f>
        <v>0</v>
      </c>
      <c r="AZ350" s="78">
        <f t="shared" si="734"/>
        <v>0</v>
      </c>
      <c r="BA350" s="78">
        <f t="shared" si="734"/>
        <v>0</v>
      </c>
      <c r="BB350" s="78">
        <f t="shared" si="734"/>
        <v>0</v>
      </c>
      <c r="BC350" s="78">
        <f t="shared" si="734"/>
        <v>0</v>
      </c>
      <c r="BD350" s="78">
        <f t="shared" si="734"/>
        <v>0</v>
      </c>
      <c r="BE350" s="78">
        <f t="shared" si="734"/>
        <v>0</v>
      </c>
      <c r="BF350" s="78">
        <f t="shared" si="734"/>
        <v>0</v>
      </c>
      <c r="BG350" s="78">
        <f t="shared" si="734"/>
        <v>0</v>
      </c>
      <c r="BH350" s="78">
        <f t="shared" si="734"/>
        <v>0</v>
      </c>
      <c r="BI350" s="78">
        <f t="shared" si="734"/>
        <v>0</v>
      </c>
      <c r="BJ350" s="78">
        <f t="shared" si="734"/>
        <v>0</v>
      </c>
      <c r="BK350" s="78">
        <f t="shared" si="734"/>
        <v>0</v>
      </c>
      <c r="BL350" s="78">
        <f t="shared" si="734"/>
        <v>0</v>
      </c>
      <c r="BM350" s="78">
        <f t="shared" si="734"/>
        <v>0</v>
      </c>
      <c r="BN350" s="78">
        <f t="shared" si="734"/>
        <v>0</v>
      </c>
      <c r="BO350" s="78">
        <f t="shared" si="734"/>
        <v>0</v>
      </c>
      <c r="BP350" s="78">
        <f t="shared" si="734"/>
        <v>0</v>
      </c>
      <c r="BQ350" s="78">
        <f t="shared" si="734"/>
        <v>0</v>
      </c>
      <c r="BR350" s="78">
        <f t="shared" si="734"/>
        <v>0</v>
      </c>
      <c r="BS350" s="78">
        <f t="shared" si="734"/>
        <v>0</v>
      </c>
      <c r="BT350" s="78">
        <f t="shared" si="734"/>
        <v>0</v>
      </c>
      <c r="BU350" s="78">
        <f t="shared" si="734"/>
        <v>0</v>
      </c>
      <c r="BV350" s="78">
        <f t="shared" si="734"/>
        <v>0</v>
      </c>
      <c r="BW350" s="78">
        <f t="shared" si="734"/>
        <v>0</v>
      </c>
      <c r="BX350" s="78">
        <f t="shared" si="734"/>
        <v>0</v>
      </c>
      <c r="BY350" s="78">
        <f t="shared" si="734"/>
        <v>0</v>
      </c>
      <c r="BZ350" s="78">
        <f t="shared" si="734"/>
        <v>0</v>
      </c>
      <c r="CA350" s="78">
        <f t="shared" si="734"/>
        <v>0</v>
      </c>
      <c r="CB350" s="78">
        <f t="shared" si="734"/>
        <v>0</v>
      </c>
      <c r="CC350" s="78">
        <f t="shared" si="734"/>
        <v>0</v>
      </c>
      <c r="CD350" s="78">
        <f t="shared" si="734"/>
        <v>0</v>
      </c>
      <c r="CE350" s="78">
        <f t="shared" ref="CE350:DJ350" si="735">CE379</f>
        <v>0</v>
      </c>
      <c r="CF350" s="78">
        <f t="shared" si="735"/>
        <v>0</v>
      </c>
      <c r="CG350" s="78">
        <f t="shared" si="735"/>
        <v>0</v>
      </c>
      <c r="CH350" s="78">
        <f t="shared" si="735"/>
        <v>0</v>
      </c>
      <c r="CI350" s="78">
        <f t="shared" si="735"/>
        <v>0</v>
      </c>
      <c r="CJ350" s="78">
        <f t="shared" si="735"/>
        <v>0</v>
      </c>
      <c r="CK350" s="78">
        <f t="shared" si="735"/>
        <v>0</v>
      </c>
      <c r="CL350" s="78">
        <f t="shared" si="735"/>
        <v>0</v>
      </c>
      <c r="CM350" s="78">
        <f t="shared" si="735"/>
        <v>0</v>
      </c>
      <c r="CN350" s="78">
        <f t="shared" si="735"/>
        <v>0</v>
      </c>
      <c r="CO350" s="78">
        <f t="shared" si="735"/>
        <v>0</v>
      </c>
      <c r="CP350" s="78">
        <f t="shared" si="735"/>
        <v>0</v>
      </c>
      <c r="CQ350" s="78">
        <f t="shared" si="735"/>
        <v>0</v>
      </c>
      <c r="CR350" s="78">
        <f t="shared" si="735"/>
        <v>0</v>
      </c>
      <c r="CS350" s="78">
        <f t="shared" si="735"/>
        <v>0</v>
      </c>
      <c r="CT350" s="78">
        <f t="shared" si="735"/>
        <v>0</v>
      </c>
      <c r="CU350" s="78">
        <f t="shared" si="735"/>
        <v>0</v>
      </c>
      <c r="CV350" s="78">
        <f t="shared" si="735"/>
        <v>0</v>
      </c>
      <c r="CW350" s="78">
        <f t="shared" si="735"/>
        <v>0</v>
      </c>
      <c r="CX350" s="78">
        <f t="shared" si="735"/>
        <v>0</v>
      </c>
      <c r="CY350" s="78">
        <f t="shared" si="735"/>
        <v>0</v>
      </c>
      <c r="CZ350" s="78">
        <f t="shared" si="735"/>
        <v>0</v>
      </c>
      <c r="DA350" s="78">
        <f t="shared" si="735"/>
        <v>0</v>
      </c>
      <c r="DB350" s="78">
        <f t="shared" si="735"/>
        <v>0</v>
      </c>
      <c r="DC350" s="78">
        <f t="shared" si="735"/>
        <v>0</v>
      </c>
      <c r="DD350" s="78">
        <f t="shared" si="735"/>
        <v>0</v>
      </c>
      <c r="DE350" s="78">
        <f t="shared" si="735"/>
        <v>0</v>
      </c>
      <c r="DF350" s="78">
        <f t="shared" si="735"/>
        <v>0</v>
      </c>
      <c r="DG350" s="78">
        <f t="shared" si="735"/>
        <v>0</v>
      </c>
      <c r="DH350" s="78">
        <f t="shared" si="735"/>
        <v>0</v>
      </c>
      <c r="DI350" s="78">
        <f t="shared" si="735"/>
        <v>0</v>
      </c>
      <c r="DJ350" s="78">
        <f t="shared" si="735"/>
        <v>0</v>
      </c>
      <c r="DK350" s="78">
        <f t="shared" ref="DK350:EI350" si="736">DK379</f>
        <v>0</v>
      </c>
      <c r="DL350" s="78">
        <f t="shared" si="736"/>
        <v>0</v>
      </c>
      <c r="DM350" s="78">
        <f t="shared" si="736"/>
        <v>0</v>
      </c>
      <c r="DN350" s="78">
        <f t="shared" si="736"/>
        <v>0</v>
      </c>
      <c r="DO350" s="78">
        <f t="shared" si="736"/>
        <v>0</v>
      </c>
      <c r="DP350" s="78">
        <f t="shared" si="736"/>
        <v>0</v>
      </c>
      <c r="DQ350" s="78">
        <f t="shared" si="736"/>
        <v>0</v>
      </c>
      <c r="DR350" s="78">
        <f t="shared" si="736"/>
        <v>0</v>
      </c>
      <c r="DS350" s="78">
        <f t="shared" si="736"/>
        <v>0</v>
      </c>
      <c r="DT350" s="78">
        <f t="shared" si="736"/>
        <v>0</v>
      </c>
      <c r="DU350" s="78">
        <f t="shared" si="736"/>
        <v>0</v>
      </c>
      <c r="DV350" s="78">
        <f t="shared" si="736"/>
        <v>0</v>
      </c>
      <c r="DW350" s="78">
        <f t="shared" si="736"/>
        <v>0</v>
      </c>
      <c r="DX350" s="78">
        <f t="shared" si="736"/>
        <v>0</v>
      </c>
      <c r="DY350" s="78">
        <f t="shared" si="736"/>
        <v>0</v>
      </c>
      <c r="DZ350" s="78">
        <f t="shared" si="736"/>
        <v>0</v>
      </c>
      <c r="EA350" s="78">
        <f t="shared" si="736"/>
        <v>0</v>
      </c>
      <c r="EB350" s="78">
        <f t="shared" si="736"/>
        <v>0</v>
      </c>
      <c r="EC350" s="78">
        <f t="shared" si="736"/>
        <v>0</v>
      </c>
      <c r="ED350" s="78">
        <f t="shared" si="736"/>
        <v>0</v>
      </c>
      <c r="EE350" s="78">
        <f t="shared" si="736"/>
        <v>0</v>
      </c>
      <c r="EF350" s="78">
        <f t="shared" si="736"/>
        <v>0</v>
      </c>
      <c r="EG350" s="78">
        <f t="shared" si="736"/>
        <v>0</v>
      </c>
      <c r="EH350" s="78">
        <f t="shared" si="736"/>
        <v>0</v>
      </c>
      <c r="EI350" s="78">
        <f t="shared" si="736"/>
        <v>0</v>
      </c>
    </row>
    <row r="351" spans="2:139">
      <c r="B351" s="41" t="s">
        <v>648</v>
      </c>
      <c r="C351" s="211"/>
      <c r="D351" s="78">
        <f t="shared" ref="D351:N351" si="737">IF(IrrCalculationType=170,MAX(-D270-D272,),SUMIF($S$6:$EI$6,D$5,$S351:$EI351))</f>
        <v>0</v>
      </c>
      <c r="E351" s="78">
        <f t="shared" si="737"/>
        <v>0</v>
      </c>
      <c r="F351" s="78">
        <f t="shared" si="737"/>
        <v>0</v>
      </c>
      <c r="G351" s="78">
        <f t="shared" si="737"/>
        <v>0</v>
      </c>
      <c r="H351" s="78">
        <f t="shared" si="737"/>
        <v>0</v>
      </c>
      <c r="I351" s="78">
        <f t="shared" si="737"/>
        <v>0</v>
      </c>
      <c r="J351" s="78">
        <f t="shared" si="737"/>
        <v>0</v>
      </c>
      <c r="K351" s="78">
        <f t="shared" si="737"/>
        <v>0</v>
      </c>
      <c r="L351" s="78">
        <f t="shared" si="737"/>
        <v>0</v>
      </c>
      <c r="M351" s="78">
        <f t="shared" si="737"/>
        <v>0</v>
      </c>
      <c r="N351" s="78">
        <f t="shared" si="737"/>
        <v>0</v>
      </c>
      <c r="O351" s="145">
        <f t="shared" si="692"/>
        <v>0</v>
      </c>
      <c r="R351" s="879"/>
      <c r="S351" s="78">
        <f t="shared" ref="S351:AX351" si="738">MAX(-S270-S272,)</f>
        <v>0</v>
      </c>
      <c r="T351" s="78">
        <f t="shared" si="738"/>
        <v>0</v>
      </c>
      <c r="U351" s="78">
        <f t="shared" si="738"/>
        <v>0</v>
      </c>
      <c r="V351" s="78">
        <f t="shared" si="738"/>
        <v>0</v>
      </c>
      <c r="W351" s="78">
        <f t="shared" si="738"/>
        <v>0</v>
      </c>
      <c r="X351" s="78">
        <f t="shared" si="738"/>
        <v>0</v>
      </c>
      <c r="Y351" s="78">
        <f t="shared" si="738"/>
        <v>0</v>
      </c>
      <c r="Z351" s="78">
        <f t="shared" si="738"/>
        <v>0</v>
      </c>
      <c r="AA351" s="78">
        <f t="shared" si="738"/>
        <v>0</v>
      </c>
      <c r="AB351" s="78">
        <f t="shared" si="738"/>
        <v>0</v>
      </c>
      <c r="AC351" s="78">
        <f t="shared" si="738"/>
        <v>0</v>
      </c>
      <c r="AD351" s="78">
        <f t="shared" si="738"/>
        <v>0</v>
      </c>
      <c r="AE351" s="78">
        <f t="shared" si="738"/>
        <v>0</v>
      </c>
      <c r="AF351" s="78">
        <f t="shared" si="738"/>
        <v>0</v>
      </c>
      <c r="AG351" s="78">
        <f t="shared" si="738"/>
        <v>0</v>
      </c>
      <c r="AH351" s="78">
        <f t="shared" si="738"/>
        <v>0</v>
      </c>
      <c r="AI351" s="78">
        <f t="shared" si="738"/>
        <v>0</v>
      </c>
      <c r="AJ351" s="78">
        <f t="shared" si="738"/>
        <v>0</v>
      </c>
      <c r="AK351" s="78">
        <f t="shared" si="738"/>
        <v>0</v>
      </c>
      <c r="AL351" s="78">
        <f t="shared" si="738"/>
        <v>0</v>
      </c>
      <c r="AM351" s="78">
        <f t="shared" si="738"/>
        <v>0</v>
      </c>
      <c r="AN351" s="78">
        <f t="shared" si="738"/>
        <v>0</v>
      </c>
      <c r="AO351" s="78">
        <f t="shared" si="738"/>
        <v>0</v>
      </c>
      <c r="AP351" s="78">
        <f t="shared" si="738"/>
        <v>0</v>
      </c>
      <c r="AQ351" s="78">
        <f t="shared" si="738"/>
        <v>0</v>
      </c>
      <c r="AR351" s="78">
        <f t="shared" si="738"/>
        <v>0</v>
      </c>
      <c r="AS351" s="78">
        <f t="shared" si="738"/>
        <v>0</v>
      </c>
      <c r="AT351" s="78">
        <f t="shared" si="738"/>
        <v>0</v>
      </c>
      <c r="AU351" s="78">
        <f t="shared" si="738"/>
        <v>0</v>
      </c>
      <c r="AV351" s="78">
        <f t="shared" si="738"/>
        <v>0</v>
      </c>
      <c r="AW351" s="78">
        <f t="shared" si="738"/>
        <v>0</v>
      </c>
      <c r="AX351" s="78">
        <f t="shared" si="738"/>
        <v>0</v>
      </c>
      <c r="AY351" s="78">
        <f t="shared" ref="AY351:CD351" si="739">MAX(-AY270-AY272,)</f>
        <v>0</v>
      </c>
      <c r="AZ351" s="78">
        <f t="shared" si="739"/>
        <v>0</v>
      </c>
      <c r="BA351" s="78">
        <f t="shared" si="739"/>
        <v>0</v>
      </c>
      <c r="BB351" s="78">
        <f t="shared" si="739"/>
        <v>0</v>
      </c>
      <c r="BC351" s="78">
        <f t="shared" si="739"/>
        <v>0</v>
      </c>
      <c r="BD351" s="78">
        <f t="shared" si="739"/>
        <v>0</v>
      </c>
      <c r="BE351" s="78">
        <f t="shared" si="739"/>
        <v>0</v>
      </c>
      <c r="BF351" s="78">
        <f t="shared" si="739"/>
        <v>0</v>
      </c>
      <c r="BG351" s="78">
        <f t="shared" si="739"/>
        <v>0</v>
      </c>
      <c r="BH351" s="78">
        <f t="shared" si="739"/>
        <v>0</v>
      </c>
      <c r="BI351" s="78">
        <f t="shared" si="739"/>
        <v>0</v>
      </c>
      <c r="BJ351" s="78">
        <f t="shared" si="739"/>
        <v>0</v>
      </c>
      <c r="BK351" s="78">
        <f t="shared" si="739"/>
        <v>0</v>
      </c>
      <c r="BL351" s="78">
        <f t="shared" si="739"/>
        <v>0</v>
      </c>
      <c r="BM351" s="78">
        <f t="shared" si="739"/>
        <v>0</v>
      </c>
      <c r="BN351" s="78">
        <f t="shared" si="739"/>
        <v>0</v>
      </c>
      <c r="BO351" s="78">
        <f t="shared" si="739"/>
        <v>0</v>
      </c>
      <c r="BP351" s="78">
        <f t="shared" si="739"/>
        <v>0</v>
      </c>
      <c r="BQ351" s="78">
        <f t="shared" si="739"/>
        <v>0</v>
      </c>
      <c r="BR351" s="78">
        <f t="shared" si="739"/>
        <v>0</v>
      </c>
      <c r="BS351" s="78">
        <f t="shared" si="739"/>
        <v>0</v>
      </c>
      <c r="BT351" s="78">
        <f t="shared" si="739"/>
        <v>0</v>
      </c>
      <c r="BU351" s="78">
        <f t="shared" si="739"/>
        <v>0</v>
      </c>
      <c r="BV351" s="78">
        <f t="shared" si="739"/>
        <v>0</v>
      </c>
      <c r="BW351" s="78">
        <f t="shared" si="739"/>
        <v>0</v>
      </c>
      <c r="BX351" s="78">
        <f t="shared" si="739"/>
        <v>0</v>
      </c>
      <c r="BY351" s="78">
        <f t="shared" si="739"/>
        <v>0</v>
      </c>
      <c r="BZ351" s="78">
        <f t="shared" si="739"/>
        <v>0</v>
      </c>
      <c r="CA351" s="78">
        <f t="shared" si="739"/>
        <v>0</v>
      </c>
      <c r="CB351" s="78">
        <f t="shared" si="739"/>
        <v>0</v>
      </c>
      <c r="CC351" s="78">
        <f t="shared" si="739"/>
        <v>0</v>
      </c>
      <c r="CD351" s="78">
        <f t="shared" si="739"/>
        <v>0</v>
      </c>
      <c r="CE351" s="78">
        <f t="shared" ref="CE351:DJ351" si="740">MAX(-CE270-CE272,)</f>
        <v>0</v>
      </c>
      <c r="CF351" s="78">
        <f t="shared" si="740"/>
        <v>0</v>
      </c>
      <c r="CG351" s="78">
        <f t="shared" si="740"/>
        <v>0</v>
      </c>
      <c r="CH351" s="78">
        <f t="shared" si="740"/>
        <v>0</v>
      </c>
      <c r="CI351" s="78">
        <f t="shared" si="740"/>
        <v>0</v>
      </c>
      <c r="CJ351" s="78">
        <f t="shared" si="740"/>
        <v>0</v>
      </c>
      <c r="CK351" s="78">
        <f t="shared" si="740"/>
        <v>0</v>
      </c>
      <c r="CL351" s="78">
        <f t="shared" si="740"/>
        <v>0</v>
      </c>
      <c r="CM351" s="78">
        <f t="shared" si="740"/>
        <v>0</v>
      </c>
      <c r="CN351" s="78">
        <f t="shared" si="740"/>
        <v>0</v>
      </c>
      <c r="CO351" s="78">
        <f t="shared" si="740"/>
        <v>0</v>
      </c>
      <c r="CP351" s="78">
        <f t="shared" si="740"/>
        <v>0</v>
      </c>
      <c r="CQ351" s="78">
        <f t="shared" si="740"/>
        <v>0</v>
      </c>
      <c r="CR351" s="78">
        <f t="shared" si="740"/>
        <v>0</v>
      </c>
      <c r="CS351" s="78">
        <f t="shared" si="740"/>
        <v>0</v>
      </c>
      <c r="CT351" s="78">
        <f t="shared" si="740"/>
        <v>0</v>
      </c>
      <c r="CU351" s="78">
        <f t="shared" si="740"/>
        <v>0</v>
      </c>
      <c r="CV351" s="78">
        <f t="shared" si="740"/>
        <v>0</v>
      </c>
      <c r="CW351" s="78">
        <f t="shared" si="740"/>
        <v>0</v>
      </c>
      <c r="CX351" s="78">
        <f t="shared" si="740"/>
        <v>0</v>
      </c>
      <c r="CY351" s="78">
        <f t="shared" si="740"/>
        <v>0</v>
      </c>
      <c r="CZ351" s="78">
        <f t="shared" si="740"/>
        <v>0</v>
      </c>
      <c r="DA351" s="78">
        <f t="shared" si="740"/>
        <v>0</v>
      </c>
      <c r="DB351" s="78">
        <f t="shared" si="740"/>
        <v>0</v>
      </c>
      <c r="DC351" s="78">
        <f t="shared" si="740"/>
        <v>0</v>
      </c>
      <c r="DD351" s="78">
        <f t="shared" si="740"/>
        <v>0</v>
      </c>
      <c r="DE351" s="78">
        <f t="shared" si="740"/>
        <v>0</v>
      </c>
      <c r="DF351" s="78">
        <f t="shared" si="740"/>
        <v>0</v>
      </c>
      <c r="DG351" s="78">
        <f t="shared" si="740"/>
        <v>0</v>
      </c>
      <c r="DH351" s="78">
        <f t="shared" si="740"/>
        <v>0</v>
      </c>
      <c r="DI351" s="78">
        <f t="shared" si="740"/>
        <v>0</v>
      </c>
      <c r="DJ351" s="78">
        <f t="shared" si="740"/>
        <v>0</v>
      </c>
      <c r="DK351" s="78">
        <f t="shared" ref="DK351:EI351" si="741">MAX(-DK270-DK272,)</f>
        <v>0</v>
      </c>
      <c r="DL351" s="78">
        <f t="shared" si="741"/>
        <v>0</v>
      </c>
      <c r="DM351" s="78">
        <f t="shared" si="741"/>
        <v>0</v>
      </c>
      <c r="DN351" s="78">
        <f t="shared" si="741"/>
        <v>0</v>
      </c>
      <c r="DO351" s="78">
        <f t="shared" si="741"/>
        <v>0</v>
      </c>
      <c r="DP351" s="78">
        <f t="shared" si="741"/>
        <v>0</v>
      </c>
      <c r="DQ351" s="78">
        <f t="shared" si="741"/>
        <v>0</v>
      </c>
      <c r="DR351" s="78">
        <f t="shared" si="741"/>
        <v>0</v>
      </c>
      <c r="DS351" s="78">
        <f t="shared" si="741"/>
        <v>0</v>
      </c>
      <c r="DT351" s="78">
        <f t="shared" si="741"/>
        <v>0</v>
      </c>
      <c r="DU351" s="78">
        <f t="shared" si="741"/>
        <v>0</v>
      </c>
      <c r="DV351" s="78">
        <f t="shared" si="741"/>
        <v>0</v>
      </c>
      <c r="DW351" s="78">
        <f t="shared" si="741"/>
        <v>0</v>
      </c>
      <c r="DX351" s="78">
        <f t="shared" si="741"/>
        <v>0</v>
      </c>
      <c r="DY351" s="78">
        <f t="shared" si="741"/>
        <v>0</v>
      </c>
      <c r="DZ351" s="78">
        <f t="shared" si="741"/>
        <v>0</v>
      </c>
      <c r="EA351" s="78">
        <f t="shared" si="741"/>
        <v>0</v>
      </c>
      <c r="EB351" s="78">
        <f t="shared" si="741"/>
        <v>0</v>
      </c>
      <c r="EC351" s="78">
        <f t="shared" si="741"/>
        <v>0</v>
      </c>
      <c r="ED351" s="78">
        <f t="shared" si="741"/>
        <v>0</v>
      </c>
      <c r="EE351" s="78">
        <f t="shared" si="741"/>
        <v>0</v>
      </c>
      <c r="EF351" s="78">
        <f t="shared" si="741"/>
        <v>0</v>
      </c>
      <c r="EG351" s="78">
        <f t="shared" si="741"/>
        <v>0</v>
      </c>
      <c r="EH351" s="78">
        <f t="shared" si="741"/>
        <v>0</v>
      </c>
      <c r="EI351" s="78">
        <f t="shared" si="741"/>
        <v>0</v>
      </c>
    </row>
    <row r="352" spans="2:139">
      <c r="B352" s="880" t="s">
        <v>649</v>
      </c>
      <c r="C352" s="211"/>
      <c r="D352" s="78">
        <f t="shared" ref="D352:N352" si="742">IF(IrrCalculationType=170,D388,SUMIF($S$6:$EI$6,D$5,$S352:$EI352))</f>
        <v>0</v>
      </c>
      <c r="E352" s="78">
        <f t="shared" si="742"/>
        <v>0</v>
      </c>
      <c r="F352" s="78">
        <f t="shared" si="742"/>
        <v>0</v>
      </c>
      <c r="G352" s="78">
        <f t="shared" si="742"/>
        <v>0</v>
      </c>
      <c r="H352" s="78">
        <f t="shared" si="742"/>
        <v>0</v>
      </c>
      <c r="I352" s="78">
        <f t="shared" si="742"/>
        <v>0</v>
      </c>
      <c r="J352" s="78">
        <f t="shared" si="742"/>
        <v>0</v>
      </c>
      <c r="K352" s="78">
        <f t="shared" si="742"/>
        <v>0</v>
      </c>
      <c r="L352" s="78">
        <f t="shared" si="742"/>
        <v>0</v>
      </c>
      <c r="M352" s="78">
        <f t="shared" si="742"/>
        <v>0</v>
      </c>
      <c r="N352" s="78">
        <f t="shared" si="742"/>
        <v>0</v>
      </c>
      <c r="O352" s="145">
        <f t="shared" si="692"/>
        <v>0</v>
      </c>
      <c r="R352" s="879"/>
      <c r="S352" s="78">
        <f t="shared" ref="S352:AX352" si="743">S388</f>
        <v>0</v>
      </c>
      <c r="T352" s="78">
        <f t="shared" si="743"/>
        <v>0</v>
      </c>
      <c r="U352" s="78">
        <f t="shared" si="743"/>
        <v>0</v>
      </c>
      <c r="V352" s="78">
        <f t="shared" si="743"/>
        <v>0</v>
      </c>
      <c r="W352" s="78">
        <f t="shared" si="743"/>
        <v>0</v>
      </c>
      <c r="X352" s="78">
        <f t="shared" si="743"/>
        <v>0</v>
      </c>
      <c r="Y352" s="78">
        <f t="shared" si="743"/>
        <v>0</v>
      </c>
      <c r="Z352" s="78">
        <f t="shared" si="743"/>
        <v>0</v>
      </c>
      <c r="AA352" s="78">
        <f t="shared" si="743"/>
        <v>0</v>
      </c>
      <c r="AB352" s="78">
        <f t="shared" si="743"/>
        <v>0</v>
      </c>
      <c r="AC352" s="78">
        <f t="shared" si="743"/>
        <v>0</v>
      </c>
      <c r="AD352" s="78">
        <f t="shared" si="743"/>
        <v>0</v>
      </c>
      <c r="AE352" s="78">
        <f t="shared" si="743"/>
        <v>0</v>
      </c>
      <c r="AF352" s="78">
        <f t="shared" si="743"/>
        <v>0</v>
      </c>
      <c r="AG352" s="78">
        <f t="shared" si="743"/>
        <v>0</v>
      </c>
      <c r="AH352" s="78">
        <f t="shared" si="743"/>
        <v>0</v>
      </c>
      <c r="AI352" s="78">
        <f t="shared" si="743"/>
        <v>0</v>
      </c>
      <c r="AJ352" s="78">
        <f t="shared" si="743"/>
        <v>0</v>
      </c>
      <c r="AK352" s="78">
        <f t="shared" si="743"/>
        <v>0</v>
      </c>
      <c r="AL352" s="78">
        <f t="shared" si="743"/>
        <v>0</v>
      </c>
      <c r="AM352" s="78">
        <f t="shared" si="743"/>
        <v>0</v>
      </c>
      <c r="AN352" s="78">
        <f t="shared" si="743"/>
        <v>0</v>
      </c>
      <c r="AO352" s="78">
        <f t="shared" si="743"/>
        <v>0</v>
      </c>
      <c r="AP352" s="78">
        <f t="shared" si="743"/>
        <v>0</v>
      </c>
      <c r="AQ352" s="78">
        <f t="shared" si="743"/>
        <v>0</v>
      </c>
      <c r="AR352" s="78">
        <f t="shared" si="743"/>
        <v>0</v>
      </c>
      <c r="AS352" s="78">
        <f t="shared" si="743"/>
        <v>0</v>
      </c>
      <c r="AT352" s="78">
        <f t="shared" si="743"/>
        <v>0</v>
      </c>
      <c r="AU352" s="78">
        <f t="shared" si="743"/>
        <v>0</v>
      </c>
      <c r="AV352" s="78">
        <f t="shared" si="743"/>
        <v>0</v>
      </c>
      <c r="AW352" s="78">
        <f t="shared" si="743"/>
        <v>0</v>
      </c>
      <c r="AX352" s="78">
        <f t="shared" si="743"/>
        <v>0</v>
      </c>
      <c r="AY352" s="78">
        <f t="shared" ref="AY352:CD352" si="744">AY388</f>
        <v>0</v>
      </c>
      <c r="AZ352" s="78">
        <f t="shared" si="744"/>
        <v>0</v>
      </c>
      <c r="BA352" s="78">
        <f t="shared" si="744"/>
        <v>0</v>
      </c>
      <c r="BB352" s="78">
        <f t="shared" si="744"/>
        <v>0</v>
      </c>
      <c r="BC352" s="78">
        <f t="shared" si="744"/>
        <v>0</v>
      </c>
      <c r="BD352" s="78">
        <f t="shared" si="744"/>
        <v>0</v>
      </c>
      <c r="BE352" s="78">
        <f t="shared" si="744"/>
        <v>0</v>
      </c>
      <c r="BF352" s="78">
        <f t="shared" si="744"/>
        <v>0</v>
      </c>
      <c r="BG352" s="78">
        <f t="shared" si="744"/>
        <v>0</v>
      </c>
      <c r="BH352" s="78">
        <f t="shared" si="744"/>
        <v>0</v>
      </c>
      <c r="BI352" s="78">
        <f t="shared" si="744"/>
        <v>0</v>
      </c>
      <c r="BJ352" s="78">
        <f t="shared" si="744"/>
        <v>0</v>
      </c>
      <c r="BK352" s="78">
        <f t="shared" si="744"/>
        <v>0</v>
      </c>
      <c r="BL352" s="78">
        <f t="shared" si="744"/>
        <v>0</v>
      </c>
      <c r="BM352" s="78">
        <f t="shared" si="744"/>
        <v>0</v>
      </c>
      <c r="BN352" s="78">
        <f t="shared" si="744"/>
        <v>0</v>
      </c>
      <c r="BO352" s="78">
        <f t="shared" si="744"/>
        <v>0</v>
      </c>
      <c r="BP352" s="78">
        <f t="shared" si="744"/>
        <v>0</v>
      </c>
      <c r="BQ352" s="78">
        <f t="shared" si="744"/>
        <v>0</v>
      </c>
      <c r="BR352" s="78">
        <f t="shared" si="744"/>
        <v>0</v>
      </c>
      <c r="BS352" s="78">
        <f t="shared" si="744"/>
        <v>0</v>
      </c>
      <c r="BT352" s="78">
        <f t="shared" si="744"/>
        <v>0</v>
      </c>
      <c r="BU352" s="78">
        <f t="shared" si="744"/>
        <v>0</v>
      </c>
      <c r="BV352" s="78">
        <f t="shared" si="744"/>
        <v>0</v>
      </c>
      <c r="BW352" s="78">
        <f t="shared" si="744"/>
        <v>0</v>
      </c>
      <c r="BX352" s="78">
        <f t="shared" si="744"/>
        <v>0</v>
      </c>
      <c r="BY352" s="78">
        <f t="shared" si="744"/>
        <v>0</v>
      </c>
      <c r="BZ352" s="78">
        <f t="shared" si="744"/>
        <v>0</v>
      </c>
      <c r="CA352" s="78">
        <f t="shared" si="744"/>
        <v>0</v>
      </c>
      <c r="CB352" s="78">
        <f t="shared" si="744"/>
        <v>0</v>
      </c>
      <c r="CC352" s="78">
        <f t="shared" si="744"/>
        <v>0</v>
      </c>
      <c r="CD352" s="78">
        <f t="shared" si="744"/>
        <v>0</v>
      </c>
      <c r="CE352" s="78">
        <f t="shared" ref="CE352:DJ352" si="745">CE388</f>
        <v>0</v>
      </c>
      <c r="CF352" s="78">
        <f t="shared" si="745"/>
        <v>0</v>
      </c>
      <c r="CG352" s="78">
        <f t="shared" si="745"/>
        <v>0</v>
      </c>
      <c r="CH352" s="78">
        <f t="shared" si="745"/>
        <v>0</v>
      </c>
      <c r="CI352" s="78">
        <f t="shared" si="745"/>
        <v>0</v>
      </c>
      <c r="CJ352" s="78">
        <f t="shared" si="745"/>
        <v>0</v>
      </c>
      <c r="CK352" s="78">
        <f t="shared" si="745"/>
        <v>0</v>
      </c>
      <c r="CL352" s="78">
        <f t="shared" si="745"/>
        <v>0</v>
      </c>
      <c r="CM352" s="78">
        <f t="shared" si="745"/>
        <v>0</v>
      </c>
      <c r="CN352" s="78">
        <f t="shared" si="745"/>
        <v>0</v>
      </c>
      <c r="CO352" s="78">
        <f t="shared" si="745"/>
        <v>0</v>
      </c>
      <c r="CP352" s="78">
        <f t="shared" si="745"/>
        <v>0</v>
      </c>
      <c r="CQ352" s="78">
        <f t="shared" si="745"/>
        <v>0</v>
      </c>
      <c r="CR352" s="78">
        <f t="shared" si="745"/>
        <v>0</v>
      </c>
      <c r="CS352" s="78">
        <f t="shared" si="745"/>
        <v>0</v>
      </c>
      <c r="CT352" s="78">
        <f t="shared" si="745"/>
        <v>0</v>
      </c>
      <c r="CU352" s="78">
        <f t="shared" si="745"/>
        <v>0</v>
      </c>
      <c r="CV352" s="78">
        <f t="shared" si="745"/>
        <v>0</v>
      </c>
      <c r="CW352" s="78">
        <f t="shared" si="745"/>
        <v>0</v>
      </c>
      <c r="CX352" s="78">
        <f t="shared" si="745"/>
        <v>0</v>
      </c>
      <c r="CY352" s="78">
        <f t="shared" si="745"/>
        <v>0</v>
      </c>
      <c r="CZ352" s="78">
        <f t="shared" si="745"/>
        <v>0</v>
      </c>
      <c r="DA352" s="78">
        <f t="shared" si="745"/>
        <v>0</v>
      </c>
      <c r="DB352" s="78">
        <f t="shared" si="745"/>
        <v>0</v>
      </c>
      <c r="DC352" s="78">
        <f t="shared" si="745"/>
        <v>0</v>
      </c>
      <c r="DD352" s="78">
        <f t="shared" si="745"/>
        <v>0</v>
      </c>
      <c r="DE352" s="78">
        <f t="shared" si="745"/>
        <v>0</v>
      </c>
      <c r="DF352" s="78">
        <f t="shared" si="745"/>
        <v>0</v>
      </c>
      <c r="DG352" s="78">
        <f t="shared" si="745"/>
        <v>0</v>
      </c>
      <c r="DH352" s="78">
        <f t="shared" si="745"/>
        <v>0</v>
      </c>
      <c r="DI352" s="78">
        <f t="shared" si="745"/>
        <v>0</v>
      </c>
      <c r="DJ352" s="78">
        <f t="shared" si="745"/>
        <v>0</v>
      </c>
      <c r="DK352" s="78">
        <f t="shared" ref="DK352:EI352" si="746">DK388</f>
        <v>0</v>
      </c>
      <c r="DL352" s="78">
        <f t="shared" si="746"/>
        <v>0</v>
      </c>
      <c r="DM352" s="78">
        <f t="shared" si="746"/>
        <v>0</v>
      </c>
      <c r="DN352" s="78">
        <f t="shared" si="746"/>
        <v>0</v>
      </c>
      <c r="DO352" s="78">
        <f t="shared" si="746"/>
        <v>0</v>
      </c>
      <c r="DP352" s="78">
        <f t="shared" si="746"/>
        <v>0</v>
      </c>
      <c r="DQ352" s="78">
        <f t="shared" si="746"/>
        <v>0</v>
      </c>
      <c r="DR352" s="78">
        <f t="shared" si="746"/>
        <v>0</v>
      </c>
      <c r="DS352" s="78">
        <f t="shared" si="746"/>
        <v>0</v>
      </c>
      <c r="DT352" s="78">
        <f t="shared" si="746"/>
        <v>0</v>
      </c>
      <c r="DU352" s="78">
        <f t="shared" si="746"/>
        <v>0</v>
      </c>
      <c r="DV352" s="78">
        <f t="shared" si="746"/>
        <v>0</v>
      </c>
      <c r="DW352" s="78">
        <f t="shared" si="746"/>
        <v>0</v>
      </c>
      <c r="DX352" s="78">
        <f t="shared" si="746"/>
        <v>0</v>
      </c>
      <c r="DY352" s="78">
        <f t="shared" si="746"/>
        <v>0</v>
      </c>
      <c r="DZ352" s="78">
        <f t="shared" si="746"/>
        <v>0</v>
      </c>
      <c r="EA352" s="78">
        <f t="shared" si="746"/>
        <v>0</v>
      </c>
      <c r="EB352" s="78">
        <f t="shared" si="746"/>
        <v>0</v>
      </c>
      <c r="EC352" s="78">
        <f t="shared" si="746"/>
        <v>0</v>
      </c>
      <c r="ED352" s="78">
        <f t="shared" si="746"/>
        <v>0</v>
      </c>
      <c r="EE352" s="78">
        <f t="shared" si="746"/>
        <v>0</v>
      </c>
      <c r="EF352" s="78">
        <f t="shared" si="746"/>
        <v>0</v>
      </c>
      <c r="EG352" s="78">
        <f t="shared" si="746"/>
        <v>0</v>
      </c>
      <c r="EH352" s="78">
        <f t="shared" si="746"/>
        <v>0</v>
      </c>
      <c r="EI352" s="78">
        <f t="shared" si="746"/>
        <v>0</v>
      </c>
    </row>
    <row r="353" spans="2:139">
      <c r="B353" s="880" t="s">
        <v>650</v>
      </c>
      <c r="C353" s="211"/>
      <c r="D353" s="78">
        <f t="shared" ref="D353:N353" si="747">IF(IrrCalculationType=170,D399,SUMIF($S$6:$EI$6,D$5,$S353:$EI353))</f>
        <v>0</v>
      </c>
      <c r="E353" s="78">
        <f t="shared" si="747"/>
        <v>0</v>
      </c>
      <c r="F353" s="78">
        <f t="shared" si="747"/>
        <v>0</v>
      </c>
      <c r="G353" s="78">
        <f t="shared" si="747"/>
        <v>0</v>
      </c>
      <c r="H353" s="78">
        <f t="shared" si="747"/>
        <v>0</v>
      </c>
      <c r="I353" s="78">
        <f t="shared" si="747"/>
        <v>0</v>
      </c>
      <c r="J353" s="78">
        <f t="shared" si="747"/>
        <v>0</v>
      </c>
      <c r="K353" s="78">
        <f t="shared" si="747"/>
        <v>0</v>
      </c>
      <c r="L353" s="78">
        <f t="shared" si="747"/>
        <v>0</v>
      </c>
      <c r="M353" s="78">
        <f t="shared" si="747"/>
        <v>0</v>
      </c>
      <c r="N353" s="78">
        <f t="shared" si="747"/>
        <v>0</v>
      </c>
      <c r="O353" s="145">
        <f t="shared" si="692"/>
        <v>0</v>
      </c>
      <c r="R353" s="879"/>
      <c r="S353" s="78">
        <f t="shared" ref="S353:AX353" si="748">S399</f>
        <v>0</v>
      </c>
      <c r="T353" s="78">
        <f t="shared" si="748"/>
        <v>0</v>
      </c>
      <c r="U353" s="78">
        <f t="shared" si="748"/>
        <v>0</v>
      </c>
      <c r="V353" s="78">
        <f t="shared" si="748"/>
        <v>0</v>
      </c>
      <c r="W353" s="78">
        <f t="shared" si="748"/>
        <v>0</v>
      </c>
      <c r="X353" s="78">
        <f t="shared" si="748"/>
        <v>0</v>
      </c>
      <c r="Y353" s="78">
        <f t="shared" si="748"/>
        <v>0</v>
      </c>
      <c r="Z353" s="78">
        <f t="shared" si="748"/>
        <v>0</v>
      </c>
      <c r="AA353" s="78">
        <f t="shared" si="748"/>
        <v>0</v>
      </c>
      <c r="AB353" s="78">
        <f t="shared" si="748"/>
        <v>0</v>
      </c>
      <c r="AC353" s="78">
        <f t="shared" si="748"/>
        <v>0</v>
      </c>
      <c r="AD353" s="78">
        <f t="shared" si="748"/>
        <v>0</v>
      </c>
      <c r="AE353" s="78">
        <f t="shared" si="748"/>
        <v>0</v>
      </c>
      <c r="AF353" s="78">
        <f t="shared" si="748"/>
        <v>0</v>
      </c>
      <c r="AG353" s="78">
        <f t="shared" si="748"/>
        <v>0</v>
      </c>
      <c r="AH353" s="78">
        <f t="shared" si="748"/>
        <v>0</v>
      </c>
      <c r="AI353" s="78">
        <f t="shared" si="748"/>
        <v>0</v>
      </c>
      <c r="AJ353" s="78">
        <f t="shared" si="748"/>
        <v>0</v>
      </c>
      <c r="AK353" s="78">
        <f t="shared" si="748"/>
        <v>0</v>
      </c>
      <c r="AL353" s="78">
        <f t="shared" si="748"/>
        <v>0</v>
      </c>
      <c r="AM353" s="78">
        <f t="shared" si="748"/>
        <v>0</v>
      </c>
      <c r="AN353" s="78">
        <f t="shared" si="748"/>
        <v>0</v>
      </c>
      <c r="AO353" s="78">
        <f t="shared" si="748"/>
        <v>0</v>
      </c>
      <c r="AP353" s="78">
        <f t="shared" si="748"/>
        <v>0</v>
      </c>
      <c r="AQ353" s="78">
        <f t="shared" si="748"/>
        <v>0</v>
      </c>
      <c r="AR353" s="78">
        <f t="shared" si="748"/>
        <v>0</v>
      </c>
      <c r="AS353" s="78">
        <f t="shared" si="748"/>
        <v>0</v>
      </c>
      <c r="AT353" s="78">
        <f t="shared" si="748"/>
        <v>0</v>
      </c>
      <c r="AU353" s="78">
        <f t="shared" si="748"/>
        <v>0</v>
      </c>
      <c r="AV353" s="78">
        <f t="shared" si="748"/>
        <v>0</v>
      </c>
      <c r="AW353" s="78">
        <f t="shared" si="748"/>
        <v>0</v>
      </c>
      <c r="AX353" s="78">
        <f t="shared" si="748"/>
        <v>0</v>
      </c>
      <c r="AY353" s="78">
        <f t="shared" ref="AY353:CD353" si="749">AY399</f>
        <v>0</v>
      </c>
      <c r="AZ353" s="78">
        <f t="shared" si="749"/>
        <v>0</v>
      </c>
      <c r="BA353" s="78">
        <f t="shared" si="749"/>
        <v>0</v>
      </c>
      <c r="BB353" s="78">
        <f t="shared" si="749"/>
        <v>0</v>
      </c>
      <c r="BC353" s="78">
        <f t="shared" si="749"/>
        <v>0</v>
      </c>
      <c r="BD353" s="78">
        <f t="shared" si="749"/>
        <v>0</v>
      </c>
      <c r="BE353" s="78">
        <f t="shared" si="749"/>
        <v>0</v>
      </c>
      <c r="BF353" s="78">
        <f t="shared" si="749"/>
        <v>0</v>
      </c>
      <c r="BG353" s="78">
        <f t="shared" si="749"/>
        <v>0</v>
      </c>
      <c r="BH353" s="78">
        <f t="shared" si="749"/>
        <v>0</v>
      </c>
      <c r="BI353" s="78">
        <f t="shared" si="749"/>
        <v>0</v>
      </c>
      <c r="BJ353" s="78">
        <f t="shared" si="749"/>
        <v>0</v>
      </c>
      <c r="BK353" s="78">
        <f t="shared" si="749"/>
        <v>0</v>
      </c>
      <c r="BL353" s="78">
        <f t="shared" si="749"/>
        <v>0</v>
      </c>
      <c r="BM353" s="78">
        <f t="shared" si="749"/>
        <v>0</v>
      </c>
      <c r="BN353" s="78">
        <f t="shared" si="749"/>
        <v>0</v>
      </c>
      <c r="BO353" s="78">
        <f t="shared" si="749"/>
        <v>0</v>
      </c>
      <c r="BP353" s="78">
        <f t="shared" si="749"/>
        <v>0</v>
      </c>
      <c r="BQ353" s="78">
        <f t="shared" si="749"/>
        <v>0</v>
      </c>
      <c r="BR353" s="78">
        <f t="shared" si="749"/>
        <v>0</v>
      </c>
      <c r="BS353" s="78">
        <f t="shared" si="749"/>
        <v>0</v>
      </c>
      <c r="BT353" s="78">
        <f t="shared" si="749"/>
        <v>0</v>
      </c>
      <c r="BU353" s="78">
        <f t="shared" si="749"/>
        <v>0</v>
      </c>
      <c r="BV353" s="78">
        <f t="shared" si="749"/>
        <v>0</v>
      </c>
      <c r="BW353" s="78">
        <f t="shared" si="749"/>
        <v>0</v>
      </c>
      <c r="BX353" s="78">
        <f t="shared" si="749"/>
        <v>0</v>
      </c>
      <c r="BY353" s="78">
        <f t="shared" si="749"/>
        <v>0</v>
      </c>
      <c r="BZ353" s="78">
        <f t="shared" si="749"/>
        <v>0</v>
      </c>
      <c r="CA353" s="78">
        <f t="shared" si="749"/>
        <v>0</v>
      </c>
      <c r="CB353" s="78">
        <f t="shared" si="749"/>
        <v>0</v>
      </c>
      <c r="CC353" s="78">
        <f t="shared" si="749"/>
        <v>0</v>
      </c>
      <c r="CD353" s="78">
        <f t="shared" si="749"/>
        <v>0</v>
      </c>
      <c r="CE353" s="78">
        <f t="shared" ref="CE353:DJ353" si="750">CE399</f>
        <v>0</v>
      </c>
      <c r="CF353" s="78">
        <f t="shared" si="750"/>
        <v>0</v>
      </c>
      <c r="CG353" s="78">
        <f t="shared" si="750"/>
        <v>0</v>
      </c>
      <c r="CH353" s="78">
        <f t="shared" si="750"/>
        <v>0</v>
      </c>
      <c r="CI353" s="78">
        <f t="shared" si="750"/>
        <v>0</v>
      </c>
      <c r="CJ353" s="78">
        <f t="shared" si="750"/>
        <v>0</v>
      </c>
      <c r="CK353" s="78">
        <f t="shared" si="750"/>
        <v>0</v>
      </c>
      <c r="CL353" s="78">
        <f t="shared" si="750"/>
        <v>0</v>
      </c>
      <c r="CM353" s="78">
        <f t="shared" si="750"/>
        <v>0</v>
      </c>
      <c r="CN353" s="78">
        <f t="shared" si="750"/>
        <v>0</v>
      </c>
      <c r="CO353" s="78">
        <f t="shared" si="750"/>
        <v>0</v>
      </c>
      <c r="CP353" s="78">
        <f t="shared" si="750"/>
        <v>0</v>
      </c>
      <c r="CQ353" s="78">
        <f t="shared" si="750"/>
        <v>0</v>
      </c>
      <c r="CR353" s="78">
        <f t="shared" si="750"/>
        <v>0</v>
      </c>
      <c r="CS353" s="78">
        <f t="shared" si="750"/>
        <v>0</v>
      </c>
      <c r="CT353" s="78">
        <f t="shared" si="750"/>
        <v>0</v>
      </c>
      <c r="CU353" s="78">
        <f t="shared" si="750"/>
        <v>0</v>
      </c>
      <c r="CV353" s="78">
        <f t="shared" si="750"/>
        <v>0</v>
      </c>
      <c r="CW353" s="78">
        <f t="shared" si="750"/>
        <v>0</v>
      </c>
      <c r="CX353" s="78">
        <f t="shared" si="750"/>
        <v>0</v>
      </c>
      <c r="CY353" s="78">
        <f t="shared" si="750"/>
        <v>0</v>
      </c>
      <c r="CZ353" s="78">
        <f t="shared" si="750"/>
        <v>0</v>
      </c>
      <c r="DA353" s="78">
        <f t="shared" si="750"/>
        <v>0</v>
      </c>
      <c r="DB353" s="78">
        <f t="shared" si="750"/>
        <v>0</v>
      </c>
      <c r="DC353" s="78">
        <f t="shared" si="750"/>
        <v>0</v>
      </c>
      <c r="DD353" s="78">
        <f t="shared" si="750"/>
        <v>0</v>
      </c>
      <c r="DE353" s="78">
        <f t="shared" si="750"/>
        <v>0</v>
      </c>
      <c r="DF353" s="78">
        <f t="shared" si="750"/>
        <v>0</v>
      </c>
      <c r="DG353" s="78">
        <f t="shared" si="750"/>
        <v>0</v>
      </c>
      <c r="DH353" s="78">
        <f t="shared" si="750"/>
        <v>0</v>
      </c>
      <c r="DI353" s="78">
        <f t="shared" si="750"/>
        <v>0</v>
      </c>
      <c r="DJ353" s="78">
        <f t="shared" si="750"/>
        <v>0</v>
      </c>
      <c r="DK353" s="78">
        <f t="shared" ref="DK353:EI353" si="751">DK399</f>
        <v>0</v>
      </c>
      <c r="DL353" s="78">
        <f t="shared" si="751"/>
        <v>0</v>
      </c>
      <c r="DM353" s="78">
        <f t="shared" si="751"/>
        <v>0</v>
      </c>
      <c r="DN353" s="78">
        <f t="shared" si="751"/>
        <v>0</v>
      </c>
      <c r="DO353" s="78">
        <f t="shared" si="751"/>
        <v>0</v>
      </c>
      <c r="DP353" s="78">
        <f t="shared" si="751"/>
        <v>0</v>
      </c>
      <c r="DQ353" s="78">
        <f t="shared" si="751"/>
        <v>0</v>
      </c>
      <c r="DR353" s="78">
        <f t="shared" si="751"/>
        <v>0</v>
      </c>
      <c r="DS353" s="78">
        <f t="shared" si="751"/>
        <v>0</v>
      </c>
      <c r="DT353" s="78">
        <f t="shared" si="751"/>
        <v>0</v>
      </c>
      <c r="DU353" s="78">
        <f t="shared" si="751"/>
        <v>0</v>
      </c>
      <c r="DV353" s="78">
        <f t="shared" si="751"/>
        <v>0</v>
      </c>
      <c r="DW353" s="78">
        <f t="shared" si="751"/>
        <v>0</v>
      </c>
      <c r="DX353" s="78">
        <f t="shared" si="751"/>
        <v>0</v>
      </c>
      <c r="DY353" s="78">
        <f t="shared" si="751"/>
        <v>0</v>
      </c>
      <c r="DZ353" s="78">
        <f t="shared" si="751"/>
        <v>0</v>
      </c>
      <c r="EA353" s="78">
        <f t="shared" si="751"/>
        <v>0</v>
      </c>
      <c r="EB353" s="78">
        <f t="shared" si="751"/>
        <v>0</v>
      </c>
      <c r="EC353" s="78">
        <f t="shared" si="751"/>
        <v>0</v>
      </c>
      <c r="ED353" s="78">
        <f t="shared" si="751"/>
        <v>0</v>
      </c>
      <c r="EE353" s="78">
        <f t="shared" si="751"/>
        <v>0</v>
      </c>
      <c r="EF353" s="78">
        <f t="shared" si="751"/>
        <v>0</v>
      </c>
      <c r="EG353" s="78">
        <f t="shared" si="751"/>
        <v>0</v>
      </c>
      <c r="EH353" s="78">
        <f t="shared" si="751"/>
        <v>0</v>
      </c>
      <c r="EI353" s="78">
        <f t="shared" si="751"/>
        <v>0</v>
      </c>
    </row>
    <row r="354" spans="2:139">
      <c r="B354" s="880" t="s">
        <v>651</v>
      </c>
      <c r="C354" s="211"/>
      <c r="D354" s="78">
        <f t="shared" ref="D354:N354" si="752">IF(IrrCalculationType=170,D380,SUMIF($S$6:$EI$6,D$5,$S354:$EI354))</f>
        <v>0</v>
      </c>
      <c r="E354" s="78">
        <f t="shared" si="752"/>
        <v>0</v>
      </c>
      <c r="F354" s="78">
        <f t="shared" si="752"/>
        <v>0</v>
      </c>
      <c r="G354" s="78">
        <f t="shared" si="752"/>
        <v>0</v>
      </c>
      <c r="H354" s="78">
        <f t="shared" si="752"/>
        <v>0</v>
      </c>
      <c r="I354" s="78">
        <f t="shared" si="752"/>
        <v>0</v>
      </c>
      <c r="J354" s="78">
        <f t="shared" si="752"/>
        <v>0</v>
      </c>
      <c r="K354" s="78">
        <f t="shared" si="752"/>
        <v>0</v>
      </c>
      <c r="L354" s="78">
        <f t="shared" si="752"/>
        <v>0</v>
      </c>
      <c r="M354" s="78">
        <f t="shared" si="752"/>
        <v>0</v>
      </c>
      <c r="N354" s="78">
        <f t="shared" si="752"/>
        <v>0</v>
      </c>
      <c r="O354" s="145">
        <f t="shared" si="692"/>
        <v>0</v>
      </c>
      <c r="R354" s="879"/>
      <c r="S354" s="78">
        <f t="shared" ref="S354:AX354" si="753">S380</f>
        <v>0</v>
      </c>
      <c r="T354" s="78">
        <f t="shared" si="753"/>
        <v>0</v>
      </c>
      <c r="U354" s="78">
        <f t="shared" si="753"/>
        <v>0</v>
      </c>
      <c r="V354" s="78">
        <f t="shared" si="753"/>
        <v>0</v>
      </c>
      <c r="W354" s="78">
        <f t="shared" si="753"/>
        <v>0</v>
      </c>
      <c r="X354" s="78">
        <f t="shared" si="753"/>
        <v>0</v>
      </c>
      <c r="Y354" s="78">
        <f t="shared" si="753"/>
        <v>0</v>
      </c>
      <c r="Z354" s="78">
        <f t="shared" si="753"/>
        <v>0</v>
      </c>
      <c r="AA354" s="78">
        <f t="shared" si="753"/>
        <v>0</v>
      </c>
      <c r="AB354" s="78">
        <f t="shared" si="753"/>
        <v>0</v>
      </c>
      <c r="AC354" s="78">
        <f t="shared" si="753"/>
        <v>0</v>
      </c>
      <c r="AD354" s="78">
        <f t="shared" si="753"/>
        <v>0</v>
      </c>
      <c r="AE354" s="78">
        <f t="shared" si="753"/>
        <v>0</v>
      </c>
      <c r="AF354" s="78">
        <f t="shared" si="753"/>
        <v>0</v>
      </c>
      <c r="AG354" s="78">
        <f t="shared" si="753"/>
        <v>0</v>
      </c>
      <c r="AH354" s="78">
        <f t="shared" si="753"/>
        <v>0</v>
      </c>
      <c r="AI354" s="78">
        <f t="shared" si="753"/>
        <v>0</v>
      </c>
      <c r="AJ354" s="78">
        <f t="shared" si="753"/>
        <v>0</v>
      </c>
      <c r="AK354" s="78">
        <f t="shared" si="753"/>
        <v>0</v>
      </c>
      <c r="AL354" s="78">
        <f t="shared" si="753"/>
        <v>0</v>
      </c>
      <c r="AM354" s="78">
        <f t="shared" si="753"/>
        <v>0</v>
      </c>
      <c r="AN354" s="78">
        <f t="shared" si="753"/>
        <v>0</v>
      </c>
      <c r="AO354" s="78">
        <f t="shared" si="753"/>
        <v>0</v>
      </c>
      <c r="AP354" s="78">
        <f t="shared" si="753"/>
        <v>0</v>
      </c>
      <c r="AQ354" s="78">
        <f t="shared" si="753"/>
        <v>0</v>
      </c>
      <c r="AR354" s="78">
        <f t="shared" si="753"/>
        <v>0</v>
      </c>
      <c r="AS354" s="78">
        <f t="shared" si="753"/>
        <v>0</v>
      </c>
      <c r="AT354" s="78">
        <f t="shared" si="753"/>
        <v>0</v>
      </c>
      <c r="AU354" s="78">
        <f t="shared" si="753"/>
        <v>0</v>
      </c>
      <c r="AV354" s="78">
        <f t="shared" si="753"/>
        <v>0</v>
      </c>
      <c r="AW354" s="78">
        <f t="shared" si="753"/>
        <v>0</v>
      </c>
      <c r="AX354" s="78">
        <f t="shared" si="753"/>
        <v>0</v>
      </c>
      <c r="AY354" s="78">
        <f t="shared" ref="AY354:CD354" si="754">AY380</f>
        <v>0</v>
      </c>
      <c r="AZ354" s="78">
        <f t="shared" si="754"/>
        <v>0</v>
      </c>
      <c r="BA354" s="78">
        <f t="shared" si="754"/>
        <v>0</v>
      </c>
      <c r="BB354" s="78">
        <f t="shared" si="754"/>
        <v>0</v>
      </c>
      <c r="BC354" s="78">
        <f t="shared" si="754"/>
        <v>0</v>
      </c>
      <c r="BD354" s="78">
        <f t="shared" si="754"/>
        <v>0</v>
      </c>
      <c r="BE354" s="78">
        <f t="shared" si="754"/>
        <v>0</v>
      </c>
      <c r="BF354" s="78">
        <f t="shared" si="754"/>
        <v>0</v>
      </c>
      <c r="BG354" s="78">
        <f t="shared" si="754"/>
        <v>0</v>
      </c>
      <c r="BH354" s="78">
        <f t="shared" si="754"/>
        <v>0</v>
      </c>
      <c r="BI354" s="78">
        <f t="shared" si="754"/>
        <v>0</v>
      </c>
      <c r="BJ354" s="78">
        <f t="shared" si="754"/>
        <v>0</v>
      </c>
      <c r="BK354" s="78">
        <f t="shared" si="754"/>
        <v>0</v>
      </c>
      <c r="BL354" s="78">
        <f t="shared" si="754"/>
        <v>0</v>
      </c>
      <c r="BM354" s="78">
        <f t="shared" si="754"/>
        <v>0</v>
      </c>
      <c r="BN354" s="78">
        <f t="shared" si="754"/>
        <v>0</v>
      </c>
      <c r="BO354" s="78">
        <f t="shared" si="754"/>
        <v>0</v>
      </c>
      <c r="BP354" s="78">
        <f t="shared" si="754"/>
        <v>0</v>
      </c>
      <c r="BQ354" s="78">
        <f t="shared" si="754"/>
        <v>0</v>
      </c>
      <c r="BR354" s="78">
        <f t="shared" si="754"/>
        <v>0</v>
      </c>
      <c r="BS354" s="78">
        <f t="shared" si="754"/>
        <v>0</v>
      </c>
      <c r="BT354" s="78">
        <f t="shared" si="754"/>
        <v>0</v>
      </c>
      <c r="BU354" s="78">
        <f t="shared" si="754"/>
        <v>0</v>
      </c>
      <c r="BV354" s="78">
        <f t="shared" si="754"/>
        <v>0</v>
      </c>
      <c r="BW354" s="78">
        <f t="shared" si="754"/>
        <v>0</v>
      </c>
      <c r="BX354" s="78">
        <f t="shared" si="754"/>
        <v>0</v>
      </c>
      <c r="BY354" s="78">
        <f t="shared" si="754"/>
        <v>0</v>
      </c>
      <c r="BZ354" s="78">
        <f t="shared" si="754"/>
        <v>0</v>
      </c>
      <c r="CA354" s="78">
        <f t="shared" si="754"/>
        <v>0</v>
      </c>
      <c r="CB354" s="78">
        <f t="shared" si="754"/>
        <v>0</v>
      </c>
      <c r="CC354" s="78">
        <f t="shared" si="754"/>
        <v>0</v>
      </c>
      <c r="CD354" s="78">
        <f t="shared" si="754"/>
        <v>0</v>
      </c>
      <c r="CE354" s="78">
        <f t="shared" ref="CE354:DJ354" si="755">CE380</f>
        <v>0</v>
      </c>
      <c r="CF354" s="78">
        <f t="shared" si="755"/>
        <v>0</v>
      </c>
      <c r="CG354" s="78">
        <f t="shared" si="755"/>
        <v>0</v>
      </c>
      <c r="CH354" s="78">
        <f t="shared" si="755"/>
        <v>0</v>
      </c>
      <c r="CI354" s="78">
        <f t="shared" si="755"/>
        <v>0</v>
      </c>
      <c r="CJ354" s="78">
        <f t="shared" si="755"/>
        <v>0</v>
      </c>
      <c r="CK354" s="78">
        <f t="shared" si="755"/>
        <v>0</v>
      </c>
      <c r="CL354" s="78">
        <f t="shared" si="755"/>
        <v>0</v>
      </c>
      <c r="CM354" s="78">
        <f t="shared" si="755"/>
        <v>0</v>
      </c>
      <c r="CN354" s="78">
        <f t="shared" si="755"/>
        <v>0</v>
      </c>
      <c r="CO354" s="78">
        <f t="shared" si="755"/>
        <v>0</v>
      </c>
      <c r="CP354" s="78">
        <f t="shared" si="755"/>
        <v>0</v>
      </c>
      <c r="CQ354" s="78">
        <f t="shared" si="755"/>
        <v>0</v>
      </c>
      <c r="CR354" s="78">
        <f t="shared" si="755"/>
        <v>0</v>
      </c>
      <c r="CS354" s="78">
        <f t="shared" si="755"/>
        <v>0</v>
      </c>
      <c r="CT354" s="78">
        <f t="shared" si="755"/>
        <v>0</v>
      </c>
      <c r="CU354" s="78">
        <f t="shared" si="755"/>
        <v>0</v>
      </c>
      <c r="CV354" s="78">
        <f t="shared" si="755"/>
        <v>0</v>
      </c>
      <c r="CW354" s="78">
        <f t="shared" si="755"/>
        <v>0</v>
      </c>
      <c r="CX354" s="78">
        <f t="shared" si="755"/>
        <v>0</v>
      </c>
      <c r="CY354" s="78">
        <f t="shared" si="755"/>
        <v>0</v>
      </c>
      <c r="CZ354" s="78">
        <f t="shared" si="755"/>
        <v>0</v>
      </c>
      <c r="DA354" s="78">
        <f t="shared" si="755"/>
        <v>0</v>
      </c>
      <c r="DB354" s="78">
        <f t="shared" si="755"/>
        <v>0</v>
      </c>
      <c r="DC354" s="78">
        <f t="shared" si="755"/>
        <v>0</v>
      </c>
      <c r="DD354" s="78">
        <f t="shared" si="755"/>
        <v>0</v>
      </c>
      <c r="DE354" s="78">
        <f t="shared" si="755"/>
        <v>0</v>
      </c>
      <c r="DF354" s="78">
        <f t="shared" si="755"/>
        <v>0</v>
      </c>
      <c r="DG354" s="78">
        <f t="shared" si="755"/>
        <v>0</v>
      </c>
      <c r="DH354" s="78">
        <f t="shared" si="755"/>
        <v>0</v>
      </c>
      <c r="DI354" s="78">
        <f t="shared" si="755"/>
        <v>0</v>
      </c>
      <c r="DJ354" s="78">
        <f t="shared" si="755"/>
        <v>0</v>
      </c>
      <c r="DK354" s="78">
        <f t="shared" ref="DK354:EI354" si="756">DK380</f>
        <v>0</v>
      </c>
      <c r="DL354" s="78">
        <f t="shared" si="756"/>
        <v>0</v>
      </c>
      <c r="DM354" s="78">
        <f t="shared" si="756"/>
        <v>0</v>
      </c>
      <c r="DN354" s="78">
        <f t="shared" si="756"/>
        <v>0</v>
      </c>
      <c r="DO354" s="78">
        <f t="shared" si="756"/>
        <v>0</v>
      </c>
      <c r="DP354" s="78">
        <f t="shared" si="756"/>
        <v>0</v>
      </c>
      <c r="DQ354" s="78">
        <f t="shared" si="756"/>
        <v>0</v>
      </c>
      <c r="DR354" s="78">
        <f t="shared" si="756"/>
        <v>0</v>
      </c>
      <c r="DS354" s="78">
        <f t="shared" si="756"/>
        <v>0</v>
      </c>
      <c r="DT354" s="78">
        <f t="shared" si="756"/>
        <v>0</v>
      </c>
      <c r="DU354" s="78">
        <f t="shared" si="756"/>
        <v>0</v>
      </c>
      <c r="DV354" s="78">
        <f t="shared" si="756"/>
        <v>0</v>
      </c>
      <c r="DW354" s="78">
        <f t="shared" si="756"/>
        <v>0</v>
      </c>
      <c r="DX354" s="78">
        <f t="shared" si="756"/>
        <v>0</v>
      </c>
      <c r="DY354" s="78">
        <f t="shared" si="756"/>
        <v>0</v>
      </c>
      <c r="DZ354" s="78">
        <f t="shared" si="756"/>
        <v>0</v>
      </c>
      <c r="EA354" s="78">
        <f t="shared" si="756"/>
        <v>0</v>
      </c>
      <c r="EB354" s="78">
        <f t="shared" si="756"/>
        <v>0</v>
      </c>
      <c r="EC354" s="78">
        <f t="shared" si="756"/>
        <v>0</v>
      </c>
      <c r="ED354" s="78">
        <f t="shared" si="756"/>
        <v>0</v>
      </c>
      <c r="EE354" s="78">
        <f t="shared" si="756"/>
        <v>0</v>
      </c>
      <c r="EF354" s="78">
        <f t="shared" si="756"/>
        <v>0</v>
      </c>
      <c r="EG354" s="78">
        <f t="shared" si="756"/>
        <v>0</v>
      </c>
      <c r="EH354" s="78">
        <f t="shared" si="756"/>
        <v>0</v>
      </c>
      <c r="EI354" s="78">
        <f t="shared" si="756"/>
        <v>0</v>
      </c>
    </row>
    <row r="355" spans="2:139">
      <c r="B355" s="41" t="s">
        <v>652</v>
      </c>
      <c r="C355" s="211"/>
      <c r="D355" s="78">
        <f t="shared" ref="D355:N355" si="757">IF(IrrCalculationType=170,MAX(-D292-D294,),SUMIF($S$6:$EI$6,D$5,$S355:$EI355))</f>
        <v>0</v>
      </c>
      <c r="E355" s="78">
        <f t="shared" si="757"/>
        <v>0</v>
      </c>
      <c r="F355" s="78">
        <f t="shared" si="757"/>
        <v>0</v>
      </c>
      <c r="G355" s="78">
        <f t="shared" si="757"/>
        <v>0</v>
      </c>
      <c r="H355" s="78">
        <f t="shared" si="757"/>
        <v>0</v>
      </c>
      <c r="I355" s="78">
        <f t="shared" si="757"/>
        <v>0</v>
      </c>
      <c r="J355" s="78">
        <f t="shared" si="757"/>
        <v>0</v>
      </c>
      <c r="K355" s="78">
        <f t="shared" si="757"/>
        <v>0</v>
      </c>
      <c r="L355" s="78">
        <f t="shared" si="757"/>
        <v>0</v>
      </c>
      <c r="M355" s="78">
        <f t="shared" si="757"/>
        <v>0</v>
      </c>
      <c r="N355" s="78">
        <f t="shared" si="757"/>
        <v>0</v>
      </c>
      <c r="O355" s="145">
        <f t="shared" si="692"/>
        <v>0</v>
      </c>
      <c r="R355" s="879"/>
      <c r="S355" s="78">
        <f t="shared" ref="S355:AX355" si="758">MAX(-S292-S294,)</f>
        <v>0</v>
      </c>
      <c r="T355" s="78">
        <f t="shared" si="758"/>
        <v>0</v>
      </c>
      <c r="U355" s="78">
        <f t="shared" si="758"/>
        <v>0</v>
      </c>
      <c r="V355" s="78">
        <f t="shared" si="758"/>
        <v>0</v>
      </c>
      <c r="W355" s="78">
        <f t="shared" si="758"/>
        <v>0</v>
      </c>
      <c r="X355" s="78">
        <f t="shared" si="758"/>
        <v>0</v>
      </c>
      <c r="Y355" s="78">
        <f t="shared" si="758"/>
        <v>0</v>
      </c>
      <c r="Z355" s="78">
        <f t="shared" si="758"/>
        <v>0</v>
      </c>
      <c r="AA355" s="78">
        <f t="shared" si="758"/>
        <v>0</v>
      </c>
      <c r="AB355" s="78">
        <f t="shared" si="758"/>
        <v>0</v>
      </c>
      <c r="AC355" s="78">
        <f t="shared" si="758"/>
        <v>0</v>
      </c>
      <c r="AD355" s="78">
        <f t="shared" si="758"/>
        <v>0</v>
      </c>
      <c r="AE355" s="78">
        <f t="shared" si="758"/>
        <v>0</v>
      </c>
      <c r="AF355" s="78">
        <f t="shared" si="758"/>
        <v>0</v>
      </c>
      <c r="AG355" s="78">
        <f t="shared" si="758"/>
        <v>0</v>
      </c>
      <c r="AH355" s="78">
        <f t="shared" si="758"/>
        <v>0</v>
      </c>
      <c r="AI355" s="78">
        <f t="shared" si="758"/>
        <v>0</v>
      </c>
      <c r="AJ355" s="78">
        <f t="shared" si="758"/>
        <v>0</v>
      </c>
      <c r="AK355" s="78">
        <f t="shared" si="758"/>
        <v>0</v>
      </c>
      <c r="AL355" s="78">
        <f t="shared" si="758"/>
        <v>0</v>
      </c>
      <c r="AM355" s="78">
        <f t="shared" si="758"/>
        <v>0</v>
      </c>
      <c r="AN355" s="78">
        <f t="shared" si="758"/>
        <v>0</v>
      </c>
      <c r="AO355" s="78">
        <f t="shared" si="758"/>
        <v>0</v>
      </c>
      <c r="AP355" s="78">
        <f t="shared" si="758"/>
        <v>0</v>
      </c>
      <c r="AQ355" s="78">
        <f t="shared" si="758"/>
        <v>0</v>
      </c>
      <c r="AR355" s="78">
        <f t="shared" si="758"/>
        <v>0</v>
      </c>
      <c r="AS355" s="78">
        <f t="shared" si="758"/>
        <v>0</v>
      </c>
      <c r="AT355" s="78">
        <f t="shared" si="758"/>
        <v>0</v>
      </c>
      <c r="AU355" s="78">
        <f t="shared" si="758"/>
        <v>0</v>
      </c>
      <c r="AV355" s="78">
        <f t="shared" si="758"/>
        <v>0</v>
      </c>
      <c r="AW355" s="78">
        <f t="shared" si="758"/>
        <v>0</v>
      </c>
      <c r="AX355" s="78">
        <f t="shared" si="758"/>
        <v>0</v>
      </c>
      <c r="AY355" s="78">
        <f t="shared" ref="AY355:CD355" si="759">MAX(-AY292-AY294,)</f>
        <v>0</v>
      </c>
      <c r="AZ355" s="78">
        <f t="shared" si="759"/>
        <v>0</v>
      </c>
      <c r="BA355" s="78">
        <f t="shared" si="759"/>
        <v>0</v>
      </c>
      <c r="BB355" s="78">
        <f t="shared" si="759"/>
        <v>0</v>
      </c>
      <c r="BC355" s="78">
        <f t="shared" si="759"/>
        <v>0</v>
      </c>
      <c r="BD355" s="78">
        <f t="shared" si="759"/>
        <v>0</v>
      </c>
      <c r="BE355" s="78">
        <f t="shared" si="759"/>
        <v>0</v>
      </c>
      <c r="BF355" s="78">
        <f t="shared" si="759"/>
        <v>0</v>
      </c>
      <c r="BG355" s="78">
        <f t="shared" si="759"/>
        <v>0</v>
      </c>
      <c r="BH355" s="78">
        <f t="shared" si="759"/>
        <v>0</v>
      </c>
      <c r="BI355" s="78">
        <f t="shared" si="759"/>
        <v>0</v>
      </c>
      <c r="BJ355" s="78">
        <f t="shared" si="759"/>
        <v>0</v>
      </c>
      <c r="BK355" s="78">
        <f t="shared" si="759"/>
        <v>0</v>
      </c>
      <c r="BL355" s="78">
        <f t="shared" si="759"/>
        <v>0</v>
      </c>
      <c r="BM355" s="78">
        <f t="shared" si="759"/>
        <v>0</v>
      </c>
      <c r="BN355" s="78">
        <f t="shared" si="759"/>
        <v>0</v>
      </c>
      <c r="BO355" s="78">
        <f t="shared" si="759"/>
        <v>0</v>
      </c>
      <c r="BP355" s="78">
        <f t="shared" si="759"/>
        <v>0</v>
      </c>
      <c r="BQ355" s="78">
        <f t="shared" si="759"/>
        <v>0</v>
      </c>
      <c r="BR355" s="78">
        <f t="shared" si="759"/>
        <v>0</v>
      </c>
      <c r="BS355" s="78">
        <f t="shared" si="759"/>
        <v>0</v>
      </c>
      <c r="BT355" s="78">
        <f t="shared" si="759"/>
        <v>0</v>
      </c>
      <c r="BU355" s="78">
        <f t="shared" si="759"/>
        <v>0</v>
      </c>
      <c r="BV355" s="78">
        <f t="shared" si="759"/>
        <v>0</v>
      </c>
      <c r="BW355" s="78">
        <f t="shared" si="759"/>
        <v>0</v>
      </c>
      <c r="BX355" s="78">
        <f t="shared" si="759"/>
        <v>0</v>
      </c>
      <c r="BY355" s="78">
        <f t="shared" si="759"/>
        <v>0</v>
      </c>
      <c r="BZ355" s="78">
        <f t="shared" si="759"/>
        <v>0</v>
      </c>
      <c r="CA355" s="78">
        <f t="shared" si="759"/>
        <v>0</v>
      </c>
      <c r="CB355" s="78">
        <f t="shared" si="759"/>
        <v>0</v>
      </c>
      <c r="CC355" s="78">
        <f t="shared" si="759"/>
        <v>0</v>
      </c>
      <c r="CD355" s="78">
        <f t="shared" si="759"/>
        <v>0</v>
      </c>
      <c r="CE355" s="78">
        <f t="shared" ref="CE355:DJ355" si="760">MAX(-CE292-CE294,)</f>
        <v>0</v>
      </c>
      <c r="CF355" s="78">
        <f t="shared" si="760"/>
        <v>0</v>
      </c>
      <c r="CG355" s="78">
        <f t="shared" si="760"/>
        <v>0</v>
      </c>
      <c r="CH355" s="78">
        <f t="shared" si="760"/>
        <v>0</v>
      </c>
      <c r="CI355" s="78">
        <f t="shared" si="760"/>
        <v>0</v>
      </c>
      <c r="CJ355" s="78">
        <f t="shared" si="760"/>
        <v>0</v>
      </c>
      <c r="CK355" s="78">
        <f t="shared" si="760"/>
        <v>0</v>
      </c>
      <c r="CL355" s="78">
        <f t="shared" si="760"/>
        <v>0</v>
      </c>
      <c r="CM355" s="78">
        <f t="shared" si="760"/>
        <v>0</v>
      </c>
      <c r="CN355" s="78">
        <f t="shared" si="760"/>
        <v>0</v>
      </c>
      <c r="CO355" s="78">
        <f t="shared" si="760"/>
        <v>0</v>
      </c>
      <c r="CP355" s="78">
        <f t="shared" si="760"/>
        <v>0</v>
      </c>
      <c r="CQ355" s="78">
        <f t="shared" si="760"/>
        <v>0</v>
      </c>
      <c r="CR355" s="78">
        <f t="shared" si="760"/>
        <v>0</v>
      </c>
      <c r="CS355" s="78">
        <f t="shared" si="760"/>
        <v>0</v>
      </c>
      <c r="CT355" s="78">
        <f t="shared" si="760"/>
        <v>0</v>
      </c>
      <c r="CU355" s="78">
        <f t="shared" si="760"/>
        <v>0</v>
      </c>
      <c r="CV355" s="78">
        <f t="shared" si="760"/>
        <v>0</v>
      </c>
      <c r="CW355" s="78">
        <f t="shared" si="760"/>
        <v>0</v>
      </c>
      <c r="CX355" s="78">
        <f t="shared" si="760"/>
        <v>0</v>
      </c>
      <c r="CY355" s="78">
        <f t="shared" si="760"/>
        <v>0</v>
      </c>
      <c r="CZ355" s="78">
        <f t="shared" si="760"/>
        <v>0</v>
      </c>
      <c r="DA355" s="78">
        <f t="shared" si="760"/>
        <v>0</v>
      </c>
      <c r="DB355" s="78">
        <f t="shared" si="760"/>
        <v>0</v>
      </c>
      <c r="DC355" s="78">
        <f t="shared" si="760"/>
        <v>0</v>
      </c>
      <c r="DD355" s="78">
        <f t="shared" si="760"/>
        <v>0</v>
      </c>
      <c r="DE355" s="78">
        <f t="shared" si="760"/>
        <v>0</v>
      </c>
      <c r="DF355" s="78">
        <f t="shared" si="760"/>
        <v>0</v>
      </c>
      <c r="DG355" s="78">
        <f t="shared" si="760"/>
        <v>0</v>
      </c>
      <c r="DH355" s="78">
        <f t="shared" si="760"/>
        <v>0</v>
      </c>
      <c r="DI355" s="78">
        <f t="shared" si="760"/>
        <v>0</v>
      </c>
      <c r="DJ355" s="78">
        <f t="shared" si="760"/>
        <v>0</v>
      </c>
      <c r="DK355" s="78">
        <f t="shared" ref="DK355:EI355" si="761">MAX(-DK292-DK294,)</f>
        <v>0</v>
      </c>
      <c r="DL355" s="78">
        <f t="shared" si="761"/>
        <v>0</v>
      </c>
      <c r="DM355" s="78">
        <f t="shared" si="761"/>
        <v>0</v>
      </c>
      <c r="DN355" s="78">
        <f t="shared" si="761"/>
        <v>0</v>
      </c>
      <c r="DO355" s="78">
        <f t="shared" si="761"/>
        <v>0</v>
      </c>
      <c r="DP355" s="78">
        <f t="shared" si="761"/>
        <v>0</v>
      </c>
      <c r="DQ355" s="78">
        <f t="shared" si="761"/>
        <v>0</v>
      </c>
      <c r="DR355" s="78">
        <f t="shared" si="761"/>
        <v>0</v>
      </c>
      <c r="DS355" s="78">
        <f t="shared" si="761"/>
        <v>0</v>
      </c>
      <c r="DT355" s="78">
        <f t="shared" si="761"/>
        <v>0</v>
      </c>
      <c r="DU355" s="78">
        <f t="shared" si="761"/>
        <v>0</v>
      </c>
      <c r="DV355" s="78">
        <f t="shared" si="761"/>
        <v>0</v>
      </c>
      <c r="DW355" s="78">
        <f t="shared" si="761"/>
        <v>0</v>
      </c>
      <c r="DX355" s="78">
        <f t="shared" si="761"/>
        <v>0</v>
      </c>
      <c r="DY355" s="78">
        <f t="shared" si="761"/>
        <v>0</v>
      </c>
      <c r="DZ355" s="78">
        <f t="shared" si="761"/>
        <v>0</v>
      </c>
      <c r="EA355" s="78">
        <f t="shared" si="761"/>
        <v>0</v>
      </c>
      <c r="EB355" s="78">
        <f t="shared" si="761"/>
        <v>0</v>
      </c>
      <c r="EC355" s="78">
        <f t="shared" si="761"/>
        <v>0</v>
      </c>
      <c r="ED355" s="78">
        <f t="shared" si="761"/>
        <v>0</v>
      </c>
      <c r="EE355" s="78">
        <f t="shared" si="761"/>
        <v>0</v>
      </c>
      <c r="EF355" s="78">
        <f t="shared" si="761"/>
        <v>0</v>
      </c>
      <c r="EG355" s="78">
        <f t="shared" si="761"/>
        <v>0</v>
      </c>
      <c r="EH355" s="78">
        <f t="shared" si="761"/>
        <v>0</v>
      </c>
      <c r="EI355" s="78">
        <f t="shared" si="761"/>
        <v>0</v>
      </c>
    </row>
    <row r="356" spans="2:139">
      <c r="B356" s="880" t="s">
        <v>653</v>
      </c>
      <c r="C356" s="211"/>
      <c r="D356" s="78">
        <f t="shared" ref="D356:N356" si="762">IF(IrrCalculationType=170,D389,SUMIF($S$6:$EI$6,D$5,$S356:$EI356))</f>
        <v>0</v>
      </c>
      <c r="E356" s="78">
        <f t="shared" si="762"/>
        <v>0</v>
      </c>
      <c r="F356" s="78">
        <f t="shared" si="762"/>
        <v>0</v>
      </c>
      <c r="G356" s="78">
        <f t="shared" si="762"/>
        <v>0</v>
      </c>
      <c r="H356" s="78">
        <f t="shared" si="762"/>
        <v>0</v>
      </c>
      <c r="I356" s="78">
        <f t="shared" si="762"/>
        <v>0</v>
      </c>
      <c r="J356" s="78">
        <f t="shared" si="762"/>
        <v>0</v>
      </c>
      <c r="K356" s="78">
        <f t="shared" si="762"/>
        <v>0</v>
      </c>
      <c r="L356" s="78">
        <f t="shared" si="762"/>
        <v>0</v>
      </c>
      <c r="M356" s="78">
        <f t="shared" si="762"/>
        <v>0</v>
      </c>
      <c r="N356" s="78">
        <f t="shared" si="762"/>
        <v>0</v>
      </c>
      <c r="O356" s="145">
        <f t="shared" si="692"/>
        <v>0</v>
      </c>
      <c r="R356" s="879"/>
      <c r="S356" s="78">
        <f t="shared" ref="S356:AX356" si="763">S389</f>
        <v>0</v>
      </c>
      <c r="T356" s="78">
        <f t="shared" si="763"/>
        <v>0</v>
      </c>
      <c r="U356" s="78">
        <f t="shared" si="763"/>
        <v>0</v>
      </c>
      <c r="V356" s="78">
        <f t="shared" si="763"/>
        <v>0</v>
      </c>
      <c r="W356" s="78">
        <f t="shared" si="763"/>
        <v>0</v>
      </c>
      <c r="X356" s="78">
        <f t="shared" si="763"/>
        <v>0</v>
      </c>
      <c r="Y356" s="78">
        <f t="shared" si="763"/>
        <v>0</v>
      </c>
      <c r="Z356" s="78">
        <f t="shared" si="763"/>
        <v>0</v>
      </c>
      <c r="AA356" s="78">
        <f t="shared" si="763"/>
        <v>0</v>
      </c>
      <c r="AB356" s="78">
        <f t="shared" si="763"/>
        <v>0</v>
      </c>
      <c r="AC356" s="78">
        <f t="shared" si="763"/>
        <v>0</v>
      </c>
      <c r="AD356" s="78">
        <f t="shared" si="763"/>
        <v>0</v>
      </c>
      <c r="AE356" s="78">
        <f t="shared" si="763"/>
        <v>0</v>
      </c>
      <c r="AF356" s="78">
        <f t="shared" si="763"/>
        <v>0</v>
      </c>
      <c r="AG356" s="78">
        <f t="shared" si="763"/>
        <v>0</v>
      </c>
      <c r="AH356" s="78">
        <f t="shared" si="763"/>
        <v>0</v>
      </c>
      <c r="AI356" s="78">
        <f t="shared" si="763"/>
        <v>0</v>
      </c>
      <c r="AJ356" s="78">
        <f t="shared" si="763"/>
        <v>0</v>
      </c>
      <c r="AK356" s="78">
        <f t="shared" si="763"/>
        <v>0</v>
      </c>
      <c r="AL356" s="78">
        <f t="shared" si="763"/>
        <v>0</v>
      </c>
      <c r="AM356" s="78">
        <f t="shared" si="763"/>
        <v>0</v>
      </c>
      <c r="AN356" s="78">
        <f t="shared" si="763"/>
        <v>0</v>
      </c>
      <c r="AO356" s="78">
        <f t="shared" si="763"/>
        <v>0</v>
      </c>
      <c r="AP356" s="78">
        <f t="shared" si="763"/>
        <v>0</v>
      </c>
      <c r="AQ356" s="78">
        <f t="shared" si="763"/>
        <v>0</v>
      </c>
      <c r="AR356" s="78">
        <f t="shared" si="763"/>
        <v>0</v>
      </c>
      <c r="AS356" s="78">
        <f t="shared" si="763"/>
        <v>0</v>
      </c>
      <c r="AT356" s="78">
        <f t="shared" si="763"/>
        <v>0</v>
      </c>
      <c r="AU356" s="78">
        <f t="shared" si="763"/>
        <v>0</v>
      </c>
      <c r="AV356" s="78">
        <f t="shared" si="763"/>
        <v>0</v>
      </c>
      <c r="AW356" s="78">
        <f t="shared" si="763"/>
        <v>0</v>
      </c>
      <c r="AX356" s="78">
        <f t="shared" si="763"/>
        <v>0</v>
      </c>
      <c r="AY356" s="78">
        <f t="shared" ref="AY356:CD356" si="764">AY389</f>
        <v>0</v>
      </c>
      <c r="AZ356" s="78">
        <f t="shared" si="764"/>
        <v>0</v>
      </c>
      <c r="BA356" s="78">
        <f t="shared" si="764"/>
        <v>0</v>
      </c>
      <c r="BB356" s="78">
        <f t="shared" si="764"/>
        <v>0</v>
      </c>
      <c r="BC356" s="78">
        <f t="shared" si="764"/>
        <v>0</v>
      </c>
      <c r="BD356" s="78">
        <f t="shared" si="764"/>
        <v>0</v>
      </c>
      <c r="BE356" s="78">
        <f t="shared" si="764"/>
        <v>0</v>
      </c>
      <c r="BF356" s="78">
        <f t="shared" si="764"/>
        <v>0</v>
      </c>
      <c r="BG356" s="78">
        <f t="shared" si="764"/>
        <v>0</v>
      </c>
      <c r="BH356" s="78">
        <f t="shared" si="764"/>
        <v>0</v>
      </c>
      <c r="BI356" s="78">
        <f t="shared" si="764"/>
        <v>0</v>
      </c>
      <c r="BJ356" s="78">
        <f t="shared" si="764"/>
        <v>0</v>
      </c>
      <c r="BK356" s="78">
        <f t="shared" si="764"/>
        <v>0</v>
      </c>
      <c r="BL356" s="78">
        <f t="shared" si="764"/>
        <v>0</v>
      </c>
      <c r="BM356" s="78">
        <f t="shared" si="764"/>
        <v>0</v>
      </c>
      <c r="BN356" s="78">
        <f t="shared" si="764"/>
        <v>0</v>
      </c>
      <c r="BO356" s="78">
        <f t="shared" si="764"/>
        <v>0</v>
      </c>
      <c r="BP356" s="78">
        <f t="shared" si="764"/>
        <v>0</v>
      </c>
      <c r="BQ356" s="78">
        <f t="shared" si="764"/>
        <v>0</v>
      </c>
      <c r="BR356" s="78">
        <f t="shared" si="764"/>
        <v>0</v>
      </c>
      <c r="BS356" s="78">
        <f t="shared" si="764"/>
        <v>0</v>
      </c>
      <c r="BT356" s="78">
        <f t="shared" si="764"/>
        <v>0</v>
      </c>
      <c r="BU356" s="78">
        <f t="shared" si="764"/>
        <v>0</v>
      </c>
      <c r="BV356" s="78">
        <f t="shared" si="764"/>
        <v>0</v>
      </c>
      <c r="BW356" s="78">
        <f t="shared" si="764"/>
        <v>0</v>
      </c>
      <c r="BX356" s="78">
        <f t="shared" si="764"/>
        <v>0</v>
      </c>
      <c r="BY356" s="78">
        <f t="shared" si="764"/>
        <v>0</v>
      </c>
      <c r="BZ356" s="78">
        <f t="shared" si="764"/>
        <v>0</v>
      </c>
      <c r="CA356" s="78">
        <f t="shared" si="764"/>
        <v>0</v>
      </c>
      <c r="CB356" s="78">
        <f t="shared" si="764"/>
        <v>0</v>
      </c>
      <c r="CC356" s="78">
        <f t="shared" si="764"/>
        <v>0</v>
      </c>
      <c r="CD356" s="78">
        <f t="shared" si="764"/>
        <v>0</v>
      </c>
      <c r="CE356" s="78">
        <f t="shared" ref="CE356:DJ356" si="765">CE389</f>
        <v>0</v>
      </c>
      <c r="CF356" s="78">
        <f t="shared" si="765"/>
        <v>0</v>
      </c>
      <c r="CG356" s="78">
        <f t="shared" si="765"/>
        <v>0</v>
      </c>
      <c r="CH356" s="78">
        <f t="shared" si="765"/>
        <v>0</v>
      </c>
      <c r="CI356" s="78">
        <f t="shared" si="765"/>
        <v>0</v>
      </c>
      <c r="CJ356" s="78">
        <f t="shared" si="765"/>
        <v>0</v>
      </c>
      <c r="CK356" s="78">
        <f t="shared" si="765"/>
        <v>0</v>
      </c>
      <c r="CL356" s="78">
        <f t="shared" si="765"/>
        <v>0</v>
      </c>
      <c r="CM356" s="78">
        <f t="shared" si="765"/>
        <v>0</v>
      </c>
      <c r="CN356" s="78">
        <f t="shared" si="765"/>
        <v>0</v>
      </c>
      <c r="CO356" s="78">
        <f t="shared" si="765"/>
        <v>0</v>
      </c>
      <c r="CP356" s="78">
        <f t="shared" si="765"/>
        <v>0</v>
      </c>
      <c r="CQ356" s="78">
        <f t="shared" si="765"/>
        <v>0</v>
      </c>
      <c r="CR356" s="78">
        <f t="shared" si="765"/>
        <v>0</v>
      </c>
      <c r="CS356" s="78">
        <f t="shared" si="765"/>
        <v>0</v>
      </c>
      <c r="CT356" s="78">
        <f t="shared" si="765"/>
        <v>0</v>
      </c>
      <c r="CU356" s="78">
        <f t="shared" si="765"/>
        <v>0</v>
      </c>
      <c r="CV356" s="78">
        <f t="shared" si="765"/>
        <v>0</v>
      </c>
      <c r="CW356" s="78">
        <f t="shared" si="765"/>
        <v>0</v>
      </c>
      <c r="CX356" s="78">
        <f t="shared" si="765"/>
        <v>0</v>
      </c>
      <c r="CY356" s="78">
        <f t="shared" si="765"/>
        <v>0</v>
      </c>
      <c r="CZ356" s="78">
        <f t="shared" si="765"/>
        <v>0</v>
      </c>
      <c r="DA356" s="78">
        <f t="shared" si="765"/>
        <v>0</v>
      </c>
      <c r="DB356" s="78">
        <f t="shared" si="765"/>
        <v>0</v>
      </c>
      <c r="DC356" s="78">
        <f t="shared" si="765"/>
        <v>0</v>
      </c>
      <c r="DD356" s="78">
        <f t="shared" si="765"/>
        <v>0</v>
      </c>
      <c r="DE356" s="78">
        <f t="shared" si="765"/>
        <v>0</v>
      </c>
      <c r="DF356" s="78">
        <f t="shared" si="765"/>
        <v>0</v>
      </c>
      <c r="DG356" s="78">
        <f t="shared" si="765"/>
        <v>0</v>
      </c>
      <c r="DH356" s="78">
        <f t="shared" si="765"/>
        <v>0</v>
      </c>
      <c r="DI356" s="78">
        <f t="shared" si="765"/>
        <v>0</v>
      </c>
      <c r="DJ356" s="78">
        <f t="shared" si="765"/>
        <v>0</v>
      </c>
      <c r="DK356" s="78">
        <f t="shared" ref="DK356:EI356" si="766">DK389</f>
        <v>0</v>
      </c>
      <c r="DL356" s="78">
        <f t="shared" si="766"/>
        <v>0</v>
      </c>
      <c r="DM356" s="78">
        <f t="shared" si="766"/>
        <v>0</v>
      </c>
      <c r="DN356" s="78">
        <f t="shared" si="766"/>
        <v>0</v>
      </c>
      <c r="DO356" s="78">
        <f t="shared" si="766"/>
        <v>0</v>
      </c>
      <c r="DP356" s="78">
        <f t="shared" si="766"/>
        <v>0</v>
      </c>
      <c r="DQ356" s="78">
        <f t="shared" si="766"/>
        <v>0</v>
      </c>
      <c r="DR356" s="78">
        <f t="shared" si="766"/>
        <v>0</v>
      </c>
      <c r="DS356" s="78">
        <f t="shared" si="766"/>
        <v>0</v>
      </c>
      <c r="DT356" s="78">
        <f t="shared" si="766"/>
        <v>0</v>
      </c>
      <c r="DU356" s="78">
        <f t="shared" si="766"/>
        <v>0</v>
      </c>
      <c r="DV356" s="78">
        <f t="shared" si="766"/>
        <v>0</v>
      </c>
      <c r="DW356" s="78">
        <f t="shared" si="766"/>
        <v>0</v>
      </c>
      <c r="DX356" s="78">
        <f t="shared" si="766"/>
        <v>0</v>
      </c>
      <c r="DY356" s="78">
        <f t="shared" si="766"/>
        <v>0</v>
      </c>
      <c r="DZ356" s="78">
        <f t="shared" si="766"/>
        <v>0</v>
      </c>
      <c r="EA356" s="78">
        <f t="shared" si="766"/>
        <v>0</v>
      </c>
      <c r="EB356" s="78">
        <f t="shared" si="766"/>
        <v>0</v>
      </c>
      <c r="EC356" s="78">
        <f t="shared" si="766"/>
        <v>0</v>
      </c>
      <c r="ED356" s="78">
        <f t="shared" si="766"/>
        <v>0</v>
      </c>
      <c r="EE356" s="78">
        <f t="shared" si="766"/>
        <v>0</v>
      </c>
      <c r="EF356" s="78">
        <f t="shared" si="766"/>
        <v>0</v>
      </c>
      <c r="EG356" s="78">
        <f t="shared" si="766"/>
        <v>0</v>
      </c>
      <c r="EH356" s="78">
        <f t="shared" si="766"/>
        <v>0</v>
      </c>
      <c r="EI356" s="78">
        <f t="shared" si="766"/>
        <v>0</v>
      </c>
    </row>
    <row r="357" spans="2:139">
      <c r="B357" s="880" t="s">
        <v>654</v>
      </c>
      <c r="C357" s="211"/>
      <c r="D357" s="78">
        <f t="shared" ref="D357:N357" si="767">IF(IrrCalculationType=170,D394,SUMIF($S$6:$EI$6,D$5,$S357:$EI357))</f>
        <v>0</v>
      </c>
      <c r="E357" s="78">
        <f t="shared" si="767"/>
        <v>0</v>
      </c>
      <c r="F357" s="78">
        <f t="shared" si="767"/>
        <v>0</v>
      </c>
      <c r="G357" s="78">
        <f t="shared" si="767"/>
        <v>0</v>
      </c>
      <c r="H357" s="78">
        <f t="shared" si="767"/>
        <v>0</v>
      </c>
      <c r="I357" s="78">
        <f t="shared" si="767"/>
        <v>0</v>
      </c>
      <c r="J357" s="78">
        <f t="shared" si="767"/>
        <v>0</v>
      </c>
      <c r="K357" s="78">
        <f t="shared" si="767"/>
        <v>0</v>
      </c>
      <c r="L357" s="78">
        <f t="shared" si="767"/>
        <v>0</v>
      </c>
      <c r="M357" s="78">
        <f t="shared" si="767"/>
        <v>0</v>
      </c>
      <c r="N357" s="78">
        <f t="shared" si="767"/>
        <v>0</v>
      </c>
      <c r="O357" s="145">
        <f t="shared" si="692"/>
        <v>0</v>
      </c>
      <c r="R357" s="879"/>
      <c r="S357" s="78">
        <f t="shared" ref="S357:AX357" si="768">S394</f>
        <v>0</v>
      </c>
      <c r="T357" s="78">
        <f t="shared" si="768"/>
        <v>0</v>
      </c>
      <c r="U357" s="78">
        <f t="shared" si="768"/>
        <v>0</v>
      </c>
      <c r="V357" s="78">
        <f t="shared" si="768"/>
        <v>0</v>
      </c>
      <c r="W357" s="78">
        <f t="shared" si="768"/>
        <v>0</v>
      </c>
      <c r="X357" s="78">
        <f t="shared" si="768"/>
        <v>0</v>
      </c>
      <c r="Y357" s="78">
        <f t="shared" si="768"/>
        <v>0</v>
      </c>
      <c r="Z357" s="78">
        <f t="shared" si="768"/>
        <v>0</v>
      </c>
      <c r="AA357" s="78">
        <f t="shared" si="768"/>
        <v>0</v>
      </c>
      <c r="AB357" s="78">
        <f t="shared" si="768"/>
        <v>0</v>
      </c>
      <c r="AC357" s="78">
        <f t="shared" si="768"/>
        <v>0</v>
      </c>
      <c r="AD357" s="78">
        <f t="shared" si="768"/>
        <v>0</v>
      </c>
      <c r="AE357" s="78">
        <f t="shared" si="768"/>
        <v>0</v>
      </c>
      <c r="AF357" s="78">
        <f t="shared" si="768"/>
        <v>0</v>
      </c>
      <c r="AG357" s="78">
        <f t="shared" si="768"/>
        <v>0</v>
      </c>
      <c r="AH357" s="78">
        <f t="shared" si="768"/>
        <v>0</v>
      </c>
      <c r="AI357" s="78">
        <f t="shared" si="768"/>
        <v>0</v>
      </c>
      <c r="AJ357" s="78">
        <f t="shared" si="768"/>
        <v>0</v>
      </c>
      <c r="AK357" s="78">
        <f t="shared" si="768"/>
        <v>0</v>
      </c>
      <c r="AL357" s="78">
        <f t="shared" si="768"/>
        <v>0</v>
      </c>
      <c r="AM357" s="78">
        <f t="shared" si="768"/>
        <v>0</v>
      </c>
      <c r="AN357" s="78">
        <f t="shared" si="768"/>
        <v>0</v>
      </c>
      <c r="AO357" s="78">
        <f t="shared" si="768"/>
        <v>0</v>
      </c>
      <c r="AP357" s="78">
        <f t="shared" si="768"/>
        <v>0</v>
      </c>
      <c r="AQ357" s="78">
        <f t="shared" si="768"/>
        <v>0</v>
      </c>
      <c r="AR357" s="78">
        <f t="shared" si="768"/>
        <v>0</v>
      </c>
      <c r="AS357" s="78">
        <f t="shared" si="768"/>
        <v>0</v>
      </c>
      <c r="AT357" s="78">
        <f t="shared" si="768"/>
        <v>0</v>
      </c>
      <c r="AU357" s="78">
        <f t="shared" si="768"/>
        <v>0</v>
      </c>
      <c r="AV357" s="78">
        <f t="shared" si="768"/>
        <v>0</v>
      </c>
      <c r="AW357" s="78">
        <f t="shared" si="768"/>
        <v>0</v>
      </c>
      <c r="AX357" s="78">
        <f t="shared" si="768"/>
        <v>0</v>
      </c>
      <c r="AY357" s="78">
        <f t="shared" ref="AY357:CD357" si="769">AY394</f>
        <v>0</v>
      </c>
      <c r="AZ357" s="78">
        <f t="shared" si="769"/>
        <v>0</v>
      </c>
      <c r="BA357" s="78">
        <f t="shared" si="769"/>
        <v>0</v>
      </c>
      <c r="BB357" s="78">
        <f t="shared" si="769"/>
        <v>0</v>
      </c>
      <c r="BC357" s="78">
        <f t="shared" si="769"/>
        <v>0</v>
      </c>
      <c r="BD357" s="78">
        <f t="shared" si="769"/>
        <v>0</v>
      </c>
      <c r="BE357" s="78">
        <f t="shared" si="769"/>
        <v>0</v>
      </c>
      <c r="BF357" s="78">
        <f t="shared" si="769"/>
        <v>0</v>
      </c>
      <c r="BG357" s="78">
        <f t="shared" si="769"/>
        <v>0</v>
      </c>
      <c r="BH357" s="78">
        <f t="shared" si="769"/>
        <v>0</v>
      </c>
      <c r="BI357" s="78">
        <f t="shared" si="769"/>
        <v>0</v>
      </c>
      <c r="BJ357" s="78">
        <f t="shared" si="769"/>
        <v>0</v>
      </c>
      <c r="BK357" s="78">
        <f t="shared" si="769"/>
        <v>0</v>
      </c>
      <c r="BL357" s="78">
        <f t="shared" si="769"/>
        <v>0</v>
      </c>
      <c r="BM357" s="78">
        <f t="shared" si="769"/>
        <v>0</v>
      </c>
      <c r="BN357" s="78">
        <f t="shared" si="769"/>
        <v>0</v>
      </c>
      <c r="BO357" s="78">
        <f t="shared" si="769"/>
        <v>0</v>
      </c>
      <c r="BP357" s="78">
        <f t="shared" si="769"/>
        <v>0</v>
      </c>
      <c r="BQ357" s="78">
        <f t="shared" si="769"/>
        <v>0</v>
      </c>
      <c r="BR357" s="78">
        <f t="shared" si="769"/>
        <v>0</v>
      </c>
      <c r="BS357" s="78">
        <f t="shared" si="769"/>
        <v>0</v>
      </c>
      <c r="BT357" s="78">
        <f t="shared" si="769"/>
        <v>0</v>
      </c>
      <c r="BU357" s="78">
        <f t="shared" si="769"/>
        <v>0</v>
      </c>
      <c r="BV357" s="78">
        <f t="shared" si="769"/>
        <v>0</v>
      </c>
      <c r="BW357" s="78">
        <f t="shared" si="769"/>
        <v>0</v>
      </c>
      <c r="BX357" s="78">
        <f t="shared" si="769"/>
        <v>0</v>
      </c>
      <c r="BY357" s="78">
        <f t="shared" si="769"/>
        <v>0</v>
      </c>
      <c r="BZ357" s="78">
        <f t="shared" si="769"/>
        <v>0</v>
      </c>
      <c r="CA357" s="78">
        <f t="shared" si="769"/>
        <v>0</v>
      </c>
      <c r="CB357" s="78">
        <f t="shared" si="769"/>
        <v>0</v>
      </c>
      <c r="CC357" s="78">
        <f t="shared" si="769"/>
        <v>0</v>
      </c>
      <c r="CD357" s="78">
        <f t="shared" si="769"/>
        <v>0</v>
      </c>
      <c r="CE357" s="78">
        <f t="shared" ref="CE357:DJ357" si="770">CE394</f>
        <v>0</v>
      </c>
      <c r="CF357" s="78">
        <f t="shared" si="770"/>
        <v>0</v>
      </c>
      <c r="CG357" s="78">
        <f t="shared" si="770"/>
        <v>0</v>
      </c>
      <c r="CH357" s="78">
        <f t="shared" si="770"/>
        <v>0</v>
      </c>
      <c r="CI357" s="78">
        <f t="shared" si="770"/>
        <v>0</v>
      </c>
      <c r="CJ357" s="78">
        <f t="shared" si="770"/>
        <v>0</v>
      </c>
      <c r="CK357" s="78">
        <f t="shared" si="770"/>
        <v>0</v>
      </c>
      <c r="CL357" s="78">
        <f t="shared" si="770"/>
        <v>0</v>
      </c>
      <c r="CM357" s="78">
        <f t="shared" si="770"/>
        <v>0</v>
      </c>
      <c r="CN357" s="78">
        <f t="shared" si="770"/>
        <v>0</v>
      </c>
      <c r="CO357" s="78">
        <f t="shared" si="770"/>
        <v>0</v>
      </c>
      <c r="CP357" s="78">
        <f t="shared" si="770"/>
        <v>0</v>
      </c>
      <c r="CQ357" s="78">
        <f t="shared" si="770"/>
        <v>0</v>
      </c>
      <c r="CR357" s="78">
        <f t="shared" si="770"/>
        <v>0</v>
      </c>
      <c r="CS357" s="78">
        <f t="shared" si="770"/>
        <v>0</v>
      </c>
      <c r="CT357" s="78">
        <f t="shared" si="770"/>
        <v>0</v>
      </c>
      <c r="CU357" s="78">
        <f t="shared" si="770"/>
        <v>0</v>
      </c>
      <c r="CV357" s="78">
        <f t="shared" si="770"/>
        <v>0</v>
      </c>
      <c r="CW357" s="78">
        <f t="shared" si="770"/>
        <v>0</v>
      </c>
      <c r="CX357" s="78">
        <f t="shared" si="770"/>
        <v>0</v>
      </c>
      <c r="CY357" s="78">
        <f t="shared" si="770"/>
        <v>0</v>
      </c>
      <c r="CZ357" s="78">
        <f t="shared" si="770"/>
        <v>0</v>
      </c>
      <c r="DA357" s="78">
        <f t="shared" si="770"/>
        <v>0</v>
      </c>
      <c r="DB357" s="78">
        <f t="shared" si="770"/>
        <v>0</v>
      </c>
      <c r="DC357" s="78">
        <f t="shared" si="770"/>
        <v>0</v>
      </c>
      <c r="DD357" s="78">
        <f t="shared" si="770"/>
        <v>0</v>
      </c>
      <c r="DE357" s="78">
        <f t="shared" si="770"/>
        <v>0</v>
      </c>
      <c r="DF357" s="78">
        <f t="shared" si="770"/>
        <v>0</v>
      </c>
      <c r="DG357" s="78">
        <f t="shared" si="770"/>
        <v>0</v>
      </c>
      <c r="DH357" s="78">
        <f t="shared" si="770"/>
        <v>0</v>
      </c>
      <c r="DI357" s="78">
        <f t="shared" si="770"/>
        <v>0</v>
      </c>
      <c r="DJ357" s="78">
        <f t="shared" si="770"/>
        <v>0</v>
      </c>
      <c r="DK357" s="78">
        <f t="shared" ref="DK357:EI357" si="771">DK394</f>
        <v>0</v>
      </c>
      <c r="DL357" s="78">
        <f t="shared" si="771"/>
        <v>0</v>
      </c>
      <c r="DM357" s="78">
        <f t="shared" si="771"/>
        <v>0</v>
      </c>
      <c r="DN357" s="78">
        <f t="shared" si="771"/>
        <v>0</v>
      </c>
      <c r="DO357" s="78">
        <f t="shared" si="771"/>
        <v>0</v>
      </c>
      <c r="DP357" s="78">
        <f t="shared" si="771"/>
        <v>0</v>
      </c>
      <c r="DQ357" s="78">
        <f t="shared" si="771"/>
        <v>0</v>
      </c>
      <c r="DR357" s="78">
        <f t="shared" si="771"/>
        <v>0</v>
      </c>
      <c r="DS357" s="78">
        <f t="shared" si="771"/>
        <v>0</v>
      </c>
      <c r="DT357" s="78">
        <f t="shared" si="771"/>
        <v>0</v>
      </c>
      <c r="DU357" s="78">
        <f t="shared" si="771"/>
        <v>0</v>
      </c>
      <c r="DV357" s="78">
        <f t="shared" si="771"/>
        <v>0</v>
      </c>
      <c r="DW357" s="78">
        <f t="shared" si="771"/>
        <v>0</v>
      </c>
      <c r="DX357" s="78">
        <f t="shared" si="771"/>
        <v>0</v>
      </c>
      <c r="DY357" s="78">
        <f t="shared" si="771"/>
        <v>0</v>
      </c>
      <c r="DZ357" s="78">
        <f t="shared" si="771"/>
        <v>0</v>
      </c>
      <c r="EA357" s="78">
        <f t="shared" si="771"/>
        <v>0</v>
      </c>
      <c r="EB357" s="78">
        <f t="shared" si="771"/>
        <v>0</v>
      </c>
      <c r="EC357" s="78">
        <f t="shared" si="771"/>
        <v>0</v>
      </c>
      <c r="ED357" s="78">
        <f t="shared" si="771"/>
        <v>0</v>
      </c>
      <c r="EE357" s="78">
        <f t="shared" si="771"/>
        <v>0</v>
      </c>
      <c r="EF357" s="78">
        <f t="shared" si="771"/>
        <v>0</v>
      </c>
      <c r="EG357" s="78">
        <f t="shared" si="771"/>
        <v>0</v>
      </c>
      <c r="EH357" s="78">
        <f t="shared" si="771"/>
        <v>0</v>
      </c>
      <c r="EI357" s="78">
        <f t="shared" si="771"/>
        <v>0</v>
      </c>
    </row>
    <row r="358" spans="2:139">
      <c r="B358" s="880" t="s">
        <v>655</v>
      </c>
      <c r="C358" s="211"/>
      <c r="D358" s="78">
        <f t="shared" ref="D358:N358" si="772">IF(IrrCalculationType=170,D381,SUMIF($S$6:$EI$6,D$5,$S358:$EI358))</f>
        <v>0</v>
      </c>
      <c r="E358" s="78">
        <f t="shared" si="772"/>
        <v>0</v>
      </c>
      <c r="F358" s="78">
        <f t="shared" si="772"/>
        <v>0</v>
      </c>
      <c r="G358" s="78">
        <f t="shared" si="772"/>
        <v>0</v>
      </c>
      <c r="H358" s="78">
        <f t="shared" si="772"/>
        <v>0</v>
      </c>
      <c r="I358" s="78">
        <f t="shared" si="772"/>
        <v>0</v>
      </c>
      <c r="J358" s="78">
        <f t="shared" si="772"/>
        <v>0</v>
      </c>
      <c r="K358" s="78">
        <f t="shared" si="772"/>
        <v>0</v>
      </c>
      <c r="L358" s="78">
        <f t="shared" si="772"/>
        <v>0</v>
      </c>
      <c r="M358" s="78">
        <f t="shared" si="772"/>
        <v>0</v>
      </c>
      <c r="N358" s="78">
        <f t="shared" si="772"/>
        <v>0</v>
      </c>
      <c r="O358" s="145">
        <f t="shared" si="692"/>
        <v>0</v>
      </c>
      <c r="R358" s="879"/>
      <c r="S358" s="78">
        <f t="shared" ref="S358:AX358" si="773">S381</f>
        <v>0</v>
      </c>
      <c r="T358" s="78">
        <f t="shared" si="773"/>
        <v>0</v>
      </c>
      <c r="U358" s="78">
        <f t="shared" si="773"/>
        <v>0</v>
      </c>
      <c r="V358" s="78">
        <f t="shared" si="773"/>
        <v>0</v>
      </c>
      <c r="W358" s="78">
        <f t="shared" si="773"/>
        <v>0</v>
      </c>
      <c r="X358" s="78">
        <f t="shared" si="773"/>
        <v>0</v>
      </c>
      <c r="Y358" s="78">
        <f t="shared" si="773"/>
        <v>0</v>
      </c>
      <c r="Z358" s="78">
        <f t="shared" si="773"/>
        <v>0</v>
      </c>
      <c r="AA358" s="78">
        <f t="shared" si="773"/>
        <v>0</v>
      </c>
      <c r="AB358" s="78">
        <f t="shared" si="773"/>
        <v>0</v>
      </c>
      <c r="AC358" s="78">
        <f t="shared" si="773"/>
        <v>0</v>
      </c>
      <c r="AD358" s="78">
        <f t="shared" si="773"/>
        <v>0</v>
      </c>
      <c r="AE358" s="78">
        <f t="shared" si="773"/>
        <v>0</v>
      </c>
      <c r="AF358" s="78">
        <f t="shared" si="773"/>
        <v>0</v>
      </c>
      <c r="AG358" s="78">
        <f t="shared" si="773"/>
        <v>0</v>
      </c>
      <c r="AH358" s="78">
        <f t="shared" si="773"/>
        <v>0</v>
      </c>
      <c r="AI358" s="78">
        <f t="shared" si="773"/>
        <v>0</v>
      </c>
      <c r="AJ358" s="78">
        <f t="shared" si="773"/>
        <v>0</v>
      </c>
      <c r="AK358" s="78">
        <f t="shared" si="773"/>
        <v>0</v>
      </c>
      <c r="AL358" s="78">
        <f t="shared" si="773"/>
        <v>0</v>
      </c>
      <c r="AM358" s="78">
        <f t="shared" si="773"/>
        <v>0</v>
      </c>
      <c r="AN358" s="78">
        <f t="shared" si="773"/>
        <v>0</v>
      </c>
      <c r="AO358" s="78">
        <f t="shared" si="773"/>
        <v>0</v>
      </c>
      <c r="AP358" s="78">
        <f t="shared" si="773"/>
        <v>0</v>
      </c>
      <c r="AQ358" s="78">
        <f t="shared" si="773"/>
        <v>0</v>
      </c>
      <c r="AR358" s="78">
        <f t="shared" si="773"/>
        <v>0</v>
      </c>
      <c r="AS358" s="78">
        <f t="shared" si="773"/>
        <v>0</v>
      </c>
      <c r="AT358" s="78">
        <f t="shared" si="773"/>
        <v>0</v>
      </c>
      <c r="AU358" s="78">
        <f t="shared" si="773"/>
        <v>0</v>
      </c>
      <c r="AV358" s="78">
        <f t="shared" si="773"/>
        <v>0</v>
      </c>
      <c r="AW358" s="78">
        <f t="shared" si="773"/>
        <v>0</v>
      </c>
      <c r="AX358" s="78">
        <f t="shared" si="773"/>
        <v>0</v>
      </c>
      <c r="AY358" s="78">
        <f t="shared" ref="AY358:CD358" si="774">AY381</f>
        <v>0</v>
      </c>
      <c r="AZ358" s="78">
        <f t="shared" si="774"/>
        <v>0</v>
      </c>
      <c r="BA358" s="78">
        <f t="shared" si="774"/>
        <v>0</v>
      </c>
      <c r="BB358" s="78">
        <f t="shared" si="774"/>
        <v>0</v>
      </c>
      <c r="BC358" s="78">
        <f t="shared" si="774"/>
        <v>0</v>
      </c>
      <c r="BD358" s="78">
        <f t="shared" si="774"/>
        <v>0</v>
      </c>
      <c r="BE358" s="78">
        <f t="shared" si="774"/>
        <v>0</v>
      </c>
      <c r="BF358" s="78">
        <f t="shared" si="774"/>
        <v>0</v>
      </c>
      <c r="BG358" s="78">
        <f t="shared" si="774"/>
        <v>0</v>
      </c>
      <c r="BH358" s="78">
        <f t="shared" si="774"/>
        <v>0</v>
      </c>
      <c r="BI358" s="78">
        <f t="shared" si="774"/>
        <v>0</v>
      </c>
      <c r="BJ358" s="78">
        <f t="shared" si="774"/>
        <v>0</v>
      </c>
      <c r="BK358" s="78">
        <f t="shared" si="774"/>
        <v>0</v>
      </c>
      <c r="BL358" s="78">
        <f t="shared" si="774"/>
        <v>0</v>
      </c>
      <c r="BM358" s="78">
        <f t="shared" si="774"/>
        <v>0</v>
      </c>
      <c r="BN358" s="78">
        <f t="shared" si="774"/>
        <v>0</v>
      </c>
      <c r="BO358" s="78">
        <f t="shared" si="774"/>
        <v>0</v>
      </c>
      <c r="BP358" s="78">
        <f t="shared" si="774"/>
        <v>0</v>
      </c>
      <c r="BQ358" s="78">
        <f t="shared" si="774"/>
        <v>0</v>
      </c>
      <c r="BR358" s="78">
        <f t="shared" si="774"/>
        <v>0</v>
      </c>
      <c r="BS358" s="78">
        <f t="shared" si="774"/>
        <v>0</v>
      </c>
      <c r="BT358" s="78">
        <f t="shared" si="774"/>
        <v>0</v>
      </c>
      <c r="BU358" s="78">
        <f t="shared" si="774"/>
        <v>0</v>
      </c>
      <c r="BV358" s="78">
        <f t="shared" si="774"/>
        <v>0</v>
      </c>
      <c r="BW358" s="78">
        <f t="shared" si="774"/>
        <v>0</v>
      </c>
      <c r="BX358" s="78">
        <f t="shared" si="774"/>
        <v>0</v>
      </c>
      <c r="BY358" s="78">
        <f t="shared" si="774"/>
        <v>0</v>
      </c>
      <c r="BZ358" s="78">
        <f t="shared" si="774"/>
        <v>0</v>
      </c>
      <c r="CA358" s="78">
        <f t="shared" si="774"/>
        <v>0</v>
      </c>
      <c r="CB358" s="78">
        <f t="shared" si="774"/>
        <v>0</v>
      </c>
      <c r="CC358" s="78">
        <f t="shared" si="774"/>
        <v>0</v>
      </c>
      <c r="CD358" s="78">
        <f t="shared" si="774"/>
        <v>0</v>
      </c>
      <c r="CE358" s="78">
        <f t="shared" ref="CE358:DJ358" si="775">CE381</f>
        <v>0</v>
      </c>
      <c r="CF358" s="78">
        <f t="shared" si="775"/>
        <v>0</v>
      </c>
      <c r="CG358" s="78">
        <f t="shared" si="775"/>
        <v>0</v>
      </c>
      <c r="CH358" s="78">
        <f t="shared" si="775"/>
        <v>0</v>
      </c>
      <c r="CI358" s="78">
        <f t="shared" si="775"/>
        <v>0</v>
      </c>
      <c r="CJ358" s="78">
        <f t="shared" si="775"/>
        <v>0</v>
      </c>
      <c r="CK358" s="78">
        <f t="shared" si="775"/>
        <v>0</v>
      </c>
      <c r="CL358" s="78">
        <f t="shared" si="775"/>
        <v>0</v>
      </c>
      <c r="CM358" s="78">
        <f t="shared" si="775"/>
        <v>0</v>
      </c>
      <c r="CN358" s="78">
        <f t="shared" si="775"/>
        <v>0</v>
      </c>
      <c r="CO358" s="78">
        <f t="shared" si="775"/>
        <v>0</v>
      </c>
      <c r="CP358" s="78">
        <f t="shared" si="775"/>
        <v>0</v>
      </c>
      <c r="CQ358" s="78">
        <f t="shared" si="775"/>
        <v>0</v>
      </c>
      <c r="CR358" s="78">
        <f t="shared" si="775"/>
        <v>0</v>
      </c>
      <c r="CS358" s="78">
        <f t="shared" si="775"/>
        <v>0</v>
      </c>
      <c r="CT358" s="78">
        <f t="shared" si="775"/>
        <v>0</v>
      </c>
      <c r="CU358" s="78">
        <f t="shared" si="775"/>
        <v>0</v>
      </c>
      <c r="CV358" s="78">
        <f t="shared" si="775"/>
        <v>0</v>
      </c>
      <c r="CW358" s="78">
        <f t="shared" si="775"/>
        <v>0</v>
      </c>
      <c r="CX358" s="78">
        <f t="shared" si="775"/>
        <v>0</v>
      </c>
      <c r="CY358" s="78">
        <f t="shared" si="775"/>
        <v>0</v>
      </c>
      <c r="CZ358" s="78">
        <f t="shared" si="775"/>
        <v>0</v>
      </c>
      <c r="DA358" s="78">
        <f t="shared" si="775"/>
        <v>0</v>
      </c>
      <c r="DB358" s="78">
        <f t="shared" si="775"/>
        <v>0</v>
      </c>
      <c r="DC358" s="78">
        <f t="shared" si="775"/>
        <v>0</v>
      </c>
      <c r="DD358" s="78">
        <f t="shared" si="775"/>
        <v>0</v>
      </c>
      <c r="DE358" s="78">
        <f t="shared" si="775"/>
        <v>0</v>
      </c>
      <c r="DF358" s="78">
        <f t="shared" si="775"/>
        <v>0</v>
      </c>
      <c r="DG358" s="78">
        <f t="shared" si="775"/>
        <v>0</v>
      </c>
      <c r="DH358" s="78">
        <f t="shared" si="775"/>
        <v>0</v>
      </c>
      <c r="DI358" s="78">
        <f t="shared" si="775"/>
        <v>0</v>
      </c>
      <c r="DJ358" s="78">
        <f t="shared" si="775"/>
        <v>0</v>
      </c>
      <c r="DK358" s="78">
        <f t="shared" ref="DK358:EI358" si="776">DK381</f>
        <v>0</v>
      </c>
      <c r="DL358" s="78">
        <f t="shared" si="776"/>
        <v>0</v>
      </c>
      <c r="DM358" s="78">
        <f t="shared" si="776"/>
        <v>0</v>
      </c>
      <c r="DN358" s="78">
        <f t="shared" si="776"/>
        <v>0</v>
      </c>
      <c r="DO358" s="78">
        <f t="shared" si="776"/>
        <v>0</v>
      </c>
      <c r="DP358" s="78">
        <f t="shared" si="776"/>
        <v>0</v>
      </c>
      <c r="DQ358" s="78">
        <f t="shared" si="776"/>
        <v>0</v>
      </c>
      <c r="DR358" s="78">
        <f t="shared" si="776"/>
        <v>0</v>
      </c>
      <c r="DS358" s="78">
        <f t="shared" si="776"/>
        <v>0</v>
      </c>
      <c r="DT358" s="78">
        <f t="shared" si="776"/>
        <v>0</v>
      </c>
      <c r="DU358" s="78">
        <f t="shared" si="776"/>
        <v>0</v>
      </c>
      <c r="DV358" s="78">
        <f t="shared" si="776"/>
        <v>0</v>
      </c>
      <c r="DW358" s="78">
        <f t="shared" si="776"/>
        <v>0</v>
      </c>
      <c r="DX358" s="78">
        <f t="shared" si="776"/>
        <v>0</v>
      </c>
      <c r="DY358" s="78">
        <f t="shared" si="776"/>
        <v>0</v>
      </c>
      <c r="DZ358" s="78">
        <f t="shared" si="776"/>
        <v>0</v>
      </c>
      <c r="EA358" s="78">
        <f t="shared" si="776"/>
        <v>0</v>
      </c>
      <c r="EB358" s="78">
        <f t="shared" si="776"/>
        <v>0</v>
      </c>
      <c r="EC358" s="78">
        <f t="shared" si="776"/>
        <v>0</v>
      </c>
      <c r="ED358" s="78">
        <f t="shared" si="776"/>
        <v>0</v>
      </c>
      <c r="EE358" s="78">
        <f t="shared" si="776"/>
        <v>0</v>
      </c>
      <c r="EF358" s="78">
        <f t="shared" si="776"/>
        <v>0</v>
      </c>
      <c r="EG358" s="78">
        <f t="shared" si="776"/>
        <v>0</v>
      </c>
      <c r="EH358" s="78">
        <f t="shared" si="776"/>
        <v>0</v>
      </c>
      <c r="EI358" s="78">
        <f t="shared" si="776"/>
        <v>0</v>
      </c>
    </row>
    <row r="359" spans="2:139">
      <c r="B359" s="198" t="s">
        <v>484</v>
      </c>
      <c r="C359" s="211"/>
      <c r="D359" s="78"/>
      <c r="E359" s="78"/>
      <c r="F359" s="78"/>
      <c r="G359" s="78"/>
      <c r="H359" s="78"/>
      <c r="I359" s="78"/>
      <c r="J359" s="78"/>
      <c r="K359" s="78"/>
      <c r="L359" s="78"/>
      <c r="M359" s="78"/>
      <c r="N359" s="78"/>
      <c r="O359" s="145"/>
      <c r="R359" s="879"/>
      <c r="S359" s="78"/>
      <c r="T359" s="78"/>
      <c r="U359" s="78"/>
      <c r="V359" s="78"/>
      <c r="W359" s="78"/>
      <c r="X359" s="78"/>
      <c r="Y359" s="78"/>
      <c r="Z359" s="78"/>
      <c r="AA359" s="78"/>
      <c r="AB359" s="78"/>
      <c r="AC359" s="78"/>
      <c r="AD359" s="78"/>
      <c r="AE359" s="78"/>
      <c r="AF359" s="78"/>
      <c r="AG359" s="78"/>
      <c r="AH359" s="78"/>
      <c r="AI359" s="78"/>
      <c r="AJ359" s="78"/>
      <c r="AK359" s="78"/>
      <c r="AL359" s="78"/>
      <c r="AM359" s="78"/>
      <c r="AN359" s="78"/>
      <c r="AO359" s="78"/>
      <c r="AP359" s="78"/>
      <c r="AQ359" s="78"/>
      <c r="AR359" s="78"/>
      <c r="AS359" s="78"/>
      <c r="AT359" s="78"/>
      <c r="AU359" s="78"/>
      <c r="AV359" s="78"/>
      <c r="AW359" s="78"/>
      <c r="AX359" s="78"/>
      <c r="AY359" s="78"/>
      <c r="AZ359" s="78"/>
      <c r="BA359" s="78"/>
      <c r="BB359" s="78"/>
      <c r="BC359" s="78"/>
      <c r="BD359" s="78"/>
      <c r="BE359" s="78"/>
      <c r="BF359" s="78"/>
      <c r="BG359" s="78"/>
      <c r="BH359" s="78"/>
      <c r="BI359" s="78"/>
      <c r="BJ359" s="78"/>
      <c r="BK359" s="78"/>
      <c r="BL359" s="78"/>
      <c r="BM359" s="78"/>
      <c r="BN359" s="78"/>
      <c r="BO359" s="78"/>
      <c r="BP359" s="78"/>
      <c r="BQ359" s="78"/>
      <c r="BR359" s="78"/>
      <c r="BS359" s="78"/>
      <c r="BT359" s="78"/>
      <c r="BU359" s="78"/>
      <c r="BV359" s="78"/>
      <c r="BW359" s="78"/>
      <c r="BX359" s="78"/>
      <c r="BY359" s="78"/>
      <c r="BZ359" s="78"/>
      <c r="CA359" s="78"/>
      <c r="CB359" s="78"/>
      <c r="CC359" s="78"/>
      <c r="CD359" s="78"/>
      <c r="CE359" s="78"/>
      <c r="CF359" s="78"/>
      <c r="CG359" s="78"/>
      <c r="CH359" s="78"/>
      <c r="CI359" s="78"/>
      <c r="CJ359" s="78"/>
      <c r="CK359" s="78"/>
      <c r="CL359" s="78"/>
      <c r="CM359" s="78"/>
      <c r="CN359" s="78"/>
      <c r="CO359" s="78"/>
      <c r="CP359" s="78"/>
      <c r="CQ359" s="78"/>
      <c r="CR359" s="78"/>
      <c r="CS359" s="78"/>
      <c r="CT359" s="78"/>
      <c r="CU359" s="78"/>
      <c r="CV359" s="78"/>
      <c r="CW359" s="78"/>
      <c r="CX359" s="78"/>
      <c r="CY359" s="78"/>
      <c r="CZ359" s="78"/>
      <c r="DA359" s="78"/>
      <c r="DB359" s="78"/>
      <c r="DC359" s="78"/>
      <c r="DD359" s="78"/>
      <c r="DE359" s="78"/>
      <c r="DF359" s="78"/>
      <c r="DG359" s="78"/>
      <c r="DH359" s="78"/>
      <c r="DI359" s="78"/>
      <c r="DJ359" s="78"/>
      <c r="DK359" s="78"/>
      <c r="DL359" s="78"/>
      <c r="DM359" s="78"/>
      <c r="DN359" s="78"/>
      <c r="DO359" s="78"/>
      <c r="DP359" s="78"/>
      <c r="DQ359" s="78"/>
      <c r="DR359" s="78"/>
      <c r="DS359" s="78"/>
      <c r="DT359" s="78"/>
      <c r="DU359" s="78"/>
      <c r="DV359" s="78"/>
      <c r="DW359" s="78"/>
      <c r="DX359" s="78"/>
      <c r="DY359" s="78"/>
      <c r="DZ359" s="78"/>
      <c r="EA359" s="78"/>
      <c r="EB359" s="78"/>
      <c r="EC359" s="78"/>
      <c r="ED359" s="78"/>
      <c r="EE359" s="78"/>
      <c r="EF359" s="78"/>
      <c r="EG359" s="78"/>
      <c r="EH359" s="78"/>
      <c r="EI359" s="78"/>
    </row>
    <row r="360" spans="2:139">
      <c r="B360" s="41" t="s">
        <v>249</v>
      </c>
      <c r="C360" s="211"/>
      <c r="D360" s="78">
        <f t="shared" ref="D360:N360" si="777">IF(IrrCalculationType=170,MAX(D108,),SUMIF($S$6:$EI$6,D$5,$S360:$EI360))</f>
        <v>0</v>
      </c>
      <c r="E360" s="78">
        <f t="shared" si="777"/>
        <v>1013735.7586710614</v>
      </c>
      <c r="F360" s="78">
        <f t="shared" si="777"/>
        <v>1056179.4324117121</v>
      </c>
      <c r="G360" s="78">
        <f t="shared" si="777"/>
        <v>1118852.1397523265</v>
      </c>
      <c r="H360" s="78">
        <f t="shared" si="777"/>
        <v>1167400.4878539424</v>
      </c>
      <c r="I360" s="78">
        <f t="shared" si="777"/>
        <v>1217633.7596158781</v>
      </c>
      <c r="J360" s="78">
        <f t="shared" si="777"/>
        <v>1261529.7824043559</v>
      </c>
      <c r="K360" s="78">
        <f t="shared" si="777"/>
        <v>25912414.985018022</v>
      </c>
      <c r="L360" s="78">
        <f t="shared" si="777"/>
        <v>0</v>
      </c>
      <c r="M360" s="78">
        <f t="shared" si="777"/>
        <v>0</v>
      </c>
      <c r="N360" s="78">
        <f t="shared" si="777"/>
        <v>0</v>
      </c>
      <c r="O360" s="145">
        <f t="shared" ref="O360:O368" si="778">SUM(D360:N360)</f>
        <v>32747746.345727298</v>
      </c>
      <c r="R360" s="879"/>
      <c r="S360" s="78">
        <f t="shared" ref="S360:AX360" si="779">MAX(S108,)</f>
        <v>0</v>
      </c>
      <c r="T360" s="78">
        <f t="shared" si="779"/>
        <v>84477.979889255148</v>
      </c>
      <c r="U360" s="78">
        <f t="shared" si="779"/>
        <v>84477.979889255148</v>
      </c>
      <c r="V360" s="78">
        <f t="shared" si="779"/>
        <v>84477.979889255148</v>
      </c>
      <c r="W360" s="78">
        <f t="shared" si="779"/>
        <v>84477.979889255148</v>
      </c>
      <c r="X360" s="78">
        <f t="shared" si="779"/>
        <v>84477.979889255148</v>
      </c>
      <c r="Y360" s="78">
        <f t="shared" si="779"/>
        <v>84477.979889255148</v>
      </c>
      <c r="Z360" s="78">
        <f t="shared" si="779"/>
        <v>84477.979889255148</v>
      </c>
      <c r="AA360" s="78">
        <f t="shared" si="779"/>
        <v>84477.979889255148</v>
      </c>
      <c r="AB360" s="78">
        <f t="shared" si="779"/>
        <v>84477.979889255148</v>
      </c>
      <c r="AC360" s="78">
        <f t="shared" si="779"/>
        <v>84477.979889255148</v>
      </c>
      <c r="AD360" s="78">
        <f t="shared" si="779"/>
        <v>84477.979889255148</v>
      </c>
      <c r="AE360" s="78">
        <f t="shared" si="779"/>
        <v>84477.979889255148</v>
      </c>
      <c r="AF360" s="78">
        <f t="shared" si="779"/>
        <v>87033.086713957251</v>
      </c>
      <c r="AG360" s="78">
        <f t="shared" si="779"/>
        <v>87210.626754753146</v>
      </c>
      <c r="AH360" s="78">
        <f t="shared" si="779"/>
        <v>87388.460017360761</v>
      </c>
      <c r="AI360" s="78">
        <f t="shared" si="779"/>
        <v>87566.586986059745</v>
      </c>
      <c r="AJ360" s="78">
        <f t="shared" si="779"/>
        <v>87745.008145929634</v>
      </c>
      <c r="AK360" s="78">
        <f t="shared" si="779"/>
        <v>87923.723982850977</v>
      </c>
      <c r="AL360" s="78">
        <f t="shared" si="779"/>
        <v>88102.73498350702</v>
      </c>
      <c r="AM360" s="78">
        <f t="shared" si="779"/>
        <v>88282.041635384507</v>
      </c>
      <c r="AN360" s="78">
        <f t="shared" si="779"/>
        <v>88461.644426775616</v>
      </c>
      <c r="AO360" s="78">
        <f t="shared" si="779"/>
        <v>88641.543846778673</v>
      </c>
      <c r="AP360" s="78">
        <f t="shared" si="779"/>
        <v>88821.740385300072</v>
      </c>
      <c r="AQ360" s="78">
        <f t="shared" si="779"/>
        <v>89002.234533055191</v>
      </c>
      <c r="AR360" s="78">
        <f t="shared" si="779"/>
        <v>91703.606037454709</v>
      </c>
      <c r="AS360" s="78">
        <f t="shared" si="779"/>
        <v>91980.241408134083</v>
      </c>
      <c r="AT360" s="78">
        <f t="shared" si="779"/>
        <v>92257.559036266102</v>
      </c>
      <c r="AU360" s="78">
        <f t="shared" si="779"/>
        <v>92535.560604481725</v>
      </c>
      <c r="AV360" s="78">
        <f t="shared" si="779"/>
        <v>92814.247799561665</v>
      </c>
      <c r="AW360" s="78">
        <f t="shared" si="779"/>
        <v>93093.622312446765</v>
      </c>
      <c r="AX360" s="78">
        <f t="shared" si="779"/>
        <v>93373.685838248173</v>
      </c>
      <c r="AY360" s="78">
        <f t="shared" ref="AY360:CD360" si="780">MAX(AY108,)</f>
        <v>93654.440076257568</v>
      </c>
      <c r="AZ360" s="78">
        <f t="shared" si="780"/>
        <v>93935.886729957609</v>
      </c>
      <c r="BA360" s="78">
        <f t="shared" si="780"/>
        <v>94218.027507032166</v>
      </c>
      <c r="BB360" s="78">
        <f t="shared" si="780"/>
        <v>94500.864119376783</v>
      </c>
      <c r="BC360" s="78">
        <f t="shared" si="780"/>
        <v>94784.398283108952</v>
      </c>
      <c r="BD360" s="78">
        <f t="shared" si="780"/>
        <v>95694.716818064364</v>
      </c>
      <c r="BE360" s="78">
        <f t="shared" si="780"/>
        <v>95981.19534461986</v>
      </c>
      <c r="BF360" s="78">
        <f t="shared" si="780"/>
        <v>96268.380404505791</v>
      </c>
      <c r="BG360" s="78">
        <f t="shared" si="780"/>
        <v>96556.273740223987</v>
      </c>
      <c r="BH360" s="78">
        <f t="shared" si="780"/>
        <v>96844.877098573779</v>
      </c>
      <c r="BI360" s="78">
        <f t="shared" si="780"/>
        <v>97134.19223066236</v>
      </c>
      <c r="BJ360" s="78">
        <f t="shared" si="780"/>
        <v>97424.220891915902</v>
      </c>
      <c r="BK360" s="78">
        <f t="shared" si="780"/>
        <v>97714.96484208983</v>
      </c>
      <c r="BL360" s="78">
        <f t="shared" si="780"/>
        <v>98006.425845279533</v>
      </c>
      <c r="BM360" s="78">
        <f t="shared" si="780"/>
        <v>98298.605669931247</v>
      </c>
      <c r="BN360" s="78">
        <f t="shared" si="780"/>
        <v>98591.506088852504</v>
      </c>
      <c r="BO360" s="78">
        <f t="shared" si="780"/>
        <v>98885.12887922331</v>
      </c>
      <c r="BP360" s="78">
        <f t="shared" si="780"/>
        <v>99824.343475076836</v>
      </c>
      <c r="BQ360" s="78">
        <f t="shared" si="780"/>
        <v>100121.0067750274</v>
      </c>
      <c r="BR360" s="78">
        <f t="shared" si="780"/>
        <v>100418.40172670723</v>
      </c>
      <c r="BS360" s="78">
        <f t="shared" si="780"/>
        <v>100716.53013456677</v>
      </c>
      <c r="BT360" s="78">
        <f t="shared" si="780"/>
        <v>101015.39380750692</v>
      </c>
      <c r="BU360" s="78">
        <f t="shared" si="780"/>
        <v>101314.99455888965</v>
      </c>
      <c r="BV360" s="78">
        <f t="shared" si="780"/>
        <v>101615.33420654933</v>
      </c>
      <c r="BW360" s="78">
        <f t="shared" si="780"/>
        <v>101916.41457280342</v>
      </c>
      <c r="BX360" s="78">
        <f t="shared" si="780"/>
        <v>102218.23748446381</v>
      </c>
      <c r="BY360" s="78">
        <f t="shared" si="780"/>
        <v>102520.80477284787</v>
      </c>
      <c r="BZ360" s="78">
        <f t="shared" si="780"/>
        <v>102824.11827378934</v>
      </c>
      <c r="CA360" s="78">
        <f t="shared" si="780"/>
        <v>103128.17982764966</v>
      </c>
      <c r="CB360" s="78">
        <f t="shared" si="780"/>
        <v>103432.99127932928</v>
      </c>
      <c r="CC360" s="78">
        <f t="shared" si="780"/>
        <v>103738.55447827833</v>
      </c>
      <c r="CD360" s="78">
        <f t="shared" si="780"/>
        <v>104044.87127850854</v>
      </c>
      <c r="CE360" s="78">
        <f t="shared" ref="CE360:DJ360" si="781">MAX(CE108,)</f>
        <v>104351.9435386039</v>
      </c>
      <c r="CF360" s="78">
        <f t="shared" si="781"/>
        <v>104659.77312173223</v>
      </c>
      <c r="CG360" s="78">
        <f t="shared" si="781"/>
        <v>104968.36189565645</v>
      </c>
      <c r="CH360" s="78">
        <f t="shared" si="781"/>
        <v>105277.71173274587</v>
      </c>
      <c r="CI360" s="78">
        <f t="shared" si="781"/>
        <v>105587.82450998758</v>
      </c>
      <c r="CJ360" s="78">
        <f t="shared" si="781"/>
        <v>105898.70210899782</v>
      </c>
      <c r="CK360" s="78">
        <f t="shared" si="781"/>
        <v>106210.34641603337</v>
      </c>
      <c r="CL360" s="78">
        <f t="shared" si="781"/>
        <v>106522.75932200308</v>
      </c>
      <c r="CM360" s="78">
        <f t="shared" si="781"/>
        <v>106835.94272247929</v>
      </c>
      <c r="CN360" s="78">
        <f t="shared" si="781"/>
        <v>107149.89851770923</v>
      </c>
      <c r="CO360" s="78">
        <f t="shared" si="781"/>
        <v>107464.62861262681</v>
      </c>
      <c r="CP360" s="78">
        <f t="shared" si="781"/>
        <v>107780.13491686393</v>
      </c>
      <c r="CQ360" s="78">
        <f t="shared" si="781"/>
        <v>108096.41934476214</v>
      </c>
      <c r="CR360" s="78">
        <f t="shared" si="781"/>
        <v>108413.48381538433</v>
      </c>
      <c r="CS360" s="78">
        <f t="shared" si="781"/>
        <v>108731.33025252627</v>
      </c>
      <c r="CT360" s="78">
        <f t="shared" si="781"/>
        <v>109049.96058472837</v>
      </c>
      <c r="CU360" s="78">
        <f t="shared" si="781"/>
        <v>109369.37674528733</v>
      </c>
      <c r="CV360" s="78">
        <f t="shared" si="781"/>
        <v>109689.58067226791</v>
      </c>
      <c r="CW360" s="78">
        <f t="shared" si="781"/>
        <v>110010.57430851454</v>
      </c>
      <c r="CX360" s="78">
        <f t="shared" si="781"/>
        <v>110332.35960166334</v>
      </c>
      <c r="CY360" s="78">
        <f t="shared" si="781"/>
        <v>24716327.237645686</v>
      </c>
      <c r="CZ360" s="78">
        <f t="shared" si="781"/>
        <v>0</v>
      </c>
      <c r="DA360" s="78">
        <f t="shared" si="781"/>
        <v>0</v>
      </c>
      <c r="DB360" s="78">
        <f t="shared" si="781"/>
        <v>0</v>
      </c>
      <c r="DC360" s="78">
        <f t="shared" si="781"/>
        <v>0</v>
      </c>
      <c r="DD360" s="78">
        <f t="shared" si="781"/>
        <v>0</v>
      </c>
      <c r="DE360" s="78">
        <f t="shared" si="781"/>
        <v>0</v>
      </c>
      <c r="DF360" s="78">
        <f t="shared" si="781"/>
        <v>0</v>
      </c>
      <c r="DG360" s="78">
        <f t="shared" si="781"/>
        <v>0</v>
      </c>
      <c r="DH360" s="78">
        <f t="shared" si="781"/>
        <v>0</v>
      </c>
      <c r="DI360" s="78">
        <f t="shared" si="781"/>
        <v>0</v>
      </c>
      <c r="DJ360" s="78">
        <f t="shared" si="781"/>
        <v>0</v>
      </c>
      <c r="DK360" s="78">
        <f t="shared" ref="DK360:EI360" si="782">MAX(DK108,)</f>
        <v>0</v>
      </c>
      <c r="DL360" s="78">
        <f t="shared" si="782"/>
        <v>0</v>
      </c>
      <c r="DM360" s="78">
        <f t="shared" si="782"/>
        <v>0</v>
      </c>
      <c r="DN360" s="78">
        <f t="shared" si="782"/>
        <v>0</v>
      </c>
      <c r="DO360" s="78">
        <f t="shared" si="782"/>
        <v>0</v>
      </c>
      <c r="DP360" s="78">
        <f t="shared" si="782"/>
        <v>0</v>
      </c>
      <c r="DQ360" s="78">
        <f t="shared" si="782"/>
        <v>0</v>
      </c>
      <c r="DR360" s="78">
        <f t="shared" si="782"/>
        <v>0</v>
      </c>
      <c r="DS360" s="78">
        <f t="shared" si="782"/>
        <v>0</v>
      </c>
      <c r="DT360" s="78">
        <f t="shared" si="782"/>
        <v>0</v>
      </c>
      <c r="DU360" s="78">
        <f t="shared" si="782"/>
        <v>0</v>
      </c>
      <c r="DV360" s="78">
        <f t="shared" si="782"/>
        <v>0</v>
      </c>
      <c r="DW360" s="78">
        <f t="shared" si="782"/>
        <v>0</v>
      </c>
      <c r="DX360" s="78">
        <f t="shared" si="782"/>
        <v>0</v>
      </c>
      <c r="DY360" s="78">
        <f t="shared" si="782"/>
        <v>0</v>
      </c>
      <c r="DZ360" s="78">
        <f t="shared" si="782"/>
        <v>0</v>
      </c>
      <c r="EA360" s="78">
        <f t="shared" si="782"/>
        <v>0</v>
      </c>
      <c r="EB360" s="78">
        <f t="shared" si="782"/>
        <v>0</v>
      </c>
      <c r="EC360" s="78">
        <f t="shared" si="782"/>
        <v>0</v>
      </c>
      <c r="ED360" s="78">
        <f t="shared" si="782"/>
        <v>0</v>
      </c>
      <c r="EE360" s="78">
        <f t="shared" si="782"/>
        <v>0</v>
      </c>
      <c r="EF360" s="78">
        <f t="shared" si="782"/>
        <v>0</v>
      </c>
      <c r="EG360" s="78">
        <f t="shared" si="782"/>
        <v>0</v>
      </c>
      <c r="EH360" s="78">
        <f t="shared" si="782"/>
        <v>0</v>
      </c>
      <c r="EI360" s="78">
        <f t="shared" si="782"/>
        <v>0</v>
      </c>
    </row>
    <row r="361" spans="2:139">
      <c r="B361" s="880" t="s">
        <v>656</v>
      </c>
      <c r="C361" s="211"/>
      <c r="D361" s="78">
        <f t="shared" ref="D361:N361" si="783">IF(IrrCalculationType=170,D376,SUMIF($S$6:$EI$6,D$5,$S361:$EI361))</f>
        <v>0</v>
      </c>
      <c r="E361" s="78">
        <f t="shared" si="783"/>
        <v>-1013735.7586710614</v>
      </c>
      <c r="F361" s="78">
        <f t="shared" si="783"/>
        <v>-1056179.4324117121</v>
      </c>
      <c r="G361" s="78">
        <f t="shared" si="783"/>
        <v>-1118852.1397523265</v>
      </c>
      <c r="H361" s="78">
        <f t="shared" si="783"/>
        <v>-1167400.4878539424</v>
      </c>
      <c r="I361" s="78">
        <f t="shared" si="783"/>
        <v>-1217633.7596158781</v>
      </c>
      <c r="J361" s="78">
        <f t="shared" si="783"/>
        <v>-1261529.7824043559</v>
      </c>
      <c r="K361" s="78">
        <f t="shared" si="783"/>
        <v>-1306742.6858764878</v>
      </c>
      <c r="L361" s="78">
        <f t="shared" si="783"/>
        <v>0</v>
      </c>
      <c r="M361" s="78">
        <f t="shared" si="783"/>
        <v>0</v>
      </c>
      <c r="N361" s="78">
        <f t="shared" si="783"/>
        <v>0</v>
      </c>
      <c r="O361" s="145">
        <f t="shared" si="778"/>
        <v>-8142074.0465857638</v>
      </c>
      <c r="R361" s="879"/>
      <c r="S361" s="78">
        <f t="shared" ref="S361:AX361" si="784">S376</f>
        <v>0</v>
      </c>
      <c r="T361" s="78">
        <f t="shared" si="784"/>
        <v>-84477.979889255133</v>
      </c>
      <c r="U361" s="78">
        <f t="shared" si="784"/>
        <v>-84477.979889255133</v>
      </c>
      <c r="V361" s="78">
        <f t="shared" si="784"/>
        <v>-84477.979889255133</v>
      </c>
      <c r="W361" s="78">
        <f t="shared" si="784"/>
        <v>-84477.979889255133</v>
      </c>
      <c r="X361" s="78">
        <f t="shared" si="784"/>
        <v>-84477.979889255133</v>
      </c>
      <c r="Y361" s="78">
        <f t="shared" si="784"/>
        <v>-84477.979889255133</v>
      </c>
      <c r="Z361" s="78">
        <f t="shared" si="784"/>
        <v>-84477.979889255133</v>
      </c>
      <c r="AA361" s="78">
        <f t="shared" si="784"/>
        <v>-84477.979889255133</v>
      </c>
      <c r="AB361" s="78">
        <f t="shared" si="784"/>
        <v>-84477.979889255133</v>
      </c>
      <c r="AC361" s="78">
        <f t="shared" si="784"/>
        <v>-84477.979889255133</v>
      </c>
      <c r="AD361" s="78">
        <f t="shared" si="784"/>
        <v>-84477.979889255133</v>
      </c>
      <c r="AE361" s="78">
        <f t="shared" si="784"/>
        <v>-84477.979889255133</v>
      </c>
      <c r="AF361" s="78">
        <f t="shared" si="784"/>
        <v>-87033.086713957251</v>
      </c>
      <c r="AG361" s="78">
        <f t="shared" si="784"/>
        <v>-87210.626754753146</v>
      </c>
      <c r="AH361" s="78">
        <f t="shared" si="784"/>
        <v>-87388.460017360747</v>
      </c>
      <c r="AI361" s="78">
        <f t="shared" si="784"/>
        <v>-87566.58698605973</v>
      </c>
      <c r="AJ361" s="78">
        <f t="shared" si="784"/>
        <v>-87745.008145929634</v>
      </c>
      <c r="AK361" s="78">
        <f t="shared" si="784"/>
        <v>-87923.723982850963</v>
      </c>
      <c r="AL361" s="78">
        <f t="shared" si="784"/>
        <v>-88102.73498350702</v>
      </c>
      <c r="AM361" s="78">
        <f t="shared" si="784"/>
        <v>-88282.041635384492</v>
      </c>
      <c r="AN361" s="78">
        <f t="shared" si="784"/>
        <v>-88461.644426775601</v>
      </c>
      <c r="AO361" s="78">
        <f t="shared" si="784"/>
        <v>-88641.543846778659</v>
      </c>
      <c r="AP361" s="78">
        <f t="shared" si="784"/>
        <v>-88821.740385300072</v>
      </c>
      <c r="AQ361" s="78">
        <f t="shared" si="784"/>
        <v>-89002.234533055191</v>
      </c>
      <c r="AR361" s="78">
        <f t="shared" si="784"/>
        <v>-91703.606037454709</v>
      </c>
      <c r="AS361" s="78">
        <f t="shared" si="784"/>
        <v>-91980.241408134083</v>
      </c>
      <c r="AT361" s="78">
        <f t="shared" si="784"/>
        <v>-92257.559036266088</v>
      </c>
      <c r="AU361" s="78">
        <f t="shared" si="784"/>
        <v>-92535.560604481725</v>
      </c>
      <c r="AV361" s="78">
        <f t="shared" si="784"/>
        <v>-92814.24779956165</v>
      </c>
      <c r="AW361" s="78">
        <f t="shared" si="784"/>
        <v>-93093.622312446765</v>
      </c>
      <c r="AX361" s="78">
        <f t="shared" si="784"/>
        <v>-93373.685838248173</v>
      </c>
      <c r="AY361" s="78">
        <f t="shared" ref="AY361:CD361" si="785">AY376</f>
        <v>-93654.440076257568</v>
      </c>
      <c r="AZ361" s="78">
        <f t="shared" si="785"/>
        <v>-93935.886729957594</v>
      </c>
      <c r="BA361" s="78">
        <f t="shared" si="785"/>
        <v>-94218.027507032151</v>
      </c>
      <c r="BB361" s="78">
        <f t="shared" si="785"/>
        <v>-94500.864119376783</v>
      </c>
      <c r="BC361" s="78">
        <f t="shared" si="785"/>
        <v>-94784.398283108952</v>
      </c>
      <c r="BD361" s="78">
        <f t="shared" si="785"/>
        <v>-95694.716818064364</v>
      </c>
      <c r="BE361" s="78">
        <f t="shared" si="785"/>
        <v>-95981.19534461986</v>
      </c>
      <c r="BF361" s="78">
        <f t="shared" si="785"/>
        <v>-96268.380404505791</v>
      </c>
      <c r="BG361" s="78">
        <f t="shared" si="785"/>
        <v>-96556.273740223987</v>
      </c>
      <c r="BH361" s="78">
        <f t="shared" si="785"/>
        <v>-96844.877098573779</v>
      </c>
      <c r="BI361" s="78">
        <f t="shared" si="785"/>
        <v>-97134.19223066236</v>
      </c>
      <c r="BJ361" s="78">
        <f t="shared" si="785"/>
        <v>-97424.220891915902</v>
      </c>
      <c r="BK361" s="78">
        <f t="shared" si="785"/>
        <v>-97714.96484208983</v>
      </c>
      <c r="BL361" s="78">
        <f t="shared" si="785"/>
        <v>-98006.425845279533</v>
      </c>
      <c r="BM361" s="78">
        <f t="shared" si="785"/>
        <v>-98298.605669931247</v>
      </c>
      <c r="BN361" s="78">
        <f t="shared" si="785"/>
        <v>-98591.506088852504</v>
      </c>
      <c r="BO361" s="78">
        <f t="shared" si="785"/>
        <v>-98885.12887922331</v>
      </c>
      <c r="BP361" s="78">
        <f t="shared" si="785"/>
        <v>-99824.343475076836</v>
      </c>
      <c r="BQ361" s="78">
        <f t="shared" si="785"/>
        <v>-100121.0067750274</v>
      </c>
      <c r="BR361" s="78">
        <f t="shared" si="785"/>
        <v>-100418.40172670723</v>
      </c>
      <c r="BS361" s="78">
        <f t="shared" si="785"/>
        <v>-100716.53013456677</v>
      </c>
      <c r="BT361" s="78">
        <f t="shared" si="785"/>
        <v>-101015.39380750692</v>
      </c>
      <c r="BU361" s="78">
        <f t="shared" si="785"/>
        <v>-101314.99455888965</v>
      </c>
      <c r="BV361" s="78">
        <f t="shared" si="785"/>
        <v>-101615.33420654933</v>
      </c>
      <c r="BW361" s="78">
        <f t="shared" si="785"/>
        <v>-101916.41457280342</v>
      </c>
      <c r="BX361" s="78">
        <f t="shared" si="785"/>
        <v>-102218.23748446381</v>
      </c>
      <c r="BY361" s="78">
        <f t="shared" si="785"/>
        <v>-102520.80477284787</v>
      </c>
      <c r="BZ361" s="78">
        <f t="shared" si="785"/>
        <v>-102824.11827378934</v>
      </c>
      <c r="CA361" s="78">
        <f t="shared" si="785"/>
        <v>-103128.17982764966</v>
      </c>
      <c r="CB361" s="78">
        <f t="shared" si="785"/>
        <v>-103432.99127932928</v>
      </c>
      <c r="CC361" s="78">
        <f t="shared" si="785"/>
        <v>-103738.55447827833</v>
      </c>
      <c r="CD361" s="78">
        <f t="shared" si="785"/>
        <v>-104044.87127850854</v>
      </c>
      <c r="CE361" s="78">
        <f t="shared" ref="CE361:DJ361" si="786">CE376</f>
        <v>-104351.9435386039</v>
      </c>
      <c r="CF361" s="78">
        <f t="shared" si="786"/>
        <v>-104659.77312173223</v>
      </c>
      <c r="CG361" s="78">
        <f t="shared" si="786"/>
        <v>-104968.36189565645</v>
      </c>
      <c r="CH361" s="78">
        <f t="shared" si="786"/>
        <v>-105277.71173274587</v>
      </c>
      <c r="CI361" s="78">
        <f t="shared" si="786"/>
        <v>-105587.82450998758</v>
      </c>
      <c r="CJ361" s="78">
        <f t="shared" si="786"/>
        <v>-105898.70210899782</v>
      </c>
      <c r="CK361" s="78">
        <f t="shared" si="786"/>
        <v>-106210.34641603337</v>
      </c>
      <c r="CL361" s="78">
        <f t="shared" si="786"/>
        <v>-106522.75932200308</v>
      </c>
      <c r="CM361" s="78">
        <f t="shared" si="786"/>
        <v>-106835.94272247929</v>
      </c>
      <c r="CN361" s="78">
        <f t="shared" si="786"/>
        <v>-107149.89851770923</v>
      </c>
      <c r="CO361" s="78">
        <f t="shared" si="786"/>
        <v>-107464.62861262681</v>
      </c>
      <c r="CP361" s="78">
        <f t="shared" si="786"/>
        <v>-107780.13491686393</v>
      </c>
      <c r="CQ361" s="78">
        <f t="shared" si="786"/>
        <v>-108096.41934476214</v>
      </c>
      <c r="CR361" s="78">
        <f t="shared" si="786"/>
        <v>-108413.48381538433</v>
      </c>
      <c r="CS361" s="78">
        <f t="shared" si="786"/>
        <v>-108731.33025252627</v>
      </c>
      <c r="CT361" s="78">
        <f t="shared" si="786"/>
        <v>-109049.96058472837</v>
      </c>
      <c r="CU361" s="78">
        <f t="shared" si="786"/>
        <v>-109369.37674528733</v>
      </c>
      <c r="CV361" s="78">
        <f t="shared" si="786"/>
        <v>-109689.58067226791</v>
      </c>
      <c r="CW361" s="78">
        <f t="shared" si="786"/>
        <v>-110010.57430851454</v>
      </c>
      <c r="CX361" s="78">
        <f t="shared" si="786"/>
        <v>-110332.35960166334</v>
      </c>
      <c r="CY361" s="78">
        <f t="shared" si="786"/>
        <v>-110654.93850415378</v>
      </c>
      <c r="CZ361" s="78">
        <f t="shared" si="786"/>
        <v>0</v>
      </c>
      <c r="DA361" s="78">
        <f t="shared" si="786"/>
        <v>0</v>
      </c>
      <c r="DB361" s="78">
        <f t="shared" si="786"/>
        <v>0</v>
      </c>
      <c r="DC361" s="78">
        <f t="shared" si="786"/>
        <v>0</v>
      </c>
      <c r="DD361" s="78">
        <f t="shared" si="786"/>
        <v>0</v>
      </c>
      <c r="DE361" s="78">
        <f t="shared" si="786"/>
        <v>0</v>
      </c>
      <c r="DF361" s="78">
        <f t="shared" si="786"/>
        <v>0</v>
      </c>
      <c r="DG361" s="78">
        <f t="shared" si="786"/>
        <v>0</v>
      </c>
      <c r="DH361" s="78">
        <f t="shared" si="786"/>
        <v>0</v>
      </c>
      <c r="DI361" s="78">
        <f t="shared" si="786"/>
        <v>0</v>
      </c>
      <c r="DJ361" s="78">
        <f t="shared" si="786"/>
        <v>0</v>
      </c>
      <c r="DK361" s="78">
        <f t="shared" ref="DK361:EI361" si="787">DK376</f>
        <v>0</v>
      </c>
      <c r="DL361" s="78">
        <f t="shared" si="787"/>
        <v>0</v>
      </c>
      <c r="DM361" s="78">
        <f t="shared" si="787"/>
        <v>0</v>
      </c>
      <c r="DN361" s="78">
        <f t="shared" si="787"/>
        <v>0</v>
      </c>
      <c r="DO361" s="78">
        <f t="shared" si="787"/>
        <v>0</v>
      </c>
      <c r="DP361" s="78">
        <f t="shared" si="787"/>
        <v>0</v>
      </c>
      <c r="DQ361" s="78">
        <f t="shared" si="787"/>
        <v>0</v>
      </c>
      <c r="DR361" s="78">
        <f t="shared" si="787"/>
        <v>0</v>
      </c>
      <c r="DS361" s="78">
        <f t="shared" si="787"/>
        <v>0</v>
      </c>
      <c r="DT361" s="78">
        <f t="shared" si="787"/>
        <v>0</v>
      </c>
      <c r="DU361" s="78">
        <f t="shared" si="787"/>
        <v>0</v>
      </c>
      <c r="DV361" s="78">
        <f t="shared" si="787"/>
        <v>0</v>
      </c>
      <c r="DW361" s="78">
        <f t="shared" si="787"/>
        <v>0</v>
      </c>
      <c r="DX361" s="78">
        <f t="shared" si="787"/>
        <v>0</v>
      </c>
      <c r="DY361" s="78">
        <f t="shared" si="787"/>
        <v>0</v>
      </c>
      <c r="DZ361" s="78">
        <f t="shared" si="787"/>
        <v>0</v>
      </c>
      <c r="EA361" s="78">
        <f t="shared" si="787"/>
        <v>0</v>
      </c>
      <c r="EB361" s="78">
        <f t="shared" si="787"/>
        <v>0</v>
      </c>
      <c r="EC361" s="78">
        <f t="shared" si="787"/>
        <v>0</v>
      </c>
      <c r="ED361" s="78">
        <f t="shared" si="787"/>
        <v>0</v>
      </c>
      <c r="EE361" s="78">
        <f t="shared" si="787"/>
        <v>0</v>
      </c>
      <c r="EF361" s="78">
        <f t="shared" si="787"/>
        <v>0</v>
      </c>
      <c r="EG361" s="78">
        <f t="shared" si="787"/>
        <v>0</v>
      </c>
      <c r="EH361" s="78">
        <f t="shared" si="787"/>
        <v>0</v>
      </c>
      <c r="EI361" s="78">
        <f t="shared" si="787"/>
        <v>0</v>
      </c>
    </row>
    <row r="362" spans="2:139">
      <c r="B362" s="880" t="s">
        <v>657</v>
      </c>
      <c r="C362" s="211"/>
      <c r="D362" s="78">
        <f t="shared" ref="D362:N362" si="788">IF(IrrCalculationType=170,D382,SUMIF($S$6:$EI$6,D$5,$S362:$EI362))</f>
        <v>0</v>
      </c>
      <c r="E362" s="78">
        <f t="shared" si="788"/>
        <v>0</v>
      </c>
      <c r="F362" s="78">
        <f t="shared" si="788"/>
        <v>0</v>
      </c>
      <c r="G362" s="78">
        <f t="shared" si="788"/>
        <v>0</v>
      </c>
      <c r="H362" s="78">
        <f t="shared" si="788"/>
        <v>0</v>
      </c>
      <c r="I362" s="78">
        <f t="shared" si="788"/>
        <v>0</v>
      </c>
      <c r="J362" s="78">
        <f t="shared" si="788"/>
        <v>0</v>
      </c>
      <c r="K362" s="78">
        <f t="shared" si="788"/>
        <v>-24605672.299141534</v>
      </c>
      <c r="L362" s="78">
        <f t="shared" si="788"/>
        <v>0</v>
      </c>
      <c r="M362" s="78">
        <f t="shared" si="788"/>
        <v>0</v>
      </c>
      <c r="N362" s="78">
        <f t="shared" si="788"/>
        <v>0</v>
      </c>
      <c r="O362" s="145">
        <f t="shared" si="778"/>
        <v>-24605672.299141534</v>
      </c>
      <c r="R362" s="879"/>
      <c r="S362" s="78">
        <f t="shared" ref="S362:AX362" si="789">S382</f>
        <v>0</v>
      </c>
      <c r="T362" s="78">
        <f t="shared" si="789"/>
        <v>0</v>
      </c>
      <c r="U362" s="78">
        <f t="shared" si="789"/>
        <v>0</v>
      </c>
      <c r="V362" s="78">
        <f t="shared" si="789"/>
        <v>0</v>
      </c>
      <c r="W362" s="78">
        <f t="shared" si="789"/>
        <v>0</v>
      </c>
      <c r="X362" s="78">
        <f t="shared" si="789"/>
        <v>0</v>
      </c>
      <c r="Y362" s="78">
        <f t="shared" si="789"/>
        <v>0</v>
      </c>
      <c r="Z362" s="78">
        <f t="shared" si="789"/>
        <v>0</v>
      </c>
      <c r="AA362" s="78">
        <f t="shared" si="789"/>
        <v>0</v>
      </c>
      <c r="AB362" s="78">
        <f t="shared" si="789"/>
        <v>0</v>
      </c>
      <c r="AC362" s="78">
        <f t="shared" si="789"/>
        <v>0</v>
      </c>
      <c r="AD362" s="78">
        <f t="shared" si="789"/>
        <v>0</v>
      </c>
      <c r="AE362" s="78">
        <f t="shared" si="789"/>
        <v>0</v>
      </c>
      <c r="AF362" s="78">
        <f t="shared" si="789"/>
        <v>0</v>
      </c>
      <c r="AG362" s="78">
        <f t="shared" si="789"/>
        <v>0</v>
      </c>
      <c r="AH362" s="78">
        <f t="shared" si="789"/>
        <v>0</v>
      </c>
      <c r="AI362" s="78">
        <f t="shared" si="789"/>
        <v>0</v>
      </c>
      <c r="AJ362" s="78">
        <f t="shared" si="789"/>
        <v>0</v>
      </c>
      <c r="AK362" s="78">
        <f t="shared" si="789"/>
        <v>0</v>
      </c>
      <c r="AL362" s="78">
        <f t="shared" si="789"/>
        <v>0</v>
      </c>
      <c r="AM362" s="78">
        <f t="shared" si="789"/>
        <v>0</v>
      </c>
      <c r="AN362" s="78">
        <f t="shared" si="789"/>
        <v>0</v>
      </c>
      <c r="AO362" s="78">
        <f t="shared" si="789"/>
        <v>0</v>
      </c>
      <c r="AP362" s="78">
        <f t="shared" si="789"/>
        <v>0</v>
      </c>
      <c r="AQ362" s="78">
        <f t="shared" si="789"/>
        <v>0</v>
      </c>
      <c r="AR362" s="78">
        <f t="shared" si="789"/>
        <v>0</v>
      </c>
      <c r="AS362" s="78">
        <f t="shared" si="789"/>
        <v>0</v>
      </c>
      <c r="AT362" s="78">
        <f t="shared" si="789"/>
        <v>0</v>
      </c>
      <c r="AU362" s="78">
        <f t="shared" si="789"/>
        <v>0</v>
      </c>
      <c r="AV362" s="78">
        <f t="shared" si="789"/>
        <v>0</v>
      </c>
      <c r="AW362" s="78">
        <f t="shared" si="789"/>
        <v>0</v>
      </c>
      <c r="AX362" s="78">
        <f t="shared" si="789"/>
        <v>0</v>
      </c>
      <c r="AY362" s="78">
        <f t="shared" ref="AY362:CD362" si="790">AY382</f>
        <v>0</v>
      </c>
      <c r="AZ362" s="78">
        <f t="shared" si="790"/>
        <v>0</v>
      </c>
      <c r="BA362" s="78">
        <f t="shared" si="790"/>
        <v>0</v>
      </c>
      <c r="BB362" s="78">
        <f t="shared" si="790"/>
        <v>0</v>
      </c>
      <c r="BC362" s="78">
        <f t="shared" si="790"/>
        <v>0</v>
      </c>
      <c r="BD362" s="78">
        <f t="shared" si="790"/>
        <v>0</v>
      </c>
      <c r="BE362" s="78">
        <f t="shared" si="790"/>
        <v>0</v>
      </c>
      <c r="BF362" s="78">
        <f t="shared" si="790"/>
        <v>0</v>
      </c>
      <c r="BG362" s="78">
        <f t="shared" si="790"/>
        <v>0</v>
      </c>
      <c r="BH362" s="78">
        <f t="shared" si="790"/>
        <v>0</v>
      </c>
      <c r="BI362" s="78">
        <f t="shared" si="790"/>
        <v>0</v>
      </c>
      <c r="BJ362" s="78">
        <f t="shared" si="790"/>
        <v>0</v>
      </c>
      <c r="BK362" s="78">
        <f t="shared" si="790"/>
        <v>0</v>
      </c>
      <c r="BL362" s="78">
        <f t="shared" si="790"/>
        <v>0</v>
      </c>
      <c r="BM362" s="78">
        <f t="shared" si="790"/>
        <v>0</v>
      </c>
      <c r="BN362" s="78">
        <f t="shared" si="790"/>
        <v>0</v>
      </c>
      <c r="BO362" s="78">
        <f t="shared" si="790"/>
        <v>0</v>
      </c>
      <c r="BP362" s="78">
        <f t="shared" si="790"/>
        <v>0</v>
      </c>
      <c r="BQ362" s="78">
        <f t="shared" si="790"/>
        <v>0</v>
      </c>
      <c r="BR362" s="78">
        <f t="shared" si="790"/>
        <v>0</v>
      </c>
      <c r="BS362" s="78">
        <f t="shared" si="790"/>
        <v>0</v>
      </c>
      <c r="BT362" s="78">
        <f t="shared" si="790"/>
        <v>0</v>
      </c>
      <c r="BU362" s="78">
        <f t="shared" si="790"/>
        <v>0</v>
      </c>
      <c r="BV362" s="78">
        <f t="shared" si="790"/>
        <v>0</v>
      </c>
      <c r="BW362" s="78">
        <f t="shared" si="790"/>
        <v>0</v>
      </c>
      <c r="BX362" s="78">
        <f t="shared" si="790"/>
        <v>0</v>
      </c>
      <c r="BY362" s="78">
        <f t="shared" si="790"/>
        <v>0</v>
      </c>
      <c r="BZ362" s="78">
        <f t="shared" si="790"/>
        <v>0</v>
      </c>
      <c r="CA362" s="78">
        <f t="shared" si="790"/>
        <v>0</v>
      </c>
      <c r="CB362" s="78">
        <f t="shared" si="790"/>
        <v>0</v>
      </c>
      <c r="CC362" s="78">
        <f t="shared" si="790"/>
        <v>0</v>
      </c>
      <c r="CD362" s="78">
        <f t="shared" si="790"/>
        <v>0</v>
      </c>
      <c r="CE362" s="78">
        <f t="shared" ref="CE362:DJ362" si="791">CE382</f>
        <v>0</v>
      </c>
      <c r="CF362" s="78">
        <f t="shared" si="791"/>
        <v>0</v>
      </c>
      <c r="CG362" s="78">
        <f t="shared" si="791"/>
        <v>0</v>
      </c>
      <c r="CH362" s="78">
        <f t="shared" si="791"/>
        <v>0</v>
      </c>
      <c r="CI362" s="78">
        <f t="shared" si="791"/>
        <v>0</v>
      </c>
      <c r="CJ362" s="78">
        <f t="shared" si="791"/>
        <v>0</v>
      </c>
      <c r="CK362" s="78">
        <f t="shared" si="791"/>
        <v>0</v>
      </c>
      <c r="CL362" s="78">
        <f t="shared" si="791"/>
        <v>0</v>
      </c>
      <c r="CM362" s="78">
        <f t="shared" si="791"/>
        <v>0</v>
      </c>
      <c r="CN362" s="78">
        <f t="shared" si="791"/>
        <v>0</v>
      </c>
      <c r="CO362" s="78">
        <f t="shared" si="791"/>
        <v>0</v>
      </c>
      <c r="CP362" s="78">
        <f t="shared" si="791"/>
        <v>0</v>
      </c>
      <c r="CQ362" s="78">
        <f t="shared" si="791"/>
        <v>0</v>
      </c>
      <c r="CR362" s="78">
        <f t="shared" si="791"/>
        <v>0</v>
      </c>
      <c r="CS362" s="78">
        <f t="shared" si="791"/>
        <v>0</v>
      </c>
      <c r="CT362" s="78">
        <f t="shared" si="791"/>
        <v>0</v>
      </c>
      <c r="CU362" s="78">
        <f t="shared" si="791"/>
        <v>0</v>
      </c>
      <c r="CV362" s="78">
        <f t="shared" si="791"/>
        <v>0</v>
      </c>
      <c r="CW362" s="78">
        <f t="shared" si="791"/>
        <v>0</v>
      </c>
      <c r="CX362" s="78">
        <f t="shared" si="791"/>
        <v>0</v>
      </c>
      <c r="CY362" s="78">
        <f t="shared" si="791"/>
        <v>-24605672.299141534</v>
      </c>
      <c r="CZ362" s="78">
        <f t="shared" si="791"/>
        <v>0</v>
      </c>
      <c r="DA362" s="78">
        <f t="shared" si="791"/>
        <v>0</v>
      </c>
      <c r="DB362" s="78">
        <f t="shared" si="791"/>
        <v>0</v>
      </c>
      <c r="DC362" s="78">
        <f t="shared" si="791"/>
        <v>0</v>
      </c>
      <c r="DD362" s="78">
        <f t="shared" si="791"/>
        <v>0</v>
      </c>
      <c r="DE362" s="78">
        <f t="shared" si="791"/>
        <v>0</v>
      </c>
      <c r="DF362" s="78">
        <f t="shared" si="791"/>
        <v>0</v>
      </c>
      <c r="DG362" s="78">
        <f t="shared" si="791"/>
        <v>0</v>
      </c>
      <c r="DH362" s="78">
        <f t="shared" si="791"/>
        <v>0</v>
      </c>
      <c r="DI362" s="78">
        <f t="shared" si="791"/>
        <v>0</v>
      </c>
      <c r="DJ362" s="78">
        <f t="shared" si="791"/>
        <v>0</v>
      </c>
      <c r="DK362" s="78">
        <f t="shared" ref="DK362:EI362" si="792">DK382</f>
        <v>0</v>
      </c>
      <c r="DL362" s="78">
        <f t="shared" si="792"/>
        <v>0</v>
      </c>
      <c r="DM362" s="78">
        <f t="shared" si="792"/>
        <v>0</v>
      </c>
      <c r="DN362" s="78">
        <f t="shared" si="792"/>
        <v>0</v>
      </c>
      <c r="DO362" s="78">
        <f t="shared" si="792"/>
        <v>0</v>
      </c>
      <c r="DP362" s="78">
        <f t="shared" si="792"/>
        <v>0</v>
      </c>
      <c r="DQ362" s="78">
        <f t="shared" si="792"/>
        <v>0</v>
      </c>
      <c r="DR362" s="78">
        <f t="shared" si="792"/>
        <v>0</v>
      </c>
      <c r="DS362" s="78">
        <f t="shared" si="792"/>
        <v>0</v>
      </c>
      <c r="DT362" s="78">
        <f t="shared" si="792"/>
        <v>0</v>
      </c>
      <c r="DU362" s="78">
        <f t="shared" si="792"/>
        <v>0</v>
      </c>
      <c r="DV362" s="78">
        <f t="shared" si="792"/>
        <v>0</v>
      </c>
      <c r="DW362" s="78">
        <f t="shared" si="792"/>
        <v>0</v>
      </c>
      <c r="DX362" s="78">
        <f t="shared" si="792"/>
        <v>0</v>
      </c>
      <c r="DY362" s="78">
        <f t="shared" si="792"/>
        <v>0</v>
      </c>
      <c r="DZ362" s="78">
        <f t="shared" si="792"/>
        <v>0</v>
      </c>
      <c r="EA362" s="78">
        <f t="shared" si="792"/>
        <v>0</v>
      </c>
      <c r="EB362" s="78">
        <f t="shared" si="792"/>
        <v>0</v>
      </c>
      <c r="EC362" s="78">
        <f t="shared" si="792"/>
        <v>0</v>
      </c>
      <c r="ED362" s="78">
        <f t="shared" si="792"/>
        <v>0</v>
      </c>
      <c r="EE362" s="78">
        <f t="shared" si="792"/>
        <v>0</v>
      </c>
      <c r="EF362" s="78">
        <f t="shared" si="792"/>
        <v>0</v>
      </c>
      <c r="EG362" s="78">
        <f t="shared" si="792"/>
        <v>0</v>
      </c>
      <c r="EH362" s="78">
        <f t="shared" si="792"/>
        <v>0</v>
      </c>
      <c r="EI362" s="78">
        <f t="shared" si="792"/>
        <v>0</v>
      </c>
    </row>
    <row r="363" spans="2:139">
      <c r="B363" s="880" t="s">
        <v>658</v>
      </c>
      <c r="C363" s="211"/>
      <c r="D363" s="203">
        <f t="shared" ref="D363:N363" si="793">IF(IrrCalculationType=170,D385,SUMIF($S$6:$EI$6,D$5,$S363:$EI363))</f>
        <v>0</v>
      </c>
      <c r="E363" s="203">
        <f t="shared" si="793"/>
        <v>0</v>
      </c>
      <c r="F363" s="203">
        <f t="shared" si="793"/>
        <v>0</v>
      </c>
      <c r="G363" s="203">
        <f t="shared" si="793"/>
        <v>0</v>
      </c>
      <c r="H363" s="203">
        <f t="shared" si="793"/>
        <v>0</v>
      </c>
      <c r="I363" s="203">
        <f t="shared" si="793"/>
        <v>0</v>
      </c>
      <c r="J363" s="203">
        <f t="shared" si="793"/>
        <v>0</v>
      </c>
      <c r="K363" s="203">
        <f t="shared" si="793"/>
        <v>0</v>
      </c>
      <c r="L363" s="203">
        <f t="shared" si="793"/>
        <v>0</v>
      </c>
      <c r="M363" s="203">
        <f t="shared" si="793"/>
        <v>0</v>
      </c>
      <c r="N363" s="203">
        <f t="shared" si="793"/>
        <v>0</v>
      </c>
      <c r="O363" s="853">
        <f t="shared" si="778"/>
        <v>0</v>
      </c>
      <c r="R363" s="879"/>
      <c r="S363" s="78">
        <f t="shared" ref="S363:AX363" si="794">S385</f>
        <v>0</v>
      </c>
      <c r="T363" s="78">
        <f t="shared" si="794"/>
        <v>0</v>
      </c>
      <c r="U363" s="78">
        <f t="shared" si="794"/>
        <v>0</v>
      </c>
      <c r="V363" s="78">
        <f t="shared" si="794"/>
        <v>0</v>
      </c>
      <c r="W363" s="78">
        <f t="shared" si="794"/>
        <v>0</v>
      </c>
      <c r="X363" s="78">
        <f t="shared" si="794"/>
        <v>0</v>
      </c>
      <c r="Y363" s="78">
        <f t="shared" si="794"/>
        <v>0</v>
      </c>
      <c r="Z363" s="78">
        <f t="shared" si="794"/>
        <v>0</v>
      </c>
      <c r="AA363" s="78">
        <f t="shared" si="794"/>
        <v>0</v>
      </c>
      <c r="AB363" s="78">
        <f t="shared" si="794"/>
        <v>0</v>
      </c>
      <c r="AC363" s="78">
        <f t="shared" si="794"/>
        <v>0</v>
      </c>
      <c r="AD363" s="78">
        <f t="shared" si="794"/>
        <v>0</v>
      </c>
      <c r="AE363" s="78">
        <f t="shared" si="794"/>
        <v>0</v>
      </c>
      <c r="AF363" s="78">
        <f t="shared" si="794"/>
        <v>0</v>
      </c>
      <c r="AG363" s="78">
        <f t="shared" si="794"/>
        <v>0</v>
      </c>
      <c r="AH363" s="78">
        <f t="shared" si="794"/>
        <v>0</v>
      </c>
      <c r="AI363" s="78">
        <f t="shared" si="794"/>
        <v>0</v>
      </c>
      <c r="AJ363" s="78">
        <f t="shared" si="794"/>
        <v>0</v>
      </c>
      <c r="AK363" s="78">
        <f t="shared" si="794"/>
        <v>0</v>
      </c>
      <c r="AL363" s="78">
        <f t="shared" si="794"/>
        <v>0</v>
      </c>
      <c r="AM363" s="78">
        <f t="shared" si="794"/>
        <v>0</v>
      </c>
      <c r="AN363" s="78">
        <f t="shared" si="794"/>
        <v>0</v>
      </c>
      <c r="AO363" s="78">
        <f t="shared" si="794"/>
        <v>0</v>
      </c>
      <c r="AP363" s="78">
        <f t="shared" si="794"/>
        <v>0</v>
      </c>
      <c r="AQ363" s="78">
        <f t="shared" si="794"/>
        <v>0</v>
      </c>
      <c r="AR363" s="78">
        <f t="shared" si="794"/>
        <v>0</v>
      </c>
      <c r="AS363" s="78">
        <f t="shared" si="794"/>
        <v>0</v>
      </c>
      <c r="AT363" s="78">
        <f t="shared" si="794"/>
        <v>0</v>
      </c>
      <c r="AU363" s="78">
        <f t="shared" si="794"/>
        <v>0</v>
      </c>
      <c r="AV363" s="78">
        <f t="shared" si="794"/>
        <v>0</v>
      </c>
      <c r="AW363" s="78">
        <f t="shared" si="794"/>
        <v>0</v>
      </c>
      <c r="AX363" s="78">
        <f t="shared" si="794"/>
        <v>0</v>
      </c>
      <c r="AY363" s="78">
        <f t="shared" ref="AY363:CD363" si="795">AY385</f>
        <v>0</v>
      </c>
      <c r="AZ363" s="78">
        <f t="shared" si="795"/>
        <v>0</v>
      </c>
      <c r="BA363" s="78">
        <f t="shared" si="795"/>
        <v>0</v>
      </c>
      <c r="BB363" s="78">
        <f t="shared" si="795"/>
        <v>0</v>
      </c>
      <c r="BC363" s="78">
        <f t="shared" si="795"/>
        <v>0</v>
      </c>
      <c r="BD363" s="78">
        <f t="shared" si="795"/>
        <v>0</v>
      </c>
      <c r="BE363" s="78">
        <f t="shared" si="795"/>
        <v>0</v>
      </c>
      <c r="BF363" s="78">
        <f t="shared" si="795"/>
        <v>0</v>
      </c>
      <c r="BG363" s="78">
        <f t="shared" si="795"/>
        <v>0</v>
      </c>
      <c r="BH363" s="78">
        <f t="shared" si="795"/>
        <v>0</v>
      </c>
      <c r="BI363" s="78">
        <f t="shared" si="795"/>
        <v>0</v>
      </c>
      <c r="BJ363" s="78">
        <f t="shared" si="795"/>
        <v>0</v>
      </c>
      <c r="BK363" s="78">
        <f t="shared" si="795"/>
        <v>0</v>
      </c>
      <c r="BL363" s="78">
        <f t="shared" si="795"/>
        <v>0</v>
      </c>
      <c r="BM363" s="78">
        <f t="shared" si="795"/>
        <v>0</v>
      </c>
      <c r="BN363" s="78">
        <f t="shared" si="795"/>
        <v>0</v>
      </c>
      <c r="BO363" s="78">
        <f t="shared" si="795"/>
        <v>0</v>
      </c>
      <c r="BP363" s="78">
        <f t="shared" si="795"/>
        <v>0</v>
      </c>
      <c r="BQ363" s="78">
        <f t="shared" si="795"/>
        <v>0</v>
      </c>
      <c r="BR363" s="78">
        <f t="shared" si="795"/>
        <v>0</v>
      </c>
      <c r="BS363" s="78">
        <f t="shared" si="795"/>
        <v>0</v>
      </c>
      <c r="BT363" s="78">
        <f t="shared" si="795"/>
        <v>0</v>
      </c>
      <c r="BU363" s="78">
        <f t="shared" si="795"/>
        <v>0</v>
      </c>
      <c r="BV363" s="78">
        <f t="shared" si="795"/>
        <v>0</v>
      </c>
      <c r="BW363" s="78">
        <f t="shared" si="795"/>
        <v>0</v>
      </c>
      <c r="BX363" s="78">
        <f t="shared" si="795"/>
        <v>0</v>
      </c>
      <c r="BY363" s="78">
        <f t="shared" si="795"/>
        <v>0</v>
      </c>
      <c r="BZ363" s="78">
        <f t="shared" si="795"/>
        <v>0</v>
      </c>
      <c r="CA363" s="78">
        <f t="shared" si="795"/>
        <v>0</v>
      </c>
      <c r="CB363" s="78">
        <f t="shared" si="795"/>
        <v>0</v>
      </c>
      <c r="CC363" s="78">
        <f t="shared" si="795"/>
        <v>0</v>
      </c>
      <c r="CD363" s="78">
        <f t="shared" si="795"/>
        <v>0</v>
      </c>
      <c r="CE363" s="78">
        <f t="shared" ref="CE363:DJ363" si="796">CE385</f>
        <v>0</v>
      </c>
      <c r="CF363" s="78">
        <f t="shared" si="796"/>
        <v>0</v>
      </c>
      <c r="CG363" s="78">
        <f t="shared" si="796"/>
        <v>0</v>
      </c>
      <c r="CH363" s="78">
        <f t="shared" si="796"/>
        <v>0</v>
      </c>
      <c r="CI363" s="78">
        <f t="shared" si="796"/>
        <v>0</v>
      </c>
      <c r="CJ363" s="78">
        <f t="shared" si="796"/>
        <v>0</v>
      </c>
      <c r="CK363" s="78">
        <f t="shared" si="796"/>
        <v>0</v>
      </c>
      <c r="CL363" s="78">
        <f t="shared" si="796"/>
        <v>0</v>
      </c>
      <c r="CM363" s="78">
        <f t="shared" si="796"/>
        <v>0</v>
      </c>
      <c r="CN363" s="78">
        <f t="shared" si="796"/>
        <v>0</v>
      </c>
      <c r="CO363" s="78">
        <f t="shared" si="796"/>
        <v>0</v>
      </c>
      <c r="CP363" s="78">
        <f t="shared" si="796"/>
        <v>0</v>
      </c>
      <c r="CQ363" s="78">
        <f t="shared" si="796"/>
        <v>0</v>
      </c>
      <c r="CR363" s="78">
        <f t="shared" si="796"/>
        <v>0</v>
      </c>
      <c r="CS363" s="78">
        <f t="shared" si="796"/>
        <v>0</v>
      </c>
      <c r="CT363" s="78">
        <f t="shared" si="796"/>
        <v>0</v>
      </c>
      <c r="CU363" s="78">
        <f t="shared" si="796"/>
        <v>0</v>
      </c>
      <c r="CV363" s="78">
        <f t="shared" si="796"/>
        <v>0</v>
      </c>
      <c r="CW363" s="78">
        <f t="shared" si="796"/>
        <v>0</v>
      </c>
      <c r="CX363" s="78">
        <f t="shared" si="796"/>
        <v>0</v>
      </c>
      <c r="CY363" s="78">
        <f t="shared" si="796"/>
        <v>0</v>
      </c>
      <c r="CZ363" s="78">
        <f t="shared" si="796"/>
        <v>0</v>
      </c>
      <c r="DA363" s="78">
        <f t="shared" si="796"/>
        <v>0</v>
      </c>
      <c r="DB363" s="78">
        <f t="shared" si="796"/>
        <v>0</v>
      </c>
      <c r="DC363" s="78">
        <f t="shared" si="796"/>
        <v>0</v>
      </c>
      <c r="DD363" s="78">
        <f t="shared" si="796"/>
        <v>0</v>
      </c>
      <c r="DE363" s="78">
        <f t="shared" si="796"/>
        <v>0</v>
      </c>
      <c r="DF363" s="78">
        <f t="shared" si="796"/>
        <v>0</v>
      </c>
      <c r="DG363" s="78">
        <f t="shared" si="796"/>
        <v>0</v>
      </c>
      <c r="DH363" s="78">
        <f t="shared" si="796"/>
        <v>0</v>
      </c>
      <c r="DI363" s="78">
        <f t="shared" si="796"/>
        <v>0</v>
      </c>
      <c r="DJ363" s="78">
        <f t="shared" si="796"/>
        <v>0</v>
      </c>
      <c r="DK363" s="78">
        <f t="shared" ref="DK363:EI363" si="797">DK385</f>
        <v>0</v>
      </c>
      <c r="DL363" s="78">
        <f t="shared" si="797"/>
        <v>0</v>
      </c>
      <c r="DM363" s="78">
        <f t="shared" si="797"/>
        <v>0</v>
      </c>
      <c r="DN363" s="78">
        <f t="shared" si="797"/>
        <v>0</v>
      </c>
      <c r="DO363" s="78">
        <f t="shared" si="797"/>
        <v>0</v>
      </c>
      <c r="DP363" s="78">
        <f t="shared" si="797"/>
        <v>0</v>
      </c>
      <c r="DQ363" s="78">
        <f t="shared" si="797"/>
        <v>0</v>
      </c>
      <c r="DR363" s="78">
        <f t="shared" si="797"/>
        <v>0</v>
      </c>
      <c r="DS363" s="78">
        <f t="shared" si="797"/>
        <v>0</v>
      </c>
      <c r="DT363" s="78">
        <f t="shared" si="797"/>
        <v>0</v>
      </c>
      <c r="DU363" s="78">
        <f t="shared" si="797"/>
        <v>0</v>
      </c>
      <c r="DV363" s="78">
        <f t="shared" si="797"/>
        <v>0</v>
      </c>
      <c r="DW363" s="78">
        <f t="shared" si="797"/>
        <v>0</v>
      </c>
      <c r="DX363" s="78">
        <f t="shared" si="797"/>
        <v>0</v>
      </c>
      <c r="DY363" s="78">
        <f t="shared" si="797"/>
        <v>0</v>
      </c>
      <c r="DZ363" s="78">
        <f t="shared" si="797"/>
        <v>0</v>
      </c>
      <c r="EA363" s="78">
        <f t="shared" si="797"/>
        <v>0</v>
      </c>
      <c r="EB363" s="78">
        <f t="shared" si="797"/>
        <v>0</v>
      </c>
      <c r="EC363" s="78">
        <f t="shared" si="797"/>
        <v>0</v>
      </c>
      <c r="ED363" s="78">
        <f t="shared" si="797"/>
        <v>0</v>
      </c>
      <c r="EE363" s="78">
        <f t="shared" si="797"/>
        <v>0</v>
      </c>
      <c r="EF363" s="78">
        <f t="shared" si="797"/>
        <v>0</v>
      </c>
      <c r="EG363" s="78">
        <f t="shared" si="797"/>
        <v>0</v>
      </c>
      <c r="EH363" s="78">
        <f t="shared" si="797"/>
        <v>0</v>
      </c>
      <c r="EI363" s="78">
        <f t="shared" si="797"/>
        <v>0</v>
      </c>
    </row>
    <row r="364" spans="2:139">
      <c r="B364" s="880" t="s">
        <v>659</v>
      </c>
      <c r="C364" s="211"/>
      <c r="D364" s="78">
        <f t="shared" ref="D364:N364" si="798">IF(IrrCalculationType=170,D390,SUMIF($S$6:$EI$6,D$5,$S364:$EI364))</f>
        <v>0</v>
      </c>
      <c r="E364" s="78">
        <f t="shared" si="798"/>
        <v>0</v>
      </c>
      <c r="F364" s="78">
        <f t="shared" si="798"/>
        <v>0</v>
      </c>
      <c r="G364" s="78">
        <f t="shared" si="798"/>
        <v>0</v>
      </c>
      <c r="H364" s="78">
        <f t="shared" si="798"/>
        <v>0</v>
      </c>
      <c r="I364" s="78">
        <f t="shared" si="798"/>
        <v>0</v>
      </c>
      <c r="J364" s="78">
        <f t="shared" si="798"/>
        <v>0</v>
      </c>
      <c r="K364" s="78">
        <f t="shared" si="798"/>
        <v>0</v>
      </c>
      <c r="L364" s="78">
        <f t="shared" si="798"/>
        <v>0</v>
      </c>
      <c r="M364" s="78">
        <f t="shared" si="798"/>
        <v>0</v>
      </c>
      <c r="N364" s="78">
        <f t="shared" si="798"/>
        <v>0</v>
      </c>
      <c r="O364" s="145">
        <f t="shared" si="778"/>
        <v>0</v>
      </c>
      <c r="R364" s="879"/>
      <c r="S364" s="78">
        <f t="shared" ref="S364:AX364" si="799">S390</f>
        <v>0</v>
      </c>
      <c r="T364" s="78">
        <f t="shared" si="799"/>
        <v>0</v>
      </c>
      <c r="U364" s="78">
        <f t="shared" si="799"/>
        <v>0</v>
      </c>
      <c r="V364" s="78">
        <f t="shared" si="799"/>
        <v>0</v>
      </c>
      <c r="W364" s="78">
        <f t="shared" si="799"/>
        <v>0</v>
      </c>
      <c r="X364" s="78">
        <f t="shared" si="799"/>
        <v>0</v>
      </c>
      <c r="Y364" s="78">
        <f t="shared" si="799"/>
        <v>0</v>
      </c>
      <c r="Z364" s="78">
        <f t="shared" si="799"/>
        <v>0</v>
      </c>
      <c r="AA364" s="78">
        <f t="shared" si="799"/>
        <v>0</v>
      </c>
      <c r="AB364" s="78">
        <f t="shared" si="799"/>
        <v>0</v>
      </c>
      <c r="AC364" s="78">
        <f t="shared" si="799"/>
        <v>0</v>
      </c>
      <c r="AD364" s="78">
        <f t="shared" si="799"/>
        <v>0</v>
      </c>
      <c r="AE364" s="78">
        <f t="shared" si="799"/>
        <v>0</v>
      </c>
      <c r="AF364" s="78">
        <f t="shared" si="799"/>
        <v>0</v>
      </c>
      <c r="AG364" s="78">
        <f t="shared" si="799"/>
        <v>0</v>
      </c>
      <c r="AH364" s="78">
        <f t="shared" si="799"/>
        <v>0</v>
      </c>
      <c r="AI364" s="78">
        <f t="shared" si="799"/>
        <v>0</v>
      </c>
      <c r="AJ364" s="78">
        <f t="shared" si="799"/>
        <v>0</v>
      </c>
      <c r="AK364" s="78">
        <f t="shared" si="799"/>
        <v>0</v>
      </c>
      <c r="AL364" s="78">
        <f t="shared" si="799"/>
        <v>0</v>
      </c>
      <c r="AM364" s="78">
        <f t="shared" si="799"/>
        <v>0</v>
      </c>
      <c r="AN364" s="78">
        <f t="shared" si="799"/>
        <v>0</v>
      </c>
      <c r="AO364" s="78">
        <f t="shared" si="799"/>
        <v>0</v>
      </c>
      <c r="AP364" s="78">
        <f t="shared" si="799"/>
        <v>0</v>
      </c>
      <c r="AQ364" s="78">
        <f t="shared" si="799"/>
        <v>0</v>
      </c>
      <c r="AR364" s="78">
        <f t="shared" si="799"/>
        <v>0</v>
      </c>
      <c r="AS364" s="78">
        <f t="shared" si="799"/>
        <v>0</v>
      </c>
      <c r="AT364" s="78">
        <f t="shared" si="799"/>
        <v>0</v>
      </c>
      <c r="AU364" s="78">
        <f t="shared" si="799"/>
        <v>0</v>
      </c>
      <c r="AV364" s="78">
        <f t="shared" si="799"/>
        <v>0</v>
      </c>
      <c r="AW364" s="78">
        <f t="shared" si="799"/>
        <v>0</v>
      </c>
      <c r="AX364" s="78">
        <f t="shared" si="799"/>
        <v>0</v>
      </c>
      <c r="AY364" s="78">
        <f t="shared" ref="AY364:CD364" si="800">AY390</f>
        <v>0</v>
      </c>
      <c r="AZ364" s="78">
        <f t="shared" si="800"/>
        <v>0</v>
      </c>
      <c r="BA364" s="78">
        <f t="shared" si="800"/>
        <v>0</v>
      </c>
      <c r="BB364" s="78">
        <f t="shared" si="800"/>
        <v>0</v>
      </c>
      <c r="BC364" s="78">
        <f t="shared" si="800"/>
        <v>0</v>
      </c>
      <c r="BD364" s="78">
        <f t="shared" si="800"/>
        <v>0</v>
      </c>
      <c r="BE364" s="78">
        <f t="shared" si="800"/>
        <v>0</v>
      </c>
      <c r="BF364" s="78">
        <f t="shared" si="800"/>
        <v>0</v>
      </c>
      <c r="BG364" s="78">
        <f t="shared" si="800"/>
        <v>0</v>
      </c>
      <c r="BH364" s="78">
        <f t="shared" si="800"/>
        <v>0</v>
      </c>
      <c r="BI364" s="78">
        <f t="shared" si="800"/>
        <v>0</v>
      </c>
      <c r="BJ364" s="78">
        <f t="shared" si="800"/>
        <v>0</v>
      </c>
      <c r="BK364" s="78">
        <f t="shared" si="800"/>
        <v>0</v>
      </c>
      <c r="BL364" s="78">
        <f t="shared" si="800"/>
        <v>0</v>
      </c>
      <c r="BM364" s="78">
        <f t="shared" si="800"/>
        <v>0</v>
      </c>
      <c r="BN364" s="78">
        <f t="shared" si="800"/>
        <v>0</v>
      </c>
      <c r="BO364" s="78">
        <f t="shared" si="800"/>
        <v>0</v>
      </c>
      <c r="BP364" s="78">
        <f t="shared" si="800"/>
        <v>0</v>
      </c>
      <c r="BQ364" s="78">
        <f t="shared" si="800"/>
        <v>0</v>
      </c>
      <c r="BR364" s="78">
        <f t="shared" si="800"/>
        <v>0</v>
      </c>
      <c r="BS364" s="78">
        <f t="shared" si="800"/>
        <v>0</v>
      </c>
      <c r="BT364" s="78">
        <f t="shared" si="800"/>
        <v>0</v>
      </c>
      <c r="BU364" s="78">
        <f t="shared" si="800"/>
        <v>0</v>
      </c>
      <c r="BV364" s="78">
        <f t="shared" si="800"/>
        <v>0</v>
      </c>
      <c r="BW364" s="78">
        <f t="shared" si="800"/>
        <v>0</v>
      </c>
      <c r="BX364" s="78">
        <f t="shared" si="800"/>
        <v>0</v>
      </c>
      <c r="BY364" s="78">
        <f t="shared" si="800"/>
        <v>0</v>
      </c>
      <c r="BZ364" s="78">
        <f t="shared" si="800"/>
        <v>0</v>
      </c>
      <c r="CA364" s="78">
        <f t="shared" si="800"/>
        <v>0</v>
      </c>
      <c r="CB364" s="78">
        <f t="shared" si="800"/>
        <v>0</v>
      </c>
      <c r="CC364" s="78">
        <f t="shared" si="800"/>
        <v>0</v>
      </c>
      <c r="CD364" s="78">
        <f t="shared" si="800"/>
        <v>0</v>
      </c>
      <c r="CE364" s="78">
        <f t="shared" ref="CE364:DJ364" si="801">CE390</f>
        <v>0</v>
      </c>
      <c r="CF364" s="78">
        <f t="shared" si="801"/>
        <v>0</v>
      </c>
      <c r="CG364" s="78">
        <f t="shared" si="801"/>
        <v>0</v>
      </c>
      <c r="CH364" s="78">
        <f t="shared" si="801"/>
        <v>0</v>
      </c>
      <c r="CI364" s="78">
        <f t="shared" si="801"/>
        <v>0</v>
      </c>
      <c r="CJ364" s="78">
        <f t="shared" si="801"/>
        <v>0</v>
      </c>
      <c r="CK364" s="78">
        <f t="shared" si="801"/>
        <v>0</v>
      </c>
      <c r="CL364" s="78">
        <f t="shared" si="801"/>
        <v>0</v>
      </c>
      <c r="CM364" s="78">
        <f t="shared" si="801"/>
        <v>0</v>
      </c>
      <c r="CN364" s="78">
        <f t="shared" si="801"/>
        <v>0</v>
      </c>
      <c r="CO364" s="78">
        <f t="shared" si="801"/>
        <v>0</v>
      </c>
      <c r="CP364" s="78">
        <f t="shared" si="801"/>
        <v>0</v>
      </c>
      <c r="CQ364" s="78">
        <f t="shared" si="801"/>
        <v>0</v>
      </c>
      <c r="CR364" s="78">
        <f t="shared" si="801"/>
        <v>0</v>
      </c>
      <c r="CS364" s="78">
        <f t="shared" si="801"/>
        <v>0</v>
      </c>
      <c r="CT364" s="78">
        <f t="shared" si="801"/>
        <v>0</v>
      </c>
      <c r="CU364" s="78">
        <f t="shared" si="801"/>
        <v>0</v>
      </c>
      <c r="CV364" s="78">
        <f t="shared" si="801"/>
        <v>0</v>
      </c>
      <c r="CW364" s="78">
        <f t="shared" si="801"/>
        <v>0</v>
      </c>
      <c r="CX364" s="78">
        <f t="shared" si="801"/>
        <v>0</v>
      </c>
      <c r="CY364" s="78">
        <f t="shared" si="801"/>
        <v>0</v>
      </c>
      <c r="CZ364" s="78">
        <f t="shared" si="801"/>
        <v>0</v>
      </c>
      <c r="DA364" s="78">
        <f t="shared" si="801"/>
        <v>0</v>
      </c>
      <c r="DB364" s="78">
        <f t="shared" si="801"/>
        <v>0</v>
      </c>
      <c r="DC364" s="78">
        <f t="shared" si="801"/>
        <v>0</v>
      </c>
      <c r="DD364" s="78">
        <f t="shared" si="801"/>
        <v>0</v>
      </c>
      <c r="DE364" s="78">
        <f t="shared" si="801"/>
        <v>0</v>
      </c>
      <c r="DF364" s="78">
        <f t="shared" si="801"/>
        <v>0</v>
      </c>
      <c r="DG364" s="78">
        <f t="shared" si="801"/>
        <v>0</v>
      </c>
      <c r="DH364" s="78">
        <f t="shared" si="801"/>
        <v>0</v>
      </c>
      <c r="DI364" s="78">
        <f t="shared" si="801"/>
        <v>0</v>
      </c>
      <c r="DJ364" s="78">
        <f t="shared" si="801"/>
        <v>0</v>
      </c>
      <c r="DK364" s="78">
        <f t="shared" ref="DK364:EI364" si="802">DK390</f>
        <v>0</v>
      </c>
      <c r="DL364" s="78">
        <f t="shared" si="802"/>
        <v>0</v>
      </c>
      <c r="DM364" s="78">
        <f t="shared" si="802"/>
        <v>0</v>
      </c>
      <c r="DN364" s="78">
        <f t="shared" si="802"/>
        <v>0</v>
      </c>
      <c r="DO364" s="78">
        <f t="shared" si="802"/>
        <v>0</v>
      </c>
      <c r="DP364" s="78">
        <f t="shared" si="802"/>
        <v>0</v>
      </c>
      <c r="DQ364" s="78">
        <f t="shared" si="802"/>
        <v>0</v>
      </c>
      <c r="DR364" s="78">
        <f t="shared" si="802"/>
        <v>0</v>
      </c>
      <c r="DS364" s="78">
        <f t="shared" si="802"/>
        <v>0</v>
      </c>
      <c r="DT364" s="78">
        <f t="shared" si="802"/>
        <v>0</v>
      </c>
      <c r="DU364" s="78">
        <f t="shared" si="802"/>
        <v>0</v>
      </c>
      <c r="DV364" s="78">
        <f t="shared" si="802"/>
        <v>0</v>
      </c>
      <c r="DW364" s="78">
        <f t="shared" si="802"/>
        <v>0</v>
      </c>
      <c r="DX364" s="78">
        <f t="shared" si="802"/>
        <v>0</v>
      </c>
      <c r="DY364" s="78">
        <f t="shared" si="802"/>
        <v>0</v>
      </c>
      <c r="DZ364" s="78">
        <f t="shared" si="802"/>
        <v>0</v>
      </c>
      <c r="EA364" s="78">
        <f t="shared" si="802"/>
        <v>0</v>
      </c>
      <c r="EB364" s="78">
        <f t="shared" si="802"/>
        <v>0</v>
      </c>
      <c r="EC364" s="78">
        <f t="shared" si="802"/>
        <v>0</v>
      </c>
      <c r="ED364" s="78">
        <f t="shared" si="802"/>
        <v>0</v>
      </c>
      <c r="EE364" s="78">
        <f t="shared" si="802"/>
        <v>0</v>
      </c>
      <c r="EF364" s="78">
        <f t="shared" si="802"/>
        <v>0</v>
      </c>
      <c r="EG364" s="78">
        <f t="shared" si="802"/>
        <v>0</v>
      </c>
      <c r="EH364" s="78">
        <f t="shared" si="802"/>
        <v>0</v>
      </c>
      <c r="EI364" s="78">
        <f t="shared" si="802"/>
        <v>0</v>
      </c>
    </row>
    <row r="365" spans="2:139">
      <c r="B365" s="880" t="s">
        <v>660</v>
      </c>
      <c r="C365" s="211"/>
      <c r="D365" s="78">
        <f t="shared" ref="D365:N365" si="803">IF(IrrCalculationType=170,D395,SUMIF($S$6:$EI$6,D$5,$S365:$EI365))</f>
        <v>0</v>
      </c>
      <c r="E365" s="78">
        <f t="shared" si="803"/>
        <v>0</v>
      </c>
      <c r="F365" s="78">
        <f t="shared" si="803"/>
        <v>0</v>
      </c>
      <c r="G365" s="78">
        <f t="shared" si="803"/>
        <v>0</v>
      </c>
      <c r="H365" s="78">
        <f t="shared" si="803"/>
        <v>0</v>
      </c>
      <c r="I365" s="78">
        <f t="shared" si="803"/>
        <v>0</v>
      </c>
      <c r="J365" s="78">
        <f t="shared" si="803"/>
        <v>0</v>
      </c>
      <c r="K365" s="78">
        <f t="shared" si="803"/>
        <v>0</v>
      </c>
      <c r="L365" s="78">
        <f t="shared" si="803"/>
        <v>0</v>
      </c>
      <c r="M365" s="78">
        <f t="shared" si="803"/>
        <v>0</v>
      </c>
      <c r="N365" s="78">
        <f t="shared" si="803"/>
        <v>0</v>
      </c>
      <c r="O365" s="145">
        <f t="shared" si="778"/>
        <v>0</v>
      </c>
      <c r="R365" s="879"/>
      <c r="S365" s="78">
        <f t="shared" ref="S365:AX365" si="804">S395</f>
        <v>0</v>
      </c>
      <c r="T365" s="78">
        <f t="shared" si="804"/>
        <v>0</v>
      </c>
      <c r="U365" s="78">
        <f t="shared" si="804"/>
        <v>0</v>
      </c>
      <c r="V365" s="78">
        <f t="shared" si="804"/>
        <v>0</v>
      </c>
      <c r="W365" s="78">
        <f t="shared" si="804"/>
        <v>0</v>
      </c>
      <c r="X365" s="78">
        <f t="shared" si="804"/>
        <v>0</v>
      </c>
      <c r="Y365" s="78">
        <f t="shared" si="804"/>
        <v>0</v>
      </c>
      <c r="Z365" s="78">
        <f t="shared" si="804"/>
        <v>0</v>
      </c>
      <c r="AA365" s="78">
        <f t="shared" si="804"/>
        <v>0</v>
      </c>
      <c r="AB365" s="78">
        <f t="shared" si="804"/>
        <v>0</v>
      </c>
      <c r="AC365" s="78">
        <f t="shared" si="804"/>
        <v>0</v>
      </c>
      <c r="AD365" s="78">
        <f t="shared" si="804"/>
        <v>0</v>
      </c>
      <c r="AE365" s="78">
        <f t="shared" si="804"/>
        <v>0</v>
      </c>
      <c r="AF365" s="78">
        <f t="shared" si="804"/>
        <v>0</v>
      </c>
      <c r="AG365" s="78">
        <f t="shared" si="804"/>
        <v>0</v>
      </c>
      <c r="AH365" s="78">
        <f t="shared" si="804"/>
        <v>0</v>
      </c>
      <c r="AI365" s="78">
        <f t="shared" si="804"/>
        <v>0</v>
      </c>
      <c r="AJ365" s="78">
        <f t="shared" si="804"/>
        <v>0</v>
      </c>
      <c r="AK365" s="78">
        <f t="shared" si="804"/>
        <v>0</v>
      </c>
      <c r="AL365" s="78">
        <f t="shared" si="804"/>
        <v>0</v>
      </c>
      <c r="AM365" s="78">
        <f t="shared" si="804"/>
        <v>0</v>
      </c>
      <c r="AN365" s="78">
        <f t="shared" si="804"/>
        <v>0</v>
      </c>
      <c r="AO365" s="78">
        <f t="shared" si="804"/>
        <v>0</v>
      </c>
      <c r="AP365" s="78">
        <f t="shared" si="804"/>
        <v>0</v>
      </c>
      <c r="AQ365" s="78">
        <f t="shared" si="804"/>
        <v>0</v>
      </c>
      <c r="AR365" s="78">
        <f t="shared" si="804"/>
        <v>0</v>
      </c>
      <c r="AS365" s="78">
        <f t="shared" si="804"/>
        <v>0</v>
      </c>
      <c r="AT365" s="78">
        <f t="shared" si="804"/>
        <v>0</v>
      </c>
      <c r="AU365" s="78">
        <f t="shared" si="804"/>
        <v>0</v>
      </c>
      <c r="AV365" s="78">
        <f t="shared" si="804"/>
        <v>0</v>
      </c>
      <c r="AW365" s="78">
        <f t="shared" si="804"/>
        <v>0</v>
      </c>
      <c r="AX365" s="78">
        <f t="shared" si="804"/>
        <v>0</v>
      </c>
      <c r="AY365" s="78">
        <f t="shared" ref="AY365:CD365" si="805">AY395</f>
        <v>0</v>
      </c>
      <c r="AZ365" s="78">
        <f t="shared" si="805"/>
        <v>0</v>
      </c>
      <c r="BA365" s="78">
        <f t="shared" si="805"/>
        <v>0</v>
      </c>
      <c r="BB365" s="78">
        <f t="shared" si="805"/>
        <v>0</v>
      </c>
      <c r="BC365" s="78">
        <f t="shared" si="805"/>
        <v>0</v>
      </c>
      <c r="BD365" s="78">
        <f t="shared" si="805"/>
        <v>0</v>
      </c>
      <c r="BE365" s="78">
        <f t="shared" si="805"/>
        <v>0</v>
      </c>
      <c r="BF365" s="78">
        <f t="shared" si="805"/>
        <v>0</v>
      </c>
      <c r="BG365" s="78">
        <f t="shared" si="805"/>
        <v>0</v>
      </c>
      <c r="BH365" s="78">
        <f t="shared" si="805"/>
        <v>0</v>
      </c>
      <c r="BI365" s="78">
        <f t="shared" si="805"/>
        <v>0</v>
      </c>
      <c r="BJ365" s="78">
        <f t="shared" si="805"/>
        <v>0</v>
      </c>
      <c r="BK365" s="78">
        <f t="shared" si="805"/>
        <v>0</v>
      </c>
      <c r="BL365" s="78">
        <f t="shared" si="805"/>
        <v>0</v>
      </c>
      <c r="BM365" s="78">
        <f t="shared" si="805"/>
        <v>0</v>
      </c>
      <c r="BN365" s="78">
        <f t="shared" si="805"/>
        <v>0</v>
      </c>
      <c r="BO365" s="78">
        <f t="shared" si="805"/>
        <v>0</v>
      </c>
      <c r="BP365" s="78">
        <f t="shared" si="805"/>
        <v>0</v>
      </c>
      <c r="BQ365" s="78">
        <f t="shared" si="805"/>
        <v>0</v>
      </c>
      <c r="BR365" s="78">
        <f t="shared" si="805"/>
        <v>0</v>
      </c>
      <c r="BS365" s="78">
        <f t="shared" si="805"/>
        <v>0</v>
      </c>
      <c r="BT365" s="78">
        <f t="shared" si="805"/>
        <v>0</v>
      </c>
      <c r="BU365" s="78">
        <f t="shared" si="805"/>
        <v>0</v>
      </c>
      <c r="BV365" s="78">
        <f t="shared" si="805"/>
        <v>0</v>
      </c>
      <c r="BW365" s="78">
        <f t="shared" si="805"/>
        <v>0</v>
      </c>
      <c r="BX365" s="78">
        <f t="shared" si="805"/>
        <v>0</v>
      </c>
      <c r="BY365" s="78">
        <f t="shared" si="805"/>
        <v>0</v>
      </c>
      <c r="BZ365" s="78">
        <f t="shared" si="805"/>
        <v>0</v>
      </c>
      <c r="CA365" s="78">
        <f t="shared" si="805"/>
        <v>0</v>
      </c>
      <c r="CB365" s="78">
        <f t="shared" si="805"/>
        <v>0</v>
      </c>
      <c r="CC365" s="78">
        <f t="shared" si="805"/>
        <v>0</v>
      </c>
      <c r="CD365" s="78">
        <f t="shared" si="805"/>
        <v>0</v>
      </c>
      <c r="CE365" s="78">
        <f t="shared" ref="CE365:DJ365" si="806">CE395</f>
        <v>0</v>
      </c>
      <c r="CF365" s="78">
        <f t="shared" si="806"/>
        <v>0</v>
      </c>
      <c r="CG365" s="78">
        <f t="shared" si="806"/>
        <v>0</v>
      </c>
      <c r="CH365" s="78">
        <f t="shared" si="806"/>
        <v>0</v>
      </c>
      <c r="CI365" s="78">
        <f t="shared" si="806"/>
        <v>0</v>
      </c>
      <c r="CJ365" s="78">
        <f t="shared" si="806"/>
        <v>0</v>
      </c>
      <c r="CK365" s="78">
        <f t="shared" si="806"/>
        <v>0</v>
      </c>
      <c r="CL365" s="78">
        <f t="shared" si="806"/>
        <v>0</v>
      </c>
      <c r="CM365" s="78">
        <f t="shared" si="806"/>
        <v>0</v>
      </c>
      <c r="CN365" s="78">
        <f t="shared" si="806"/>
        <v>0</v>
      </c>
      <c r="CO365" s="78">
        <f t="shared" si="806"/>
        <v>0</v>
      </c>
      <c r="CP365" s="78">
        <f t="shared" si="806"/>
        <v>0</v>
      </c>
      <c r="CQ365" s="78">
        <f t="shared" si="806"/>
        <v>0</v>
      </c>
      <c r="CR365" s="78">
        <f t="shared" si="806"/>
        <v>0</v>
      </c>
      <c r="CS365" s="78">
        <f t="shared" si="806"/>
        <v>0</v>
      </c>
      <c r="CT365" s="78">
        <f t="shared" si="806"/>
        <v>0</v>
      </c>
      <c r="CU365" s="78">
        <f t="shared" si="806"/>
        <v>0</v>
      </c>
      <c r="CV365" s="78">
        <f t="shared" si="806"/>
        <v>0</v>
      </c>
      <c r="CW365" s="78">
        <f t="shared" si="806"/>
        <v>0</v>
      </c>
      <c r="CX365" s="78">
        <f t="shared" si="806"/>
        <v>0</v>
      </c>
      <c r="CY365" s="78">
        <f t="shared" si="806"/>
        <v>0</v>
      </c>
      <c r="CZ365" s="78">
        <f t="shared" si="806"/>
        <v>0</v>
      </c>
      <c r="DA365" s="78">
        <f t="shared" si="806"/>
        <v>0</v>
      </c>
      <c r="DB365" s="78">
        <f t="shared" si="806"/>
        <v>0</v>
      </c>
      <c r="DC365" s="78">
        <f t="shared" si="806"/>
        <v>0</v>
      </c>
      <c r="DD365" s="78">
        <f t="shared" si="806"/>
        <v>0</v>
      </c>
      <c r="DE365" s="78">
        <f t="shared" si="806"/>
        <v>0</v>
      </c>
      <c r="DF365" s="78">
        <f t="shared" si="806"/>
        <v>0</v>
      </c>
      <c r="DG365" s="78">
        <f t="shared" si="806"/>
        <v>0</v>
      </c>
      <c r="DH365" s="78">
        <f t="shared" si="806"/>
        <v>0</v>
      </c>
      <c r="DI365" s="78">
        <f t="shared" si="806"/>
        <v>0</v>
      </c>
      <c r="DJ365" s="78">
        <f t="shared" si="806"/>
        <v>0</v>
      </c>
      <c r="DK365" s="78">
        <f t="shared" ref="DK365:EI365" si="807">DK395</f>
        <v>0</v>
      </c>
      <c r="DL365" s="78">
        <f t="shared" si="807"/>
        <v>0</v>
      </c>
      <c r="DM365" s="78">
        <f t="shared" si="807"/>
        <v>0</v>
      </c>
      <c r="DN365" s="78">
        <f t="shared" si="807"/>
        <v>0</v>
      </c>
      <c r="DO365" s="78">
        <f t="shared" si="807"/>
        <v>0</v>
      </c>
      <c r="DP365" s="78">
        <f t="shared" si="807"/>
        <v>0</v>
      </c>
      <c r="DQ365" s="78">
        <f t="shared" si="807"/>
        <v>0</v>
      </c>
      <c r="DR365" s="78">
        <f t="shared" si="807"/>
        <v>0</v>
      </c>
      <c r="DS365" s="78">
        <f t="shared" si="807"/>
        <v>0</v>
      </c>
      <c r="DT365" s="78">
        <f t="shared" si="807"/>
        <v>0</v>
      </c>
      <c r="DU365" s="78">
        <f t="shared" si="807"/>
        <v>0</v>
      </c>
      <c r="DV365" s="78">
        <f t="shared" si="807"/>
        <v>0</v>
      </c>
      <c r="DW365" s="78">
        <f t="shared" si="807"/>
        <v>0</v>
      </c>
      <c r="DX365" s="78">
        <f t="shared" si="807"/>
        <v>0</v>
      </c>
      <c r="DY365" s="78">
        <f t="shared" si="807"/>
        <v>0</v>
      </c>
      <c r="DZ365" s="78">
        <f t="shared" si="807"/>
        <v>0</v>
      </c>
      <c r="EA365" s="78">
        <f t="shared" si="807"/>
        <v>0</v>
      </c>
      <c r="EB365" s="78">
        <f t="shared" si="807"/>
        <v>0</v>
      </c>
      <c r="EC365" s="78">
        <f t="shared" si="807"/>
        <v>0</v>
      </c>
      <c r="ED365" s="78">
        <f t="shared" si="807"/>
        <v>0</v>
      </c>
      <c r="EE365" s="78">
        <f t="shared" si="807"/>
        <v>0</v>
      </c>
      <c r="EF365" s="78">
        <f t="shared" si="807"/>
        <v>0</v>
      </c>
      <c r="EG365" s="78">
        <f t="shared" si="807"/>
        <v>0</v>
      </c>
      <c r="EH365" s="78">
        <f t="shared" si="807"/>
        <v>0</v>
      </c>
      <c r="EI365" s="78">
        <f t="shared" si="807"/>
        <v>0</v>
      </c>
    </row>
    <row r="366" spans="2:139">
      <c r="B366" s="880" t="s">
        <v>661</v>
      </c>
      <c r="C366" s="211"/>
      <c r="D366" s="78">
        <f t="shared" ref="D366:N366" si="808">IF(IrrCalculationType=170,D400,SUMIF($S$6:$EI$6,D$5,$S366:$EI366))</f>
        <v>0</v>
      </c>
      <c r="E366" s="78">
        <f t="shared" si="808"/>
        <v>0</v>
      </c>
      <c r="F366" s="78">
        <f t="shared" si="808"/>
        <v>0</v>
      </c>
      <c r="G366" s="78">
        <f t="shared" si="808"/>
        <v>0</v>
      </c>
      <c r="H366" s="78">
        <f t="shared" si="808"/>
        <v>0</v>
      </c>
      <c r="I366" s="78">
        <f t="shared" si="808"/>
        <v>0</v>
      </c>
      <c r="J366" s="78">
        <f t="shared" si="808"/>
        <v>0</v>
      </c>
      <c r="K366" s="78">
        <f t="shared" si="808"/>
        <v>0</v>
      </c>
      <c r="L366" s="78">
        <f t="shared" si="808"/>
        <v>0</v>
      </c>
      <c r="M366" s="78">
        <f t="shared" si="808"/>
        <v>0</v>
      </c>
      <c r="N366" s="78">
        <f t="shared" si="808"/>
        <v>0</v>
      </c>
      <c r="O366" s="145">
        <f t="shared" si="778"/>
        <v>0</v>
      </c>
      <c r="R366" s="879"/>
      <c r="S366" s="78">
        <f t="shared" ref="S366:AX366" si="809">S400</f>
        <v>0</v>
      </c>
      <c r="T366" s="78">
        <f t="shared" si="809"/>
        <v>0</v>
      </c>
      <c r="U366" s="78">
        <f t="shared" si="809"/>
        <v>0</v>
      </c>
      <c r="V366" s="78">
        <f t="shared" si="809"/>
        <v>0</v>
      </c>
      <c r="W366" s="78">
        <f t="shared" si="809"/>
        <v>0</v>
      </c>
      <c r="X366" s="78">
        <f t="shared" si="809"/>
        <v>0</v>
      </c>
      <c r="Y366" s="78">
        <f t="shared" si="809"/>
        <v>0</v>
      </c>
      <c r="Z366" s="78">
        <f t="shared" si="809"/>
        <v>0</v>
      </c>
      <c r="AA366" s="78">
        <f t="shared" si="809"/>
        <v>0</v>
      </c>
      <c r="AB366" s="78">
        <f t="shared" si="809"/>
        <v>0</v>
      </c>
      <c r="AC366" s="78">
        <f t="shared" si="809"/>
        <v>0</v>
      </c>
      <c r="AD366" s="78">
        <f t="shared" si="809"/>
        <v>0</v>
      </c>
      <c r="AE366" s="78">
        <f t="shared" si="809"/>
        <v>0</v>
      </c>
      <c r="AF366" s="78">
        <f t="shared" si="809"/>
        <v>0</v>
      </c>
      <c r="AG366" s="78">
        <f t="shared" si="809"/>
        <v>0</v>
      </c>
      <c r="AH366" s="78">
        <f t="shared" si="809"/>
        <v>0</v>
      </c>
      <c r="AI366" s="78">
        <f t="shared" si="809"/>
        <v>0</v>
      </c>
      <c r="AJ366" s="78">
        <f t="shared" si="809"/>
        <v>0</v>
      </c>
      <c r="AK366" s="78">
        <f t="shared" si="809"/>
        <v>0</v>
      </c>
      <c r="AL366" s="78">
        <f t="shared" si="809"/>
        <v>0</v>
      </c>
      <c r="AM366" s="78">
        <f t="shared" si="809"/>
        <v>0</v>
      </c>
      <c r="AN366" s="78">
        <f t="shared" si="809"/>
        <v>0</v>
      </c>
      <c r="AO366" s="78">
        <f t="shared" si="809"/>
        <v>0</v>
      </c>
      <c r="AP366" s="78">
        <f t="shared" si="809"/>
        <v>0</v>
      </c>
      <c r="AQ366" s="78">
        <f t="shared" si="809"/>
        <v>0</v>
      </c>
      <c r="AR366" s="78">
        <f t="shared" si="809"/>
        <v>0</v>
      </c>
      <c r="AS366" s="78">
        <f t="shared" si="809"/>
        <v>0</v>
      </c>
      <c r="AT366" s="78">
        <f t="shared" si="809"/>
        <v>0</v>
      </c>
      <c r="AU366" s="78">
        <f t="shared" si="809"/>
        <v>0</v>
      </c>
      <c r="AV366" s="78">
        <f t="shared" si="809"/>
        <v>0</v>
      </c>
      <c r="AW366" s="78">
        <f t="shared" si="809"/>
        <v>0</v>
      </c>
      <c r="AX366" s="78">
        <f t="shared" si="809"/>
        <v>0</v>
      </c>
      <c r="AY366" s="78">
        <f t="shared" ref="AY366:CD366" si="810">AY400</f>
        <v>0</v>
      </c>
      <c r="AZ366" s="78">
        <f t="shared" si="810"/>
        <v>0</v>
      </c>
      <c r="BA366" s="78">
        <f t="shared" si="810"/>
        <v>0</v>
      </c>
      <c r="BB366" s="78">
        <f t="shared" si="810"/>
        <v>0</v>
      </c>
      <c r="BC366" s="78">
        <f t="shared" si="810"/>
        <v>0</v>
      </c>
      <c r="BD366" s="78">
        <f t="shared" si="810"/>
        <v>0</v>
      </c>
      <c r="BE366" s="78">
        <f t="shared" si="810"/>
        <v>0</v>
      </c>
      <c r="BF366" s="78">
        <f t="shared" si="810"/>
        <v>0</v>
      </c>
      <c r="BG366" s="78">
        <f t="shared" si="810"/>
        <v>0</v>
      </c>
      <c r="BH366" s="78">
        <f t="shared" si="810"/>
        <v>0</v>
      </c>
      <c r="BI366" s="78">
        <f t="shared" si="810"/>
        <v>0</v>
      </c>
      <c r="BJ366" s="78">
        <f t="shared" si="810"/>
        <v>0</v>
      </c>
      <c r="BK366" s="78">
        <f t="shared" si="810"/>
        <v>0</v>
      </c>
      <c r="BL366" s="78">
        <f t="shared" si="810"/>
        <v>0</v>
      </c>
      <c r="BM366" s="78">
        <f t="shared" si="810"/>
        <v>0</v>
      </c>
      <c r="BN366" s="78">
        <f t="shared" si="810"/>
        <v>0</v>
      </c>
      <c r="BO366" s="78">
        <f t="shared" si="810"/>
        <v>0</v>
      </c>
      <c r="BP366" s="78">
        <f t="shared" si="810"/>
        <v>0</v>
      </c>
      <c r="BQ366" s="78">
        <f t="shared" si="810"/>
        <v>0</v>
      </c>
      <c r="BR366" s="78">
        <f t="shared" si="810"/>
        <v>0</v>
      </c>
      <c r="BS366" s="78">
        <f t="shared" si="810"/>
        <v>0</v>
      </c>
      <c r="BT366" s="78">
        <f t="shared" si="810"/>
        <v>0</v>
      </c>
      <c r="BU366" s="78">
        <f t="shared" si="810"/>
        <v>0</v>
      </c>
      <c r="BV366" s="78">
        <f t="shared" si="810"/>
        <v>0</v>
      </c>
      <c r="BW366" s="78">
        <f t="shared" si="810"/>
        <v>0</v>
      </c>
      <c r="BX366" s="78">
        <f t="shared" si="810"/>
        <v>0</v>
      </c>
      <c r="BY366" s="78">
        <f t="shared" si="810"/>
        <v>0</v>
      </c>
      <c r="BZ366" s="78">
        <f t="shared" si="810"/>
        <v>0</v>
      </c>
      <c r="CA366" s="78">
        <f t="shared" si="810"/>
        <v>0</v>
      </c>
      <c r="CB366" s="78">
        <f t="shared" si="810"/>
        <v>0</v>
      </c>
      <c r="CC366" s="78">
        <f t="shared" si="810"/>
        <v>0</v>
      </c>
      <c r="CD366" s="78">
        <f t="shared" si="810"/>
        <v>0</v>
      </c>
      <c r="CE366" s="78">
        <f t="shared" ref="CE366:DJ366" si="811">CE400</f>
        <v>0</v>
      </c>
      <c r="CF366" s="78">
        <f t="shared" si="811"/>
        <v>0</v>
      </c>
      <c r="CG366" s="78">
        <f t="shared" si="811"/>
        <v>0</v>
      </c>
      <c r="CH366" s="78">
        <f t="shared" si="811"/>
        <v>0</v>
      </c>
      <c r="CI366" s="78">
        <f t="shared" si="811"/>
        <v>0</v>
      </c>
      <c r="CJ366" s="78">
        <f t="shared" si="811"/>
        <v>0</v>
      </c>
      <c r="CK366" s="78">
        <f t="shared" si="811"/>
        <v>0</v>
      </c>
      <c r="CL366" s="78">
        <f t="shared" si="811"/>
        <v>0</v>
      </c>
      <c r="CM366" s="78">
        <f t="shared" si="811"/>
        <v>0</v>
      </c>
      <c r="CN366" s="78">
        <f t="shared" si="811"/>
        <v>0</v>
      </c>
      <c r="CO366" s="78">
        <f t="shared" si="811"/>
        <v>0</v>
      </c>
      <c r="CP366" s="78">
        <f t="shared" si="811"/>
        <v>0</v>
      </c>
      <c r="CQ366" s="78">
        <f t="shared" si="811"/>
        <v>0</v>
      </c>
      <c r="CR366" s="78">
        <f t="shared" si="811"/>
        <v>0</v>
      </c>
      <c r="CS366" s="78">
        <f t="shared" si="811"/>
        <v>0</v>
      </c>
      <c r="CT366" s="78">
        <f t="shared" si="811"/>
        <v>0</v>
      </c>
      <c r="CU366" s="78">
        <f t="shared" si="811"/>
        <v>0</v>
      </c>
      <c r="CV366" s="78">
        <f t="shared" si="811"/>
        <v>0</v>
      </c>
      <c r="CW366" s="78">
        <f t="shared" si="811"/>
        <v>0</v>
      </c>
      <c r="CX366" s="78">
        <f t="shared" si="811"/>
        <v>0</v>
      </c>
      <c r="CY366" s="78">
        <f t="shared" si="811"/>
        <v>0</v>
      </c>
      <c r="CZ366" s="78">
        <f t="shared" si="811"/>
        <v>0</v>
      </c>
      <c r="DA366" s="78">
        <f t="shared" si="811"/>
        <v>0</v>
      </c>
      <c r="DB366" s="78">
        <f t="shared" si="811"/>
        <v>0</v>
      </c>
      <c r="DC366" s="78">
        <f t="shared" si="811"/>
        <v>0</v>
      </c>
      <c r="DD366" s="78">
        <f t="shared" si="811"/>
        <v>0</v>
      </c>
      <c r="DE366" s="78">
        <f t="shared" si="811"/>
        <v>0</v>
      </c>
      <c r="DF366" s="78">
        <f t="shared" si="811"/>
        <v>0</v>
      </c>
      <c r="DG366" s="78">
        <f t="shared" si="811"/>
        <v>0</v>
      </c>
      <c r="DH366" s="78">
        <f t="shared" si="811"/>
        <v>0</v>
      </c>
      <c r="DI366" s="78">
        <f t="shared" si="811"/>
        <v>0</v>
      </c>
      <c r="DJ366" s="78">
        <f t="shared" si="811"/>
        <v>0</v>
      </c>
      <c r="DK366" s="78">
        <f t="shared" ref="DK366:EI366" si="812">DK400</f>
        <v>0</v>
      </c>
      <c r="DL366" s="78">
        <f t="shared" si="812"/>
        <v>0</v>
      </c>
      <c r="DM366" s="78">
        <f t="shared" si="812"/>
        <v>0</v>
      </c>
      <c r="DN366" s="78">
        <f t="shared" si="812"/>
        <v>0</v>
      </c>
      <c r="DO366" s="78">
        <f t="shared" si="812"/>
        <v>0</v>
      </c>
      <c r="DP366" s="78">
        <f t="shared" si="812"/>
        <v>0</v>
      </c>
      <c r="DQ366" s="78">
        <f t="shared" si="812"/>
        <v>0</v>
      </c>
      <c r="DR366" s="78">
        <f t="shared" si="812"/>
        <v>0</v>
      </c>
      <c r="DS366" s="78">
        <f t="shared" si="812"/>
        <v>0</v>
      </c>
      <c r="DT366" s="78">
        <f t="shared" si="812"/>
        <v>0</v>
      </c>
      <c r="DU366" s="78">
        <f t="shared" si="812"/>
        <v>0</v>
      </c>
      <c r="DV366" s="78">
        <f t="shared" si="812"/>
        <v>0</v>
      </c>
      <c r="DW366" s="78">
        <f t="shared" si="812"/>
        <v>0</v>
      </c>
      <c r="DX366" s="78">
        <f t="shared" si="812"/>
        <v>0</v>
      </c>
      <c r="DY366" s="78">
        <f t="shared" si="812"/>
        <v>0</v>
      </c>
      <c r="DZ366" s="78">
        <f t="shared" si="812"/>
        <v>0</v>
      </c>
      <c r="EA366" s="78">
        <f t="shared" si="812"/>
        <v>0</v>
      </c>
      <c r="EB366" s="78">
        <f t="shared" si="812"/>
        <v>0</v>
      </c>
      <c r="EC366" s="78">
        <f t="shared" si="812"/>
        <v>0</v>
      </c>
      <c r="ED366" s="78">
        <f t="shared" si="812"/>
        <v>0</v>
      </c>
      <c r="EE366" s="78">
        <f t="shared" si="812"/>
        <v>0</v>
      </c>
      <c r="EF366" s="78">
        <f t="shared" si="812"/>
        <v>0</v>
      </c>
      <c r="EG366" s="78">
        <f t="shared" si="812"/>
        <v>0</v>
      </c>
      <c r="EH366" s="78">
        <f t="shared" si="812"/>
        <v>0</v>
      </c>
      <c r="EI366" s="78">
        <f t="shared" si="812"/>
        <v>0</v>
      </c>
    </row>
    <row r="367" spans="2:139">
      <c r="B367" s="198" t="s">
        <v>252</v>
      </c>
      <c r="C367" s="211"/>
      <c r="D367" s="694">
        <f t="shared" ref="D367:N367" si="813">SUBTOTAL(9,D324:D366)</f>
        <v>13009400</v>
      </c>
      <c r="E367" s="694">
        <f t="shared" si="813"/>
        <v>0</v>
      </c>
      <c r="F367" s="694">
        <f t="shared" si="813"/>
        <v>0</v>
      </c>
      <c r="G367" s="694">
        <f t="shared" si="813"/>
        <v>0</v>
      </c>
      <c r="H367" s="694">
        <f t="shared" si="813"/>
        <v>0</v>
      </c>
      <c r="I367" s="694">
        <f t="shared" si="813"/>
        <v>0</v>
      </c>
      <c r="J367" s="694">
        <f t="shared" si="813"/>
        <v>0</v>
      </c>
      <c r="K367" s="694">
        <f t="shared" si="813"/>
        <v>0</v>
      </c>
      <c r="L367" s="694">
        <f t="shared" si="813"/>
        <v>0</v>
      </c>
      <c r="M367" s="694">
        <f t="shared" si="813"/>
        <v>0</v>
      </c>
      <c r="N367" s="694">
        <f t="shared" si="813"/>
        <v>0</v>
      </c>
      <c r="O367" s="713">
        <f t="shared" si="778"/>
        <v>13009400</v>
      </c>
      <c r="R367" s="879"/>
      <c r="S367" s="694">
        <f t="shared" ref="S367:AX367" si="814">SUBTOTAL(9,S324:S366)</f>
        <v>13009400</v>
      </c>
      <c r="T367" s="694">
        <f t="shared" si="814"/>
        <v>1.4551915228366852E-11</v>
      </c>
      <c r="U367" s="694">
        <f t="shared" si="814"/>
        <v>1.4551915228366852E-11</v>
      </c>
      <c r="V367" s="694">
        <f t="shared" si="814"/>
        <v>1.4551915228366852E-11</v>
      </c>
      <c r="W367" s="694">
        <f t="shared" si="814"/>
        <v>1.4551915228366852E-11</v>
      </c>
      <c r="X367" s="694">
        <f t="shared" si="814"/>
        <v>1.4551915228366852E-11</v>
      </c>
      <c r="Y367" s="694">
        <f t="shared" si="814"/>
        <v>1.4551915228366852E-11</v>
      </c>
      <c r="Z367" s="694">
        <f t="shared" si="814"/>
        <v>1.4551915228366852E-11</v>
      </c>
      <c r="AA367" s="694">
        <f t="shared" si="814"/>
        <v>1.4551915228366852E-11</v>
      </c>
      <c r="AB367" s="694">
        <f t="shared" si="814"/>
        <v>1.4551915228366852E-11</v>
      </c>
      <c r="AC367" s="694">
        <f t="shared" si="814"/>
        <v>1.4551915228366852E-11</v>
      </c>
      <c r="AD367" s="694">
        <f t="shared" si="814"/>
        <v>1.4551915228366852E-11</v>
      </c>
      <c r="AE367" s="694">
        <f t="shared" si="814"/>
        <v>1.4551915228366852E-11</v>
      </c>
      <c r="AF367" s="694">
        <f t="shared" si="814"/>
        <v>0</v>
      </c>
      <c r="AG367" s="694">
        <f t="shared" si="814"/>
        <v>0</v>
      </c>
      <c r="AH367" s="694">
        <f t="shared" si="814"/>
        <v>1.4551915228366852E-11</v>
      </c>
      <c r="AI367" s="694">
        <f t="shared" si="814"/>
        <v>1.4551915228366852E-11</v>
      </c>
      <c r="AJ367" s="694">
        <f t="shared" si="814"/>
        <v>0</v>
      </c>
      <c r="AK367" s="694">
        <f t="shared" si="814"/>
        <v>1.4551915228366852E-11</v>
      </c>
      <c r="AL367" s="694">
        <f t="shared" si="814"/>
        <v>0</v>
      </c>
      <c r="AM367" s="694">
        <f t="shared" si="814"/>
        <v>1.4551915228366852E-11</v>
      </c>
      <c r="AN367" s="694">
        <f t="shared" si="814"/>
        <v>1.4551915228366852E-11</v>
      </c>
      <c r="AO367" s="694">
        <f t="shared" si="814"/>
        <v>1.4551915228366852E-11</v>
      </c>
      <c r="AP367" s="694">
        <f t="shared" si="814"/>
        <v>0</v>
      </c>
      <c r="AQ367" s="694">
        <f t="shared" si="814"/>
        <v>0</v>
      </c>
      <c r="AR367" s="694">
        <f t="shared" si="814"/>
        <v>0</v>
      </c>
      <c r="AS367" s="694">
        <f t="shared" si="814"/>
        <v>0</v>
      </c>
      <c r="AT367" s="694">
        <f t="shared" si="814"/>
        <v>1.4551915228366852E-11</v>
      </c>
      <c r="AU367" s="694">
        <f t="shared" si="814"/>
        <v>0</v>
      </c>
      <c r="AV367" s="694">
        <f t="shared" si="814"/>
        <v>1.4551915228366852E-11</v>
      </c>
      <c r="AW367" s="694">
        <f t="shared" si="814"/>
        <v>0</v>
      </c>
      <c r="AX367" s="694">
        <f t="shared" si="814"/>
        <v>0</v>
      </c>
      <c r="AY367" s="694">
        <f t="shared" ref="AY367:CD367" si="815">SUBTOTAL(9,AY324:AY366)</f>
        <v>0</v>
      </c>
      <c r="AZ367" s="694">
        <f t="shared" si="815"/>
        <v>1.4551915228366852E-11</v>
      </c>
      <c r="BA367" s="694">
        <f t="shared" si="815"/>
        <v>1.4551915228366852E-11</v>
      </c>
      <c r="BB367" s="694">
        <f t="shared" si="815"/>
        <v>0</v>
      </c>
      <c r="BC367" s="694">
        <f t="shared" si="815"/>
        <v>0</v>
      </c>
      <c r="BD367" s="694">
        <f t="shared" si="815"/>
        <v>0</v>
      </c>
      <c r="BE367" s="694">
        <f t="shared" si="815"/>
        <v>0</v>
      </c>
      <c r="BF367" s="694">
        <f t="shared" si="815"/>
        <v>0</v>
      </c>
      <c r="BG367" s="694">
        <f t="shared" si="815"/>
        <v>0</v>
      </c>
      <c r="BH367" s="694">
        <f t="shared" si="815"/>
        <v>0</v>
      </c>
      <c r="BI367" s="694">
        <f t="shared" si="815"/>
        <v>0</v>
      </c>
      <c r="BJ367" s="694">
        <f t="shared" si="815"/>
        <v>0</v>
      </c>
      <c r="BK367" s="694">
        <f t="shared" si="815"/>
        <v>0</v>
      </c>
      <c r="BL367" s="694">
        <f t="shared" si="815"/>
        <v>0</v>
      </c>
      <c r="BM367" s="694">
        <f t="shared" si="815"/>
        <v>0</v>
      </c>
      <c r="BN367" s="694">
        <f t="shared" si="815"/>
        <v>0</v>
      </c>
      <c r="BO367" s="694">
        <f t="shared" si="815"/>
        <v>0</v>
      </c>
      <c r="BP367" s="694">
        <f t="shared" si="815"/>
        <v>0</v>
      </c>
      <c r="BQ367" s="694">
        <f t="shared" si="815"/>
        <v>0</v>
      </c>
      <c r="BR367" s="694">
        <f t="shared" si="815"/>
        <v>0</v>
      </c>
      <c r="BS367" s="694">
        <f t="shared" si="815"/>
        <v>0</v>
      </c>
      <c r="BT367" s="694">
        <f t="shared" si="815"/>
        <v>0</v>
      </c>
      <c r="BU367" s="694">
        <f t="shared" si="815"/>
        <v>0</v>
      </c>
      <c r="BV367" s="694">
        <f t="shared" si="815"/>
        <v>0</v>
      </c>
      <c r="BW367" s="694">
        <f t="shared" si="815"/>
        <v>0</v>
      </c>
      <c r="BX367" s="694">
        <f t="shared" si="815"/>
        <v>0</v>
      </c>
      <c r="BY367" s="694">
        <f t="shared" si="815"/>
        <v>0</v>
      </c>
      <c r="BZ367" s="694">
        <f t="shared" si="815"/>
        <v>0</v>
      </c>
      <c r="CA367" s="694">
        <f t="shared" si="815"/>
        <v>0</v>
      </c>
      <c r="CB367" s="694">
        <f t="shared" si="815"/>
        <v>0</v>
      </c>
      <c r="CC367" s="694">
        <f t="shared" si="815"/>
        <v>0</v>
      </c>
      <c r="CD367" s="694">
        <f t="shared" si="815"/>
        <v>0</v>
      </c>
      <c r="CE367" s="694">
        <f t="shared" ref="CE367:DJ367" si="816">SUBTOTAL(9,CE324:CE366)</f>
        <v>0</v>
      </c>
      <c r="CF367" s="694">
        <f t="shared" si="816"/>
        <v>0</v>
      </c>
      <c r="CG367" s="694">
        <f t="shared" si="816"/>
        <v>0</v>
      </c>
      <c r="CH367" s="694">
        <f t="shared" si="816"/>
        <v>0</v>
      </c>
      <c r="CI367" s="694">
        <f t="shared" si="816"/>
        <v>0</v>
      </c>
      <c r="CJ367" s="694">
        <f t="shared" si="816"/>
        <v>0</v>
      </c>
      <c r="CK367" s="694">
        <f t="shared" si="816"/>
        <v>0</v>
      </c>
      <c r="CL367" s="694">
        <f t="shared" si="816"/>
        <v>0</v>
      </c>
      <c r="CM367" s="694">
        <f t="shared" si="816"/>
        <v>0</v>
      </c>
      <c r="CN367" s="694">
        <f t="shared" si="816"/>
        <v>0</v>
      </c>
      <c r="CO367" s="694">
        <f t="shared" si="816"/>
        <v>0</v>
      </c>
      <c r="CP367" s="694">
        <f t="shared" si="816"/>
        <v>0</v>
      </c>
      <c r="CQ367" s="694">
        <f t="shared" si="816"/>
        <v>0</v>
      </c>
      <c r="CR367" s="694">
        <f t="shared" si="816"/>
        <v>0</v>
      </c>
      <c r="CS367" s="694">
        <f t="shared" si="816"/>
        <v>0</v>
      </c>
      <c r="CT367" s="694">
        <f t="shared" si="816"/>
        <v>0</v>
      </c>
      <c r="CU367" s="694">
        <f t="shared" si="816"/>
        <v>0</v>
      </c>
      <c r="CV367" s="694">
        <f t="shared" si="816"/>
        <v>0</v>
      </c>
      <c r="CW367" s="694">
        <f t="shared" si="816"/>
        <v>0</v>
      </c>
      <c r="CX367" s="694">
        <f t="shared" si="816"/>
        <v>0</v>
      </c>
      <c r="CY367" s="694">
        <f t="shared" si="816"/>
        <v>0</v>
      </c>
      <c r="CZ367" s="694">
        <f t="shared" si="816"/>
        <v>0</v>
      </c>
      <c r="DA367" s="694">
        <f t="shared" si="816"/>
        <v>0</v>
      </c>
      <c r="DB367" s="694">
        <f t="shared" si="816"/>
        <v>0</v>
      </c>
      <c r="DC367" s="694">
        <f t="shared" si="816"/>
        <v>0</v>
      </c>
      <c r="DD367" s="694">
        <f t="shared" si="816"/>
        <v>0</v>
      </c>
      <c r="DE367" s="694">
        <f t="shared" si="816"/>
        <v>0</v>
      </c>
      <c r="DF367" s="694">
        <f t="shared" si="816"/>
        <v>0</v>
      </c>
      <c r="DG367" s="694">
        <f t="shared" si="816"/>
        <v>0</v>
      </c>
      <c r="DH367" s="694">
        <f t="shared" si="816"/>
        <v>0</v>
      </c>
      <c r="DI367" s="694">
        <f t="shared" si="816"/>
        <v>0</v>
      </c>
      <c r="DJ367" s="694">
        <f t="shared" si="816"/>
        <v>0</v>
      </c>
      <c r="DK367" s="694">
        <f t="shared" ref="DK367:EP367" si="817">SUBTOTAL(9,DK324:DK366)</f>
        <v>0</v>
      </c>
      <c r="DL367" s="694">
        <f t="shared" si="817"/>
        <v>0</v>
      </c>
      <c r="DM367" s="694">
        <f t="shared" si="817"/>
        <v>0</v>
      </c>
      <c r="DN367" s="694">
        <f t="shared" si="817"/>
        <v>0</v>
      </c>
      <c r="DO367" s="694">
        <f t="shared" si="817"/>
        <v>0</v>
      </c>
      <c r="DP367" s="694">
        <f t="shared" si="817"/>
        <v>0</v>
      </c>
      <c r="DQ367" s="694">
        <f t="shared" si="817"/>
        <v>0</v>
      </c>
      <c r="DR367" s="694">
        <f t="shared" si="817"/>
        <v>0</v>
      </c>
      <c r="DS367" s="694">
        <f t="shared" si="817"/>
        <v>0</v>
      </c>
      <c r="DT367" s="694">
        <f t="shared" si="817"/>
        <v>0</v>
      </c>
      <c r="DU367" s="694">
        <f t="shared" si="817"/>
        <v>0</v>
      </c>
      <c r="DV367" s="694">
        <f t="shared" si="817"/>
        <v>0</v>
      </c>
      <c r="DW367" s="694">
        <f t="shared" si="817"/>
        <v>0</v>
      </c>
      <c r="DX367" s="694">
        <f t="shared" si="817"/>
        <v>0</v>
      </c>
      <c r="DY367" s="694">
        <f t="shared" si="817"/>
        <v>0</v>
      </c>
      <c r="DZ367" s="694">
        <f t="shared" si="817"/>
        <v>0</v>
      </c>
      <c r="EA367" s="694">
        <f t="shared" si="817"/>
        <v>0</v>
      </c>
      <c r="EB367" s="694">
        <f t="shared" si="817"/>
        <v>0</v>
      </c>
      <c r="EC367" s="694">
        <f t="shared" si="817"/>
        <v>0</v>
      </c>
      <c r="ED367" s="694">
        <f t="shared" si="817"/>
        <v>0</v>
      </c>
      <c r="EE367" s="694">
        <f t="shared" si="817"/>
        <v>0</v>
      </c>
      <c r="EF367" s="694">
        <f t="shared" si="817"/>
        <v>0</v>
      </c>
      <c r="EG367" s="694">
        <f t="shared" si="817"/>
        <v>0</v>
      </c>
      <c r="EH367" s="694">
        <f t="shared" si="817"/>
        <v>0</v>
      </c>
      <c r="EI367" s="694">
        <f t="shared" si="817"/>
        <v>0</v>
      </c>
    </row>
    <row r="368" spans="2:139" s="887" customFormat="1">
      <c r="B368" s="881" t="s">
        <v>662</v>
      </c>
      <c r="C368" s="882"/>
      <c r="D368" s="883">
        <f t="shared" ref="D368:N368" si="818">SUBTOTAL(9,D324:D366)-SUM(D334,D327)</f>
        <v>13009400</v>
      </c>
      <c r="E368" s="883">
        <f t="shared" si="818"/>
        <v>0</v>
      </c>
      <c r="F368" s="883">
        <f t="shared" si="818"/>
        <v>0</v>
      </c>
      <c r="G368" s="883">
        <f t="shared" si="818"/>
        <v>0</v>
      </c>
      <c r="H368" s="883">
        <f t="shared" si="818"/>
        <v>0</v>
      </c>
      <c r="I368" s="883">
        <f t="shared" si="818"/>
        <v>0</v>
      </c>
      <c r="J368" s="883">
        <f t="shared" si="818"/>
        <v>0</v>
      </c>
      <c r="K368" s="883">
        <f t="shared" si="818"/>
        <v>0</v>
      </c>
      <c r="L368" s="883">
        <f t="shared" si="818"/>
        <v>0</v>
      </c>
      <c r="M368" s="883">
        <f t="shared" si="818"/>
        <v>0</v>
      </c>
      <c r="N368" s="883">
        <f t="shared" si="818"/>
        <v>0</v>
      </c>
      <c r="O368" s="884">
        <f t="shared" si="778"/>
        <v>13009400</v>
      </c>
      <c r="P368" s="885"/>
      <c r="Q368" s="885"/>
      <c r="R368" s="886"/>
      <c r="S368" s="883">
        <f t="shared" ref="S368:AX368" si="819">SUBTOTAL(9,S324:S366)-SUM(S334,S327)</f>
        <v>13009400</v>
      </c>
      <c r="T368" s="883">
        <f t="shared" si="819"/>
        <v>1.4551915228366852E-11</v>
      </c>
      <c r="U368" s="883">
        <f t="shared" si="819"/>
        <v>1.4551915228366852E-11</v>
      </c>
      <c r="V368" s="883">
        <f t="shared" si="819"/>
        <v>1.4551915228366852E-11</v>
      </c>
      <c r="W368" s="883">
        <f t="shared" si="819"/>
        <v>1.4551915228366852E-11</v>
      </c>
      <c r="X368" s="883">
        <f t="shared" si="819"/>
        <v>1.4551915228366852E-11</v>
      </c>
      <c r="Y368" s="883">
        <f t="shared" si="819"/>
        <v>1.4551915228366852E-11</v>
      </c>
      <c r="Z368" s="883">
        <f t="shared" si="819"/>
        <v>1.4551915228366852E-11</v>
      </c>
      <c r="AA368" s="883">
        <f t="shared" si="819"/>
        <v>1.4551915228366852E-11</v>
      </c>
      <c r="AB368" s="883">
        <f t="shared" si="819"/>
        <v>1.4551915228366852E-11</v>
      </c>
      <c r="AC368" s="883">
        <f t="shared" si="819"/>
        <v>1.4551915228366852E-11</v>
      </c>
      <c r="AD368" s="883">
        <f t="shared" si="819"/>
        <v>1.4551915228366852E-11</v>
      </c>
      <c r="AE368" s="883">
        <f t="shared" si="819"/>
        <v>1.4551915228366852E-11</v>
      </c>
      <c r="AF368" s="883">
        <f t="shared" si="819"/>
        <v>0</v>
      </c>
      <c r="AG368" s="883">
        <f t="shared" si="819"/>
        <v>0</v>
      </c>
      <c r="AH368" s="883">
        <f t="shared" si="819"/>
        <v>1.4551915228366852E-11</v>
      </c>
      <c r="AI368" s="883">
        <f t="shared" si="819"/>
        <v>1.4551915228366852E-11</v>
      </c>
      <c r="AJ368" s="883">
        <f t="shared" si="819"/>
        <v>0</v>
      </c>
      <c r="AK368" s="883">
        <f t="shared" si="819"/>
        <v>1.4551915228366852E-11</v>
      </c>
      <c r="AL368" s="883">
        <f t="shared" si="819"/>
        <v>0</v>
      </c>
      <c r="AM368" s="883">
        <f t="shared" si="819"/>
        <v>1.4551915228366852E-11</v>
      </c>
      <c r="AN368" s="883">
        <f t="shared" si="819"/>
        <v>1.4551915228366852E-11</v>
      </c>
      <c r="AO368" s="883">
        <f t="shared" si="819"/>
        <v>1.4551915228366852E-11</v>
      </c>
      <c r="AP368" s="883">
        <f t="shared" si="819"/>
        <v>0</v>
      </c>
      <c r="AQ368" s="883">
        <f t="shared" si="819"/>
        <v>0</v>
      </c>
      <c r="AR368" s="883">
        <f t="shared" si="819"/>
        <v>0</v>
      </c>
      <c r="AS368" s="883">
        <f t="shared" si="819"/>
        <v>0</v>
      </c>
      <c r="AT368" s="883">
        <f t="shared" si="819"/>
        <v>1.4551915228366852E-11</v>
      </c>
      <c r="AU368" s="883">
        <f t="shared" si="819"/>
        <v>0</v>
      </c>
      <c r="AV368" s="883">
        <f t="shared" si="819"/>
        <v>1.4551915228366852E-11</v>
      </c>
      <c r="AW368" s="883">
        <f t="shared" si="819"/>
        <v>0</v>
      </c>
      <c r="AX368" s="883">
        <f t="shared" si="819"/>
        <v>0</v>
      </c>
      <c r="AY368" s="883">
        <f t="shared" ref="AY368:CD368" si="820">SUBTOTAL(9,AY324:AY366)-SUM(AY334,AY327)</f>
        <v>0</v>
      </c>
      <c r="AZ368" s="883">
        <f t="shared" si="820"/>
        <v>1.4551915228366852E-11</v>
      </c>
      <c r="BA368" s="883">
        <f t="shared" si="820"/>
        <v>1.4551915228366852E-11</v>
      </c>
      <c r="BB368" s="883">
        <f t="shared" si="820"/>
        <v>0</v>
      </c>
      <c r="BC368" s="883">
        <f t="shared" si="820"/>
        <v>0</v>
      </c>
      <c r="BD368" s="883">
        <f t="shared" si="820"/>
        <v>0</v>
      </c>
      <c r="BE368" s="883">
        <f t="shared" si="820"/>
        <v>0</v>
      </c>
      <c r="BF368" s="883">
        <f t="shared" si="820"/>
        <v>0</v>
      </c>
      <c r="BG368" s="883">
        <f t="shared" si="820"/>
        <v>0</v>
      </c>
      <c r="BH368" s="883">
        <f t="shared" si="820"/>
        <v>0</v>
      </c>
      <c r="BI368" s="883">
        <f t="shared" si="820"/>
        <v>0</v>
      </c>
      <c r="BJ368" s="883">
        <f t="shared" si="820"/>
        <v>0</v>
      </c>
      <c r="BK368" s="883">
        <f t="shared" si="820"/>
        <v>0</v>
      </c>
      <c r="BL368" s="883">
        <f t="shared" si="820"/>
        <v>0</v>
      </c>
      <c r="BM368" s="883">
        <f t="shared" si="820"/>
        <v>0</v>
      </c>
      <c r="BN368" s="883">
        <f t="shared" si="820"/>
        <v>0</v>
      </c>
      <c r="BO368" s="883">
        <f t="shared" si="820"/>
        <v>0</v>
      </c>
      <c r="BP368" s="883">
        <f t="shared" si="820"/>
        <v>0</v>
      </c>
      <c r="BQ368" s="883">
        <f t="shared" si="820"/>
        <v>0</v>
      </c>
      <c r="BR368" s="883">
        <f t="shared" si="820"/>
        <v>0</v>
      </c>
      <c r="BS368" s="883">
        <f t="shared" si="820"/>
        <v>0</v>
      </c>
      <c r="BT368" s="883">
        <f t="shared" si="820"/>
        <v>0</v>
      </c>
      <c r="BU368" s="883">
        <f t="shared" si="820"/>
        <v>0</v>
      </c>
      <c r="BV368" s="883">
        <f t="shared" si="820"/>
        <v>0</v>
      </c>
      <c r="BW368" s="883">
        <f t="shared" si="820"/>
        <v>0</v>
      </c>
      <c r="BX368" s="883">
        <f t="shared" si="820"/>
        <v>0</v>
      </c>
      <c r="BY368" s="883">
        <f t="shared" si="820"/>
        <v>0</v>
      </c>
      <c r="BZ368" s="883">
        <f t="shared" si="820"/>
        <v>0</v>
      </c>
      <c r="CA368" s="883">
        <f t="shared" si="820"/>
        <v>0</v>
      </c>
      <c r="CB368" s="883">
        <f t="shared" si="820"/>
        <v>0</v>
      </c>
      <c r="CC368" s="883">
        <f t="shared" si="820"/>
        <v>0</v>
      </c>
      <c r="CD368" s="883">
        <f t="shared" si="820"/>
        <v>0</v>
      </c>
      <c r="CE368" s="883">
        <f t="shared" ref="CE368:DJ368" si="821">SUBTOTAL(9,CE324:CE366)-SUM(CE334,CE327)</f>
        <v>0</v>
      </c>
      <c r="CF368" s="883">
        <f t="shared" si="821"/>
        <v>0</v>
      </c>
      <c r="CG368" s="883">
        <f t="shared" si="821"/>
        <v>0</v>
      </c>
      <c r="CH368" s="883">
        <f t="shared" si="821"/>
        <v>0</v>
      </c>
      <c r="CI368" s="883">
        <f t="shared" si="821"/>
        <v>0</v>
      </c>
      <c r="CJ368" s="883">
        <f t="shared" si="821"/>
        <v>0</v>
      </c>
      <c r="CK368" s="883">
        <f t="shared" si="821"/>
        <v>0</v>
      </c>
      <c r="CL368" s="883">
        <f t="shared" si="821"/>
        <v>0</v>
      </c>
      <c r="CM368" s="883">
        <f t="shared" si="821"/>
        <v>0</v>
      </c>
      <c r="CN368" s="883">
        <f t="shared" si="821"/>
        <v>0</v>
      </c>
      <c r="CO368" s="883">
        <f t="shared" si="821"/>
        <v>0</v>
      </c>
      <c r="CP368" s="883">
        <f t="shared" si="821"/>
        <v>0</v>
      </c>
      <c r="CQ368" s="883">
        <f t="shared" si="821"/>
        <v>0</v>
      </c>
      <c r="CR368" s="883">
        <f t="shared" si="821"/>
        <v>0</v>
      </c>
      <c r="CS368" s="883">
        <f t="shared" si="821"/>
        <v>0</v>
      </c>
      <c r="CT368" s="883">
        <f t="shared" si="821"/>
        <v>0</v>
      </c>
      <c r="CU368" s="883">
        <f t="shared" si="821"/>
        <v>0</v>
      </c>
      <c r="CV368" s="883">
        <f t="shared" si="821"/>
        <v>0</v>
      </c>
      <c r="CW368" s="883">
        <f t="shared" si="821"/>
        <v>0</v>
      </c>
      <c r="CX368" s="883">
        <f t="shared" si="821"/>
        <v>0</v>
      </c>
      <c r="CY368" s="883">
        <f t="shared" si="821"/>
        <v>0</v>
      </c>
      <c r="CZ368" s="883">
        <f t="shared" si="821"/>
        <v>0</v>
      </c>
      <c r="DA368" s="883">
        <f t="shared" si="821"/>
        <v>0</v>
      </c>
      <c r="DB368" s="883">
        <f t="shared" si="821"/>
        <v>0</v>
      </c>
      <c r="DC368" s="883">
        <f t="shared" si="821"/>
        <v>0</v>
      </c>
      <c r="DD368" s="883">
        <f t="shared" si="821"/>
        <v>0</v>
      </c>
      <c r="DE368" s="883">
        <f t="shared" si="821"/>
        <v>0</v>
      </c>
      <c r="DF368" s="883">
        <f t="shared" si="821"/>
        <v>0</v>
      </c>
      <c r="DG368" s="883">
        <f t="shared" si="821"/>
        <v>0</v>
      </c>
      <c r="DH368" s="883">
        <f t="shared" si="821"/>
        <v>0</v>
      </c>
      <c r="DI368" s="883">
        <f t="shared" si="821"/>
        <v>0</v>
      </c>
      <c r="DJ368" s="883">
        <f t="shared" si="821"/>
        <v>0</v>
      </c>
      <c r="DK368" s="883">
        <f t="shared" ref="DK368:EI368" si="822">SUBTOTAL(9,DK324:DK366)-SUM(DK334,DK327)</f>
        <v>0</v>
      </c>
      <c r="DL368" s="883">
        <f t="shared" si="822"/>
        <v>0</v>
      </c>
      <c r="DM368" s="883">
        <f t="shared" si="822"/>
        <v>0</v>
      </c>
      <c r="DN368" s="883">
        <f t="shared" si="822"/>
        <v>0</v>
      </c>
      <c r="DO368" s="883">
        <f t="shared" si="822"/>
        <v>0</v>
      </c>
      <c r="DP368" s="883">
        <f t="shared" si="822"/>
        <v>0</v>
      </c>
      <c r="DQ368" s="883">
        <f t="shared" si="822"/>
        <v>0</v>
      </c>
      <c r="DR368" s="883">
        <f t="shared" si="822"/>
        <v>0</v>
      </c>
      <c r="DS368" s="883">
        <f t="shared" si="822"/>
        <v>0</v>
      </c>
      <c r="DT368" s="883">
        <f t="shared" si="822"/>
        <v>0</v>
      </c>
      <c r="DU368" s="883">
        <f t="shared" si="822"/>
        <v>0</v>
      </c>
      <c r="DV368" s="883">
        <f t="shared" si="822"/>
        <v>0</v>
      </c>
      <c r="DW368" s="883">
        <f t="shared" si="822"/>
        <v>0</v>
      </c>
      <c r="DX368" s="883">
        <f t="shared" si="822"/>
        <v>0</v>
      </c>
      <c r="DY368" s="883">
        <f t="shared" si="822"/>
        <v>0</v>
      </c>
      <c r="DZ368" s="883">
        <f t="shared" si="822"/>
        <v>0</v>
      </c>
      <c r="EA368" s="883">
        <f t="shared" si="822"/>
        <v>0</v>
      </c>
      <c r="EB368" s="883">
        <f t="shared" si="822"/>
        <v>0</v>
      </c>
      <c r="EC368" s="883">
        <f t="shared" si="822"/>
        <v>0</v>
      </c>
      <c r="ED368" s="883">
        <f t="shared" si="822"/>
        <v>0</v>
      </c>
      <c r="EE368" s="883">
        <f t="shared" si="822"/>
        <v>0</v>
      </c>
      <c r="EF368" s="883">
        <f t="shared" si="822"/>
        <v>0</v>
      </c>
      <c r="EG368" s="883">
        <f t="shared" si="822"/>
        <v>0</v>
      </c>
      <c r="EH368" s="883">
        <f t="shared" si="822"/>
        <v>0</v>
      </c>
      <c r="EI368" s="883">
        <f t="shared" si="822"/>
        <v>0</v>
      </c>
    </row>
    <row r="369" spans="2:139" s="887" customFormat="1">
      <c r="B369" s="881"/>
      <c r="C369" s="882"/>
      <c r="D369" s="883"/>
      <c r="E369" s="883"/>
      <c r="F369" s="883"/>
      <c r="G369" s="883"/>
      <c r="H369" s="883"/>
      <c r="I369" s="883"/>
      <c r="J369" s="883"/>
      <c r="K369" s="883"/>
      <c r="L369" s="883"/>
      <c r="M369" s="883"/>
      <c r="N369" s="883"/>
      <c r="O369" s="884"/>
      <c r="P369" s="885"/>
      <c r="Q369" s="885"/>
      <c r="R369" s="886"/>
      <c r="S369" s="883"/>
      <c r="T369" s="883"/>
      <c r="U369" s="883"/>
      <c r="V369" s="883"/>
      <c r="W369" s="883"/>
      <c r="X369" s="883"/>
      <c r="Y369" s="883"/>
      <c r="Z369" s="883"/>
      <c r="AA369" s="883"/>
      <c r="AB369" s="883"/>
      <c r="AC369" s="883"/>
      <c r="AD369" s="883"/>
      <c r="AE369" s="883"/>
      <c r="AF369" s="883"/>
      <c r="AG369" s="883"/>
      <c r="AH369" s="883"/>
      <c r="AI369" s="883"/>
      <c r="AJ369" s="883"/>
      <c r="AK369" s="883"/>
      <c r="AL369" s="883"/>
      <c r="AM369" s="883"/>
      <c r="AN369" s="883"/>
      <c r="AO369" s="883"/>
      <c r="AP369" s="883"/>
      <c r="AQ369" s="883"/>
      <c r="AR369" s="883"/>
      <c r="AS369" s="883"/>
      <c r="AT369" s="883"/>
      <c r="AU369" s="883"/>
      <c r="AV369" s="883"/>
      <c r="AW369" s="883"/>
      <c r="AX369" s="883"/>
      <c r="AY369" s="883"/>
      <c r="AZ369" s="883"/>
      <c r="BA369" s="883"/>
      <c r="BB369" s="883"/>
      <c r="BC369" s="883"/>
      <c r="BD369" s="883"/>
      <c r="BE369" s="883"/>
      <c r="BF369" s="883"/>
      <c r="BG369" s="883"/>
      <c r="BH369" s="883"/>
      <c r="BI369" s="883"/>
      <c r="BJ369" s="883"/>
      <c r="BK369" s="883"/>
      <c r="BL369" s="883"/>
      <c r="BM369" s="883"/>
      <c r="BN369" s="883"/>
      <c r="BO369" s="883"/>
      <c r="BP369" s="883"/>
      <c r="BQ369" s="883"/>
      <c r="BR369" s="883"/>
      <c r="BS369" s="883"/>
      <c r="BT369" s="883"/>
      <c r="BU369" s="883"/>
      <c r="BV369" s="883"/>
      <c r="BW369" s="883"/>
      <c r="BX369" s="883"/>
      <c r="BY369" s="883"/>
      <c r="BZ369" s="883"/>
      <c r="CA369" s="883"/>
      <c r="CB369" s="883"/>
      <c r="CC369" s="883"/>
      <c r="CD369" s="883"/>
      <c r="CE369" s="883"/>
      <c r="CF369" s="883"/>
      <c r="CG369" s="883"/>
      <c r="CH369" s="883"/>
      <c r="CI369" s="883"/>
      <c r="CJ369" s="883"/>
      <c r="CK369" s="883"/>
      <c r="CL369" s="883"/>
      <c r="CM369" s="883"/>
      <c r="CN369" s="883"/>
      <c r="CO369" s="883"/>
      <c r="CP369" s="883"/>
      <c r="CQ369" s="883"/>
      <c r="CR369" s="883"/>
      <c r="CS369" s="883"/>
      <c r="CT369" s="883"/>
      <c r="CU369" s="883"/>
      <c r="CV369" s="883"/>
      <c r="CW369" s="883"/>
      <c r="CX369" s="883"/>
      <c r="CY369" s="883"/>
      <c r="CZ369" s="883"/>
      <c r="DA369" s="883"/>
      <c r="DB369" s="883"/>
      <c r="DC369" s="883"/>
      <c r="DD369" s="883"/>
      <c r="DE369" s="883"/>
      <c r="DF369" s="883"/>
      <c r="DG369" s="883"/>
      <c r="DH369" s="883"/>
      <c r="DI369" s="883"/>
      <c r="DJ369" s="883"/>
      <c r="DK369" s="883"/>
      <c r="DL369" s="883"/>
      <c r="DM369" s="883"/>
      <c r="DN369" s="883"/>
      <c r="DO369" s="883"/>
      <c r="DP369" s="883"/>
      <c r="DQ369" s="883"/>
      <c r="DR369" s="883"/>
      <c r="DS369" s="883"/>
      <c r="DT369" s="883"/>
      <c r="DU369" s="883"/>
      <c r="DV369" s="883"/>
      <c r="DW369" s="883"/>
      <c r="DX369" s="883"/>
      <c r="DY369" s="883"/>
      <c r="DZ369" s="883"/>
      <c r="EA369" s="883"/>
      <c r="EB369" s="883"/>
      <c r="EC369" s="883"/>
      <c r="ED369" s="883"/>
      <c r="EE369" s="883"/>
      <c r="EF369" s="883"/>
      <c r="EG369" s="883"/>
      <c r="EH369" s="883"/>
      <c r="EI369" s="883"/>
    </row>
    <row r="372" spans="2:139">
      <c r="B372" s="1043" t="s">
        <v>663</v>
      </c>
      <c r="C372" s="196"/>
      <c r="D372" s="196"/>
      <c r="E372" s="196"/>
      <c r="F372" s="197"/>
      <c r="G372" s="197"/>
      <c r="H372" s="197"/>
      <c r="I372" s="197"/>
      <c r="J372" s="197"/>
      <c r="K372" s="197"/>
      <c r="L372" s="197"/>
      <c r="M372" s="197"/>
      <c r="N372" s="197"/>
      <c r="O372" s="197"/>
      <c r="S372" s="197"/>
      <c r="T372" s="197"/>
      <c r="U372" s="197"/>
      <c r="V372" s="197"/>
      <c r="W372" s="197"/>
      <c r="X372" s="197"/>
      <c r="Y372" s="197"/>
      <c r="Z372" s="197"/>
      <c r="AA372" s="197"/>
      <c r="AB372" s="197"/>
      <c r="AC372" s="197"/>
      <c r="AD372" s="197"/>
      <c r="AE372" s="197"/>
      <c r="AF372" s="197"/>
      <c r="AG372" s="197"/>
      <c r="AH372" s="197"/>
      <c r="AI372" s="197"/>
      <c r="AJ372" s="197"/>
      <c r="AK372" s="197"/>
      <c r="AL372" s="197"/>
      <c r="AM372" s="197"/>
      <c r="AN372" s="197"/>
      <c r="AO372" s="197"/>
      <c r="AP372" s="197"/>
      <c r="AQ372" s="197"/>
      <c r="AR372" s="197"/>
      <c r="AS372" s="197"/>
      <c r="AT372" s="197"/>
      <c r="AU372" s="197"/>
      <c r="AV372" s="197"/>
      <c r="AW372" s="197"/>
      <c r="AX372" s="197"/>
      <c r="AY372" s="197"/>
      <c r="AZ372" s="197"/>
      <c r="BA372" s="197"/>
      <c r="BB372" s="197"/>
      <c r="BC372" s="197"/>
      <c r="BD372" s="197"/>
      <c r="BE372" s="197"/>
      <c r="BF372" s="197"/>
      <c r="BG372" s="197"/>
      <c r="BH372" s="197"/>
      <c r="BI372" s="197"/>
      <c r="BJ372" s="197"/>
      <c r="BK372" s="197"/>
      <c r="BL372" s="197"/>
      <c r="BM372" s="197"/>
      <c r="BN372" s="197"/>
      <c r="BO372" s="197"/>
      <c r="BP372" s="197"/>
      <c r="BQ372" s="197"/>
      <c r="BR372" s="197"/>
      <c r="BS372" s="197"/>
      <c r="BT372" s="197"/>
      <c r="BU372" s="197"/>
      <c r="BV372" s="197"/>
      <c r="BW372" s="197"/>
      <c r="BX372" s="197"/>
      <c r="BY372" s="197"/>
      <c r="BZ372" s="197"/>
      <c r="CA372" s="197"/>
      <c r="CB372" s="197"/>
      <c r="CC372" s="197"/>
      <c r="CD372" s="197"/>
      <c r="CE372" s="197"/>
      <c r="CF372" s="197"/>
      <c r="CG372" s="197"/>
      <c r="CH372" s="197"/>
      <c r="CI372" s="197"/>
      <c r="CJ372" s="197"/>
      <c r="CK372" s="197"/>
      <c r="CL372" s="197"/>
      <c r="CM372" s="197"/>
      <c r="CN372" s="197"/>
      <c r="CO372" s="197"/>
      <c r="CP372" s="197"/>
      <c r="CQ372" s="197"/>
      <c r="CR372" s="197"/>
      <c r="CS372" s="197"/>
      <c r="CT372" s="197"/>
      <c r="CU372" s="197"/>
      <c r="CV372" s="197"/>
      <c r="CW372" s="197"/>
      <c r="CX372" s="197"/>
      <c r="CY372" s="197"/>
      <c r="CZ372" s="197"/>
      <c r="DA372" s="197"/>
      <c r="DB372" s="197"/>
      <c r="DC372" s="197"/>
      <c r="DD372" s="197"/>
      <c r="DE372" s="197"/>
      <c r="DF372" s="197"/>
      <c r="DG372" s="197"/>
      <c r="DH372" s="197"/>
      <c r="DI372" s="197"/>
      <c r="DJ372" s="197"/>
      <c r="DK372" s="197"/>
      <c r="DL372" s="197"/>
      <c r="DM372" s="197"/>
      <c r="DN372" s="197"/>
      <c r="DO372" s="197"/>
      <c r="DP372" s="197"/>
      <c r="DQ372" s="197"/>
      <c r="DR372" s="197"/>
      <c r="DS372" s="197"/>
      <c r="DT372" s="197"/>
      <c r="DU372" s="197"/>
      <c r="DV372" s="197"/>
      <c r="DW372" s="197"/>
      <c r="DX372" s="197"/>
      <c r="DY372" s="197"/>
      <c r="DZ372" s="197"/>
      <c r="EA372" s="197"/>
      <c r="EB372" s="197"/>
      <c r="EC372" s="197"/>
      <c r="ED372" s="197"/>
      <c r="EE372" s="197"/>
      <c r="EF372" s="197"/>
      <c r="EG372" s="197"/>
      <c r="EH372" s="197"/>
      <c r="EI372" s="197"/>
    </row>
    <row r="373" spans="2:139">
      <c r="B373" s="41" t="s">
        <v>664</v>
      </c>
      <c r="C373" s="211"/>
      <c r="D373" s="78">
        <f t="shared" ref="D373:N373" si="823">IF(IrrCalculationType=170,D34,SUMIF($S$6:$EI$6,D$5,$S373:$EI373))</f>
        <v>0</v>
      </c>
      <c r="E373" s="78">
        <f t="shared" si="823"/>
        <v>1453102.7586710614</v>
      </c>
      <c r="F373" s="78">
        <f t="shared" si="823"/>
        <v>1495546.4324117121</v>
      </c>
      <c r="G373" s="78">
        <f t="shared" si="823"/>
        <v>1558219.1397523265</v>
      </c>
      <c r="H373" s="78">
        <f t="shared" si="823"/>
        <v>1606767.4878539424</v>
      </c>
      <c r="I373" s="78">
        <f t="shared" si="823"/>
        <v>1657000.7596158781</v>
      </c>
      <c r="J373" s="78">
        <f t="shared" si="823"/>
        <v>1700896.7824043559</v>
      </c>
      <c r="K373" s="78">
        <f t="shared" si="823"/>
        <v>1746109.6858764878</v>
      </c>
      <c r="L373" s="78">
        <f t="shared" si="823"/>
        <v>0</v>
      </c>
      <c r="M373" s="78">
        <f t="shared" si="823"/>
        <v>0</v>
      </c>
      <c r="N373" s="78">
        <f t="shared" si="823"/>
        <v>0</v>
      </c>
      <c r="O373" s="145">
        <f t="shared" ref="O373:O382" si="824">SUM(D373:N373)</f>
        <v>11217643.046585765</v>
      </c>
      <c r="R373" s="201"/>
      <c r="S373" s="78">
        <f t="shared" ref="S373:AX373" si="825">S34</f>
        <v>0</v>
      </c>
      <c r="T373" s="78">
        <f t="shared" si="825"/>
        <v>121091.8965559218</v>
      </c>
      <c r="U373" s="78">
        <f t="shared" si="825"/>
        <v>121091.8965559218</v>
      </c>
      <c r="V373" s="78">
        <f t="shared" si="825"/>
        <v>121091.8965559218</v>
      </c>
      <c r="W373" s="78">
        <f t="shared" si="825"/>
        <v>121091.8965559218</v>
      </c>
      <c r="X373" s="78">
        <f t="shared" si="825"/>
        <v>121091.8965559218</v>
      </c>
      <c r="Y373" s="78">
        <f t="shared" si="825"/>
        <v>121091.8965559218</v>
      </c>
      <c r="Z373" s="78">
        <f t="shared" si="825"/>
        <v>121091.8965559218</v>
      </c>
      <c r="AA373" s="78">
        <f t="shared" si="825"/>
        <v>121091.8965559218</v>
      </c>
      <c r="AB373" s="78">
        <f t="shared" si="825"/>
        <v>121091.8965559218</v>
      </c>
      <c r="AC373" s="78">
        <f t="shared" si="825"/>
        <v>121091.8965559218</v>
      </c>
      <c r="AD373" s="78">
        <f t="shared" si="825"/>
        <v>121091.8965559218</v>
      </c>
      <c r="AE373" s="78">
        <f t="shared" si="825"/>
        <v>121091.8965559218</v>
      </c>
      <c r="AF373" s="78">
        <f t="shared" si="825"/>
        <v>123647.00338062391</v>
      </c>
      <c r="AG373" s="78">
        <f t="shared" si="825"/>
        <v>123824.5434214198</v>
      </c>
      <c r="AH373" s="78">
        <f t="shared" si="825"/>
        <v>124002.37668402742</v>
      </c>
      <c r="AI373" s="78">
        <f t="shared" si="825"/>
        <v>124180.5036527264</v>
      </c>
      <c r="AJ373" s="78">
        <f t="shared" si="825"/>
        <v>124358.92481259629</v>
      </c>
      <c r="AK373" s="78">
        <f t="shared" si="825"/>
        <v>124537.64064951763</v>
      </c>
      <c r="AL373" s="78">
        <f t="shared" si="825"/>
        <v>124716.65165017368</v>
      </c>
      <c r="AM373" s="78">
        <f t="shared" si="825"/>
        <v>124895.95830205116</v>
      </c>
      <c r="AN373" s="78">
        <f t="shared" si="825"/>
        <v>125075.56109344227</v>
      </c>
      <c r="AO373" s="78">
        <f t="shared" si="825"/>
        <v>125255.46051344533</v>
      </c>
      <c r="AP373" s="78">
        <f t="shared" si="825"/>
        <v>125435.65705196673</v>
      </c>
      <c r="AQ373" s="78">
        <f t="shared" si="825"/>
        <v>125616.15119972185</v>
      </c>
      <c r="AR373" s="78">
        <f t="shared" si="825"/>
        <v>128317.52270412137</v>
      </c>
      <c r="AS373" s="78">
        <f t="shared" si="825"/>
        <v>128594.15807480074</v>
      </c>
      <c r="AT373" s="78">
        <f t="shared" si="825"/>
        <v>128871.47570293276</v>
      </c>
      <c r="AU373" s="78">
        <f t="shared" si="825"/>
        <v>129149.47727114838</v>
      </c>
      <c r="AV373" s="78">
        <f t="shared" si="825"/>
        <v>129428.16446622832</v>
      </c>
      <c r="AW373" s="78">
        <f t="shared" si="825"/>
        <v>129707.53897911342</v>
      </c>
      <c r="AX373" s="78">
        <f t="shared" si="825"/>
        <v>129987.60250491483</v>
      </c>
      <c r="AY373" s="78">
        <f t="shared" ref="AY373:CD373" si="826">AY34</f>
        <v>130268.35674292422</v>
      </c>
      <c r="AZ373" s="78">
        <f t="shared" si="826"/>
        <v>130549.80339662427</v>
      </c>
      <c r="BA373" s="78">
        <f t="shared" si="826"/>
        <v>130831.94417369882</v>
      </c>
      <c r="BB373" s="78">
        <f t="shared" si="826"/>
        <v>131114.78078604344</v>
      </c>
      <c r="BC373" s="78">
        <f t="shared" si="826"/>
        <v>131398.31494977561</v>
      </c>
      <c r="BD373" s="78">
        <f t="shared" si="826"/>
        <v>132308.63348473102</v>
      </c>
      <c r="BE373" s="78">
        <f t="shared" si="826"/>
        <v>132595.11201128652</v>
      </c>
      <c r="BF373" s="78">
        <f t="shared" si="826"/>
        <v>132882.29707117245</v>
      </c>
      <c r="BG373" s="78">
        <f t="shared" si="826"/>
        <v>133170.19040689064</v>
      </c>
      <c r="BH373" s="78">
        <f t="shared" si="826"/>
        <v>133458.79376524044</v>
      </c>
      <c r="BI373" s="78">
        <f t="shared" si="826"/>
        <v>133748.10889732902</v>
      </c>
      <c r="BJ373" s="78">
        <f t="shared" si="826"/>
        <v>134038.13755858256</v>
      </c>
      <c r="BK373" s="78">
        <f t="shared" si="826"/>
        <v>134328.88150875649</v>
      </c>
      <c r="BL373" s="78">
        <f t="shared" si="826"/>
        <v>134620.34251194619</v>
      </c>
      <c r="BM373" s="78">
        <f t="shared" si="826"/>
        <v>134912.5223365979</v>
      </c>
      <c r="BN373" s="78">
        <f t="shared" si="826"/>
        <v>135205.42275551916</v>
      </c>
      <c r="BO373" s="78">
        <f t="shared" si="826"/>
        <v>135499.04554588997</v>
      </c>
      <c r="BP373" s="78">
        <f t="shared" si="826"/>
        <v>136438.26014174349</v>
      </c>
      <c r="BQ373" s="78">
        <f t="shared" si="826"/>
        <v>136734.92344169406</v>
      </c>
      <c r="BR373" s="78">
        <f t="shared" si="826"/>
        <v>137032.31839337389</v>
      </c>
      <c r="BS373" s="78">
        <f t="shared" si="826"/>
        <v>137330.44680123343</v>
      </c>
      <c r="BT373" s="78">
        <f t="shared" si="826"/>
        <v>137629.31047417357</v>
      </c>
      <c r="BU373" s="78">
        <f t="shared" si="826"/>
        <v>137928.91122555631</v>
      </c>
      <c r="BV373" s="78">
        <f t="shared" si="826"/>
        <v>138229.25087321599</v>
      </c>
      <c r="BW373" s="78">
        <f t="shared" si="826"/>
        <v>138530.33123947008</v>
      </c>
      <c r="BX373" s="78">
        <f t="shared" si="826"/>
        <v>138832.15415113047</v>
      </c>
      <c r="BY373" s="78">
        <f t="shared" si="826"/>
        <v>139134.72143951454</v>
      </c>
      <c r="BZ373" s="78">
        <f t="shared" si="826"/>
        <v>139438.03494045601</v>
      </c>
      <c r="CA373" s="78">
        <f t="shared" si="826"/>
        <v>139742.09649431633</v>
      </c>
      <c r="CB373" s="78">
        <f t="shared" si="826"/>
        <v>140046.90794599595</v>
      </c>
      <c r="CC373" s="78">
        <f t="shared" si="826"/>
        <v>140352.47114494501</v>
      </c>
      <c r="CD373" s="78">
        <f t="shared" si="826"/>
        <v>140658.78794517522</v>
      </c>
      <c r="CE373" s="78">
        <f t="shared" ref="CE373:DJ373" si="827">CE34</f>
        <v>140965.86020527058</v>
      </c>
      <c r="CF373" s="78">
        <f t="shared" si="827"/>
        <v>141273.68978839891</v>
      </c>
      <c r="CG373" s="78">
        <f t="shared" si="827"/>
        <v>141582.27856232313</v>
      </c>
      <c r="CH373" s="78">
        <f t="shared" si="827"/>
        <v>141891.62839941256</v>
      </c>
      <c r="CI373" s="78">
        <f t="shared" si="827"/>
        <v>142201.74117665426</v>
      </c>
      <c r="CJ373" s="78">
        <f t="shared" si="827"/>
        <v>142512.61877566451</v>
      </c>
      <c r="CK373" s="78">
        <f t="shared" si="827"/>
        <v>142824.26308270005</v>
      </c>
      <c r="CL373" s="78">
        <f t="shared" si="827"/>
        <v>143136.67598866977</v>
      </c>
      <c r="CM373" s="78">
        <f t="shared" si="827"/>
        <v>143449.85938914598</v>
      </c>
      <c r="CN373" s="78">
        <f t="shared" si="827"/>
        <v>143763.81518437591</v>
      </c>
      <c r="CO373" s="78">
        <f t="shared" si="827"/>
        <v>144078.5452792935</v>
      </c>
      <c r="CP373" s="78">
        <f t="shared" si="827"/>
        <v>144394.05158353061</v>
      </c>
      <c r="CQ373" s="78">
        <f t="shared" si="827"/>
        <v>144710.33601142882</v>
      </c>
      <c r="CR373" s="78">
        <f t="shared" si="827"/>
        <v>145027.40048205102</v>
      </c>
      <c r="CS373" s="78">
        <f t="shared" si="827"/>
        <v>145345.24691919296</v>
      </c>
      <c r="CT373" s="78">
        <f t="shared" si="827"/>
        <v>145663.87725139505</v>
      </c>
      <c r="CU373" s="78">
        <f t="shared" si="827"/>
        <v>145983.29341195402</v>
      </c>
      <c r="CV373" s="78">
        <f t="shared" si="827"/>
        <v>146303.4973389346</v>
      </c>
      <c r="CW373" s="78">
        <f t="shared" si="827"/>
        <v>146624.49097518122</v>
      </c>
      <c r="CX373" s="78">
        <f t="shared" si="827"/>
        <v>146946.27626833002</v>
      </c>
      <c r="CY373" s="78">
        <f t="shared" si="827"/>
        <v>147268.85517082046</v>
      </c>
      <c r="CZ373" s="78">
        <f t="shared" si="827"/>
        <v>0</v>
      </c>
      <c r="DA373" s="78">
        <f t="shared" si="827"/>
        <v>0</v>
      </c>
      <c r="DB373" s="78">
        <f t="shared" si="827"/>
        <v>0</v>
      </c>
      <c r="DC373" s="78">
        <f t="shared" si="827"/>
        <v>0</v>
      </c>
      <c r="DD373" s="78">
        <f t="shared" si="827"/>
        <v>0</v>
      </c>
      <c r="DE373" s="78">
        <f t="shared" si="827"/>
        <v>0</v>
      </c>
      <c r="DF373" s="78">
        <f t="shared" si="827"/>
        <v>0</v>
      </c>
      <c r="DG373" s="78">
        <f t="shared" si="827"/>
        <v>0</v>
      </c>
      <c r="DH373" s="78">
        <f t="shared" si="827"/>
        <v>0</v>
      </c>
      <c r="DI373" s="78">
        <f t="shared" si="827"/>
        <v>0</v>
      </c>
      <c r="DJ373" s="78">
        <f t="shared" si="827"/>
        <v>0</v>
      </c>
      <c r="DK373" s="78">
        <f t="shared" ref="DK373:EI373" si="828">DK34</f>
        <v>0</v>
      </c>
      <c r="DL373" s="78">
        <f t="shared" si="828"/>
        <v>0</v>
      </c>
      <c r="DM373" s="78">
        <f t="shared" si="828"/>
        <v>0</v>
      </c>
      <c r="DN373" s="78">
        <f t="shared" si="828"/>
        <v>0</v>
      </c>
      <c r="DO373" s="78">
        <f t="shared" si="828"/>
        <v>0</v>
      </c>
      <c r="DP373" s="78">
        <f t="shared" si="828"/>
        <v>0</v>
      </c>
      <c r="DQ373" s="78">
        <f t="shared" si="828"/>
        <v>0</v>
      </c>
      <c r="DR373" s="78">
        <f t="shared" si="828"/>
        <v>0</v>
      </c>
      <c r="DS373" s="78">
        <f t="shared" si="828"/>
        <v>0</v>
      </c>
      <c r="DT373" s="78">
        <f t="shared" si="828"/>
        <v>0</v>
      </c>
      <c r="DU373" s="78">
        <f t="shared" si="828"/>
        <v>0</v>
      </c>
      <c r="DV373" s="78">
        <f t="shared" si="828"/>
        <v>0</v>
      </c>
      <c r="DW373" s="78">
        <f t="shared" si="828"/>
        <v>0</v>
      </c>
      <c r="DX373" s="78">
        <f t="shared" si="828"/>
        <v>0</v>
      </c>
      <c r="DY373" s="78">
        <f t="shared" si="828"/>
        <v>0</v>
      </c>
      <c r="DZ373" s="78">
        <f t="shared" si="828"/>
        <v>0</v>
      </c>
      <c r="EA373" s="78">
        <f t="shared" si="828"/>
        <v>0</v>
      </c>
      <c r="EB373" s="78">
        <f t="shared" si="828"/>
        <v>0</v>
      </c>
      <c r="EC373" s="78">
        <f t="shared" si="828"/>
        <v>0</v>
      </c>
      <c r="ED373" s="78">
        <f t="shared" si="828"/>
        <v>0</v>
      </c>
      <c r="EE373" s="78">
        <f t="shared" si="828"/>
        <v>0</v>
      </c>
      <c r="EF373" s="78">
        <f t="shared" si="828"/>
        <v>0</v>
      </c>
      <c r="EG373" s="78">
        <f t="shared" si="828"/>
        <v>0</v>
      </c>
      <c r="EH373" s="78">
        <f t="shared" si="828"/>
        <v>0</v>
      </c>
      <c r="EI373" s="78">
        <f t="shared" si="828"/>
        <v>0</v>
      </c>
    </row>
    <row r="374" spans="2:139">
      <c r="B374" s="880" t="s">
        <v>633</v>
      </c>
      <c r="C374" s="211"/>
      <c r="D374" s="78">
        <f t="shared" ref="D374:N374" si="829">IF(IrrCalculationType=170,-MIN(D329+D244+D222,D373),SUMIF($S$6:$EI$6,D$5,$S374:$EI374))</f>
        <v>0</v>
      </c>
      <c r="E374" s="78">
        <f t="shared" si="829"/>
        <v>-439367</v>
      </c>
      <c r="F374" s="78">
        <f t="shared" si="829"/>
        <v>-439367</v>
      </c>
      <c r="G374" s="78">
        <f t="shared" si="829"/>
        <v>-439367</v>
      </c>
      <c r="H374" s="78">
        <f t="shared" si="829"/>
        <v>-439367</v>
      </c>
      <c r="I374" s="78">
        <f t="shared" si="829"/>
        <v>-439367</v>
      </c>
      <c r="J374" s="78">
        <f t="shared" si="829"/>
        <v>-439367</v>
      </c>
      <c r="K374" s="78">
        <f t="shared" si="829"/>
        <v>-439367</v>
      </c>
      <c r="L374" s="78">
        <f t="shared" si="829"/>
        <v>0</v>
      </c>
      <c r="M374" s="78">
        <f t="shared" si="829"/>
        <v>0</v>
      </c>
      <c r="N374" s="78">
        <f t="shared" si="829"/>
        <v>0</v>
      </c>
      <c r="O374" s="145">
        <f t="shared" si="824"/>
        <v>-3075569</v>
      </c>
      <c r="R374" s="201"/>
      <c r="S374" s="78">
        <f t="shared" ref="S374:AX374" si="830">-MIN(S329+S244+S222,S373)</f>
        <v>0</v>
      </c>
      <c r="T374" s="78">
        <f t="shared" si="830"/>
        <v>-36613.916666666664</v>
      </c>
      <c r="U374" s="78">
        <f t="shared" si="830"/>
        <v>-36613.916666666664</v>
      </c>
      <c r="V374" s="78">
        <f t="shared" si="830"/>
        <v>-36613.916666666664</v>
      </c>
      <c r="W374" s="78">
        <f t="shared" si="830"/>
        <v>-36613.916666666664</v>
      </c>
      <c r="X374" s="78">
        <f t="shared" si="830"/>
        <v>-36613.916666666664</v>
      </c>
      <c r="Y374" s="78">
        <f t="shared" si="830"/>
        <v>-36613.916666666664</v>
      </c>
      <c r="Z374" s="78">
        <f t="shared" si="830"/>
        <v>-36613.916666666664</v>
      </c>
      <c r="AA374" s="78">
        <f t="shared" si="830"/>
        <v>-36613.916666666664</v>
      </c>
      <c r="AB374" s="78">
        <f t="shared" si="830"/>
        <v>-36613.916666666664</v>
      </c>
      <c r="AC374" s="78">
        <f t="shared" si="830"/>
        <v>-36613.916666666664</v>
      </c>
      <c r="AD374" s="78">
        <f t="shared" si="830"/>
        <v>-36613.916666666664</v>
      </c>
      <c r="AE374" s="78">
        <f t="shared" si="830"/>
        <v>-36613.916666666664</v>
      </c>
      <c r="AF374" s="78">
        <f t="shared" si="830"/>
        <v>-36613.916666666664</v>
      </c>
      <c r="AG374" s="78">
        <f t="shared" si="830"/>
        <v>-36613.916666666664</v>
      </c>
      <c r="AH374" s="78">
        <f t="shared" si="830"/>
        <v>-36613.916666666664</v>
      </c>
      <c r="AI374" s="78">
        <f t="shared" si="830"/>
        <v>-36613.916666666664</v>
      </c>
      <c r="AJ374" s="78">
        <f t="shared" si="830"/>
        <v>-36613.916666666664</v>
      </c>
      <c r="AK374" s="78">
        <f t="shared" si="830"/>
        <v>-36613.916666666664</v>
      </c>
      <c r="AL374" s="78">
        <f t="shared" si="830"/>
        <v>-36613.916666666664</v>
      </c>
      <c r="AM374" s="78">
        <f t="shared" si="830"/>
        <v>-36613.916666666664</v>
      </c>
      <c r="AN374" s="78">
        <f t="shared" si="830"/>
        <v>-36613.916666666664</v>
      </c>
      <c r="AO374" s="78">
        <f t="shared" si="830"/>
        <v>-36613.916666666664</v>
      </c>
      <c r="AP374" s="78">
        <f t="shared" si="830"/>
        <v>-36613.916666666664</v>
      </c>
      <c r="AQ374" s="78">
        <f t="shared" si="830"/>
        <v>-36613.916666666664</v>
      </c>
      <c r="AR374" s="78">
        <f t="shared" si="830"/>
        <v>-36613.916666666664</v>
      </c>
      <c r="AS374" s="78">
        <f t="shared" si="830"/>
        <v>-36613.916666666664</v>
      </c>
      <c r="AT374" s="78">
        <f t="shared" si="830"/>
        <v>-36613.916666666664</v>
      </c>
      <c r="AU374" s="78">
        <f t="shared" si="830"/>
        <v>-36613.916666666664</v>
      </c>
      <c r="AV374" s="78">
        <f t="shared" si="830"/>
        <v>-36613.916666666664</v>
      </c>
      <c r="AW374" s="78">
        <f t="shared" si="830"/>
        <v>-36613.916666666664</v>
      </c>
      <c r="AX374" s="78">
        <f t="shared" si="830"/>
        <v>-36613.916666666664</v>
      </c>
      <c r="AY374" s="78">
        <f t="shared" ref="AY374:CD374" si="831">-MIN(AY329+AY244+AY222,AY373)</f>
        <v>-36613.916666666664</v>
      </c>
      <c r="AZ374" s="78">
        <f t="shared" si="831"/>
        <v>-36613.916666666664</v>
      </c>
      <c r="BA374" s="78">
        <f t="shared" si="831"/>
        <v>-36613.916666666664</v>
      </c>
      <c r="BB374" s="78">
        <f t="shared" si="831"/>
        <v>-36613.916666666664</v>
      </c>
      <c r="BC374" s="78">
        <f t="shared" si="831"/>
        <v>-36613.916666666664</v>
      </c>
      <c r="BD374" s="78">
        <f t="shared" si="831"/>
        <v>-36613.916666666664</v>
      </c>
      <c r="BE374" s="78">
        <f t="shared" si="831"/>
        <v>-36613.916666666664</v>
      </c>
      <c r="BF374" s="78">
        <f t="shared" si="831"/>
        <v>-36613.916666666664</v>
      </c>
      <c r="BG374" s="78">
        <f t="shared" si="831"/>
        <v>-36613.916666666664</v>
      </c>
      <c r="BH374" s="78">
        <f t="shared" si="831"/>
        <v>-36613.916666666664</v>
      </c>
      <c r="BI374" s="78">
        <f t="shared" si="831"/>
        <v>-36613.916666666664</v>
      </c>
      <c r="BJ374" s="78">
        <f t="shared" si="831"/>
        <v>-36613.916666666664</v>
      </c>
      <c r="BK374" s="78">
        <f t="shared" si="831"/>
        <v>-36613.916666666664</v>
      </c>
      <c r="BL374" s="78">
        <f t="shared" si="831"/>
        <v>-36613.916666666664</v>
      </c>
      <c r="BM374" s="78">
        <f t="shared" si="831"/>
        <v>-36613.916666666664</v>
      </c>
      <c r="BN374" s="78">
        <f t="shared" si="831"/>
        <v>-36613.916666666664</v>
      </c>
      <c r="BO374" s="78">
        <f t="shared" si="831"/>
        <v>-36613.916666666664</v>
      </c>
      <c r="BP374" s="78">
        <f t="shared" si="831"/>
        <v>-36613.916666666664</v>
      </c>
      <c r="BQ374" s="78">
        <f t="shared" si="831"/>
        <v>-36613.916666666664</v>
      </c>
      <c r="BR374" s="78">
        <f t="shared" si="831"/>
        <v>-36613.916666666664</v>
      </c>
      <c r="BS374" s="78">
        <f t="shared" si="831"/>
        <v>-36613.916666666664</v>
      </c>
      <c r="BT374" s="78">
        <f t="shared" si="831"/>
        <v>-36613.916666666664</v>
      </c>
      <c r="BU374" s="78">
        <f t="shared" si="831"/>
        <v>-36613.916666666664</v>
      </c>
      <c r="BV374" s="78">
        <f t="shared" si="831"/>
        <v>-36613.916666666664</v>
      </c>
      <c r="BW374" s="78">
        <f t="shared" si="831"/>
        <v>-36613.916666666664</v>
      </c>
      <c r="BX374" s="78">
        <f t="shared" si="831"/>
        <v>-36613.916666666664</v>
      </c>
      <c r="BY374" s="78">
        <f t="shared" si="831"/>
        <v>-36613.916666666664</v>
      </c>
      <c r="BZ374" s="78">
        <f t="shared" si="831"/>
        <v>-36613.916666666664</v>
      </c>
      <c r="CA374" s="78">
        <f t="shared" si="831"/>
        <v>-36613.916666666664</v>
      </c>
      <c r="CB374" s="78">
        <f t="shared" si="831"/>
        <v>-36613.916666666664</v>
      </c>
      <c r="CC374" s="78">
        <f t="shared" si="831"/>
        <v>-36613.916666666664</v>
      </c>
      <c r="CD374" s="78">
        <f t="shared" si="831"/>
        <v>-36613.916666666664</v>
      </c>
      <c r="CE374" s="78">
        <f t="shared" ref="CE374:DJ374" si="832">-MIN(CE329+CE244+CE222,CE373)</f>
        <v>-36613.916666666664</v>
      </c>
      <c r="CF374" s="78">
        <f t="shared" si="832"/>
        <v>-36613.916666666664</v>
      </c>
      <c r="CG374" s="78">
        <f t="shared" si="832"/>
        <v>-36613.916666666664</v>
      </c>
      <c r="CH374" s="78">
        <f t="shared" si="832"/>
        <v>-36613.916666666664</v>
      </c>
      <c r="CI374" s="78">
        <f t="shared" si="832"/>
        <v>-36613.916666666664</v>
      </c>
      <c r="CJ374" s="78">
        <f t="shared" si="832"/>
        <v>-36613.916666666664</v>
      </c>
      <c r="CK374" s="78">
        <f t="shared" si="832"/>
        <v>-36613.916666666664</v>
      </c>
      <c r="CL374" s="78">
        <f t="shared" si="832"/>
        <v>-36613.916666666664</v>
      </c>
      <c r="CM374" s="78">
        <f t="shared" si="832"/>
        <v>-36613.916666666664</v>
      </c>
      <c r="CN374" s="78">
        <f t="shared" si="832"/>
        <v>-36613.916666666664</v>
      </c>
      <c r="CO374" s="78">
        <f t="shared" si="832"/>
        <v>-36613.916666666664</v>
      </c>
      <c r="CP374" s="78">
        <f t="shared" si="832"/>
        <v>-36613.916666666664</v>
      </c>
      <c r="CQ374" s="78">
        <f t="shared" si="832"/>
        <v>-36613.916666666664</v>
      </c>
      <c r="CR374" s="78">
        <f t="shared" si="832"/>
        <v>-36613.916666666664</v>
      </c>
      <c r="CS374" s="78">
        <f t="shared" si="832"/>
        <v>-36613.916666666664</v>
      </c>
      <c r="CT374" s="78">
        <f t="shared" si="832"/>
        <v>-36613.916666666664</v>
      </c>
      <c r="CU374" s="78">
        <f t="shared" si="832"/>
        <v>-36613.916666666664</v>
      </c>
      <c r="CV374" s="78">
        <f t="shared" si="832"/>
        <v>-36613.916666666664</v>
      </c>
      <c r="CW374" s="78">
        <f t="shared" si="832"/>
        <v>-36613.916666666664</v>
      </c>
      <c r="CX374" s="78">
        <f t="shared" si="832"/>
        <v>-36613.916666666664</v>
      </c>
      <c r="CY374" s="78">
        <f t="shared" si="832"/>
        <v>-36613.916666666664</v>
      </c>
      <c r="CZ374" s="78">
        <f t="shared" si="832"/>
        <v>0</v>
      </c>
      <c r="DA374" s="78">
        <f t="shared" si="832"/>
        <v>0</v>
      </c>
      <c r="DB374" s="78">
        <f t="shared" si="832"/>
        <v>0</v>
      </c>
      <c r="DC374" s="78">
        <f t="shared" si="832"/>
        <v>0</v>
      </c>
      <c r="DD374" s="78">
        <f t="shared" si="832"/>
        <v>0</v>
      </c>
      <c r="DE374" s="78">
        <f t="shared" si="832"/>
        <v>0</v>
      </c>
      <c r="DF374" s="78">
        <f t="shared" si="832"/>
        <v>0</v>
      </c>
      <c r="DG374" s="78">
        <f t="shared" si="832"/>
        <v>0</v>
      </c>
      <c r="DH374" s="78">
        <f t="shared" si="832"/>
        <v>0</v>
      </c>
      <c r="DI374" s="78">
        <f t="shared" si="832"/>
        <v>0</v>
      </c>
      <c r="DJ374" s="78">
        <f t="shared" si="832"/>
        <v>0</v>
      </c>
      <c r="DK374" s="78">
        <f t="shared" ref="DK374:EP374" si="833">-MIN(DK329+DK244+DK222,DK373)</f>
        <v>0</v>
      </c>
      <c r="DL374" s="78">
        <f t="shared" si="833"/>
        <v>0</v>
      </c>
      <c r="DM374" s="78">
        <f t="shared" si="833"/>
        <v>0</v>
      </c>
      <c r="DN374" s="78">
        <f t="shared" si="833"/>
        <v>0</v>
      </c>
      <c r="DO374" s="78">
        <f t="shared" si="833"/>
        <v>0</v>
      </c>
      <c r="DP374" s="78">
        <f t="shared" si="833"/>
        <v>0</v>
      </c>
      <c r="DQ374" s="78">
        <f t="shared" si="833"/>
        <v>0</v>
      </c>
      <c r="DR374" s="78">
        <f t="shared" si="833"/>
        <v>0</v>
      </c>
      <c r="DS374" s="78">
        <f t="shared" si="833"/>
        <v>0</v>
      </c>
      <c r="DT374" s="78">
        <f t="shared" si="833"/>
        <v>0</v>
      </c>
      <c r="DU374" s="78">
        <f t="shared" si="833"/>
        <v>0</v>
      </c>
      <c r="DV374" s="78">
        <f t="shared" si="833"/>
        <v>0</v>
      </c>
      <c r="DW374" s="78">
        <f t="shared" si="833"/>
        <v>0</v>
      </c>
      <c r="DX374" s="78">
        <f t="shared" si="833"/>
        <v>0</v>
      </c>
      <c r="DY374" s="78">
        <f t="shared" si="833"/>
        <v>0</v>
      </c>
      <c r="DZ374" s="78">
        <f t="shared" si="833"/>
        <v>0</v>
      </c>
      <c r="EA374" s="78">
        <f t="shared" si="833"/>
        <v>0</v>
      </c>
      <c r="EB374" s="78">
        <f t="shared" si="833"/>
        <v>0</v>
      </c>
      <c r="EC374" s="78">
        <f t="shared" si="833"/>
        <v>0</v>
      </c>
      <c r="ED374" s="78">
        <f t="shared" si="833"/>
        <v>0</v>
      </c>
      <c r="EE374" s="78">
        <f t="shared" si="833"/>
        <v>0</v>
      </c>
      <c r="EF374" s="78">
        <f t="shared" si="833"/>
        <v>0</v>
      </c>
      <c r="EG374" s="78">
        <f t="shared" si="833"/>
        <v>0</v>
      </c>
      <c r="EH374" s="78">
        <f t="shared" si="833"/>
        <v>0</v>
      </c>
      <c r="EI374" s="78">
        <f t="shared" si="833"/>
        <v>0</v>
      </c>
    </row>
    <row r="375" spans="2:139">
      <c r="B375" s="880" t="s">
        <v>637</v>
      </c>
      <c r="C375" s="211"/>
      <c r="D375" s="78">
        <f t="shared" ref="D375:N375" si="834">IF(IrrCalculationType=170,-MIN(D339+D245+D236,SUM(D373:D374)),SUMIF($S$6:$EI$6,D$5,$S375:$EI375))</f>
        <v>0</v>
      </c>
      <c r="E375" s="78">
        <f t="shared" si="834"/>
        <v>0</v>
      </c>
      <c r="F375" s="78">
        <f t="shared" si="834"/>
        <v>0</v>
      </c>
      <c r="G375" s="78">
        <f t="shared" si="834"/>
        <v>0</v>
      </c>
      <c r="H375" s="78">
        <f t="shared" si="834"/>
        <v>0</v>
      </c>
      <c r="I375" s="78">
        <f t="shared" si="834"/>
        <v>0</v>
      </c>
      <c r="J375" s="78">
        <f t="shared" si="834"/>
        <v>0</v>
      </c>
      <c r="K375" s="78">
        <f t="shared" si="834"/>
        <v>0</v>
      </c>
      <c r="L375" s="78">
        <f t="shared" si="834"/>
        <v>0</v>
      </c>
      <c r="M375" s="78">
        <f t="shared" si="834"/>
        <v>0</v>
      </c>
      <c r="N375" s="78">
        <f t="shared" si="834"/>
        <v>0</v>
      </c>
      <c r="O375" s="145">
        <f t="shared" si="824"/>
        <v>0</v>
      </c>
      <c r="R375" s="201"/>
      <c r="S375" s="78">
        <f t="shared" ref="S375:AX375" si="835">-MIN(S339+S245+S236,SUM(S373:S374))</f>
        <v>0</v>
      </c>
      <c r="T375" s="78">
        <f t="shared" si="835"/>
        <v>0</v>
      </c>
      <c r="U375" s="78">
        <f t="shared" si="835"/>
        <v>0</v>
      </c>
      <c r="V375" s="78">
        <f t="shared" si="835"/>
        <v>0</v>
      </c>
      <c r="W375" s="78">
        <f t="shared" si="835"/>
        <v>0</v>
      </c>
      <c r="X375" s="78">
        <f t="shared" si="835"/>
        <v>0</v>
      </c>
      <c r="Y375" s="78">
        <f t="shared" si="835"/>
        <v>0</v>
      </c>
      <c r="Z375" s="78">
        <f t="shared" si="835"/>
        <v>0</v>
      </c>
      <c r="AA375" s="78">
        <f t="shared" si="835"/>
        <v>0</v>
      </c>
      <c r="AB375" s="78">
        <f t="shared" si="835"/>
        <v>0</v>
      </c>
      <c r="AC375" s="78">
        <f t="shared" si="835"/>
        <v>0</v>
      </c>
      <c r="AD375" s="78">
        <f t="shared" si="835"/>
        <v>0</v>
      </c>
      <c r="AE375" s="78">
        <f t="shared" si="835"/>
        <v>0</v>
      </c>
      <c r="AF375" s="78">
        <f t="shared" si="835"/>
        <v>0</v>
      </c>
      <c r="AG375" s="78">
        <f t="shared" si="835"/>
        <v>0</v>
      </c>
      <c r="AH375" s="78">
        <f t="shared" si="835"/>
        <v>0</v>
      </c>
      <c r="AI375" s="78">
        <f t="shared" si="835"/>
        <v>0</v>
      </c>
      <c r="AJ375" s="78">
        <f t="shared" si="835"/>
        <v>0</v>
      </c>
      <c r="AK375" s="78">
        <f t="shared" si="835"/>
        <v>0</v>
      </c>
      <c r="AL375" s="78">
        <f t="shared" si="835"/>
        <v>0</v>
      </c>
      <c r="AM375" s="78">
        <f t="shared" si="835"/>
        <v>0</v>
      </c>
      <c r="AN375" s="78">
        <f t="shared" si="835"/>
        <v>0</v>
      </c>
      <c r="AO375" s="78">
        <f t="shared" si="835"/>
        <v>0</v>
      </c>
      <c r="AP375" s="78">
        <f t="shared" si="835"/>
        <v>0</v>
      </c>
      <c r="AQ375" s="78">
        <f t="shared" si="835"/>
        <v>0</v>
      </c>
      <c r="AR375" s="78">
        <f t="shared" si="835"/>
        <v>0</v>
      </c>
      <c r="AS375" s="78">
        <f t="shared" si="835"/>
        <v>0</v>
      </c>
      <c r="AT375" s="78">
        <f t="shared" si="835"/>
        <v>0</v>
      </c>
      <c r="AU375" s="78">
        <f t="shared" si="835"/>
        <v>0</v>
      </c>
      <c r="AV375" s="78">
        <f t="shared" si="835"/>
        <v>0</v>
      </c>
      <c r="AW375" s="78">
        <f t="shared" si="835"/>
        <v>0</v>
      </c>
      <c r="AX375" s="78">
        <f t="shared" si="835"/>
        <v>0</v>
      </c>
      <c r="AY375" s="78">
        <f t="shared" ref="AY375:CD375" si="836">-MIN(AY339+AY245+AY236,SUM(AY373:AY374))</f>
        <v>0</v>
      </c>
      <c r="AZ375" s="78">
        <f t="shared" si="836"/>
        <v>0</v>
      </c>
      <c r="BA375" s="78">
        <f t="shared" si="836"/>
        <v>0</v>
      </c>
      <c r="BB375" s="78">
        <f t="shared" si="836"/>
        <v>0</v>
      </c>
      <c r="BC375" s="78">
        <f t="shared" si="836"/>
        <v>0</v>
      </c>
      <c r="BD375" s="78">
        <f t="shared" si="836"/>
        <v>0</v>
      </c>
      <c r="BE375" s="78">
        <f t="shared" si="836"/>
        <v>0</v>
      </c>
      <c r="BF375" s="78">
        <f t="shared" si="836"/>
        <v>0</v>
      </c>
      <c r="BG375" s="78">
        <f t="shared" si="836"/>
        <v>0</v>
      </c>
      <c r="BH375" s="78">
        <f t="shared" si="836"/>
        <v>0</v>
      </c>
      <c r="BI375" s="78">
        <f t="shared" si="836"/>
        <v>0</v>
      </c>
      <c r="BJ375" s="78">
        <f t="shared" si="836"/>
        <v>0</v>
      </c>
      <c r="BK375" s="78">
        <f t="shared" si="836"/>
        <v>0</v>
      </c>
      <c r="BL375" s="78">
        <f t="shared" si="836"/>
        <v>0</v>
      </c>
      <c r="BM375" s="78">
        <f t="shared" si="836"/>
        <v>0</v>
      </c>
      <c r="BN375" s="78">
        <f t="shared" si="836"/>
        <v>0</v>
      </c>
      <c r="BO375" s="78">
        <f t="shared" si="836"/>
        <v>0</v>
      </c>
      <c r="BP375" s="78">
        <f t="shared" si="836"/>
        <v>0</v>
      </c>
      <c r="BQ375" s="78">
        <f t="shared" si="836"/>
        <v>0</v>
      </c>
      <c r="BR375" s="78">
        <f t="shared" si="836"/>
        <v>0</v>
      </c>
      <c r="BS375" s="78">
        <f t="shared" si="836"/>
        <v>0</v>
      </c>
      <c r="BT375" s="78">
        <f t="shared" si="836"/>
        <v>0</v>
      </c>
      <c r="BU375" s="78">
        <f t="shared" si="836"/>
        <v>0</v>
      </c>
      <c r="BV375" s="78">
        <f t="shared" si="836"/>
        <v>0</v>
      </c>
      <c r="BW375" s="78">
        <f t="shared" si="836"/>
        <v>0</v>
      </c>
      <c r="BX375" s="78">
        <f t="shared" si="836"/>
        <v>0</v>
      </c>
      <c r="BY375" s="78">
        <f t="shared" si="836"/>
        <v>0</v>
      </c>
      <c r="BZ375" s="78">
        <f t="shared" si="836"/>
        <v>0</v>
      </c>
      <c r="CA375" s="78">
        <f t="shared" si="836"/>
        <v>0</v>
      </c>
      <c r="CB375" s="78">
        <f t="shared" si="836"/>
        <v>0</v>
      </c>
      <c r="CC375" s="78">
        <f t="shared" si="836"/>
        <v>0</v>
      </c>
      <c r="CD375" s="78">
        <f t="shared" si="836"/>
        <v>0</v>
      </c>
      <c r="CE375" s="78">
        <f t="shared" ref="CE375:DJ375" si="837">-MIN(CE339+CE245+CE236,SUM(CE373:CE374))</f>
        <v>0</v>
      </c>
      <c r="CF375" s="78">
        <f t="shared" si="837"/>
        <v>0</v>
      </c>
      <c r="CG375" s="78">
        <f t="shared" si="837"/>
        <v>0</v>
      </c>
      <c r="CH375" s="78">
        <f t="shared" si="837"/>
        <v>0</v>
      </c>
      <c r="CI375" s="78">
        <f t="shared" si="837"/>
        <v>0</v>
      </c>
      <c r="CJ375" s="78">
        <f t="shared" si="837"/>
        <v>0</v>
      </c>
      <c r="CK375" s="78">
        <f t="shared" si="837"/>
        <v>0</v>
      </c>
      <c r="CL375" s="78">
        <f t="shared" si="837"/>
        <v>0</v>
      </c>
      <c r="CM375" s="78">
        <f t="shared" si="837"/>
        <v>0</v>
      </c>
      <c r="CN375" s="78">
        <f t="shared" si="837"/>
        <v>0</v>
      </c>
      <c r="CO375" s="78">
        <f t="shared" si="837"/>
        <v>0</v>
      </c>
      <c r="CP375" s="78">
        <f t="shared" si="837"/>
        <v>0</v>
      </c>
      <c r="CQ375" s="78">
        <f t="shared" si="837"/>
        <v>0</v>
      </c>
      <c r="CR375" s="78">
        <f t="shared" si="837"/>
        <v>0</v>
      </c>
      <c r="CS375" s="78">
        <f t="shared" si="837"/>
        <v>0</v>
      </c>
      <c r="CT375" s="78">
        <f t="shared" si="837"/>
        <v>0</v>
      </c>
      <c r="CU375" s="78">
        <f t="shared" si="837"/>
        <v>0</v>
      </c>
      <c r="CV375" s="78">
        <f t="shared" si="837"/>
        <v>0</v>
      </c>
      <c r="CW375" s="78">
        <f t="shared" si="837"/>
        <v>0</v>
      </c>
      <c r="CX375" s="78">
        <f t="shared" si="837"/>
        <v>0</v>
      </c>
      <c r="CY375" s="78">
        <f t="shared" si="837"/>
        <v>0</v>
      </c>
      <c r="CZ375" s="78">
        <f t="shared" si="837"/>
        <v>0</v>
      </c>
      <c r="DA375" s="78">
        <f t="shared" si="837"/>
        <v>0</v>
      </c>
      <c r="DB375" s="78">
        <f t="shared" si="837"/>
        <v>0</v>
      </c>
      <c r="DC375" s="78">
        <f t="shared" si="837"/>
        <v>0</v>
      </c>
      <c r="DD375" s="78">
        <f t="shared" si="837"/>
        <v>0</v>
      </c>
      <c r="DE375" s="78">
        <f t="shared" si="837"/>
        <v>0</v>
      </c>
      <c r="DF375" s="78">
        <f t="shared" si="837"/>
        <v>0</v>
      </c>
      <c r="DG375" s="78">
        <f t="shared" si="837"/>
        <v>0</v>
      </c>
      <c r="DH375" s="78">
        <f t="shared" si="837"/>
        <v>0</v>
      </c>
      <c r="DI375" s="78">
        <f t="shared" si="837"/>
        <v>0</v>
      </c>
      <c r="DJ375" s="78">
        <f t="shared" si="837"/>
        <v>0</v>
      </c>
      <c r="DK375" s="78">
        <f t="shared" ref="DK375:EP375" si="838">-MIN(DK339+DK245+DK236,SUM(DK373:DK374))</f>
        <v>0</v>
      </c>
      <c r="DL375" s="78">
        <f t="shared" si="838"/>
        <v>0</v>
      </c>
      <c r="DM375" s="78">
        <f t="shared" si="838"/>
        <v>0</v>
      </c>
      <c r="DN375" s="78">
        <f t="shared" si="838"/>
        <v>0</v>
      </c>
      <c r="DO375" s="78">
        <f t="shared" si="838"/>
        <v>0</v>
      </c>
      <c r="DP375" s="78">
        <f t="shared" si="838"/>
        <v>0</v>
      </c>
      <c r="DQ375" s="78">
        <f t="shared" si="838"/>
        <v>0</v>
      </c>
      <c r="DR375" s="78">
        <f t="shared" si="838"/>
        <v>0</v>
      </c>
      <c r="DS375" s="78">
        <f t="shared" si="838"/>
        <v>0</v>
      </c>
      <c r="DT375" s="78">
        <f t="shared" si="838"/>
        <v>0</v>
      </c>
      <c r="DU375" s="78">
        <f t="shared" si="838"/>
        <v>0</v>
      </c>
      <c r="DV375" s="78">
        <f t="shared" si="838"/>
        <v>0</v>
      </c>
      <c r="DW375" s="78">
        <f t="shared" si="838"/>
        <v>0</v>
      </c>
      <c r="DX375" s="78">
        <f t="shared" si="838"/>
        <v>0</v>
      </c>
      <c r="DY375" s="78">
        <f t="shared" si="838"/>
        <v>0</v>
      </c>
      <c r="DZ375" s="78">
        <f t="shared" si="838"/>
        <v>0</v>
      </c>
      <c r="EA375" s="78">
        <f t="shared" si="838"/>
        <v>0</v>
      </c>
      <c r="EB375" s="78">
        <f t="shared" si="838"/>
        <v>0</v>
      </c>
      <c r="EC375" s="78">
        <f t="shared" si="838"/>
        <v>0</v>
      </c>
      <c r="ED375" s="78">
        <f t="shared" si="838"/>
        <v>0</v>
      </c>
      <c r="EE375" s="78">
        <f t="shared" si="838"/>
        <v>0</v>
      </c>
      <c r="EF375" s="78">
        <f t="shared" si="838"/>
        <v>0</v>
      </c>
      <c r="EG375" s="78">
        <f t="shared" si="838"/>
        <v>0</v>
      </c>
      <c r="EH375" s="78">
        <f t="shared" si="838"/>
        <v>0</v>
      </c>
      <c r="EI375" s="78">
        <f t="shared" si="838"/>
        <v>0</v>
      </c>
    </row>
    <row r="376" spans="2:139">
      <c r="B376" s="880" t="s">
        <v>656</v>
      </c>
      <c r="C376" s="211"/>
      <c r="D376" s="78">
        <f>IF(IrrCalculationType=170,-MIN(MAX(D62+D92+IFERROR(#REF!,),),SUM(D373:D375)),SUMIF($S$6:$EI$6,D$5,$S376:$EI376))</f>
        <v>0</v>
      </c>
      <c r="E376" s="78">
        <f>IF(IrrCalculationType=170,-MIN(MAX(E62+E92+IFERROR(#REF!,),),SUM(E373:E375)),SUMIF($S$6:$EI$6,E$5,$S376:$EI376))</f>
        <v>-1013735.7586710614</v>
      </c>
      <c r="F376" s="78">
        <f>IF(IrrCalculationType=170,-MIN(MAX(F62+F92+IFERROR(#REF!,),),SUM(F373:F375)),SUMIF($S$6:$EI$6,F$5,$S376:$EI376))</f>
        <v>-1056179.4324117121</v>
      </c>
      <c r="G376" s="78">
        <f>IF(IrrCalculationType=170,-MIN(MAX(G62+G92+IFERROR(#REF!,),),SUM(G373:G375)),SUMIF($S$6:$EI$6,G$5,$S376:$EI376))</f>
        <v>-1118852.1397523265</v>
      </c>
      <c r="H376" s="78">
        <f>IF(IrrCalculationType=170,-MIN(MAX(H62+H92+IFERROR(#REF!,),),SUM(H373:H375)),SUMIF($S$6:$EI$6,H$5,$S376:$EI376))</f>
        <v>-1167400.4878539424</v>
      </c>
      <c r="I376" s="78">
        <f>IF(IrrCalculationType=170,-MIN(MAX(I62+I92+IFERROR(#REF!,),),SUM(I373:I375)),SUMIF($S$6:$EI$6,I$5,$S376:$EI376))</f>
        <v>-1217633.7596158781</v>
      </c>
      <c r="J376" s="78">
        <f>IF(IrrCalculationType=170,-MIN(MAX(J62+J92+IFERROR(#REF!,),),SUM(J373:J375)),SUMIF($S$6:$EI$6,J$5,$S376:$EI376))</f>
        <v>-1261529.7824043559</v>
      </c>
      <c r="K376" s="78">
        <f>IF(IrrCalculationType=170,-MIN(MAX(K62+K92+IFERROR(#REF!,),),SUM(K373:K375)),SUMIF($S$6:$EI$6,K$5,$S376:$EI376))</f>
        <v>-1306742.6858764878</v>
      </c>
      <c r="L376" s="78">
        <f>IF(IrrCalculationType=170,-MIN(MAX(L62+L92+IFERROR(#REF!,),),SUM(L373:L375)),SUMIF($S$6:$EI$6,L$5,$S376:$EI376))</f>
        <v>0</v>
      </c>
      <c r="M376" s="78">
        <f>IF(IrrCalculationType=170,-MIN(MAX(M62+M92+IFERROR(#REF!,),),SUM(M373:M375)),SUMIF($S$6:$EI$6,M$5,$S376:$EI376))</f>
        <v>0</v>
      </c>
      <c r="N376" s="78">
        <f>IF(IrrCalculationType=170,-MIN(MAX(N62+N92+IFERROR(#REF!,),),SUM(N373:N375)),SUMIF($S$6:$EI$6,N$5,$S376:$EI376))</f>
        <v>0</v>
      </c>
      <c r="O376" s="145">
        <f t="shared" si="824"/>
        <v>-8142074.0465857638</v>
      </c>
      <c r="R376" s="201"/>
      <c r="S376" s="78">
        <f>-MIN(MAX(S62+S92+IFERROR(#REF!,),),SUM(S373:S375))</f>
        <v>0</v>
      </c>
      <c r="T376" s="78">
        <f>-MIN(MAX(T62+T92+IFERROR(#REF!,),),SUM(T373:T375))</f>
        <v>-84477.979889255133</v>
      </c>
      <c r="U376" s="78">
        <f>-MIN(MAX(U62+U92+IFERROR(#REF!,),),SUM(U373:U375))</f>
        <v>-84477.979889255133</v>
      </c>
      <c r="V376" s="78">
        <f>-MIN(MAX(V62+V92+IFERROR(#REF!,),),SUM(V373:V375))</f>
        <v>-84477.979889255133</v>
      </c>
      <c r="W376" s="78">
        <f>-MIN(MAX(W62+W92+IFERROR(#REF!,),),SUM(W373:W375))</f>
        <v>-84477.979889255133</v>
      </c>
      <c r="X376" s="78">
        <f>-MIN(MAX(X62+X92+IFERROR(#REF!,),),SUM(X373:X375))</f>
        <v>-84477.979889255133</v>
      </c>
      <c r="Y376" s="78">
        <f>-MIN(MAX(Y62+Y92+IFERROR(#REF!,),),SUM(Y373:Y375))</f>
        <v>-84477.979889255133</v>
      </c>
      <c r="Z376" s="78">
        <f>-MIN(MAX(Z62+Z92+IFERROR(#REF!,),),SUM(Z373:Z375))</f>
        <v>-84477.979889255133</v>
      </c>
      <c r="AA376" s="78">
        <f>-MIN(MAX(AA62+AA92+IFERROR(#REF!,),),SUM(AA373:AA375))</f>
        <v>-84477.979889255133</v>
      </c>
      <c r="AB376" s="78">
        <f>-MIN(MAX(AB62+AB92+IFERROR(#REF!,),),SUM(AB373:AB375))</f>
        <v>-84477.979889255133</v>
      </c>
      <c r="AC376" s="78">
        <f>-MIN(MAX(AC62+AC92+IFERROR(#REF!,),),SUM(AC373:AC375))</f>
        <v>-84477.979889255133</v>
      </c>
      <c r="AD376" s="78">
        <f>-MIN(MAX(AD62+AD92+IFERROR(#REF!,),),SUM(AD373:AD375))</f>
        <v>-84477.979889255133</v>
      </c>
      <c r="AE376" s="78">
        <f>-MIN(MAX(AE62+AE92+IFERROR(#REF!,),),SUM(AE373:AE375))</f>
        <v>-84477.979889255133</v>
      </c>
      <c r="AF376" s="78">
        <f>-MIN(MAX(AF62+AF92+IFERROR(#REF!,),),SUM(AF373:AF375))</f>
        <v>-87033.086713957251</v>
      </c>
      <c r="AG376" s="78">
        <f>-MIN(MAX(AG62+AG92+IFERROR(#REF!,),),SUM(AG373:AG375))</f>
        <v>-87210.626754753146</v>
      </c>
      <c r="AH376" s="78">
        <f>-MIN(MAX(AH62+AH92+IFERROR(#REF!,),),SUM(AH373:AH375))</f>
        <v>-87388.460017360747</v>
      </c>
      <c r="AI376" s="78">
        <f>-MIN(MAX(AI62+AI92+IFERROR(#REF!,),),SUM(AI373:AI375))</f>
        <v>-87566.58698605973</v>
      </c>
      <c r="AJ376" s="78">
        <f>-MIN(MAX(AJ62+AJ92+IFERROR(#REF!,),),SUM(AJ373:AJ375))</f>
        <v>-87745.008145929634</v>
      </c>
      <c r="AK376" s="78">
        <f>-MIN(MAX(AK62+AK92+IFERROR(#REF!,),),SUM(AK373:AK375))</f>
        <v>-87923.723982850963</v>
      </c>
      <c r="AL376" s="78">
        <f>-MIN(MAX(AL62+AL92+IFERROR(#REF!,),),SUM(AL373:AL375))</f>
        <v>-88102.73498350702</v>
      </c>
      <c r="AM376" s="78">
        <f>-MIN(MAX(AM62+AM92+IFERROR(#REF!,),),SUM(AM373:AM375))</f>
        <v>-88282.041635384492</v>
      </c>
      <c r="AN376" s="78">
        <f>-MIN(MAX(AN62+AN92+IFERROR(#REF!,),),SUM(AN373:AN375))</f>
        <v>-88461.644426775601</v>
      </c>
      <c r="AO376" s="78">
        <f>-MIN(MAX(AO62+AO92+IFERROR(#REF!,),),SUM(AO373:AO375))</f>
        <v>-88641.543846778659</v>
      </c>
      <c r="AP376" s="78">
        <f>-MIN(MAX(AP62+AP92+IFERROR(#REF!,),),SUM(AP373:AP375))</f>
        <v>-88821.740385300072</v>
      </c>
      <c r="AQ376" s="78">
        <f>-MIN(MAX(AQ62+AQ92+IFERROR(#REF!,),),SUM(AQ373:AQ375))</f>
        <v>-89002.234533055191</v>
      </c>
      <c r="AR376" s="78">
        <f>-MIN(MAX(AR62+AR92+IFERROR(#REF!,),),SUM(AR373:AR375))</f>
        <v>-91703.606037454709</v>
      </c>
      <c r="AS376" s="78">
        <f>-MIN(MAX(AS62+AS92+IFERROR(#REF!,),),SUM(AS373:AS375))</f>
        <v>-91980.241408134083</v>
      </c>
      <c r="AT376" s="78">
        <f>-MIN(MAX(AT62+AT92+IFERROR(#REF!,),),SUM(AT373:AT375))</f>
        <v>-92257.559036266088</v>
      </c>
      <c r="AU376" s="78">
        <f>-MIN(MAX(AU62+AU92+IFERROR(#REF!,),),SUM(AU373:AU375))</f>
        <v>-92535.560604481725</v>
      </c>
      <c r="AV376" s="78">
        <f>-MIN(MAX(AV62+AV92+IFERROR(#REF!,),),SUM(AV373:AV375))</f>
        <v>-92814.24779956165</v>
      </c>
      <c r="AW376" s="78">
        <f>-MIN(MAX(AW62+AW92+IFERROR(#REF!,),),SUM(AW373:AW375))</f>
        <v>-93093.622312446765</v>
      </c>
      <c r="AX376" s="78">
        <f>-MIN(MAX(AX62+AX92+IFERROR(#REF!,),),SUM(AX373:AX375))</f>
        <v>-93373.685838248173</v>
      </c>
      <c r="AY376" s="78">
        <f>-MIN(MAX(AY62+AY92+IFERROR(#REF!,),),SUM(AY373:AY375))</f>
        <v>-93654.440076257568</v>
      </c>
      <c r="AZ376" s="78">
        <f>-MIN(MAX(AZ62+AZ92+IFERROR(#REF!,),),SUM(AZ373:AZ375))</f>
        <v>-93935.886729957594</v>
      </c>
      <c r="BA376" s="78">
        <f>-MIN(MAX(BA62+BA92+IFERROR(#REF!,),),SUM(BA373:BA375))</f>
        <v>-94218.027507032151</v>
      </c>
      <c r="BB376" s="78">
        <f>-MIN(MAX(BB62+BB92+IFERROR(#REF!,),),SUM(BB373:BB375))</f>
        <v>-94500.864119376783</v>
      </c>
      <c r="BC376" s="78">
        <f>-MIN(MAX(BC62+BC92+IFERROR(#REF!,),),SUM(BC373:BC375))</f>
        <v>-94784.398283108952</v>
      </c>
      <c r="BD376" s="78">
        <f>-MIN(MAX(BD62+BD92+IFERROR(#REF!,),),SUM(BD373:BD375))</f>
        <v>-95694.716818064364</v>
      </c>
      <c r="BE376" s="78">
        <f>-MIN(MAX(BE62+BE92+IFERROR(#REF!,),),SUM(BE373:BE375))</f>
        <v>-95981.19534461986</v>
      </c>
      <c r="BF376" s="78">
        <f>-MIN(MAX(BF62+BF92+IFERROR(#REF!,),),SUM(BF373:BF375))</f>
        <v>-96268.380404505791</v>
      </c>
      <c r="BG376" s="78">
        <f>-MIN(MAX(BG62+BG92+IFERROR(#REF!,),),SUM(BG373:BG375))</f>
        <v>-96556.273740223987</v>
      </c>
      <c r="BH376" s="78">
        <f>-MIN(MAX(BH62+BH92+IFERROR(#REF!,),),SUM(BH373:BH375))</f>
        <v>-96844.877098573779</v>
      </c>
      <c r="BI376" s="78">
        <f>-MIN(MAX(BI62+BI92+IFERROR(#REF!,),),SUM(BI373:BI375))</f>
        <v>-97134.19223066236</v>
      </c>
      <c r="BJ376" s="78">
        <f>-MIN(MAX(BJ62+BJ92+IFERROR(#REF!,),),SUM(BJ373:BJ375))</f>
        <v>-97424.220891915902</v>
      </c>
      <c r="BK376" s="78">
        <f>-MIN(MAX(BK62+BK92+IFERROR(#REF!,),),SUM(BK373:BK375))</f>
        <v>-97714.96484208983</v>
      </c>
      <c r="BL376" s="78">
        <f>-MIN(MAX(BL62+BL92+IFERROR(#REF!,),),SUM(BL373:BL375))</f>
        <v>-98006.425845279533</v>
      </c>
      <c r="BM376" s="78">
        <f>-MIN(MAX(BM62+BM92+IFERROR(#REF!,),),SUM(BM373:BM375))</f>
        <v>-98298.605669931247</v>
      </c>
      <c r="BN376" s="78">
        <f>-MIN(MAX(BN62+BN92+IFERROR(#REF!,),),SUM(BN373:BN375))</f>
        <v>-98591.506088852504</v>
      </c>
      <c r="BO376" s="78">
        <f>-MIN(MAX(BO62+BO92+IFERROR(#REF!,),),SUM(BO373:BO375))</f>
        <v>-98885.12887922331</v>
      </c>
      <c r="BP376" s="78">
        <f>-MIN(MAX(BP62+BP92+IFERROR(#REF!,),),SUM(BP373:BP375))</f>
        <v>-99824.343475076836</v>
      </c>
      <c r="BQ376" s="78">
        <f>-MIN(MAX(BQ62+BQ92+IFERROR(#REF!,),),SUM(BQ373:BQ375))</f>
        <v>-100121.0067750274</v>
      </c>
      <c r="BR376" s="78">
        <f>-MIN(MAX(BR62+BR92+IFERROR(#REF!,),),SUM(BR373:BR375))</f>
        <v>-100418.40172670723</v>
      </c>
      <c r="BS376" s="78">
        <f>-MIN(MAX(BS62+BS92+IFERROR(#REF!,),),SUM(BS373:BS375))</f>
        <v>-100716.53013456677</v>
      </c>
      <c r="BT376" s="78">
        <f>-MIN(MAX(BT62+BT92+IFERROR(#REF!,),),SUM(BT373:BT375))</f>
        <v>-101015.39380750692</v>
      </c>
      <c r="BU376" s="78">
        <f>-MIN(MAX(BU62+BU92+IFERROR(#REF!,),),SUM(BU373:BU375))</f>
        <v>-101314.99455888965</v>
      </c>
      <c r="BV376" s="78">
        <f>-MIN(MAX(BV62+BV92+IFERROR(#REF!,),),SUM(BV373:BV375))</f>
        <v>-101615.33420654933</v>
      </c>
      <c r="BW376" s="78">
        <f>-MIN(MAX(BW62+BW92+IFERROR(#REF!,),),SUM(BW373:BW375))</f>
        <v>-101916.41457280342</v>
      </c>
      <c r="BX376" s="78">
        <f>-MIN(MAX(BX62+BX92+IFERROR(#REF!,),),SUM(BX373:BX375))</f>
        <v>-102218.23748446381</v>
      </c>
      <c r="BY376" s="78">
        <f>-MIN(MAX(BY62+BY92+IFERROR(#REF!,),),SUM(BY373:BY375))</f>
        <v>-102520.80477284787</v>
      </c>
      <c r="BZ376" s="78">
        <f>-MIN(MAX(BZ62+BZ92+IFERROR(#REF!,),),SUM(BZ373:BZ375))</f>
        <v>-102824.11827378934</v>
      </c>
      <c r="CA376" s="78">
        <f>-MIN(MAX(CA62+CA92+IFERROR(#REF!,),),SUM(CA373:CA375))</f>
        <v>-103128.17982764966</v>
      </c>
      <c r="CB376" s="78">
        <f>-MIN(MAX(CB62+CB92+IFERROR(#REF!,),),SUM(CB373:CB375))</f>
        <v>-103432.99127932928</v>
      </c>
      <c r="CC376" s="78">
        <f>-MIN(MAX(CC62+CC92+IFERROR(#REF!,),),SUM(CC373:CC375))</f>
        <v>-103738.55447827833</v>
      </c>
      <c r="CD376" s="78">
        <f>-MIN(MAX(CD62+CD92+IFERROR(#REF!,),),SUM(CD373:CD375))</f>
        <v>-104044.87127850854</v>
      </c>
      <c r="CE376" s="78">
        <f>-MIN(MAX(CE62+CE92+IFERROR(#REF!,),),SUM(CE373:CE375))</f>
        <v>-104351.9435386039</v>
      </c>
      <c r="CF376" s="78">
        <f>-MIN(MAX(CF62+CF92+IFERROR(#REF!,),),SUM(CF373:CF375))</f>
        <v>-104659.77312173223</v>
      </c>
      <c r="CG376" s="78">
        <f>-MIN(MAX(CG62+CG92+IFERROR(#REF!,),),SUM(CG373:CG375))</f>
        <v>-104968.36189565645</v>
      </c>
      <c r="CH376" s="78">
        <f>-MIN(MAX(CH62+CH92+IFERROR(#REF!,),),SUM(CH373:CH375))</f>
        <v>-105277.71173274587</v>
      </c>
      <c r="CI376" s="78">
        <f>-MIN(MAX(CI62+CI92+IFERROR(#REF!,),),SUM(CI373:CI375))</f>
        <v>-105587.82450998758</v>
      </c>
      <c r="CJ376" s="78">
        <f>-MIN(MAX(CJ62+CJ92+IFERROR(#REF!,),),SUM(CJ373:CJ375))</f>
        <v>-105898.70210899782</v>
      </c>
      <c r="CK376" s="78">
        <f>-MIN(MAX(CK62+CK92+IFERROR(#REF!,),),SUM(CK373:CK375))</f>
        <v>-106210.34641603337</v>
      </c>
      <c r="CL376" s="78">
        <f>-MIN(MAX(CL62+CL92+IFERROR(#REF!,),),SUM(CL373:CL375))</f>
        <v>-106522.75932200308</v>
      </c>
      <c r="CM376" s="78">
        <f>-MIN(MAX(CM62+CM92+IFERROR(#REF!,),),SUM(CM373:CM375))</f>
        <v>-106835.94272247929</v>
      </c>
      <c r="CN376" s="78">
        <f>-MIN(MAX(CN62+CN92+IFERROR(#REF!,),),SUM(CN373:CN375))</f>
        <v>-107149.89851770923</v>
      </c>
      <c r="CO376" s="78">
        <f>-MIN(MAX(CO62+CO92+IFERROR(#REF!,),),SUM(CO373:CO375))</f>
        <v>-107464.62861262681</v>
      </c>
      <c r="CP376" s="78">
        <f>-MIN(MAX(CP62+CP92+IFERROR(#REF!,),),SUM(CP373:CP375))</f>
        <v>-107780.13491686393</v>
      </c>
      <c r="CQ376" s="78">
        <f>-MIN(MAX(CQ62+CQ92+IFERROR(#REF!,),),SUM(CQ373:CQ375))</f>
        <v>-108096.41934476214</v>
      </c>
      <c r="CR376" s="78">
        <f>-MIN(MAX(CR62+CR92+IFERROR(#REF!,),),SUM(CR373:CR375))</f>
        <v>-108413.48381538433</v>
      </c>
      <c r="CS376" s="78">
        <f>-MIN(MAX(CS62+CS92+IFERROR(#REF!,),),SUM(CS373:CS375))</f>
        <v>-108731.33025252627</v>
      </c>
      <c r="CT376" s="78">
        <f>-MIN(MAX(CT62+CT92+IFERROR(#REF!,),),SUM(CT373:CT375))</f>
        <v>-109049.96058472837</v>
      </c>
      <c r="CU376" s="78">
        <f>-MIN(MAX(CU62+CU92+IFERROR(#REF!,),),SUM(CU373:CU375))</f>
        <v>-109369.37674528733</v>
      </c>
      <c r="CV376" s="78">
        <f>-MIN(MAX(CV62+CV92+IFERROR(#REF!,),),SUM(CV373:CV375))</f>
        <v>-109689.58067226791</v>
      </c>
      <c r="CW376" s="78">
        <f>-MIN(MAX(CW62+CW92+IFERROR(#REF!,),),SUM(CW373:CW375))</f>
        <v>-110010.57430851454</v>
      </c>
      <c r="CX376" s="78">
        <f>-MIN(MAX(CX62+CX92+IFERROR(#REF!,),),SUM(CX373:CX375))</f>
        <v>-110332.35960166334</v>
      </c>
      <c r="CY376" s="78">
        <f>-MIN(MAX(CY62+CY92+IFERROR(#REF!,),),SUM(CY373:CY375))</f>
        <v>-110654.93850415378</v>
      </c>
      <c r="CZ376" s="78">
        <f>-MIN(MAX(CZ62+CZ92+IFERROR(#REF!,),),SUM(CZ373:CZ375))</f>
        <v>0</v>
      </c>
      <c r="DA376" s="78">
        <f>-MIN(MAX(DA62+DA92+IFERROR(#REF!,),),SUM(DA373:DA375))</f>
        <v>0</v>
      </c>
      <c r="DB376" s="78">
        <f>-MIN(MAX(DB62+DB92+IFERROR(#REF!,),),SUM(DB373:DB375))</f>
        <v>0</v>
      </c>
      <c r="DC376" s="78">
        <f>-MIN(MAX(DC62+DC92+IFERROR(#REF!,),),SUM(DC373:DC375))</f>
        <v>0</v>
      </c>
      <c r="DD376" s="78">
        <f>-MIN(MAX(DD62+DD92+IFERROR(#REF!,),),SUM(DD373:DD375))</f>
        <v>0</v>
      </c>
      <c r="DE376" s="78">
        <f>-MIN(MAX(DE62+DE92+IFERROR(#REF!,),),SUM(DE373:DE375))</f>
        <v>0</v>
      </c>
      <c r="DF376" s="78">
        <f>-MIN(MAX(DF62+DF92+IFERROR(#REF!,),),SUM(DF373:DF375))</f>
        <v>0</v>
      </c>
      <c r="DG376" s="78">
        <f>-MIN(MAX(DG62+DG92+IFERROR(#REF!,),),SUM(DG373:DG375))</f>
        <v>0</v>
      </c>
      <c r="DH376" s="78">
        <f>-MIN(MAX(DH62+DH92+IFERROR(#REF!,),),SUM(DH373:DH375))</f>
        <v>0</v>
      </c>
      <c r="DI376" s="78">
        <f>-MIN(MAX(DI62+DI92+IFERROR(#REF!,),),SUM(DI373:DI375))</f>
        <v>0</v>
      </c>
      <c r="DJ376" s="78">
        <f>-MIN(MAX(DJ62+DJ92+IFERROR(#REF!,),),SUM(DJ373:DJ375))</f>
        <v>0</v>
      </c>
      <c r="DK376" s="78">
        <f>-MIN(MAX(DK62+DK92+IFERROR(#REF!,),),SUM(DK373:DK375))</f>
        <v>0</v>
      </c>
      <c r="DL376" s="78">
        <f>-MIN(MAX(DL62+DL92+IFERROR(#REF!,),),SUM(DL373:DL375))</f>
        <v>0</v>
      </c>
      <c r="DM376" s="78">
        <f>-MIN(MAX(DM62+DM92+IFERROR(#REF!,),),SUM(DM373:DM375))</f>
        <v>0</v>
      </c>
      <c r="DN376" s="78">
        <f>-MIN(MAX(DN62+DN92+IFERROR(#REF!,),),SUM(DN373:DN375))</f>
        <v>0</v>
      </c>
      <c r="DO376" s="78">
        <f>-MIN(MAX(DO62+DO92+IFERROR(#REF!,),),SUM(DO373:DO375))</f>
        <v>0</v>
      </c>
      <c r="DP376" s="78">
        <f>-MIN(MAX(DP62+DP92+IFERROR(#REF!,),),SUM(DP373:DP375))</f>
        <v>0</v>
      </c>
      <c r="DQ376" s="78">
        <f>-MIN(MAX(DQ62+DQ92+IFERROR(#REF!,),),SUM(DQ373:DQ375))</f>
        <v>0</v>
      </c>
      <c r="DR376" s="78">
        <f>-MIN(MAX(DR62+DR92+IFERROR(#REF!,),),SUM(DR373:DR375))</f>
        <v>0</v>
      </c>
      <c r="DS376" s="78">
        <f>-MIN(MAX(DS62+DS92+IFERROR(#REF!,),),SUM(DS373:DS375))</f>
        <v>0</v>
      </c>
      <c r="DT376" s="78">
        <f>-MIN(MAX(DT62+DT92+IFERROR(#REF!,),),SUM(DT373:DT375))</f>
        <v>0</v>
      </c>
      <c r="DU376" s="78">
        <f>-MIN(MAX(DU62+DU92+IFERROR(#REF!,),),SUM(DU373:DU375))</f>
        <v>0</v>
      </c>
      <c r="DV376" s="78">
        <f>-MIN(MAX(DV62+DV92+IFERROR(#REF!,),),SUM(DV373:DV375))</f>
        <v>0</v>
      </c>
      <c r="DW376" s="78">
        <f>-MIN(MAX(DW62+DW92+IFERROR(#REF!,),),SUM(DW373:DW375))</f>
        <v>0</v>
      </c>
      <c r="DX376" s="78">
        <f>-MIN(MAX(DX62+DX92+IFERROR(#REF!,),),SUM(DX373:DX375))</f>
        <v>0</v>
      </c>
      <c r="DY376" s="78">
        <f>-MIN(MAX(DY62+DY92+IFERROR(#REF!,),),SUM(DY373:DY375))</f>
        <v>0</v>
      </c>
      <c r="DZ376" s="78">
        <f>-MIN(MAX(DZ62+DZ92+IFERROR(#REF!,),),SUM(DZ373:DZ375))</f>
        <v>0</v>
      </c>
      <c r="EA376" s="78">
        <f>-MIN(MAX(EA62+EA92+IFERROR(#REF!,),),SUM(EA373:EA375))</f>
        <v>0</v>
      </c>
      <c r="EB376" s="78">
        <f>-MIN(MAX(EB62+EB92+IFERROR(#REF!,),),SUM(EB373:EB375))</f>
        <v>0</v>
      </c>
      <c r="EC376" s="78">
        <f>-MIN(MAX(EC62+EC92+IFERROR(#REF!,),),SUM(EC373:EC375))</f>
        <v>0</v>
      </c>
      <c r="ED376" s="78">
        <f>-MIN(MAX(ED62+ED92+IFERROR(#REF!,),),SUM(ED373:ED375))</f>
        <v>0</v>
      </c>
      <c r="EE376" s="78">
        <f>-MIN(MAX(EE62+EE92+IFERROR(#REF!,),),SUM(EE373:EE375))</f>
        <v>0</v>
      </c>
      <c r="EF376" s="78">
        <f>-MIN(MAX(EF62+EF92+IFERROR(#REF!,),),SUM(EF373:EF375))</f>
        <v>0</v>
      </c>
      <c r="EG376" s="78">
        <f>-MIN(MAX(EG62+EG92+IFERROR(#REF!,),),SUM(EG373:EG375))</f>
        <v>0</v>
      </c>
      <c r="EH376" s="78">
        <f>-MIN(MAX(EH62+EH92+IFERROR(#REF!,),),SUM(EH373:EH375))</f>
        <v>0</v>
      </c>
      <c r="EI376" s="78">
        <f>-MIN(MAX(EI62+EI92+IFERROR(#REF!,),),SUM(EI373:EI375))</f>
        <v>0</v>
      </c>
    </row>
    <row r="377" spans="2:139">
      <c r="B377" s="41" t="s">
        <v>665</v>
      </c>
      <c r="C377" s="211"/>
      <c r="D377" s="78">
        <f t="shared" ref="D377:N377" si="839">IF(IrrCalculationType=170,D82,SUMIF($S$6:$EI$6,D$5,$S377:$EI377))</f>
        <v>0</v>
      </c>
      <c r="E377" s="78">
        <f t="shared" si="839"/>
        <v>0</v>
      </c>
      <c r="F377" s="78">
        <f t="shared" si="839"/>
        <v>0</v>
      </c>
      <c r="G377" s="78">
        <f t="shared" si="839"/>
        <v>0</v>
      </c>
      <c r="H377" s="78">
        <f t="shared" si="839"/>
        <v>0</v>
      </c>
      <c r="I377" s="78">
        <f t="shared" si="839"/>
        <v>0</v>
      </c>
      <c r="J377" s="78">
        <f t="shared" si="839"/>
        <v>0</v>
      </c>
      <c r="K377" s="78">
        <f t="shared" si="839"/>
        <v>24605672.299141534</v>
      </c>
      <c r="L377" s="78">
        <f t="shared" si="839"/>
        <v>0</v>
      </c>
      <c r="M377" s="78">
        <f t="shared" si="839"/>
        <v>0</v>
      </c>
      <c r="N377" s="78">
        <f t="shared" si="839"/>
        <v>0</v>
      </c>
      <c r="O377" s="145">
        <f t="shared" si="824"/>
        <v>24605672.299141534</v>
      </c>
      <c r="R377" s="201"/>
      <c r="S377" s="78">
        <f t="shared" ref="S377:AX377" si="840">S82</f>
        <v>0</v>
      </c>
      <c r="T377" s="78">
        <f t="shared" si="840"/>
        <v>0</v>
      </c>
      <c r="U377" s="78">
        <f t="shared" si="840"/>
        <v>0</v>
      </c>
      <c r="V377" s="78">
        <f t="shared" si="840"/>
        <v>0</v>
      </c>
      <c r="W377" s="78">
        <f t="shared" si="840"/>
        <v>0</v>
      </c>
      <c r="X377" s="78">
        <f t="shared" si="840"/>
        <v>0</v>
      </c>
      <c r="Y377" s="78">
        <f t="shared" si="840"/>
        <v>0</v>
      </c>
      <c r="Z377" s="78">
        <f t="shared" si="840"/>
        <v>0</v>
      </c>
      <c r="AA377" s="78">
        <f t="shared" si="840"/>
        <v>0</v>
      </c>
      <c r="AB377" s="78">
        <f t="shared" si="840"/>
        <v>0</v>
      </c>
      <c r="AC377" s="78">
        <f t="shared" si="840"/>
        <v>0</v>
      </c>
      <c r="AD377" s="78">
        <f t="shared" si="840"/>
        <v>0</v>
      </c>
      <c r="AE377" s="78">
        <f t="shared" si="840"/>
        <v>0</v>
      </c>
      <c r="AF377" s="78">
        <f t="shared" si="840"/>
        <v>0</v>
      </c>
      <c r="AG377" s="78">
        <f t="shared" si="840"/>
        <v>0</v>
      </c>
      <c r="AH377" s="78">
        <f t="shared" si="840"/>
        <v>0</v>
      </c>
      <c r="AI377" s="78">
        <f t="shared" si="840"/>
        <v>0</v>
      </c>
      <c r="AJ377" s="78">
        <f t="shared" si="840"/>
        <v>0</v>
      </c>
      <c r="AK377" s="78">
        <f t="shared" si="840"/>
        <v>0</v>
      </c>
      <c r="AL377" s="78">
        <f t="shared" si="840"/>
        <v>0</v>
      </c>
      <c r="AM377" s="78">
        <f t="shared" si="840"/>
        <v>0</v>
      </c>
      <c r="AN377" s="78">
        <f t="shared" si="840"/>
        <v>0</v>
      </c>
      <c r="AO377" s="78">
        <f t="shared" si="840"/>
        <v>0</v>
      </c>
      <c r="AP377" s="78">
        <f t="shared" si="840"/>
        <v>0</v>
      </c>
      <c r="AQ377" s="78">
        <f t="shared" si="840"/>
        <v>0</v>
      </c>
      <c r="AR377" s="78">
        <f t="shared" si="840"/>
        <v>0</v>
      </c>
      <c r="AS377" s="78">
        <f t="shared" si="840"/>
        <v>0</v>
      </c>
      <c r="AT377" s="78">
        <f t="shared" si="840"/>
        <v>0</v>
      </c>
      <c r="AU377" s="78">
        <f t="shared" si="840"/>
        <v>0</v>
      </c>
      <c r="AV377" s="78">
        <f t="shared" si="840"/>
        <v>0</v>
      </c>
      <c r="AW377" s="78">
        <f t="shared" si="840"/>
        <v>0</v>
      </c>
      <c r="AX377" s="78">
        <f t="shared" si="840"/>
        <v>0</v>
      </c>
      <c r="AY377" s="78">
        <f t="shared" ref="AY377:CD377" si="841">AY82</f>
        <v>0</v>
      </c>
      <c r="AZ377" s="78">
        <f t="shared" si="841"/>
        <v>0</v>
      </c>
      <c r="BA377" s="78">
        <f t="shared" si="841"/>
        <v>0</v>
      </c>
      <c r="BB377" s="78">
        <f t="shared" si="841"/>
        <v>0</v>
      </c>
      <c r="BC377" s="78">
        <f t="shared" si="841"/>
        <v>0</v>
      </c>
      <c r="BD377" s="78">
        <f t="shared" si="841"/>
        <v>0</v>
      </c>
      <c r="BE377" s="78">
        <f t="shared" si="841"/>
        <v>0</v>
      </c>
      <c r="BF377" s="78">
        <f t="shared" si="841"/>
        <v>0</v>
      </c>
      <c r="BG377" s="78">
        <f t="shared" si="841"/>
        <v>0</v>
      </c>
      <c r="BH377" s="78">
        <f t="shared" si="841"/>
        <v>0</v>
      </c>
      <c r="BI377" s="78">
        <f t="shared" si="841"/>
        <v>0</v>
      </c>
      <c r="BJ377" s="78">
        <f t="shared" si="841"/>
        <v>0</v>
      </c>
      <c r="BK377" s="78">
        <f t="shared" si="841"/>
        <v>0</v>
      </c>
      <c r="BL377" s="78">
        <f t="shared" si="841"/>
        <v>0</v>
      </c>
      <c r="BM377" s="78">
        <f t="shared" si="841"/>
        <v>0</v>
      </c>
      <c r="BN377" s="78">
        <f t="shared" si="841"/>
        <v>0</v>
      </c>
      <c r="BO377" s="78">
        <f t="shared" si="841"/>
        <v>0</v>
      </c>
      <c r="BP377" s="78">
        <f t="shared" si="841"/>
        <v>0</v>
      </c>
      <c r="BQ377" s="78">
        <f t="shared" si="841"/>
        <v>0</v>
      </c>
      <c r="BR377" s="78">
        <f t="shared" si="841"/>
        <v>0</v>
      </c>
      <c r="BS377" s="78">
        <f t="shared" si="841"/>
        <v>0</v>
      </c>
      <c r="BT377" s="78">
        <f t="shared" si="841"/>
        <v>0</v>
      </c>
      <c r="BU377" s="78">
        <f t="shared" si="841"/>
        <v>0</v>
      </c>
      <c r="BV377" s="78">
        <f t="shared" si="841"/>
        <v>0</v>
      </c>
      <c r="BW377" s="78">
        <f t="shared" si="841"/>
        <v>0</v>
      </c>
      <c r="BX377" s="78">
        <f t="shared" si="841"/>
        <v>0</v>
      </c>
      <c r="BY377" s="78">
        <f t="shared" si="841"/>
        <v>0</v>
      </c>
      <c r="BZ377" s="78">
        <f t="shared" si="841"/>
        <v>0</v>
      </c>
      <c r="CA377" s="78">
        <f t="shared" si="841"/>
        <v>0</v>
      </c>
      <c r="CB377" s="78">
        <f t="shared" si="841"/>
        <v>0</v>
      </c>
      <c r="CC377" s="78">
        <f t="shared" si="841"/>
        <v>0</v>
      </c>
      <c r="CD377" s="78">
        <f t="shared" si="841"/>
        <v>0</v>
      </c>
      <c r="CE377" s="78">
        <f t="shared" ref="CE377:DJ377" si="842">CE82</f>
        <v>0</v>
      </c>
      <c r="CF377" s="78">
        <f t="shared" si="842"/>
        <v>0</v>
      </c>
      <c r="CG377" s="78">
        <f t="shared" si="842"/>
        <v>0</v>
      </c>
      <c r="CH377" s="78">
        <f t="shared" si="842"/>
        <v>0</v>
      </c>
      <c r="CI377" s="78">
        <f t="shared" si="842"/>
        <v>0</v>
      </c>
      <c r="CJ377" s="78">
        <f t="shared" si="842"/>
        <v>0</v>
      </c>
      <c r="CK377" s="78">
        <f t="shared" si="842"/>
        <v>0</v>
      </c>
      <c r="CL377" s="78">
        <f t="shared" si="842"/>
        <v>0</v>
      </c>
      <c r="CM377" s="78">
        <f t="shared" si="842"/>
        <v>0</v>
      </c>
      <c r="CN377" s="78">
        <f t="shared" si="842"/>
        <v>0</v>
      </c>
      <c r="CO377" s="78">
        <f t="shared" si="842"/>
        <v>0</v>
      </c>
      <c r="CP377" s="78">
        <f t="shared" si="842"/>
        <v>0</v>
      </c>
      <c r="CQ377" s="78">
        <f t="shared" si="842"/>
        <v>0</v>
      </c>
      <c r="CR377" s="78">
        <f t="shared" si="842"/>
        <v>0</v>
      </c>
      <c r="CS377" s="78">
        <f t="shared" si="842"/>
        <v>0</v>
      </c>
      <c r="CT377" s="78">
        <f t="shared" si="842"/>
        <v>0</v>
      </c>
      <c r="CU377" s="78">
        <f t="shared" si="842"/>
        <v>0</v>
      </c>
      <c r="CV377" s="78">
        <f t="shared" si="842"/>
        <v>0</v>
      </c>
      <c r="CW377" s="78">
        <f t="shared" si="842"/>
        <v>0</v>
      </c>
      <c r="CX377" s="78">
        <f t="shared" si="842"/>
        <v>0</v>
      </c>
      <c r="CY377" s="78">
        <f t="shared" si="842"/>
        <v>24605672.299141534</v>
      </c>
      <c r="CZ377" s="78">
        <f t="shared" si="842"/>
        <v>0</v>
      </c>
      <c r="DA377" s="78">
        <f t="shared" si="842"/>
        <v>0</v>
      </c>
      <c r="DB377" s="78">
        <f t="shared" si="842"/>
        <v>0</v>
      </c>
      <c r="DC377" s="78">
        <f t="shared" si="842"/>
        <v>0</v>
      </c>
      <c r="DD377" s="78">
        <f t="shared" si="842"/>
        <v>0</v>
      </c>
      <c r="DE377" s="78">
        <f t="shared" si="842"/>
        <v>0</v>
      </c>
      <c r="DF377" s="78">
        <f t="shared" si="842"/>
        <v>0</v>
      </c>
      <c r="DG377" s="78">
        <f t="shared" si="842"/>
        <v>0</v>
      </c>
      <c r="DH377" s="78">
        <f t="shared" si="842"/>
        <v>0</v>
      </c>
      <c r="DI377" s="78">
        <f t="shared" si="842"/>
        <v>0</v>
      </c>
      <c r="DJ377" s="78">
        <f t="shared" si="842"/>
        <v>0</v>
      </c>
      <c r="DK377" s="78">
        <f t="shared" ref="DK377:EI377" si="843">DK82</f>
        <v>0</v>
      </c>
      <c r="DL377" s="78">
        <f t="shared" si="843"/>
        <v>0</v>
      </c>
      <c r="DM377" s="78">
        <f t="shared" si="843"/>
        <v>0</v>
      </c>
      <c r="DN377" s="78">
        <f t="shared" si="843"/>
        <v>0</v>
      </c>
      <c r="DO377" s="78">
        <f t="shared" si="843"/>
        <v>0</v>
      </c>
      <c r="DP377" s="78">
        <f t="shared" si="843"/>
        <v>0</v>
      </c>
      <c r="DQ377" s="78">
        <f t="shared" si="843"/>
        <v>0</v>
      </c>
      <c r="DR377" s="78">
        <f t="shared" si="843"/>
        <v>0</v>
      </c>
      <c r="DS377" s="78">
        <f t="shared" si="843"/>
        <v>0</v>
      </c>
      <c r="DT377" s="78">
        <f t="shared" si="843"/>
        <v>0</v>
      </c>
      <c r="DU377" s="78">
        <f t="shared" si="843"/>
        <v>0</v>
      </c>
      <c r="DV377" s="78">
        <f t="shared" si="843"/>
        <v>0</v>
      </c>
      <c r="DW377" s="78">
        <f t="shared" si="843"/>
        <v>0</v>
      </c>
      <c r="DX377" s="78">
        <f t="shared" si="843"/>
        <v>0</v>
      </c>
      <c r="DY377" s="78">
        <f t="shared" si="843"/>
        <v>0</v>
      </c>
      <c r="DZ377" s="78">
        <f t="shared" si="843"/>
        <v>0</v>
      </c>
      <c r="EA377" s="78">
        <f t="shared" si="843"/>
        <v>0</v>
      </c>
      <c r="EB377" s="78">
        <f t="shared" si="843"/>
        <v>0</v>
      </c>
      <c r="EC377" s="78">
        <f t="shared" si="843"/>
        <v>0</v>
      </c>
      <c r="ED377" s="78">
        <f t="shared" si="843"/>
        <v>0</v>
      </c>
      <c r="EE377" s="78">
        <f t="shared" si="843"/>
        <v>0</v>
      </c>
      <c r="EF377" s="78">
        <f t="shared" si="843"/>
        <v>0</v>
      </c>
      <c r="EG377" s="78">
        <f t="shared" si="843"/>
        <v>0</v>
      </c>
      <c r="EH377" s="78">
        <f t="shared" si="843"/>
        <v>0</v>
      </c>
      <c r="EI377" s="78">
        <f t="shared" si="843"/>
        <v>0</v>
      </c>
    </row>
    <row r="378" spans="2:139">
      <c r="B378" s="880" t="s">
        <v>643</v>
      </c>
      <c r="C378" s="211"/>
      <c r="D378" s="78">
        <f>IF(IrrCalculationType=170,IF(D$377&gt;0,-MIN(D342,SUM(D$377:D377)),0),SUMIF($S$6:$EI$6,D$5,$S378:$EI378))</f>
        <v>0</v>
      </c>
      <c r="E378" s="78">
        <f>IF(IrrCalculationType=170,IF(E$377&gt;0,-MIN(E342,SUM(E$377:E377)),0),SUMIF($S$6:$EI$6,E$5,$S378:$EI378))</f>
        <v>0</v>
      </c>
      <c r="F378" s="78">
        <f>IF(IrrCalculationType=170,IF(F$377&gt;0,-MIN(F342,SUM(F$377:F377)),0),SUMIF($S$6:$EI$6,F$5,$S378:$EI378))</f>
        <v>0</v>
      </c>
      <c r="G378" s="78">
        <f>IF(IrrCalculationType=170,IF(G$377&gt;0,-MIN(G342,SUM(G$377:G377)),0),SUMIF($S$6:$EI$6,G$5,$S378:$EI378))</f>
        <v>0</v>
      </c>
      <c r="H378" s="78">
        <f>IF(IrrCalculationType=170,IF(H$377&gt;0,-MIN(H342,SUM(H$377:H377)),0),SUMIF($S$6:$EI$6,H$5,$S378:$EI378))</f>
        <v>0</v>
      </c>
      <c r="I378" s="78">
        <f>IF(IrrCalculationType=170,IF(I$377&gt;0,-MIN(I342,SUM(I$377:I377)),0),SUMIF($S$6:$EI$6,I$5,$S378:$EI378))</f>
        <v>0</v>
      </c>
      <c r="J378" s="78">
        <f>IF(IrrCalculationType=170,IF(J$377&gt;0,-MIN(J342,SUM(J$377:J377)),0),SUMIF($S$6:$EI$6,J$5,$S378:$EI378))</f>
        <v>0</v>
      </c>
      <c r="K378" s="78">
        <f>IF(IrrCalculationType=170,IF(K$377&gt;0,-MIN(K342,SUM(K$377:K377)),0),SUMIF($S$6:$EI$6,K$5,$S378:$EI378))</f>
        <v>0</v>
      </c>
      <c r="L378" s="78">
        <f>IF(IrrCalculationType=170,IF(L$377&gt;0,-MIN(L342,SUM(L$377:L377)),0),SUMIF($S$6:$EI$6,L$5,$S378:$EI378))</f>
        <v>0</v>
      </c>
      <c r="M378" s="78">
        <f>IF(IrrCalculationType=170,IF(M$377&gt;0,-MIN(M342,SUM(M$377:M377)),0),SUMIF($S$6:$EI$6,M$5,$S378:$EI378))</f>
        <v>0</v>
      </c>
      <c r="N378" s="78">
        <f>IF(IrrCalculationType=170,IF(N$377&gt;0,-MIN(N342,SUM(N$377:N377)),0),SUMIF($S$6:$EI$6,N$5,$S378:$EI378))</f>
        <v>0</v>
      </c>
      <c r="O378" s="145">
        <f t="shared" si="824"/>
        <v>0</v>
      </c>
      <c r="R378" s="201"/>
      <c r="S378" s="78">
        <f>IF(S$377&gt;0,-MIN(S342,SUM(S$377:S377)),0)</f>
        <v>0</v>
      </c>
      <c r="T378" s="78">
        <f>IF(T$377&gt;0,-MIN(T342,SUM(T$377:T377)),0)</f>
        <v>0</v>
      </c>
      <c r="U378" s="78">
        <f>IF(U$377&gt;0,-MIN(U342,SUM(U$377:U377)),0)</f>
        <v>0</v>
      </c>
      <c r="V378" s="78">
        <f>IF(V$377&gt;0,-MIN(V342,SUM(V$377:V377)),0)</f>
        <v>0</v>
      </c>
      <c r="W378" s="78">
        <f>IF(W$377&gt;0,-MIN(W342,SUM(W$377:W377)),0)</f>
        <v>0</v>
      </c>
      <c r="X378" s="78">
        <f>IF(X$377&gt;0,-MIN(X342,SUM(X$377:X377)),0)</f>
        <v>0</v>
      </c>
      <c r="Y378" s="78">
        <f>IF(Y$377&gt;0,-MIN(Y342,SUM(Y$377:Y377)),0)</f>
        <v>0</v>
      </c>
      <c r="Z378" s="78">
        <f>IF(Z$377&gt;0,-MIN(Z342,SUM(Z$377:Z377)),0)</f>
        <v>0</v>
      </c>
      <c r="AA378" s="78">
        <f>IF(AA$377&gt;0,-MIN(AA342,SUM(AA$377:AA377)),0)</f>
        <v>0</v>
      </c>
      <c r="AB378" s="78">
        <f>IF(AB$377&gt;0,-MIN(AB342,SUM(AB$377:AB377)),0)</f>
        <v>0</v>
      </c>
      <c r="AC378" s="78">
        <f>IF(AC$377&gt;0,-MIN(AC342,SUM(AC$377:AC377)),0)</f>
        <v>0</v>
      </c>
      <c r="AD378" s="78">
        <f>IF(AD$377&gt;0,-MIN(AD342,SUM(AD$377:AD377)),0)</f>
        <v>0</v>
      </c>
      <c r="AE378" s="78">
        <f>IF(AE$377&gt;0,-MIN(AE342,SUM(AE$377:AE377)),0)</f>
        <v>0</v>
      </c>
      <c r="AF378" s="78">
        <f>IF(AF$377&gt;0,-MIN(AF342,SUM(AF$377:AF377)),0)</f>
        <v>0</v>
      </c>
      <c r="AG378" s="78">
        <f>IF(AG$377&gt;0,-MIN(AG342,SUM(AG$377:AG377)),0)</f>
        <v>0</v>
      </c>
      <c r="AH378" s="78">
        <f>IF(AH$377&gt;0,-MIN(AH342,SUM(AH$377:AH377)),0)</f>
        <v>0</v>
      </c>
      <c r="AI378" s="78">
        <f>IF(AI$377&gt;0,-MIN(AI342,SUM(AI$377:AI377)),0)</f>
        <v>0</v>
      </c>
      <c r="AJ378" s="78">
        <f>IF(AJ$377&gt;0,-MIN(AJ342,SUM(AJ$377:AJ377)),0)</f>
        <v>0</v>
      </c>
      <c r="AK378" s="78">
        <f>IF(AK$377&gt;0,-MIN(AK342,SUM(AK$377:AK377)),0)</f>
        <v>0</v>
      </c>
      <c r="AL378" s="78">
        <f>IF(AL$377&gt;0,-MIN(AL342,SUM(AL$377:AL377)),0)</f>
        <v>0</v>
      </c>
      <c r="AM378" s="78">
        <f>IF(AM$377&gt;0,-MIN(AM342,SUM(AM$377:AM377)),0)</f>
        <v>0</v>
      </c>
      <c r="AN378" s="78">
        <f>IF(AN$377&gt;0,-MIN(AN342,SUM(AN$377:AN377)),0)</f>
        <v>0</v>
      </c>
      <c r="AO378" s="78">
        <f>IF(AO$377&gt;0,-MIN(AO342,SUM(AO$377:AO377)),0)</f>
        <v>0</v>
      </c>
      <c r="AP378" s="78">
        <f>IF(AP$377&gt;0,-MIN(AP342,SUM(AP$377:AP377)),0)</f>
        <v>0</v>
      </c>
      <c r="AQ378" s="78">
        <f>IF(AQ$377&gt;0,-MIN(AQ342,SUM(AQ$377:AQ377)),0)</f>
        <v>0</v>
      </c>
      <c r="AR378" s="78">
        <f>IF(AR$377&gt;0,-MIN(AR342,SUM(AR$377:AR377)),0)</f>
        <v>0</v>
      </c>
      <c r="AS378" s="78">
        <f>IF(AS$377&gt;0,-MIN(AS342,SUM(AS$377:AS377)),0)</f>
        <v>0</v>
      </c>
      <c r="AT378" s="78">
        <f>IF(AT$377&gt;0,-MIN(AT342,SUM(AT$377:AT377)),0)</f>
        <v>0</v>
      </c>
      <c r="AU378" s="78">
        <f>IF(AU$377&gt;0,-MIN(AU342,SUM(AU$377:AU377)),0)</f>
        <v>0</v>
      </c>
      <c r="AV378" s="78">
        <f>IF(AV$377&gt;0,-MIN(AV342,SUM(AV$377:AV377)),0)</f>
        <v>0</v>
      </c>
      <c r="AW378" s="78">
        <f>IF(AW$377&gt;0,-MIN(AW342,SUM(AW$377:AW377)),0)</f>
        <v>0</v>
      </c>
      <c r="AX378" s="78">
        <f>IF(AX$377&gt;0,-MIN(AX342,SUM(AX$377:AX377)),0)</f>
        <v>0</v>
      </c>
      <c r="AY378" s="78">
        <f>IF(AY$377&gt;0,-MIN(AY342,SUM(AY$377:AY377)),0)</f>
        <v>0</v>
      </c>
      <c r="AZ378" s="78">
        <f>IF(AZ$377&gt;0,-MIN(AZ342,SUM(AZ$377:AZ377)),0)</f>
        <v>0</v>
      </c>
      <c r="BA378" s="78">
        <f>IF(BA$377&gt;0,-MIN(BA342,SUM(BA$377:BA377)),0)</f>
        <v>0</v>
      </c>
      <c r="BB378" s="78">
        <f>IF(BB$377&gt;0,-MIN(BB342,SUM(BB$377:BB377)),0)</f>
        <v>0</v>
      </c>
      <c r="BC378" s="78">
        <f>IF(BC$377&gt;0,-MIN(BC342,SUM(BC$377:BC377)),0)</f>
        <v>0</v>
      </c>
      <c r="BD378" s="78">
        <f>IF(BD$377&gt;0,-MIN(BD342,SUM(BD$377:BD377)),0)</f>
        <v>0</v>
      </c>
      <c r="BE378" s="78">
        <f>IF(BE$377&gt;0,-MIN(BE342,SUM(BE$377:BE377)),0)</f>
        <v>0</v>
      </c>
      <c r="BF378" s="78">
        <f>IF(BF$377&gt;0,-MIN(BF342,SUM(BF$377:BF377)),0)</f>
        <v>0</v>
      </c>
      <c r="BG378" s="78">
        <f>IF(BG$377&gt;0,-MIN(BG342,SUM(BG$377:BG377)),0)</f>
        <v>0</v>
      </c>
      <c r="BH378" s="78">
        <f>IF(BH$377&gt;0,-MIN(BH342,SUM(BH$377:BH377)),0)</f>
        <v>0</v>
      </c>
      <c r="BI378" s="78">
        <f>IF(BI$377&gt;0,-MIN(BI342,SUM(BI$377:BI377)),0)</f>
        <v>0</v>
      </c>
      <c r="BJ378" s="78">
        <f>IF(BJ$377&gt;0,-MIN(BJ342,SUM(BJ$377:BJ377)),0)</f>
        <v>0</v>
      </c>
      <c r="BK378" s="78">
        <f>IF(BK$377&gt;0,-MIN(BK342,SUM(BK$377:BK377)),0)</f>
        <v>0</v>
      </c>
      <c r="BL378" s="78">
        <f>IF(BL$377&gt;0,-MIN(BL342,SUM(BL$377:BL377)),0)</f>
        <v>0</v>
      </c>
      <c r="BM378" s="78">
        <f>IF(BM$377&gt;0,-MIN(BM342,SUM(BM$377:BM377)),0)</f>
        <v>0</v>
      </c>
      <c r="BN378" s="78">
        <f>IF(BN$377&gt;0,-MIN(BN342,SUM(BN$377:BN377)),0)</f>
        <v>0</v>
      </c>
      <c r="BO378" s="78">
        <f>IF(BO$377&gt;0,-MIN(BO342,SUM(BO$377:BO377)),0)</f>
        <v>0</v>
      </c>
      <c r="BP378" s="78">
        <f>IF(BP$377&gt;0,-MIN(BP342,SUM(BP$377:BP377)),0)</f>
        <v>0</v>
      </c>
      <c r="BQ378" s="78">
        <f>IF(BQ$377&gt;0,-MIN(BQ342,SUM(BQ$377:BQ377)),0)</f>
        <v>0</v>
      </c>
      <c r="BR378" s="78">
        <f>IF(BR$377&gt;0,-MIN(BR342,SUM(BR$377:BR377)),0)</f>
        <v>0</v>
      </c>
      <c r="BS378" s="78">
        <f>IF(BS$377&gt;0,-MIN(BS342,SUM(BS$377:BS377)),0)</f>
        <v>0</v>
      </c>
      <c r="BT378" s="78">
        <f>IF(BT$377&gt;0,-MIN(BT342,SUM(BT$377:BT377)),0)</f>
        <v>0</v>
      </c>
      <c r="BU378" s="78">
        <f>IF(BU$377&gt;0,-MIN(BU342,SUM(BU$377:BU377)),0)</f>
        <v>0</v>
      </c>
      <c r="BV378" s="78">
        <f>IF(BV$377&gt;0,-MIN(BV342,SUM(BV$377:BV377)),0)</f>
        <v>0</v>
      </c>
      <c r="BW378" s="78">
        <f>IF(BW$377&gt;0,-MIN(BW342,SUM(BW$377:BW377)),0)</f>
        <v>0</v>
      </c>
      <c r="BX378" s="78">
        <f>IF(BX$377&gt;0,-MIN(BX342,SUM(BX$377:BX377)),0)</f>
        <v>0</v>
      </c>
      <c r="BY378" s="78">
        <f>IF(BY$377&gt;0,-MIN(BY342,SUM(BY$377:BY377)),0)</f>
        <v>0</v>
      </c>
      <c r="BZ378" s="78">
        <f>IF(BZ$377&gt;0,-MIN(BZ342,SUM(BZ$377:BZ377)),0)</f>
        <v>0</v>
      </c>
      <c r="CA378" s="78">
        <f>IF(CA$377&gt;0,-MIN(CA342,SUM(CA$377:CA377)),0)</f>
        <v>0</v>
      </c>
      <c r="CB378" s="78">
        <f>IF(CB$377&gt;0,-MIN(CB342,SUM(CB$377:CB377)),0)</f>
        <v>0</v>
      </c>
      <c r="CC378" s="78">
        <f>IF(CC$377&gt;0,-MIN(CC342,SUM(CC$377:CC377)),0)</f>
        <v>0</v>
      </c>
      <c r="CD378" s="78">
        <f>IF(CD$377&gt;0,-MIN(CD342,SUM(CD$377:CD377)),0)</f>
        <v>0</v>
      </c>
      <c r="CE378" s="78">
        <f>IF(CE$377&gt;0,-MIN(CE342,SUM(CE$377:CE377)),0)</f>
        <v>0</v>
      </c>
      <c r="CF378" s="78">
        <f>IF(CF$377&gt;0,-MIN(CF342,SUM(CF$377:CF377)),0)</f>
        <v>0</v>
      </c>
      <c r="CG378" s="78">
        <f>IF(CG$377&gt;0,-MIN(CG342,SUM(CG$377:CG377)),0)</f>
        <v>0</v>
      </c>
      <c r="CH378" s="78">
        <f>IF(CH$377&gt;0,-MIN(CH342,SUM(CH$377:CH377)),0)</f>
        <v>0</v>
      </c>
      <c r="CI378" s="78">
        <f>IF(CI$377&gt;0,-MIN(CI342,SUM(CI$377:CI377)),0)</f>
        <v>0</v>
      </c>
      <c r="CJ378" s="78">
        <f>IF(CJ$377&gt;0,-MIN(CJ342,SUM(CJ$377:CJ377)),0)</f>
        <v>0</v>
      </c>
      <c r="CK378" s="78">
        <f>IF(CK$377&gt;0,-MIN(CK342,SUM(CK$377:CK377)),0)</f>
        <v>0</v>
      </c>
      <c r="CL378" s="78">
        <f>IF(CL$377&gt;0,-MIN(CL342,SUM(CL$377:CL377)),0)</f>
        <v>0</v>
      </c>
      <c r="CM378" s="78">
        <f>IF(CM$377&gt;0,-MIN(CM342,SUM(CM$377:CM377)),0)</f>
        <v>0</v>
      </c>
      <c r="CN378" s="78">
        <f>IF(CN$377&gt;0,-MIN(CN342,SUM(CN$377:CN377)),0)</f>
        <v>0</v>
      </c>
      <c r="CO378" s="78">
        <f>IF(CO$377&gt;0,-MIN(CO342,SUM(CO$377:CO377)),0)</f>
        <v>0</v>
      </c>
      <c r="CP378" s="78">
        <f>IF(CP$377&gt;0,-MIN(CP342,SUM(CP$377:CP377)),0)</f>
        <v>0</v>
      </c>
      <c r="CQ378" s="78">
        <f>IF(CQ$377&gt;0,-MIN(CQ342,SUM(CQ$377:CQ377)),0)</f>
        <v>0</v>
      </c>
      <c r="CR378" s="78">
        <f>IF(CR$377&gt;0,-MIN(CR342,SUM(CR$377:CR377)),0)</f>
        <v>0</v>
      </c>
      <c r="CS378" s="78">
        <f>IF(CS$377&gt;0,-MIN(CS342,SUM(CS$377:CS377)),0)</f>
        <v>0</v>
      </c>
      <c r="CT378" s="78">
        <f>IF(CT$377&gt;0,-MIN(CT342,SUM(CT$377:CT377)),0)</f>
        <v>0</v>
      </c>
      <c r="CU378" s="78">
        <f>IF(CU$377&gt;0,-MIN(CU342,SUM(CU$377:CU377)),0)</f>
        <v>0</v>
      </c>
      <c r="CV378" s="78">
        <f>IF(CV$377&gt;0,-MIN(CV342,SUM(CV$377:CV377)),0)</f>
        <v>0</v>
      </c>
      <c r="CW378" s="78">
        <f>IF(CW$377&gt;0,-MIN(CW342,SUM(CW$377:CW377)),0)</f>
        <v>0</v>
      </c>
      <c r="CX378" s="78">
        <f>IF(CX$377&gt;0,-MIN(CX342,SUM(CX$377:CX377)),0)</f>
        <v>0</v>
      </c>
      <c r="CY378" s="78">
        <f>IF(CY$377&gt;0,-MIN(CY342,SUM(CY$377:CY377)),0)</f>
        <v>0</v>
      </c>
      <c r="CZ378" s="78">
        <f>IF(CZ$377&gt;0,-MIN(CZ342,SUM(CZ$377:CZ377)),0)</f>
        <v>0</v>
      </c>
      <c r="DA378" s="78">
        <f>IF(DA$377&gt;0,-MIN(DA342,SUM(DA$377:DA377)),0)</f>
        <v>0</v>
      </c>
      <c r="DB378" s="78">
        <f>IF(DB$377&gt;0,-MIN(DB342,SUM(DB$377:DB377)),0)</f>
        <v>0</v>
      </c>
      <c r="DC378" s="78">
        <f>IF(DC$377&gt;0,-MIN(DC342,SUM(DC$377:DC377)),0)</f>
        <v>0</v>
      </c>
      <c r="DD378" s="78">
        <f>IF(DD$377&gt;0,-MIN(DD342,SUM(DD$377:DD377)),0)</f>
        <v>0</v>
      </c>
      <c r="DE378" s="78">
        <f>IF(DE$377&gt;0,-MIN(DE342,SUM(DE$377:DE377)),0)</f>
        <v>0</v>
      </c>
      <c r="DF378" s="78">
        <f>IF(DF$377&gt;0,-MIN(DF342,SUM(DF$377:DF377)),0)</f>
        <v>0</v>
      </c>
      <c r="DG378" s="78">
        <f>IF(DG$377&gt;0,-MIN(DG342,SUM(DG$377:DG377)),0)</f>
        <v>0</v>
      </c>
      <c r="DH378" s="78">
        <f>IF(DH$377&gt;0,-MIN(DH342,SUM(DH$377:DH377)),0)</f>
        <v>0</v>
      </c>
      <c r="DI378" s="78">
        <f>IF(DI$377&gt;0,-MIN(DI342,SUM(DI$377:DI377)),0)</f>
        <v>0</v>
      </c>
      <c r="DJ378" s="78">
        <f>IF(DJ$377&gt;0,-MIN(DJ342,SUM(DJ$377:DJ377)),0)</f>
        <v>0</v>
      </c>
      <c r="DK378" s="78">
        <f>IF(DK$377&gt;0,-MIN(DK342,SUM(DK$377:DK377)),0)</f>
        <v>0</v>
      </c>
      <c r="DL378" s="78">
        <f>IF(DL$377&gt;0,-MIN(DL342,SUM(DL$377:DL377)),0)</f>
        <v>0</v>
      </c>
      <c r="DM378" s="78">
        <f>IF(DM$377&gt;0,-MIN(DM342,SUM(DM$377:DM377)),0)</f>
        <v>0</v>
      </c>
      <c r="DN378" s="78">
        <f>IF(DN$377&gt;0,-MIN(DN342,SUM(DN$377:DN377)),0)</f>
        <v>0</v>
      </c>
      <c r="DO378" s="78">
        <f>IF(DO$377&gt;0,-MIN(DO342,SUM(DO$377:DO377)),0)</f>
        <v>0</v>
      </c>
      <c r="DP378" s="78">
        <f>IF(DP$377&gt;0,-MIN(DP342,SUM(DP$377:DP377)),0)</f>
        <v>0</v>
      </c>
      <c r="DQ378" s="78">
        <f>IF(DQ$377&gt;0,-MIN(DQ342,SUM(DQ$377:DQ377)),0)</f>
        <v>0</v>
      </c>
      <c r="DR378" s="78">
        <f>IF(DR$377&gt;0,-MIN(DR342,SUM(DR$377:DR377)),0)</f>
        <v>0</v>
      </c>
      <c r="DS378" s="78">
        <f>IF(DS$377&gt;0,-MIN(DS342,SUM(DS$377:DS377)),0)</f>
        <v>0</v>
      </c>
      <c r="DT378" s="78">
        <f>IF(DT$377&gt;0,-MIN(DT342,SUM(DT$377:DT377)),0)</f>
        <v>0</v>
      </c>
      <c r="DU378" s="78">
        <f>IF(DU$377&gt;0,-MIN(DU342,SUM(DU$377:DU377)),0)</f>
        <v>0</v>
      </c>
      <c r="DV378" s="78">
        <f>IF(DV$377&gt;0,-MIN(DV342,SUM(DV$377:DV377)),0)</f>
        <v>0</v>
      </c>
      <c r="DW378" s="78">
        <f>IF(DW$377&gt;0,-MIN(DW342,SUM(DW$377:DW377)),0)</f>
        <v>0</v>
      </c>
      <c r="DX378" s="78">
        <f>IF(DX$377&gt;0,-MIN(DX342,SUM(DX$377:DX377)),0)</f>
        <v>0</v>
      </c>
      <c r="DY378" s="78">
        <f>IF(DY$377&gt;0,-MIN(DY342,SUM(DY$377:DY377)),0)</f>
        <v>0</v>
      </c>
      <c r="DZ378" s="78">
        <f>IF(DZ$377&gt;0,-MIN(DZ342,SUM(DZ$377:DZ377)),0)</f>
        <v>0</v>
      </c>
      <c r="EA378" s="78">
        <f>IF(EA$377&gt;0,-MIN(EA342,SUM(EA$377:EA377)),0)</f>
        <v>0</v>
      </c>
      <c r="EB378" s="78">
        <f>IF(EB$377&gt;0,-MIN(EB342,SUM(EB$377:EB377)),0)</f>
        <v>0</v>
      </c>
      <c r="EC378" s="78">
        <f>IF(EC$377&gt;0,-MIN(EC342,SUM(EC$377:EC377)),0)</f>
        <v>0</v>
      </c>
      <c r="ED378" s="78">
        <f>IF(ED$377&gt;0,-MIN(ED342,SUM(ED$377:ED377)),0)</f>
        <v>0</v>
      </c>
      <c r="EE378" s="78">
        <f>IF(EE$377&gt;0,-MIN(EE342,SUM(EE$377:EE377)),0)</f>
        <v>0</v>
      </c>
      <c r="EF378" s="78">
        <f>IF(EF$377&gt;0,-MIN(EF342,SUM(EF$377:EF377)),0)</f>
        <v>0</v>
      </c>
      <c r="EG378" s="78">
        <f>IF(EG$377&gt;0,-MIN(EG342,SUM(EG$377:EG377)),0)</f>
        <v>0</v>
      </c>
      <c r="EH378" s="78">
        <f>IF(EH$377&gt;0,-MIN(EH342,SUM(EH$377:EH377)),0)</f>
        <v>0</v>
      </c>
      <c r="EI378" s="78">
        <f>IF(EI$377&gt;0,-MIN(EI342,SUM(EI$377:EI377)),0)</f>
        <v>0</v>
      </c>
    </row>
    <row r="379" spans="2:139">
      <c r="B379" s="880" t="s">
        <v>647</v>
      </c>
      <c r="C379" s="211"/>
      <c r="D379" s="78">
        <f>IF(IrrCalculationType=170,IF(D$377&gt;0,-MIN(D347,SUM(D$377:D378)),0),SUMIF($S$6:$EI$6,D$5,$S379:$EI379))</f>
        <v>0</v>
      </c>
      <c r="E379" s="78">
        <f>IF(IrrCalculationType=170,IF(E$377&gt;0,-MIN(E347,SUM(E$377:E378)),0),SUMIF($S$6:$EI$6,E$5,$S379:$EI379))</f>
        <v>0</v>
      </c>
      <c r="F379" s="78">
        <f>IF(IrrCalculationType=170,IF(F$377&gt;0,-MIN(F347,SUM(F$377:F378)),0),SUMIF($S$6:$EI$6,F$5,$S379:$EI379))</f>
        <v>0</v>
      </c>
      <c r="G379" s="78">
        <f>IF(IrrCalculationType=170,IF(G$377&gt;0,-MIN(G347,SUM(G$377:G378)),0),SUMIF($S$6:$EI$6,G$5,$S379:$EI379))</f>
        <v>0</v>
      </c>
      <c r="H379" s="78">
        <f>IF(IrrCalculationType=170,IF(H$377&gt;0,-MIN(H347,SUM(H$377:H378)),0),SUMIF($S$6:$EI$6,H$5,$S379:$EI379))</f>
        <v>0</v>
      </c>
      <c r="I379" s="78">
        <f>IF(IrrCalculationType=170,IF(I$377&gt;0,-MIN(I347,SUM(I$377:I378)),0),SUMIF($S$6:$EI$6,I$5,$S379:$EI379))</f>
        <v>0</v>
      </c>
      <c r="J379" s="78">
        <f>IF(IrrCalculationType=170,IF(J$377&gt;0,-MIN(J347,SUM(J$377:J378)),0),SUMIF($S$6:$EI$6,J$5,$S379:$EI379))</f>
        <v>0</v>
      </c>
      <c r="K379" s="78">
        <f>IF(IrrCalculationType=170,IF(K$377&gt;0,-MIN(K347,SUM(K$377:K378)),0),SUMIF($S$6:$EI$6,K$5,$S379:$EI379))</f>
        <v>0</v>
      </c>
      <c r="L379" s="78">
        <f>IF(IrrCalculationType=170,IF(L$377&gt;0,-MIN(L347,SUM(L$377:L378)),0),SUMIF($S$6:$EI$6,L$5,$S379:$EI379))</f>
        <v>0</v>
      </c>
      <c r="M379" s="78">
        <f>IF(IrrCalculationType=170,IF(M$377&gt;0,-MIN(M347,SUM(M$377:M378)),0),SUMIF($S$6:$EI$6,M$5,$S379:$EI379))</f>
        <v>0</v>
      </c>
      <c r="N379" s="78">
        <f>IF(IrrCalculationType=170,IF(N$377&gt;0,-MIN(N347,SUM(N$377:N378)),0),SUMIF($S$6:$EI$6,N$5,$S379:$EI379))</f>
        <v>0</v>
      </c>
      <c r="O379" s="145">
        <f t="shared" si="824"/>
        <v>0</v>
      </c>
      <c r="R379" s="201"/>
      <c r="S379" s="78">
        <f>IF(S$377&gt;0,-MIN(S347,SUM(S$377:S378)),0)</f>
        <v>0</v>
      </c>
      <c r="T379" s="78">
        <f>IF(T$377&gt;0,-MIN(T347,SUM(T$377:T378)),0)</f>
        <v>0</v>
      </c>
      <c r="U379" s="78">
        <f>IF(U$377&gt;0,-MIN(U347,SUM(U$377:U378)),0)</f>
        <v>0</v>
      </c>
      <c r="V379" s="78">
        <f>IF(V$377&gt;0,-MIN(V347,SUM(V$377:V378)),0)</f>
        <v>0</v>
      </c>
      <c r="W379" s="78">
        <f>IF(W$377&gt;0,-MIN(W347,SUM(W$377:W378)),0)</f>
        <v>0</v>
      </c>
      <c r="X379" s="78">
        <f>IF(X$377&gt;0,-MIN(X347,SUM(X$377:X378)),0)</f>
        <v>0</v>
      </c>
      <c r="Y379" s="78">
        <f>IF(Y$377&gt;0,-MIN(Y347,SUM(Y$377:Y378)),0)</f>
        <v>0</v>
      </c>
      <c r="Z379" s="78">
        <f>IF(Z$377&gt;0,-MIN(Z347,SUM(Z$377:Z378)),0)</f>
        <v>0</v>
      </c>
      <c r="AA379" s="78">
        <f>IF(AA$377&gt;0,-MIN(AA347,SUM(AA$377:AA378)),0)</f>
        <v>0</v>
      </c>
      <c r="AB379" s="78">
        <f>IF(AB$377&gt;0,-MIN(AB347,SUM(AB$377:AB378)),0)</f>
        <v>0</v>
      </c>
      <c r="AC379" s="78">
        <f>IF(AC$377&gt;0,-MIN(AC347,SUM(AC$377:AC378)),0)</f>
        <v>0</v>
      </c>
      <c r="AD379" s="78">
        <f>IF(AD$377&gt;0,-MIN(AD347,SUM(AD$377:AD378)),0)</f>
        <v>0</v>
      </c>
      <c r="AE379" s="78">
        <f>IF(AE$377&gt;0,-MIN(AE347,SUM(AE$377:AE378)),0)</f>
        <v>0</v>
      </c>
      <c r="AF379" s="78">
        <f>IF(AF$377&gt;0,-MIN(AF347,SUM(AF$377:AF378)),0)</f>
        <v>0</v>
      </c>
      <c r="AG379" s="78">
        <f>IF(AG$377&gt;0,-MIN(AG347,SUM(AG$377:AG378)),0)</f>
        <v>0</v>
      </c>
      <c r="AH379" s="78">
        <f>IF(AH$377&gt;0,-MIN(AH347,SUM(AH$377:AH378)),0)</f>
        <v>0</v>
      </c>
      <c r="AI379" s="78">
        <f>IF(AI$377&gt;0,-MIN(AI347,SUM(AI$377:AI378)),0)</f>
        <v>0</v>
      </c>
      <c r="AJ379" s="78">
        <f>IF(AJ$377&gt;0,-MIN(AJ347,SUM(AJ$377:AJ378)),0)</f>
        <v>0</v>
      </c>
      <c r="AK379" s="78">
        <f>IF(AK$377&gt;0,-MIN(AK347,SUM(AK$377:AK378)),0)</f>
        <v>0</v>
      </c>
      <c r="AL379" s="78">
        <f>IF(AL$377&gt;0,-MIN(AL347,SUM(AL$377:AL378)),0)</f>
        <v>0</v>
      </c>
      <c r="AM379" s="78">
        <f>IF(AM$377&gt;0,-MIN(AM347,SUM(AM$377:AM378)),0)</f>
        <v>0</v>
      </c>
      <c r="AN379" s="78">
        <f>IF(AN$377&gt;0,-MIN(AN347,SUM(AN$377:AN378)),0)</f>
        <v>0</v>
      </c>
      <c r="AO379" s="78">
        <f>IF(AO$377&gt;0,-MIN(AO347,SUM(AO$377:AO378)),0)</f>
        <v>0</v>
      </c>
      <c r="AP379" s="78">
        <f>IF(AP$377&gt;0,-MIN(AP347,SUM(AP$377:AP378)),0)</f>
        <v>0</v>
      </c>
      <c r="AQ379" s="78">
        <f>IF(AQ$377&gt;0,-MIN(AQ347,SUM(AQ$377:AQ378)),0)</f>
        <v>0</v>
      </c>
      <c r="AR379" s="78">
        <f>IF(AR$377&gt;0,-MIN(AR347,SUM(AR$377:AR378)),0)</f>
        <v>0</v>
      </c>
      <c r="AS379" s="78">
        <f>IF(AS$377&gt;0,-MIN(AS347,SUM(AS$377:AS378)),0)</f>
        <v>0</v>
      </c>
      <c r="AT379" s="78">
        <f>IF(AT$377&gt;0,-MIN(AT347,SUM(AT$377:AT378)),0)</f>
        <v>0</v>
      </c>
      <c r="AU379" s="78">
        <f>IF(AU$377&gt;0,-MIN(AU347,SUM(AU$377:AU378)),0)</f>
        <v>0</v>
      </c>
      <c r="AV379" s="78">
        <f>IF(AV$377&gt;0,-MIN(AV347,SUM(AV$377:AV378)),0)</f>
        <v>0</v>
      </c>
      <c r="AW379" s="78">
        <f>IF(AW$377&gt;0,-MIN(AW347,SUM(AW$377:AW378)),0)</f>
        <v>0</v>
      </c>
      <c r="AX379" s="78">
        <f>IF(AX$377&gt;0,-MIN(AX347,SUM(AX$377:AX378)),0)</f>
        <v>0</v>
      </c>
      <c r="AY379" s="78">
        <f>IF(AY$377&gt;0,-MIN(AY347,SUM(AY$377:AY378)),0)</f>
        <v>0</v>
      </c>
      <c r="AZ379" s="78">
        <f>IF(AZ$377&gt;0,-MIN(AZ347,SUM(AZ$377:AZ378)),0)</f>
        <v>0</v>
      </c>
      <c r="BA379" s="78">
        <f>IF(BA$377&gt;0,-MIN(BA347,SUM(BA$377:BA378)),0)</f>
        <v>0</v>
      </c>
      <c r="BB379" s="78">
        <f>IF(BB$377&gt;0,-MIN(BB347,SUM(BB$377:BB378)),0)</f>
        <v>0</v>
      </c>
      <c r="BC379" s="78">
        <f>IF(BC$377&gt;0,-MIN(BC347,SUM(BC$377:BC378)),0)</f>
        <v>0</v>
      </c>
      <c r="BD379" s="78">
        <f>IF(BD$377&gt;0,-MIN(BD347,SUM(BD$377:BD378)),0)</f>
        <v>0</v>
      </c>
      <c r="BE379" s="78">
        <f>IF(BE$377&gt;0,-MIN(BE347,SUM(BE$377:BE378)),0)</f>
        <v>0</v>
      </c>
      <c r="BF379" s="78">
        <f>IF(BF$377&gt;0,-MIN(BF347,SUM(BF$377:BF378)),0)</f>
        <v>0</v>
      </c>
      <c r="BG379" s="78">
        <f>IF(BG$377&gt;0,-MIN(BG347,SUM(BG$377:BG378)),0)</f>
        <v>0</v>
      </c>
      <c r="BH379" s="78">
        <f>IF(BH$377&gt;0,-MIN(BH347,SUM(BH$377:BH378)),0)</f>
        <v>0</v>
      </c>
      <c r="BI379" s="78">
        <f>IF(BI$377&gt;0,-MIN(BI347,SUM(BI$377:BI378)),0)</f>
        <v>0</v>
      </c>
      <c r="BJ379" s="78">
        <f>IF(BJ$377&gt;0,-MIN(BJ347,SUM(BJ$377:BJ378)),0)</f>
        <v>0</v>
      </c>
      <c r="BK379" s="78">
        <f>IF(BK$377&gt;0,-MIN(BK347,SUM(BK$377:BK378)),0)</f>
        <v>0</v>
      </c>
      <c r="BL379" s="78">
        <f>IF(BL$377&gt;0,-MIN(BL347,SUM(BL$377:BL378)),0)</f>
        <v>0</v>
      </c>
      <c r="BM379" s="78">
        <f>IF(BM$377&gt;0,-MIN(BM347,SUM(BM$377:BM378)),0)</f>
        <v>0</v>
      </c>
      <c r="BN379" s="78">
        <f>IF(BN$377&gt;0,-MIN(BN347,SUM(BN$377:BN378)),0)</f>
        <v>0</v>
      </c>
      <c r="BO379" s="78">
        <f>IF(BO$377&gt;0,-MIN(BO347,SUM(BO$377:BO378)),0)</f>
        <v>0</v>
      </c>
      <c r="BP379" s="78">
        <f>IF(BP$377&gt;0,-MIN(BP347,SUM(BP$377:BP378)),0)</f>
        <v>0</v>
      </c>
      <c r="BQ379" s="78">
        <f>IF(BQ$377&gt;0,-MIN(BQ347,SUM(BQ$377:BQ378)),0)</f>
        <v>0</v>
      </c>
      <c r="BR379" s="78">
        <f>IF(BR$377&gt;0,-MIN(BR347,SUM(BR$377:BR378)),0)</f>
        <v>0</v>
      </c>
      <c r="BS379" s="78">
        <f>IF(BS$377&gt;0,-MIN(BS347,SUM(BS$377:BS378)),0)</f>
        <v>0</v>
      </c>
      <c r="BT379" s="78">
        <f>IF(BT$377&gt;0,-MIN(BT347,SUM(BT$377:BT378)),0)</f>
        <v>0</v>
      </c>
      <c r="BU379" s="78">
        <f>IF(BU$377&gt;0,-MIN(BU347,SUM(BU$377:BU378)),0)</f>
        <v>0</v>
      </c>
      <c r="BV379" s="78">
        <f>IF(BV$377&gt;0,-MIN(BV347,SUM(BV$377:BV378)),0)</f>
        <v>0</v>
      </c>
      <c r="BW379" s="78">
        <f>IF(BW$377&gt;0,-MIN(BW347,SUM(BW$377:BW378)),0)</f>
        <v>0</v>
      </c>
      <c r="BX379" s="78">
        <f>IF(BX$377&gt;0,-MIN(BX347,SUM(BX$377:BX378)),0)</f>
        <v>0</v>
      </c>
      <c r="BY379" s="78">
        <f>IF(BY$377&gt;0,-MIN(BY347,SUM(BY$377:BY378)),0)</f>
        <v>0</v>
      </c>
      <c r="BZ379" s="78">
        <f>IF(BZ$377&gt;0,-MIN(BZ347,SUM(BZ$377:BZ378)),0)</f>
        <v>0</v>
      </c>
      <c r="CA379" s="78">
        <f>IF(CA$377&gt;0,-MIN(CA347,SUM(CA$377:CA378)),0)</f>
        <v>0</v>
      </c>
      <c r="CB379" s="78">
        <f>IF(CB$377&gt;0,-MIN(CB347,SUM(CB$377:CB378)),0)</f>
        <v>0</v>
      </c>
      <c r="CC379" s="78">
        <f>IF(CC$377&gt;0,-MIN(CC347,SUM(CC$377:CC378)),0)</f>
        <v>0</v>
      </c>
      <c r="CD379" s="78">
        <f>IF(CD$377&gt;0,-MIN(CD347,SUM(CD$377:CD378)),0)</f>
        <v>0</v>
      </c>
      <c r="CE379" s="78">
        <f>IF(CE$377&gt;0,-MIN(CE347,SUM(CE$377:CE378)),0)</f>
        <v>0</v>
      </c>
      <c r="CF379" s="78">
        <f>IF(CF$377&gt;0,-MIN(CF347,SUM(CF$377:CF378)),0)</f>
        <v>0</v>
      </c>
      <c r="CG379" s="78">
        <f>IF(CG$377&gt;0,-MIN(CG347,SUM(CG$377:CG378)),0)</f>
        <v>0</v>
      </c>
      <c r="CH379" s="78">
        <f>IF(CH$377&gt;0,-MIN(CH347,SUM(CH$377:CH378)),0)</f>
        <v>0</v>
      </c>
      <c r="CI379" s="78">
        <f>IF(CI$377&gt;0,-MIN(CI347,SUM(CI$377:CI378)),0)</f>
        <v>0</v>
      </c>
      <c r="CJ379" s="78">
        <f>IF(CJ$377&gt;0,-MIN(CJ347,SUM(CJ$377:CJ378)),0)</f>
        <v>0</v>
      </c>
      <c r="CK379" s="78">
        <f>IF(CK$377&gt;0,-MIN(CK347,SUM(CK$377:CK378)),0)</f>
        <v>0</v>
      </c>
      <c r="CL379" s="78">
        <f>IF(CL$377&gt;0,-MIN(CL347,SUM(CL$377:CL378)),0)</f>
        <v>0</v>
      </c>
      <c r="CM379" s="78">
        <f>IF(CM$377&gt;0,-MIN(CM347,SUM(CM$377:CM378)),0)</f>
        <v>0</v>
      </c>
      <c r="CN379" s="78">
        <f>IF(CN$377&gt;0,-MIN(CN347,SUM(CN$377:CN378)),0)</f>
        <v>0</v>
      </c>
      <c r="CO379" s="78">
        <f>IF(CO$377&gt;0,-MIN(CO347,SUM(CO$377:CO378)),0)</f>
        <v>0</v>
      </c>
      <c r="CP379" s="78">
        <f>IF(CP$377&gt;0,-MIN(CP347,SUM(CP$377:CP378)),0)</f>
        <v>0</v>
      </c>
      <c r="CQ379" s="78">
        <f>IF(CQ$377&gt;0,-MIN(CQ347,SUM(CQ$377:CQ378)),0)</f>
        <v>0</v>
      </c>
      <c r="CR379" s="78">
        <f>IF(CR$377&gt;0,-MIN(CR347,SUM(CR$377:CR378)),0)</f>
        <v>0</v>
      </c>
      <c r="CS379" s="78">
        <f>IF(CS$377&gt;0,-MIN(CS347,SUM(CS$377:CS378)),0)</f>
        <v>0</v>
      </c>
      <c r="CT379" s="78">
        <f>IF(CT$377&gt;0,-MIN(CT347,SUM(CT$377:CT378)),0)</f>
        <v>0</v>
      </c>
      <c r="CU379" s="78">
        <f>IF(CU$377&gt;0,-MIN(CU347,SUM(CU$377:CU378)),0)</f>
        <v>0</v>
      </c>
      <c r="CV379" s="78">
        <f>IF(CV$377&gt;0,-MIN(CV347,SUM(CV$377:CV378)),0)</f>
        <v>0</v>
      </c>
      <c r="CW379" s="78">
        <f>IF(CW$377&gt;0,-MIN(CW347,SUM(CW$377:CW378)),0)</f>
        <v>0</v>
      </c>
      <c r="CX379" s="78">
        <f>IF(CX$377&gt;0,-MIN(CX347,SUM(CX$377:CX378)),0)</f>
        <v>0</v>
      </c>
      <c r="CY379" s="78">
        <f>IF(CY$377&gt;0,-MIN(CY347,SUM(CY$377:CY378)),0)</f>
        <v>0</v>
      </c>
      <c r="CZ379" s="78">
        <f>IF(CZ$377&gt;0,-MIN(CZ347,SUM(CZ$377:CZ378)),0)</f>
        <v>0</v>
      </c>
      <c r="DA379" s="78">
        <f>IF(DA$377&gt;0,-MIN(DA347,SUM(DA$377:DA378)),0)</f>
        <v>0</v>
      </c>
      <c r="DB379" s="78">
        <f>IF(DB$377&gt;0,-MIN(DB347,SUM(DB$377:DB378)),0)</f>
        <v>0</v>
      </c>
      <c r="DC379" s="78">
        <f>IF(DC$377&gt;0,-MIN(DC347,SUM(DC$377:DC378)),0)</f>
        <v>0</v>
      </c>
      <c r="DD379" s="78">
        <f>IF(DD$377&gt;0,-MIN(DD347,SUM(DD$377:DD378)),0)</f>
        <v>0</v>
      </c>
      <c r="DE379" s="78">
        <f>IF(DE$377&gt;0,-MIN(DE347,SUM(DE$377:DE378)),0)</f>
        <v>0</v>
      </c>
      <c r="DF379" s="78">
        <f>IF(DF$377&gt;0,-MIN(DF347,SUM(DF$377:DF378)),0)</f>
        <v>0</v>
      </c>
      <c r="DG379" s="78">
        <f>IF(DG$377&gt;0,-MIN(DG347,SUM(DG$377:DG378)),0)</f>
        <v>0</v>
      </c>
      <c r="DH379" s="78">
        <f>IF(DH$377&gt;0,-MIN(DH347,SUM(DH$377:DH378)),0)</f>
        <v>0</v>
      </c>
      <c r="DI379" s="78">
        <f>IF(DI$377&gt;0,-MIN(DI347,SUM(DI$377:DI378)),0)</f>
        <v>0</v>
      </c>
      <c r="DJ379" s="78">
        <f>IF(DJ$377&gt;0,-MIN(DJ347,SUM(DJ$377:DJ378)),0)</f>
        <v>0</v>
      </c>
      <c r="DK379" s="78">
        <f>IF(DK$377&gt;0,-MIN(DK347,SUM(DK$377:DK378)),0)</f>
        <v>0</v>
      </c>
      <c r="DL379" s="78">
        <f>IF(DL$377&gt;0,-MIN(DL347,SUM(DL$377:DL378)),0)</f>
        <v>0</v>
      </c>
      <c r="DM379" s="78">
        <f>IF(DM$377&gt;0,-MIN(DM347,SUM(DM$377:DM378)),0)</f>
        <v>0</v>
      </c>
      <c r="DN379" s="78">
        <f>IF(DN$377&gt;0,-MIN(DN347,SUM(DN$377:DN378)),0)</f>
        <v>0</v>
      </c>
      <c r="DO379" s="78">
        <f>IF(DO$377&gt;0,-MIN(DO347,SUM(DO$377:DO378)),0)</f>
        <v>0</v>
      </c>
      <c r="DP379" s="78">
        <f>IF(DP$377&gt;0,-MIN(DP347,SUM(DP$377:DP378)),0)</f>
        <v>0</v>
      </c>
      <c r="DQ379" s="78">
        <f>IF(DQ$377&gt;0,-MIN(DQ347,SUM(DQ$377:DQ378)),0)</f>
        <v>0</v>
      </c>
      <c r="DR379" s="78">
        <f>IF(DR$377&gt;0,-MIN(DR347,SUM(DR$377:DR378)),0)</f>
        <v>0</v>
      </c>
      <c r="DS379" s="78">
        <f>IF(DS$377&gt;0,-MIN(DS347,SUM(DS$377:DS378)),0)</f>
        <v>0</v>
      </c>
      <c r="DT379" s="78">
        <f>IF(DT$377&gt;0,-MIN(DT347,SUM(DT$377:DT378)),0)</f>
        <v>0</v>
      </c>
      <c r="DU379" s="78">
        <f>IF(DU$377&gt;0,-MIN(DU347,SUM(DU$377:DU378)),0)</f>
        <v>0</v>
      </c>
      <c r="DV379" s="78">
        <f>IF(DV$377&gt;0,-MIN(DV347,SUM(DV$377:DV378)),0)</f>
        <v>0</v>
      </c>
      <c r="DW379" s="78">
        <f>IF(DW$377&gt;0,-MIN(DW347,SUM(DW$377:DW378)),0)</f>
        <v>0</v>
      </c>
      <c r="DX379" s="78">
        <f>IF(DX$377&gt;0,-MIN(DX347,SUM(DX$377:DX378)),0)</f>
        <v>0</v>
      </c>
      <c r="DY379" s="78">
        <f>IF(DY$377&gt;0,-MIN(DY347,SUM(DY$377:DY378)),0)</f>
        <v>0</v>
      </c>
      <c r="DZ379" s="78">
        <f>IF(DZ$377&gt;0,-MIN(DZ347,SUM(DZ$377:DZ378)),0)</f>
        <v>0</v>
      </c>
      <c r="EA379" s="78">
        <f>IF(EA$377&gt;0,-MIN(EA347,SUM(EA$377:EA378)),0)</f>
        <v>0</v>
      </c>
      <c r="EB379" s="78">
        <f>IF(EB$377&gt;0,-MIN(EB347,SUM(EB$377:EB378)),0)</f>
        <v>0</v>
      </c>
      <c r="EC379" s="78">
        <f>IF(EC$377&gt;0,-MIN(EC347,SUM(EC$377:EC378)),0)</f>
        <v>0</v>
      </c>
      <c r="ED379" s="78">
        <f>IF(ED$377&gt;0,-MIN(ED347,SUM(ED$377:ED378)),0)</f>
        <v>0</v>
      </c>
      <c r="EE379" s="78">
        <f>IF(EE$377&gt;0,-MIN(EE347,SUM(EE$377:EE378)),0)</f>
        <v>0</v>
      </c>
      <c r="EF379" s="78">
        <f>IF(EF$377&gt;0,-MIN(EF347,SUM(EF$377:EF378)),0)</f>
        <v>0</v>
      </c>
      <c r="EG379" s="78">
        <f>IF(EG$377&gt;0,-MIN(EG347,SUM(EG$377:EG378)),0)</f>
        <v>0</v>
      </c>
      <c r="EH379" s="78">
        <f>IF(EH$377&gt;0,-MIN(EH347,SUM(EH$377:EH378)),0)</f>
        <v>0</v>
      </c>
      <c r="EI379" s="78">
        <f>IF(EI$377&gt;0,-MIN(EI347,SUM(EI$377:EI378)),0)</f>
        <v>0</v>
      </c>
    </row>
    <row r="380" spans="2:139">
      <c r="B380" s="880" t="s">
        <v>651</v>
      </c>
      <c r="C380" s="211"/>
      <c r="D380" s="78">
        <f>IF(IrrCalculationType=170,IF(D$377&gt;0,-MIN(D351,SUM(D$377:D379)),0),SUMIF($S$6:$EI$6,D$5,$S380:$EI380))</f>
        <v>0</v>
      </c>
      <c r="E380" s="78">
        <f>IF(IrrCalculationType=170,IF(E$377&gt;0,-MIN(E351,SUM(E$377:E379)),0),SUMIF($S$6:$EI$6,E$5,$S380:$EI380))</f>
        <v>0</v>
      </c>
      <c r="F380" s="78">
        <f>IF(IrrCalculationType=170,IF(F$377&gt;0,-MIN(F351,SUM(F$377:F379)),0),SUMIF($S$6:$EI$6,F$5,$S380:$EI380))</f>
        <v>0</v>
      </c>
      <c r="G380" s="78">
        <f>IF(IrrCalculationType=170,IF(G$377&gt;0,-MIN(G351,SUM(G$377:G379)),0),SUMIF($S$6:$EI$6,G$5,$S380:$EI380))</f>
        <v>0</v>
      </c>
      <c r="H380" s="78">
        <f>IF(IrrCalculationType=170,IF(H$377&gt;0,-MIN(H351,SUM(H$377:H379)),0),SUMIF($S$6:$EI$6,H$5,$S380:$EI380))</f>
        <v>0</v>
      </c>
      <c r="I380" s="78">
        <f>IF(IrrCalculationType=170,IF(I$377&gt;0,-MIN(I351,SUM(I$377:I379)),0),SUMIF($S$6:$EI$6,I$5,$S380:$EI380))</f>
        <v>0</v>
      </c>
      <c r="J380" s="78">
        <f>IF(IrrCalculationType=170,IF(J$377&gt;0,-MIN(J351,SUM(J$377:J379)),0),SUMIF($S$6:$EI$6,J$5,$S380:$EI380))</f>
        <v>0</v>
      </c>
      <c r="K380" s="78">
        <f>IF(IrrCalculationType=170,IF(K$377&gt;0,-MIN(K351,SUM(K$377:K379)),0),SUMIF($S$6:$EI$6,K$5,$S380:$EI380))</f>
        <v>0</v>
      </c>
      <c r="L380" s="78">
        <f>IF(IrrCalculationType=170,IF(L$377&gt;0,-MIN(L351,SUM(L$377:L379)),0),SUMIF($S$6:$EI$6,L$5,$S380:$EI380))</f>
        <v>0</v>
      </c>
      <c r="M380" s="78">
        <f>IF(IrrCalculationType=170,IF(M$377&gt;0,-MIN(M351,SUM(M$377:M379)),0),SUMIF($S$6:$EI$6,M$5,$S380:$EI380))</f>
        <v>0</v>
      </c>
      <c r="N380" s="78">
        <f>IF(IrrCalculationType=170,IF(N$377&gt;0,-MIN(N351,SUM(N$377:N379)),0),SUMIF($S$6:$EI$6,N$5,$S380:$EI380))</f>
        <v>0</v>
      </c>
      <c r="O380" s="145">
        <f t="shared" si="824"/>
        <v>0</v>
      </c>
      <c r="R380" s="201"/>
      <c r="S380" s="78">
        <f>IF(S$377&gt;0,-MIN(S351,SUM(S$377:S379)),0)</f>
        <v>0</v>
      </c>
      <c r="T380" s="78">
        <f>IF(T$377&gt;0,-MIN(T351,SUM(T$377:T379)),0)</f>
        <v>0</v>
      </c>
      <c r="U380" s="78">
        <f>IF(U$377&gt;0,-MIN(U351,SUM(U$377:U379)),0)</f>
        <v>0</v>
      </c>
      <c r="V380" s="78">
        <f>IF(V$377&gt;0,-MIN(V351,SUM(V$377:V379)),0)</f>
        <v>0</v>
      </c>
      <c r="W380" s="78">
        <f>IF(W$377&gt;0,-MIN(W351,SUM(W$377:W379)),0)</f>
        <v>0</v>
      </c>
      <c r="X380" s="78">
        <f>IF(X$377&gt;0,-MIN(X351,SUM(X$377:X379)),0)</f>
        <v>0</v>
      </c>
      <c r="Y380" s="78">
        <f>IF(Y$377&gt;0,-MIN(Y351,SUM(Y$377:Y379)),0)</f>
        <v>0</v>
      </c>
      <c r="Z380" s="78">
        <f>IF(Z$377&gt;0,-MIN(Z351,SUM(Z$377:Z379)),0)</f>
        <v>0</v>
      </c>
      <c r="AA380" s="78">
        <f>IF(AA$377&gt;0,-MIN(AA351,SUM(AA$377:AA379)),0)</f>
        <v>0</v>
      </c>
      <c r="AB380" s="78">
        <f>IF(AB$377&gt;0,-MIN(AB351,SUM(AB$377:AB379)),0)</f>
        <v>0</v>
      </c>
      <c r="AC380" s="78">
        <f>IF(AC$377&gt;0,-MIN(AC351,SUM(AC$377:AC379)),0)</f>
        <v>0</v>
      </c>
      <c r="AD380" s="78">
        <f>IF(AD$377&gt;0,-MIN(AD351,SUM(AD$377:AD379)),0)</f>
        <v>0</v>
      </c>
      <c r="AE380" s="78">
        <f>IF(AE$377&gt;0,-MIN(AE351,SUM(AE$377:AE379)),0)</f>
        <v>0</v>
      </c>
      <c r="AF380" s="78">
        <f>IF(AF$377&gt;0,-MIN(AF351,SUM(AF$377:AF379)),0)</f>
        <v>0</v>
      </c>
      <c r="AG380" s="78">
        <f>IF(AG$377&gt;0,-MIN(AG351,SUM(AG$377:AG379)),0)</f>
        <v>0</v>
      </c>
      <c r="AH380" s="78">
        <f>IF(AH$377&gt;0,-MIN(AH351,SUM(AH$377:AH379)),0)</f>
        <v>0</v>
      </c>
      <c r="AI380" s="78">
        <f>IF(AI$377&gt;0,-MIN(AI351,SUM(AI$377:AI379)),0)</f>
        <v>0</v>
      </c>
      <c r="AJ380" s="78">
        <f>IF(AJ$377&gt;0,-MIN(AJ351,SUM(AJ$377:AJ379)),0)</f>
        <v>0</v>
      </c>
      <c r="AK380" s="78">
        <f>IF(AK$377&gt;0,-MIN(AK351,SUM(AK$377:AK379)),0)</f>
        <v>0</v>
      </c>
      <c r="AL380" s="78">
        <f>IF(AL$377&gt;0,-MIN(AL351,SUM(AL$377:AL379)),0)</f>
        <v>0</v>
      </c>
      <c r="AM380" s="78">
        <f>IF(AM$377&gt;0,-MIN(AM351,SUM(AM$377:AM379)),0)</f>
        <v>0</v>
      </c>
      <c r="AN380" s="78">
        <f>IF(AN$377&gt;0,-MIN(AN351,SUM(AN$377:AN379)),0)</f>
        <v>0</v>
      </c>
      <c r="AO380" s="78">
        <f>IF(AO$377&gt;0,-MIN(AO351,SUM(AO$377:AO379)),0)</f>
        <v>0</v>
      </c>
      <c r="AP380" s="78">
        <f>IF(AP$377&gt;0,-MIN(AP351,SUM(AP$377:AP379)),0)</f>
        <v>0</v>
      </c>
      <c r="AQ380" s="78">
        <f>IF(AQ$377&gt;0,-MIN(AQ351,SUM(AQ$377:AQ379)),0)</f>
        <v>0</v>
      </c>
      <c r="AR380" s="78">
        <f>IF(AR$377&gt;0,-MIN(AR351,SUM(AR$377:AR379)),0)</f>
        <v>0</v>
      </c>
      <c r="AS380" s="78">
        <f>IF(AS$377&gt;0,-MIN(AS351,SUM(AS$377:AS379)),0)</f>
        <v>0</v>
      </c>
      <c r="AT380" s="78">
        <f>IF(AT$377&gt;0,-MIN(AT351,SUM(AT$377:AT379)),0)</f>
        <v>0</v>
      </c>
      <c r="AU380" s="78">
        <f>IF(AU$377&gt;0,-MIN(AU351,SUM(AU$377:AU379)),0)</f>
        <v>0</v>
      </c>
      <c r="AV380" s="78">
        <f>IF(AV$377&gt;0,-MIN(AV351,SUM(AV$377:AV379)),0)</f>
        <v>0</v>
      </c>
      <c r="AW380" s="78">
        <f>IF(AW$377&gt;0,-MIN(AW351,SUM(AW$377:AW379)),0)</f>
        <v>0</v>
      </c>
      <c r="AX380" s="78">
        <f>IF(AX$377&gt;0,-MIN(AX351,SUM(AX$377:AX379)),0)</f>
        <v>0</v>
      </c>
      <c r="AY380" s="78">
        <f>IF(AY$377&gt;0,-MIN(AY351,SUM(AY$377:AY379)),0)</f>
        <v>0</v>
      </c>
      <c r="AZ380" s="78">
        <f>IF(AZ$377&gt;0,-MIN(AZ351,SUM(AZ$377:AZ379)),0)</f>
        <v>0</v>
      </c>
      <c r="BA380" s="78">
        <f>IF(BA$377&gt;0,-MIN(BA351,SUM(BA$377:BA379)),0)</f>
        <v>0</v>
      </c>
      <c r="BB380" s="78">
        <f>IF(BB$377&gt;0,-MIN(BB351,SUM(BB$377:BB379)),0)</f>
        <v>0</v>
      </c>
      <c r="BC380" s="78">
        <f>IF(BC$377&gt;0,-MIN(BC351,SUM(BC$377:BC379)),0)</f>
        <v>0</v>
      </c>
      <c r="BD380" s="78">
        <f>IF(BD$377&gt;0,-MIN(BD351,SUM(BD$377:BD379)),0)</f>
        <v>0</v>
      </c>
      <c r="BE380" s="78">
        <f>IF(BE$377&gt;0,-MIN(BE351,SUM(BE$377:BE379)),0)</f>
        <v>0</v>
      </c>
      <c r="BF380" s="78">
        <f>IF(BF$377&gt;0,-MIN(BF351,SUM(BF$377:BF379)),0)</f>
        <v>0</v>
      </c>
      <c r="BG380" s="78">
        <f>IF(BG$377&gt;0,-MIN(BG351,SUM(BG$377:BG379)),0)</f>
        <v>0</v>
      </c>
      <c r="BH380" s="78">
        <f>IF(BH$377&gt;0,-MIN(BH351,SUM(BH$377:BH379)),0)</f>
        <v>0</v>
      </c>
      <c r="BI380" s="78">
        <f>IF(BI$377&gt;0,-MIN(BI351,SUM(BI$377:BI379)),0)</f>
        <v>0</v>
      </c>
      <c r="BJ380" s="78">
        <f>IF(BJ$377&gt;0,-MIN(BJ351,SUM(BJ$377:BJ379)),0)</f>
        <v>0</v>
      </c>
      <c r="BK380" s="78">
        <f>IF(BK$377&gt;0,-MIN(BK351,SUM(BK$377:BK379)),0)</f>
        <v>0</v>
      </c>
      <c r="BL380" s="78">
        <f>IF(BL$377&gt;0,-MIN(BL351,SUM(BL$377:BL379)),0)</f>
        <v>0</v>
      </c>
      <c r="BM380" s="78">
        <f>IF(BM$377&gt;0,-MIN(BM351,SUM(BM$377:BM379)),0)</f>
        <v>0</v>
      </c>
      <c r="BN380" s="78">
        <f>IF(BN$377&gt;0,-MIN(BN351,SUM(BN$377:BN379)),0)</f>
        <v>0</v>
      </c>
      <c r="BO380" s="78">
        <f>IF(BO$377&gt;0,-MIN(BO351,SUM(BO$377:BO379)),0)</f>
        <v>0</v>
      </c>
      <c r="BP380" s="78">
        <f>IF(BP$377&gt;0,-MIN(BP351,SUM(BP$377:BP379)),0)</f>
        <v>0</v>
      </c>
      <c r="BQ380" s="78">
        <f>IF(BQ$377&gt;0,-MIN(BQ351,SUM(BQ$377:BQ379)),0)</f>
        <v>0</v>
      </c>
      <c r="BR380" s="78">
        <f>IF(BR$377&gt;0,-MIN(BR351,SUM(BR$377:BR379)),0)</f>
        <v>0</v>
      </c>
      <c r="BS380" s="78">
        <f>IF(BS$377&gt;0,-MIN(BS351,SUM(BS$377:BS379)),0)</f>
        <v>0</v>
      </c>
      <c r="BT380" s="78">
        <f>IF(BT$377&gt;0,-MIN(BT351,SUM(BT$377:BT379)),0)</f>
        <v>0</v>
      </c>
      <c r="BU380" s="78">
        <f>IF(BU$377&gt;0,-MIN(BU351,SUM(BU$377:BU379)),0)</f>
        <v>0</v>
      </c>
      <c r="BV380" s="78">
        <f>IF(BV$377&gt;0,-MIN(BV351,SUM(BV$377:BV379)),0)</f>
        <v>0</v>
      </c>
      <c r="BW380" s="78">
        <f>IF(BW$377&gt;0,-MIN(BW351,SUM(BW$377:BW379)),0)</f>
        <v>0</v>
      </c>
      <c r="BX380" s="78">
        <f>IF(BX$377&gt;0,-MIN(BX351,SUM(BX$377:BX379)),0)</f>
        <v>0</v>
      </c>
      <c r="BY380" s="78">
        <f>IF(BY$377&gt;0,-MIN(BY351,SUM(BY$377:BY379)),0)</f>
        <v>0</v>
      </c>
      <c r="BZ380" s="78">
        <f>IF(BZ$377&gt;0,-MIN(BZ351,SUM(BZ$377:BZ379)),0)</f>
        <v>0</v>
      </c>
      <c r="CA380" s="78">
        <f>IF(CA$377&gt;0,-MIN(CA351,SUM(CA$377:CA379)),0)</f>
        <v>0</v>
      </c>
      <c r="CB380" s="78">
        <f>IF(CB$377&gt;0,-MIN(CB351,SUM(CB$377:CB379)),0)</f>
        <v>0</v>
      </c>
      <c r="CC380" s="78">
        <f>IF(CC$377&gt;0,-MIN(CC351,SUM(CC$377:CC379)),0)</f>
        <v>0</v>
      </c>
      <c r="CD380" s="78">
        <f>IF(CD$377&gt;0,-MIN(CD351,SUM(CD$377:CD379)),0)</f>
        <v>0</v>
      </c>
      <c r="CE380" s="78">
        <f>IF(CE$377&gt;0,-MIN(CE351,SUM(CE$377:CE379)),0)</f>
        <v>0</v>
      </c>
      <c r="CF380" s="78">
        <f>IF(CF$377&gt;0,-MIN(CF351,SUM(CF$377:CF379)),0)</f>
        <v>0</v>
      </c>
      <c r="CG380" s="78">
        <f>IF(CG$377&gt;0,-MIN(CG351,SUM(CG$377:CG379)),0)</f>
        <v>0</v>
      </c>
      <c r="CH380" s="78">
        <f>IF(CH$377&gt;0,-MIN(CH351,SUM(CH$377:CH379)),0)</f>
        <v>0</v>
      </c>
      <c r="CI380" s="78">
        <f>IF(CI$377&gt;0,-MIN(CI351,SUM(CI$377:CI379)),0)</f>
        <v>0</v>
      </c>
      <c r="CJ380" s="78">
        <f>IF(CJ$377&gt;0,-MIN(CJ351,SUM(CJ$377:CJ379)),0)</f>
        <v>0</v>
      </c>
      <c r="CK380" s="78">
        <f>IF(CK$377&gt;0,-MIN(CK351,SUM(CK$377:CK379)),0)</f>
        <v>0</v>
      </c>
      <c r="CL380" s="78">
        <f>IF(CL$377&gt;0,-MIN(CL351,SUM(CL$377:CL379)),0)</f>
        <v>0</v>
      </c>
      <c r="CM380" s="78">
        <f>IF(CM$377&gt;0,-MIN(CM351,SUM(CM$377:CM379)),0)</f>
        <v>0</v>
      </c>
      <c r="CN380" s="78">
        <f>IF(CN$377&gt;0,-MIN(CN351,SUM(CN$377:CN379)),0)</f>
        <v>0</v>
      </c>
      <c r="CO380" s="78">
        <f>IF(CO$377&gt;0,-MIN(CO351,SUM(CO$377:CO379)),0)</f>
        <v>0</v>
      </c>
      <c r="CP380" s="78">
        <f>IF(CP$377&gt;0,-MIN(CP351,SUM(CP$377:CP379)),0)</f>
        <v>0</v>
      </c>
      <c r="CQ380" s="78">
        <f>IF(CQ$377&gt;0,-MIN(CQ351,SUM(CQ$377:CQ379)),0)</f>
        <v>0</v>
      </c>
      <c r="CR380" s="78">
        <f>IF(CR$377&gt;0,-MIN(CR351,SUM(CR$377:CR379)),0)</f>
        <v>0</v>
      </c>
      <c r="CS380" s="78">
        <f>IF(CS$377&gt;0,-MIN(CS351,SUM(CS$377:CS379)),0)</f>
        <v>0</v>
      </c>
      <c r="CT380" s="78">
        <f>IF(CT$377&gt;0,-MIN(CT351,SUM(CT$377:CT379)),0)</f>
        <v>0</v>
      </c>
      <c r="CU380" s="78">
        <f>IF(CU$377&gt;0,-MIN(CU351,SUM(CU$377:CU379)),0)</f>
        <v>0</v>
      </c>
      <c r="CV380" s="78">
        <f>IF(CV$377&gt;0,-MIN(CV351,SUM(CV$377:CV379)),0)</f>
        <v>0</v>
      </c>
      <c r="CW380" s="78">
        <f>IF(CW$377&gt;0,-MIN(CW351,SUM(CW$377:CW379)),0)</f>
        <v>0</v>
      </c>
      <c r="CX380" s="78">
        <f>IF(CX$377&gt;0,-MIN(CX351,SUM(CX$377:CX379)),0)</f>
        <v>0</v>
      </c>
      <c r="CY380" s="78">
        <f>IF(CY$377&gt;0,-MIN(CY351,SUM(CY$377:CY379)),0)</f>
        <v>0</v>
      </c>
      <c r="CZ380" s="78">
        <f>IF(CZ$377&gt;0,-MIN(CZ351,SUM(CZ$377:CZ379)),0)</f>
        <v>0</v>
      </c>
      <c r="DA380" s="78">
        <f>IF(DA$377&gt;0,-MIN(DA351,SUM(DA$377:DA379)),0)</f>
        <v>0</v>
      </c>
      <c r="DB380" s="78">
        <f>IF(DB$377&gt;0,-MIN(DB351,SUM(DB$377:DB379)),0)</f>
        <v>0</v>
      </c>
      <c r="DC380" s="78">
        <f>IF(DC$377&gt;0,-MIN(DC351,SUM(DC$377:DC379)),0)</f>
        <v>0</v>
      </c>
      <c r="DD380" s="78">
        <f>IF(DD$377&gt;0,-MIN(DD351,SUM(DD$377:DD379)),0)</f>
        <v>0</v>
      </c>
      <c r="DE380" s="78">
        <f>IF(DE$377&gt;0,-MIN(DE351,SUM(DE$377:DE379)),0)</f>
        <v>0</v>
      </c>
      <c r="DF380" s="78">
        <f>IF(DF$377&gt;0,-MIN(DF351,SUM(DF$377:DF379)),0)</f>
        <v>0</v>
      </c>
      <c r="DG380" s="78">
        <f>IF(DG$377&gt;0,-MIN(DG351,SUM(DG$377:DG379)),0)</f>
        <v>0</v>
      </c>
      <c r="DH380" s="78">
        <f>IF(DH$377&gt;0,-MIN(DH351,SUM(DH$377:DH379)),0)</f>
        <v>0</v>
      </c>
      <c r="DI380" s="78">
        <f>IF(DI$377&gt;0,-MIN(DI351,SUM(DI$377:DI379)),0)</f>
        <v>0</v>
      </c>
      <c r="DJ380" s="78">
        <f>IF(DJ$377&gt;0,-MIN(DJ351,SUM(DJ$377:DJ379)),0)</f>
        <v>0</v>
      </c>
      <c r="DK380" s="78">
        <f>IF(DK$377&gt;0,-MIN(DK351,SUM(DK$377:DK379)),0)</f>
        <v>0</v>
      </c>
      <c r="DL380" s="78">
        <f>IF(DL$377&gt;0,-MIN(DL351,SUM(DL$377:DL379)),0)</f>
        <v>0</v>
      </c>
      <c r="DM380" s="78">
        <f>IF(DM$377&gt;0,-MIN(DM351,SUM(DM$377:DM379)),0)</f>
        <v>0</v>
      </c>
      <c r="DN380" s="78">
        <f>IF(DN$377&gt;0,-MIN(DN351,SUM(DN$377:DN379)),0)</f>
        <v>0</v>
      </c>
      <c r="DO380" s="78">
        <f>IF(DO$377&gt;0,-MIN(DO351,SUM(DO$377:DO379)),0)</f>
        <v>0</v>
      </c>
      <c r="DP380" s="78">
        <f>IF(DP$377&gt;0,-MIN(DP351,SUM(DP$377:DP379)),0)</f>
        <v>0</v>
      </c>
      <c r="DQ380" s="78">
        <f>IF(DQ$377&gt;0,-MIN(DQ351,SUM(DQ$377:DQ379)),0)</f>
        <v>0</v>
      </c>
      <c r="DR380" s="78">
        <f>IF(DR$377&gt;0,-MIN(DR351,SUM(DR$377:DR379)),0)</f>
        <v>0</v>
      </c>
      <c r="DS380" s="78">
        <f>IF(DS$377&gt;0,-MIN(DS351,SUM(DS$377:DS379)),0)</f>
        <v>0</v>
      </c>
      <c r="DT380" s="78">
        <f>IF(DT$377&gt;0,-MIN(DT351,SUM(DT$377:DT379)),0)</f>
        <v>0</v>
      </c>
      <c r="DU380" s="78">
        <f>IF(DU$377&gt;0,-MIN(DU351,SUM(DU$377:DU379)),0)</f>
        <v>0</v>
      </c>
      <c r="DV380" s="78">
        <f>IF(DV$377&gt;0,-MIN(DV351,SUM(DV$377:DV379)),0)</f>
        <v>0</v>
      </c>
      <c r="DW380" s="78">
        <f>IF(DW$377&gt;0,-MIN(DW351,SUM(DW$377:DW379)),0)</f>
        <v>0</v>
      </c>
      <c r="DX380" s="78">
        <f>IF(DX$377&gt;0,-MIN(DX351,SUM(DX$377:DX379)),0)</f>
        <v>0</v>
      </c>
      <c r="DY380" s="78">
        <f>IF(DY$377&gt;0,-MIN(DY351,SUM(DY$377:DY379)),0)</f>
        <v>0</v>
      </c>
      <c r="DZ380" s="78">
        <f>IF(DZ$377&gt;0,-MIN(DZ351,SUM(DZ$377:DZ379)),0)</f>
        <v>0</v>
      </c>
      <c r="EA380" s="78">
        <f>IF(EA$377&gt;0,-MIN(EA351,SUM(EA$377:EA379)),0)</f>
        <v>0</v>
      </c>
      <c r="EB380" s="78">
        <f>IF(EB$377&gt;0,-MIN(EB351,SUM(EB$377:EB379)),0)</f>
        <v>0</v>
      </c>
      <c r="EC380" s="78">
        <f>IF(EC$377&gt;0,-MIN(EC351,SUM(EC$377:EC379)),0)</f>
        <v>0</v>
      </c>
      <c r="ED380" s="78">
        <f>IF(ED$377&gt;0,-MIN(ED351,SUM(ED$377:ED379)),0)</f>
        <v>0</v>
      </c>
      <c r="EE380" s="78">
        <f>IF(EE$377&gt;0,-MIN(EE351,SUM(EE$377:EE379)),0)</f>
        <v>0</v>
      </c>
      <c r="EF380" s="78">
        <f>IF(EF$377&gt;0,-MIN(EF351,SUM(EF$377:EF379)),0)</f>
        <v>0</v>
      </c>
      <c r="EG380" s="78">
        <f>IF(EG$377&gt;0,-MIN(EG351,SUM(EG$377:EG379)),0)</f>
        <v>0</v>
      </c>
      <c r="EH380" s="78">
        <f>IF(EH$377&gt;0,-MIN(EH351,SUM(EH$377:EH379)),0)</f>
        <v>0</v>
      </c>
      <c r="EI380" s="78">
        <f>IF(EI$377&gt;0,-MIN(EI351,SUM(EI$377:EI379)),0)</f>
        <v>0</v>
      </c>
    </row>
    <row r="381" spans="2:139">
      <c r="B381" s="880" t="s">
        <v>655</v>
      </c>
      <c r="C381" s="211"/>
      <c r="D381" s="78">
        <f>IF(IrrCalculationType=170,IF(D$377&gt;0,-MIN(D355,SUM(D$377:D380)),0),SUMIF($S$6:$EI$6,D$5,$S381:$EI381))</f>
        <v>0</v>
      </c>
      <c r="E381" s="78">
        <f>IF(IrrCalculationType=170,IF(E$377&gt;0,-MIN(E355,SUM(E$377:E380)),0),SUMIF($S$6:$EI$6,E$5,$S381:$EI381))</f>
        <v>0</v>
      </c>
      <c r="F381" s="78">
        <f>IF(IrrCalculationType=170,IF(F$377&gt;0,-MIN(F355,SUM(F$377:F380)),0),SUMIF($S$6:$EI$6,F$5,$S381:$EI381))</f>
        <v>0</v>
      </c>
      <c r="G381" s="78">
        <f>IF(IrrCalculationType=170,IF(G$377&gt;0,-MIN(G355,SUM(G$377:G380)),0),SUMIF($S$6:$EI$6,G$5,$S381:$EI381))</f>
        <v>0</v>
      </c>
      <c r="H381" s="78">
        <f>IF(IrrCalculationType=170,IF(H$377&gt;0,-MIN(H355,SUM(H$377:H380)),0),SUMIF($S$6:$EI$6,H$5,$S381:$EI381))</f>
        <v>0</v>
      </c>
      <c r="I381" s="78">
        <f>IF(IrrCalculationType=170,IF(I$377&gt;0,-MIN(I355,SUM(I$377:I380)),0),SUMIF($S$6:$EI$6,I$5,$S381:$EI381))</f>
        <v>0</v>
      </c>
      <c r="J381" s="78">
        <f>IF(IrrCalculationType=170,IF(J$377&gt;0,-MIN(J355,SUM(J$377:J380)),0),SUMIF($S$6:$EI$6,J$5,$S381:$EI381))</f>
        <v>0</v>
      </c>
      <c r="K381" s="78">
        <f>IF(IrrCalculationType=170,IF(K$377&gt;0,-MIN(K355,SUM(K$377:K380)),0),SUMIF($S$6:$EI$6,K$5,$S381:$EI381))</f>
        <v>0</v>
      </c>
      <c r="L381" s="78">
        <f>IF(IrrCalculationType=170,IF(L$377&gt;0,-MIN(L355,SUM(L$377:L380)),0),SUMIF($S$6:$EI$6,L$5,$S381:$EI381))</f>
        <v>0</v>
      </c>
      <c r="M381" s="78">
        <f>IF(IrrCalculationType=170,IF(M$377&gt;0,-MIN(M355,SUM(M$377:M380)),0),SUMIF($S$6:$EI$6,M$5,$S381:$EI381))</f>
        <v>0</v>
      </c>
      <c r="N381" s="78">
        <f>IF(IrrCalculationType=170,IF(N$377&gt;0,-MIN(N355,SUM(N$377:N380)),0),SUMIF($S$6:$EI$6,N$5,$S381:$EI381))</f>
        <v>0</v>
      </c>
      <c r="O381" s="145">
        <f t="shared" si="824"/>
        <v>0</v>
      </c>
      <c r="R381" s="201"/>
      <c r="S381" s="78">
        <f>IF(S$377&gt;0,-MIN(S355,SUM(S$377:S380)),0)</f>
        <v>0</v>
      </c>
      <c r="T381" s="78">
        <f>IF(T$377&gt;0,-MIN(T355,SUM(T$377:T380)),0)</f>
        <v>0</v>
      </c>
      <c r="U381" s="78">
        <f>IF(U$377&gt;0,-MIN(U355,SUM(U$377:U380)),0)</f>
        <v>0</v>
      </c>
      <c r="V381" s="78">
        <f>IF(V$377&gt;0,-MIN(V355,SUM(V$377:V380)),0)</f>
        <v>0</v>
      </c>
      <c r="W381" s="78">
        <f>IF(W$377&gt;0,-MIN(W355,SUM(W$377:W380)),0)</f>
        <v>0</v>
      </c>
      <c r="X381" s="78">
        <f>IF(X$377&gt;0,-MIN(X355,SUM(X$377:X380)),0)</f>
        <v>0</v>
      </c>
      <c r="Y381" s="78">
        <f>IF(Y$377&gt;0,-MIN(Y355,SUM(Y$377:Y380)),0)</f>
        <v>0</v>
      </c>
      <c r="Z381" s="78">
        <f>IF(Z$377&gt;0,-MIN(Z355,SUM(Z$377:Z380)),0)</f>
        <v>0</v>
      </c>
      <c r="AA381" s="78">
        <f>IF(AA$377&gt;0,-MIN(AA355,SUM(AA$377:AA380)),0)</f>
        <v>0</v>
      </c>
      <c r="AB381" s="78">
        <f>IF(AB$377&gt;0,-MIN(AB355,SUM(AB$377:AB380)),0)</f>
        <v>0</v>
      </c>
      <c r="AC381" s="78">
        <f>IF(AC$377&gt;0,-MIN(AC355,SUM(AC$377:AC380)),0)</f>
        <v>0</v>
      </c>
      <c r="AD381" s="78">
        <f>IF(AD$377&gt;0,-MIN(AD355,SUM(AD$377:AD380)),0)</f>
        <v>0</v>
      </c>
      <c r="AE381" s="78">
        <f>IF(AE$377&gt;0,-MIN(AE355,SUM(AE$377:AE380)),0)</f>
        <v>0</v>
      </c>
      <c r="AF381" s="78">
        <f>IF(AF$377&gt;0,-MIN(AF355,SUM(AF$377:AF380)),0)</f>
        <v>0</v>
      </c>
      <c r="AG381" s="78">
        <f>IF(AG$377&gt;0,-MIN(AG355,SUM(AG$377:AG380)),0)</f>
        <v>0</v>
      </c>
      <c r="AH381" s="78">
        <f>IF(AH$377&gt;0,-MIN(AH355,SUM(AH$377:AH380)),0)</f>
        <v>0</v>
      </c>
      <c r="AI381" s="78">
        <f>IF(AI$377&gt;0,-MIN(AI355,SUM(AI$377:AI380)),0)</f>
        <v>0</v>
      </c>
      <c r="AJ381" s="78">
        <f>IF(AJ$377&gt;0,-MIN(AJ355,SUM(AJ$377:AJ380)),0)</f>
        <v>0</v>
      </c>
      <c r="AK381" s="78">
        <f>IF(AK$377&gt;0,-MIN(AK355,SUM(AK$377:AK380)),0)</f>
        <v>0</v>
      </c>
      <c r="AL381" s="78">
        <f>IF(AL$377&gt;0,-MIN(AL355,SUM(AL$377:AL380)),0)</f>
        <v>0</v>
      </c>
      <c r="AM381" s="78">
        <f>IF(AM$377&gt;0,-MIN(AM355,SUM(AM$377:AM380)),0)</f>
        <v>0</v>
      </c>
      <c r="AN381" s="78">
        <f>IF(AN$377&gt;0,-MIN(AN355,SUM(AN$377:AN380)),0)</f>
        <v>0</v>
      </c>
      <c r="AO381" s="78">
        <f>IF(AO$377&gt;0,-MIN(AO355,SUM(AO$377:AO380)),0)</f>
        <v>0</v>
      </c>
      <c r="AP381" s="78">
        <f>IF(AP$377&gt;0,-MIN(AP355,SUM(AP$377:AP380)),0)</f>
        <v>0</v>
      </c>
      <c r="AQ381" s="78">
        <f>IF(AQ$377&gt;0,-MIN(AQ355,SUM(AQ$377:AQ380)),0)</f>
        <v>0</v>
      </c>
      <c r="AR381" s="78">
        <f>IF(AR$377&gt;0,-MIN(AR355,SUM(AR$377:AR380)),0)</f>
        <v>0</v>
      </c>
      <c r="AS381" s="78">
        <f>IF(AS$377&gt;0,-MIN(AS355,SUM(AS$377:AS380)),0)</f>
        <v>0</v>
      </c>
      <c r="AT381" s="78">
        <f>IF(AT$377&gt;0,-MIN(AT355,SUM(AT$377:AT380)),0)</f>
        <v>0</v>
      </c>
      <c r="AU381" s="78">
        <f>IF(AU$377&gt;0,-MIN(AU355,SUM(AU$377:AU380)),0)</f>
        <v>0</v>
      </c>
      <c r="AV381" s="78">
        <f>IF(AV$377&gt;0,-MIN(AV355,SUM(AV$377:AV380)),0)</f>
        <v>0</v>
      </c>
      <c r="AW381" s="78">
        <f>IF(AW$377&gt;0,-MIN(AW355,SUM(AW$377:AW380)),0)</f>
        <v>0</v>
      </c>
      <c r="AX381" s="78">
        <f>IF(AX$377&gt;0,-MIN(AX355,SUM(AX$377:AX380)),0)</f>
        <v>0</v>
      </c>
      <c r="AY381" s="78">
        <f>IF(AY$377&gt;0,-MIN(AY355,SUM(AY$377:AY380)),0)</f>
        <v>0</v>
      </c>
      <c r="AZ381" s="78">
        <f>IF(AZ$377&gt;0,-MIN(AZ355,SUM(AZ$377:AZ380)),0)</f>
        <v>0</v>
      </c>
      <c r="BA381" s="78">
        <f>IF(BA$377&gt;0,-MIN(BA355,SUM(BA$377:BA380)),0)</f>
        <v>0</v>
      </c>
      <c r="BB381" s="78">
        <f>IF(BB$377&gt;0,-MIN(BB355,SUM(BB$377:BB380)),0)</f>
        <v>0</v>
      </c>
      <c r="BC381" s="78">
        <f>IF(BC$377&gt;0,-MIN(BC355,SUM(BC$377:BC380)),0)</f>
        <v>0</v>
      </c>
      <c r="BD381" s="78">
        <f>IF(BD$377&gt;0,-MIN(BD355,SUM(BD$377:BD380)),0)</f>
        <v>0</v>
      </c>
      <c r="BE381" s="78">
        <f>IF(BE$377&gt;0,-MIN(BE355,SUM(BE$377:BE380)),0)</f>
        <v>0</v>
      </c>
      <c r="BF381" s="78">
        <f>IF(BF$377&gt;0,-MIN(BF355,SUM(BF$377:BF380)),0)</f>
        <v>0</v>
      </c>
      <c r="BG381" s="78">
        <f>IF(BG$377&gt;0,-MIN(BG355,SUM(BG$377:BG380)),0)</f>
        <v>0</v>
      </c>
      <c r="BH381" s="78">
        <f>IF(BH$377&gt;0,-MIN(BH355,SUM(BH$377:BH380)),0)</f>
        <v>0</v>
      </c>
      <c r="BI381" s="78">
        <f>IF(BI$377&gt;0,-MIN(BI355,SUM(BI$377:BI380)),0)</f>
        <v>0</v>
      </c>
      <c r="BJ381" s="78">
        <f>IF(BJ$377&gt;0,-MIN(BJ355,SUM(BJ$377:BJ380)),0)</f>
        <v>0</v>
      </c>
      <c r="BK381" s="78">
        <f>IF(BK$377&gt;0,-MIN(BK355,SUM(BK$377:BK380)),0)</f>
        <v>0</v>
      </c>
      <c r="BL381" s="78">
        <f>IF(BL$377&gt;0,-MIN(BL355,SUM(BL$377:BL380)),0)</f>
        <v>0</v>
      </c>
      <c r="BM381" s="78">
        <f>IF(BM$377&gt;0,-MIN(BM355,SUM(BM$377:BM380)),0)</f>
        <v>0</v>
      </c>
      <c r="BN381" s="78">
        <f>IF(BN$377&gt;0,-MIN(BN355,SUM(BN$377:BN380)),0)</f>
        <v>0</v>
      </c>
      <c r="BO381" s="78">
        <f>IF(BO$377&gt;0,-MIN(BO355,SUM(BO$377:BO380)),0)</f>
        <v>0</v>
      </c>
      <c r="BP381" s="78">
        <f>IF(BP$377&gt;0,-MIN(BP355,SUM(BP$377:BP380)),0)</f>
        <v>0</v>
      </c>
      <c r="BQ381" s="78">
        <f>IF(BQ$377&gt;0,-MIN(BQ355,SUM(BQ$377:BQ380)),0)</f>
        <v>0</v>
      </c>
      <c r="BR381" s="78">
        <f>IF(BR$377&gt;0,-MIN(BR355,SUM(BR$377:BR380)),0)</f>
        <v>0</v>
      </c>
      <c r="BS381" s="78">
        <f>IF(BS$377&gt;0,-MIN(BS355,SUM(BS$377:BS380)),0)</f>
        <v>0</v>
      </c>
      <c r="BT381" s="78">
        <f>IF(BT$377&gt;0,-MIN(BT355,SUM(BT$377:BT380)),0)</f>
        <v>0</v>
      </c>
      <c r="BU381" s="78">
        <f>IF(BU$377&gt;0,-MIN(BU355,SUM(BU$377:BU380)),0)</f>
        <v>0</v>
      </c>
      <c r="BV381" s="78">
        <f>IF(BV$377&gt;0,-MIN(BV355,SUM(BV$377:BV380)),0)</f>
        <v>0</v>
      </c>
      <c r="BW381" s="78">
        <f>IF(BW$377&gt;0,-MIN(BW355,SUM(BW$377:BW380)),0)</f>
        <v>0</v>
      </c>
      <c r="BX381" s="78">
        <f>IF(BX$377&gt;0,-MIN(BX355,SUM(BX$377:BX380)),0)</f>
        <v>0</v>
      </c>
      <c r="BY381" s="78">
        <f>IF(BY$377&gt;0,-MIN(BY355,SUM(BY$377:BY380)),0)</f>
        <v>0</v>
      </c>
      <c r="BZ381" s="78">
        <f>IF(BZ$377&gt;0,-MIN(BZ355,SUM(BZ$377:BZ380)),0)</f>
        <v>0</v>
      </c>
      <c r="CA381" s="78">
        <f>IF(CA$377&gt;0,-MIN(CA355,SUM(CA$377:CA380)),0)</f>
        <v>0</v>
      </c>
      <c r="CB381" s="78">
        <f>IF(CB$377&gt;0,-MIN(CB355,SUM(CB$377:CB380)),0)</f>
        <v>0</v>
      </c>
      <c r="CC381" s="78">
        <f>IF(CC$377&gt;0,-MIN(CC355,SUM(CC$377:CC380)),0)</f>
        <v>0</v>
      </c>
      <c r="CD381" s="78">
        <f>IF(CD$377&gt;0,-MIN(CD355,SUM(CD$377:CD380)),0)</f>
        <v>0</v>
      </c>
      <c r="CE381" s="78">
        <f>IF(CE$377&gt;0,-MIN(CE355,SUM(CE$377:CE380)),0)</f>
        <v>0</v>
      </c>
      <c r="CF381" s="78">
        <f>IF(CF$377&gt;0,-MIN(CF355,SUM(CF$377:CF380)),0)</f>
        <v>0</v>
      </c>
      <c r="CG381" s="78">
        <f>IF(CG$377&gt;0,-MIN(CG355,SUM(CG$377:CG380)),0)</f>
        <v>0</v>
      </c>
      <c r="CH381" s="78">
        <f>IF(CH$377&gt;0,-MIN(CH355,SUM(CH$377:CH380)),0)</f>
        <v>0</v>
      </c>
      <c r="CI381" s="78">
        <f>IF(CI$377&gt;0,-MIN(CI355,SUM(CI$377:CI380)),0)</f>
        <v>0</v>
      </c>
      <c r="CJ381" s="78">
        <f>IF(CJ$377&gt;0,-MIN(CJ355,SUM(CJ$377:CJ380)),0)</f>
        <v>0</v>
      </c>
      <c r="CK381" s="78">
        <f>IF(CK$377&gt;0,-MIN(CK355,SUM(CK$377:CK380)),0)</f>
        <v>0</v>
      </c>
      <c r="CL381" s="78">
        <f>IF(CL$377&gt;0,-MIN(CL355,SUM(CL$377:CL380)),0)</f>
        <v>0</v>
      </c>
      <c r="CM381" s="78">
        <f>IF(CM$377&gt;0,-MIN(CM355,SUM(CM$377:CM380)),0)</f>
        <v>0</v>
      </c>
      <c r="CN381" s="78">
        <f>IF(CN$377&gt;0,-MIN(CN355,SUM(CN$377:CN380)),0)</f>
        <v>0</v>
      </c>
      <c r="CO381" s="78">
        <f>IF(CO$377&gt;0,-MIN(CO355,SUM(CO$377:CO380)),0)</f>
        <v>0</v>
      </c>
      <c r="CP381" s="78">
        <f>IF(CP$377&gt;0,-MIN(CP355,SUM(CP$377:CP380)),0)</f>
        <v>0</v>
      </c>
      <c r="CQ381" s="78">
        <f>IF(CQ$377&gt;0,-MIN(CQ355,SUM(CQ$377:CQ380)),0)</f>
        <v>0</v>
      </c>
      <c r="CR381" s="78">
        <f>IF(CR$377&gt;0,-MIN(CR355,SUM(CR$377:CR380)),0)</f>
        <v>0</v>
      </c>
      <c r="CS381" s="78">
        <f>IF(CS$377&gt;0,-MIN(CS355,SUM(CS$377:CS380)),0)</f>
        <v>0</v>
      </c>
      <c r="CT381" s="78">
        <f>IF(CT$377&gt;0,-MIN(CT355,SUM(CT$377:CT380)),0)</f>
        <v>0</v>
      </c>
      <c r="CU381" s="78">
        <f>IF(CU$377&gt;0,-MIN(CU355,SUM(CU$377:CU380)),0)</f>
        <v>0</v>
      </c>
      <c r="CV381" s="78">
        <f>IF(CV$377&gt;0,-MIN(CV355,SUM(CV$377:CV380)),0)</f>
        <v>0</v>
      </c>
      <c r="CW381" s="78">
        <f>IF(CW$377&gt;0,-MIN(CW355,SUM(CW$377:CW380)),0)</f>
        <v>0</v>
      </c>
      <c r="CX381" s="78">
        <f>IF(CX$377&gt;0,-MIN(CX355,SUM(CX$377:CX380)),0)</f>
        <v>0</v>
      </c>
      <c r="CY381" s="78">
        <f>IF(CY$377&gt;0,-MIN(CY355,SUM(CY$377:CY380)),0)</f>
        <v>0</v>
      </c>
      <c r="CZ381" s="78">
        <f>IF(CZ$377&gt;0,-MIN(CZ355,SUM(CZ$377:CZ380)),0)</f>
        <v>0</v>
      </c>
      <c r="DA381" s="78">
        <f>IF(DA$377&gt;0,-MIN(DA355,SUM(DA$377:DA380)),0)</f>
        <v>0</v>
      </c>
      <c r="DB381" s="78">
        <f>IF(DB$377&gt;0,-MIN(DB355,SUM(DB$377:DB380)),0)</f>
        <v>0</v>
      </c>
      <c r="DC381" s="78">
        <f>IF(DC$377&gt;0,-MIN(DC355,SUM(DC$377:DC380)),0)</f>
        <v>0</v>
      </c>
      <c r="DD381" s="78">
        <f>IF(DD$377&gt;0,-MIN(DD355,SUM(DD$377:DD380)),0)</f>
        <v>0</v>
      </c>
      <c r="DE381" s="78">
        <f>IF(DE$377&gt;0,-MIN(DE355,SUM(DE$377:DE380)),0)</f>
        <v>0</v>
      </c>
      <c r="DF381" s="78">
        <f>IF(DF$377&gt;0,-MIN(DF355,SUM(DF$377:DF380)),0)</f>
        <v>0</v>
      </c>
      <c r="DG381" s="78">
        <f>IF(DG$377&gt;0,-MIN(DG355,SUM(DG$377:DG380)),0)</f>
        <v>0</v>
      </c>
      <c r="DH381" s="78">
        <f>IF(DH$377&gt;0,-MIN(DH355,SUM(DH$377:DH380)),0)</f>
        <v>0</v>
      </c>
      <c r="DI381" s="78">
        <f>IF(DI$377&gt;0,-MIN(DI355,SUM(DI$377:DI380)),0)</f>
        <v>0</v>
      </c>
      <c r="DJ381" s="78">
        <f>IF(DJ$377&gt;0,-MIN(DJ355,SUM(DJ$377:DJ380)),0)</f>
        <v>0</v>
      </c>
      <c r="DK381" s="78">
        <f>IF(DK$377&gt;0,-MIN(DK355,SUM(DK$377:DK380)),0)</f>
        <v>0</v>
      </c>
      <c r="DL381" s="78">
        <f>IF(DL$377&gt;0,-MIN(DL355,SUM(DL$377:DL380)),0)</f>
        <v>0</v>
      </c>
      <c r="DM381" s="78">
        <f>IF(DM$377&gt;0,-MIN(DM355,SUM(DM$377:DM380)),0)</f>
        <v>0</v>
      </c>
      <c r="DN381" s="78">
        <f>IF(DN$377&gt;0,-MIN(DN355,SUM(DN$377:DN380)),0)</f>
        <v>0</v>
      </c>
      <c r="DO381" s="78">
        <f>IF(DO$377&gt;0,-MIN(DO355,SUM(DO$377:DO380)),0)</f>
        <v>0</v>
      </c>
      <c r="DP381" s="78">
        <f>IF(DP$377&gt;0,-MIN(DP355,SUM(DP$377:DP380)),0)</f>
        <v>0</v>
      </c>
      <c r="DQ381" s="78">
        <f>IF(DQ$377&gt;0,-MIN(DQ355,SUM(DQ$377:DQ380)),0)</f>
        <v>0</v>
      </c>
      <c r="DR381" s="78">
        <f>IF(DR$377&gt;0,-MIN(DR355,SUM(DR$377:DR380)),0)</f>
        <v>0</v>
      </c>
      <c r="DS381" s="78">
        <f>IF(DS$377&gt;0,-MIN(DS355,SUM(DS$377:DS380)),0)</f>
        <v>0</v>
      </c>
      <c r="DT381" s="78">
        <f>IF(DT$377&gt;0,-MIN(DT355,SUM(DT$377:DT380)),0)</f>
        <v>0</v>
      </c>
      <c r="DU381" s="78">
        <f>IF(DU$377&gt;0,-MIN(DU355,SUM(DU$377:DU380)),0)</f>
        <v>0</v>
      </c>
      <c r="DV381" s="78">
        <f>IF(DV$377&gt;0,-MIN(DV355,SUM(DV$377:DV380)),0)</f>
        <v>0</v>
      </c>
      <c r="DW381" s="78">
        <f>IF(DW$377&gt;0,-MIN(DW355,SUM(DW$377:DW380)),0)</f>
        <v>0</v>
      </c>
      <c r="DX381" s="78">
        <f>IF(DX$377&gt;0,-MIN(DX355,SUM(DX$377:DX380)),0)</f>
        <v>0</v>
      </c>
      <c r="DY381" s="78">
        <f>IF(DY$377&gt;0,-MIN(DY355,SUM(DY$377:DY380)),0)</f>
        <v>0</v>
      </c>
      <c r="DZ381" s="78">
        <f>IF(DZ$377&gt;0,-MIN(DZ355,SUM(DZ$377:DZ380)),0)</f>
        <v>0</v>
      </c>
      <c r="EA381" s="78">
        <f>IF(EA$377&gt;0,-MIN(EA355,SUM(EA$377:EA380)),0)</f>
        <v>0</v>
      </c>
      <c r="EB381" s="78">
        <f>IF(EB$377&gt;0,-MIN(EB355,SUM(EB$377:EB380)),0)</f>
        <v>0</v>
      </c>
      <c r="EC381" s="78">
        <f>IF(EC$377&gt;0,-MIN(EC355,SUM(EC$377:EC380)),0)</f>
        <v>0</v>
      </c>
      <c r="ED381" s="78">
        <f>IF(ED$377&gt;0,-MIN(ED355,SUM(ED$377:ED380)),0)</f>
        <v>0</v>
      </c>
      <c r="EE381" s="78">
        <f>IF(EE$377&gt;0,-MIN(EE355,SUM(EE$377:EE380)),0)</f>
        <v>0</v>
      </c>
      <c r="EF381" s="78">
        <f>IF(EF$377&gt;0,-MIN(EF355,SUM(EF$377:EF380)),0)</f>
        <v>0</v>
      </c>
      <c r="EG381" s="78">
        <f>IF(EG$377&gt;0,-MIN(EG355,SUM(EG$377:EG380)),0)</f>
        <v>0</v>
      </c>
      <c r="EH381" s="78">
        <f>IF(EH$377&gt;0,-MIN(EH355,SUM(EH$377:EH380)),0)</f>
        <v>0</v>
      </c>
      <c r="EI381" s="78">
        <f>IF(EI$377&gt;0,-MIN(EI355,SUM(EI$377:EI380)),0)</f>
        <v>0</v>
      </c>
    </row>
    <row r="382" spans="2:139">
      <c r="B382" s="880" t="s">
        <v>657</v>
      </c>
      <c r="C382" s="211"/>
      <c r="D382" s="78">
        <f>IF(IrrCalculationType=170,-MIN(SUM(D360:D361),SUM(D$377:D381)),SUMIF($S$6:$EI$6,D$5,$S382:$EI382))</f>
        <v>0</v>
      </c>
      <c r="E382" s="78">
        <f>IF(IrrCalculationType=170,-MIN(SUM(E360:E361),SUM(E$377:E381)),SUMIF($S$6:$EI$6,E$5,$S382:$EI382))</f>
        <v>0</v>
      </c>
      <c r="F382" s="78">
        <f>IF(IrrCalculationType=170,-MIN(SUM(F360:F361),SUM(F$377:F381)),SUMIF($S$6:$EI$6,F$5,$S382:$EI382))</f>
        <v>0</v>
      </c>
      <c r="G382" s="78">
        <f>IF(IrrCalculationType=170,-MIN(SUM(G360:G361),SUM(G$377:G381)),SUMIF($S$6:$EI$6,G$5,$S382:$EI382))</f>
        <v>0</v>
      </c>
      <c r="H382" s="78">
        <f>IF(IrrCalculationType=170,-MIN(SUM(H360:H361),SUM(H$377:H381)),SUMIF($S$6:$EI$6,H$5,$S382:$EI382))</f>
        <v>0</v>
      </c>
      <c r="I382" s="78">
        <f>IF(IrrCalculationType=170,-MIN(SUM(I360:I361),SUM(I$377:I381)),SUMIF($S$6:$EI$6,I$5,$S382:$EI382))</f>
        <v>0</v>
      </c>
      <c r="J382" s="78">
        <f>IF(IrrCalculationType=170,-MIN(SUM(J360:J361),SUM(J$377:J381)),SUMIF($S$6:$EI$6,J$5,$S382:$EI382))</f>
        <v>0</v>
      </c>
      <c r="K382" s="78">
        <f>IF(IrrCalculationType=170,-MIN(SUM(K360:K361),SUM(K$377:K381)),SUMIF($S$6:$EI$6,K$5,$S382:$EI382))</f>
        <v>-24605672.299141534</v>
      </c>
      <c r="L382" s="78">
        <f>IF(IrrCalculationType=170,-MIN(SUM(L360:L361),SUM(L$377:L381)),SUMIF($S$6:$EI$6,L$5,$S382:$EI382))</f>
        <v>0</v>
      </c>
      <c r="M382" s="78">
        <f>IF(IrrCalculationType=170,-MIN(SUM(M360:M361),SUM(M$377:M381)),SUMIF($S$6:$EI$6,M$5,$S382:$EI382))</f>
        <v>0</v>
      </c>
      <c r="N382" s="78">
        <f>IF(IrrCalculationType=170,-MIN(SUM(N360:N361),SUM(N$377:N381)),SUMIF($S$6:$EI$6,N$5,$S382:$EI382))</f>
        <v>0</v>
      </c>
      <c r="O382" s="145">
        <f t="shared" si="824"/>
        <v>-24605672.299141534</v>
      </c>
      <c r="R382" s="201"/>
      <c r="S382" s="78">
        <f>-MIN(SUM(S360:S361),SUM(S$377:S381))</f>
        <v>0</v>
      </c>
      <c r="T382" s="78">
        <f>-MIN(SUM(T360:T361),SUM(T$377:T381))</f>
        <v>0</v>
      </c>
      <c r="U382" s="78">
        <f>-MIN(SUM(U360:U361),SUM(U$377:U381))</f>
        <v>0</v>
      </c>
      <c r="V382" s="78">
        <f>-MIN(SUM(V360:V361),SUM(V$377:V381))</f>
        <v>0</v>
      </c>
      <c r="W382" s="78">
        <f>-MIN(SUM(W360:W361),SUM(W$377:W381))</f>
        <v>0</v>
      </c>
      <c r="X382" s="78">
        <f>-MIN(SUM(X360:X361),SUM(X$377:X381))</f>
        <v>0</v>
      </c>
      <c r="Y382" s="78">
        <f>-MIN(SUM(Y360:Y361),SUM(Y$377:Y381))</f>
        <v>0</v>
      </c>
      <c r="Z382" s="78">
        <f>-MIN(SUM(Z360:Z361),SUM(Z$377:Z381))</f>
        <v>0</v>
      </c>
      <c r="AA382" s="78">
        <f>-MIN(SUM(AA360:AA361),SUM(AA$377:AA381))</f>
        <v>0</v>
      </c>
      <c r="AB382" s="78">
        <f>-MIN(SUM(AB360:AB361),SUM(AB$377:AB381))</f>
        <v>0</v>
      </c>
      <c r="AC382" s="78">
        <f>-MIN(SUM(AC360:AC361),SUM(AC$377:AC381))</f>
        <v>0</v>
      </c>
      <c r="AD382" s="78">
        <f>-MIN(SUM(AD360:AD361),SUM(AD$377:AD381))</f>
        <v>0</v>
      </c>
      <c r="AE382" s="78">
        <f>-MIN(SUM(AE360:AE361),SUM(AE$377:AE381))</f>
        <v>0</v>
      </c>
      <c r="AF382" s="78">
        <f>-MIN(SUM(AF360:AF361),SUM(AF$377:AF381))</f>
        <v>0</v>
      </c>
      <c r="AG382" s="78">
        <f>-MIN(SUM(AG360:AG361),SUM(AG$377:AG381))</f>
        <v>0</v>
      </c>
      <c r="AH382" s="78">
        <f>-MIN(SUM(AH360:AH361),SUM(AH$377:AH381))</f>
        <v>0</v>
      </c>
      <c r="AI382" s="78">
        <f>-MIN(SUM(AI360:AI361),SUM(AI$377:AI381))</f>
        <v>0</v>
      </c>
      <c r="AJ382" s="78">
        <f>-MIN(SUM(AJ360:AJ361),SUM(AJ$377:AJ381))</f>
        <v>0</v>
      </c>
      <c r="AK382" s="78">
        <f>-MIN(SUM(AK360:AK361),SUM(AK$377:AK381))</f>
        <v>0</v>
      </c>
      <c r="AL382" s="78">
        <f>-MIN(SUM(AL360:AL361),SUM(AL$377:AL381))</f>
        <v>0</v>
      </c>
      <c r="AM382" s="78">
        <f>-MIN(SUM(AM360:AM361),SUM(AM$377:AM381))</f>
        <v>0</v>
      </c>
      <c r="AN382" s="78">
        <f>-MIN(SUM(AN360:AN361),SUM(AN$377:AN381))</f>
        <v>0</v>
      </c>
      <c r="AO382" s="78">
        <f>-MIN(SUM(AO360:AO361),SUM(AO$377:AO381))</f>
        <v>0</v>
      </c>
      <c r="AP382" s="78">
        <f>-MIN(SUM(AP360:AP361),SUM(AP$377:AP381))</f>
        <v>0</v>
      </c>
      <c r="AQ382" s="78">
        <f>-MIN(SUM(AQ360:AQ361),SUM(AQ$377:AQ381))</f>
        <v>0</v>
      </c>
      <c r="AR382" s="78">
        <f>-MIN(SUM(AR360:AR361),SUM(AR$377:AR381))</f>
        <v>0</v>
      </c>
      <c r="AS382" s="78">
        <f>-MIN(SUM(AS360:AS361),SUM(AS$377:AS381))</f>
        <v>0</v>
      </c>
      <c r="AT382" s="78">
        <f>-MIN(SUM(AT360:AT361),SUM(AT$377:AT381))</f>
        <v>0</v>
      </c>
      <c r="AU382" s="78">
        <f>-MIN(SUM(AU360:AU361),SUM(AU$377:AU381))</f>
        <v>0</v>
      </c>
      <c r="AV382" s="78">
        <f>-MIN(SUM(AV360:AV361),SUM(AV$377:AV381))</f>
        <v>0</v>
      </c>
      <c r="AW382" s="78">
        <f>-MIN(SUM(AW360:AW361),SUM(AW$377:AW381))</f>
        <v>0</v>
      </c>
      <c r="AX382" s="78">
        <f>-MIN(SUM(AX360:AX361),SUM(AX$377:AX381))</f>
        <v>0</v>
      </c>
      <c r="AY382" s="78">
        <f>-MIN(SUM(AY360:AY361),SUM(AY$377:AY381))</f>
        <v>0</v>
      </c>
      <c r="AZ382" s="78">
        <f>-MIN(SUM(AZ360:AZ361),SUM(AZ$377:AZ381))</f>
        <v>0</v>
      </c>
      <c r="BA382" s="78">
        <f>-MIN(SUM(BA360:BA361),SUM(BA$377:BA381))</f>
        <v>0</v>
      </c>
      <c r="BB382" s="78">
        <f>-MIN(SUM(BB360:BB361),SUM(BB$377:BB381))</f>
        <v>0</v>
      </c>
      <c r="BC382" s="78">
        <f>-MIN(SUM(BC360:BC361),SUM(BC$377:BC381))</f>
        <v>0</v>
      </c>
      <c r="BD382" s="78">
        <f>-MIN(SUM(BD360:BD361),SUM(BD$377:BD381))</f>
        <v>0</v>
      </c>
      <c r="BE382" s="78">
        <f>-MIN(SUM(BE360:BE361),SUM(BE$377:BE381))</f>
        <v>0</v>
      </c>
      <c r="BF382" s="78">
        <f>-MIN(SUM(BF360:BF361),SUM(BF$377:BF381))</f>
        <v>0</v>
      </c>
      <c r="BG382" s="78">
        <f>-MIN(SUM(BG360:BG361),SUM(BG$377:BG381))</f>
        <v>0</v>
      </c>
      <c r="BH382" s="78">
        <f>-MIN(SUM(BH360:BH361),SUM(BH$377:BH381))</f>
        <v>0</v>
      </c>
      <c r="BI382" s="78">
        <f>-MIN(SUM(BI360:BI361),SUM(BI$377:BI381))</f>
        <v>0</v>
      </c>
      <c r="BJ382" s="78">
        <f>-MIN(SUM(BJ360:BJ361),SUM(BJ$377:BJ381))</f>
        <v>0</v>
      </c>
      <c r="BK382" s="78">
        <f>-MIN(SUM(BK360:BK361),SUM(BK$377:BK381))</f>
        <v>0</v>
      </c>
      <c r="BL382" s="78">
        <f>-MIN(SUM(BL360:BL361),SUM(BL$377:BL381))</f>
        <v>0</v>
      </c>
      <c r="BM382" s="78">
        <f>-MIN(SUM(BM360:BM361),SUM(BM$377:BM381))</f>
        <v>0</v>
      </c>
      <c r="BN382" s="78">
        <f>-MIN(SUM(BN360:BN361),SUM(BN$377:BN381))</f>
        <v>0</v>
      </c>
      <c r="BO382" s="78">
        <f>-MIN(SUM(BO360:BO361),SUM(BO$377:BO381))</f>
        <v>0</v>
      </c>
      <c r="BP382" s="78">
        <f>-MIN(SUM(BP360:BP361),SUM(BP$377:BP381))</f>
        <v>0</v>
      </c>
      <c r="BQ382" s="78">
        <f>-MIN(SUM(BQ360:BQ361),SUM(BQ$377:BQ381))</f>
        <v>0</v>
      </c>
      <c r="BR382" s="78">
        <f>-MIN(SUM(BR360:BR361),SUM(BR$377:BR381))</f>
        <v>0</v>
      </c>
      <c r="BS382" s="78">
        <f>-MIN(SUM(BS360:BS361),SUM(BS$377:BS381))</f>
        <v>0</v>
      </c>
      <c r="BT382" s="78">
        <f>-MIN(SUM(BT360:BT361),SUM(BT$377:BT381))</f>
        <v>0</v>
      </c>
      <c r="BU382" s="78">
        <f>-MIN(SUM(BU360:BU361),SUM(BU$377:BU381))</f>
        <v>0</v>
      </c>
      <c r="BV382" s="78">
        <f>-MIN(SUM(BV360:BV361),SUM(BV$377:BV381))</f>
        <v>0</v>
      </c>
      <c r="BW382" s="78">
        <f>-MIN(SUM(BW360:BW361),SUM(BW$377:BW381))</f>
        <v>0</v>
      </c>
      <c r="BX382" s="78">
        <f>-MIN(SUM(BX360:BX361),SUM(BX$377:BX381))</f>
        <v>0</v>
      </c>
      <c r="BY382" s="78">
        <f>-MIN(SUM(BY360:BY361),SUM(BY$377:BY381))</f>
        <v>0</v>
      </c>
      <c r="BZ382" s="78">
        <f>-MIN(SUM(BZ360:BZ361),SUM(BZ$377:BZ381))</f>
        <v>0</v>
      </c>
      <c r="CA382" s="78">
        <f>-MIN(SUM(CA360:CA361),SUM(CA$377:CA381))</f>
        <v>0</v>
      </c>
      <c r="CB382" s="78">
        <f>-MIN(SUM(CB360:CB361),SUM(CB$377:CB381))</f>
        <v>0</v>
      </c>
      <c r="CC382" s="78">
        <f>-MIN(SUM(CC360:CC361),SUM(CC$377:CC381))</f>
        <v>0</v>
      </c>
      <c r="CD382" s="78">
        <f>-MIN(SUM(CD360:CD361),SUM(CD$377:CD381))</f>
        <v>0</v>
      </c>
      <c r="CE382" s="78">
        <f>-MIN(SUM(CE360:CE361),SUM(CE$377:CE381))</f>
        <v>0</v>
      </c>
      <c r="CF382" s="78">
        <f>-MIN(SUM(CF360:CF361),SUM(CF$377:CF381))</f>
        <v>0</v>
      </c>
      <c r="CG382" s="78">
        <f>-MIN(SUM(CG360:CG361),SUM(CG$377:CG381))</f>
        <v>0</v>
      </c>
      <c r="CH382" s="78">
        <f>-MIN(SUM(CH360:CH361),SUM(CH$377:CH381))</f>
        <v>0</v>
      </c>
      <c r="CI382" s="78">
        <f>-MIN(SUM(CI360:CI361),SUM(CI$377:CI381))</f>
        <v>0</v>
      </c>
      <c r="CJ382" s="78">
        <f>-MIN(SUM(CJ360:CJ361),SUM(CJ$377:CJ381))</f>
        <v>0</v>
      </c>
      <c r="CK382" s="78">
        <f>-MIN(SUM(CK360:CK361),SUM(CK$377:CK381))</f>
        <v>0</v>
      </c>
      <c r="CL382" s="78">
        <f>-MIN(SUM(CL360:CL361),SUM(CL$377:CL381))</f>
        <v>0</v>
      </c>
      <c r="CM382" s="78">
        <f>-MIN(SUM(CM360:CM361),SUM(CM$377:CM381))</f>
        <v>0</v>
      </c>
      <c r="CN382" s="78">
        <f>-MIN(SUM(CN360:CN361),SUM(CN$377:CN381))</f>
        <v>0</v>
      </c>
      <c r="CO382" s="78">
        <f>-MIN(SUM(CO360:CO361),SUM(CO$377:CO381))</f>
        <v>0</v>
      </c>
      <c r="CP382" s="78">
        <f>-MIN(SUM(CP360:CP361),SUM(CP$377:CP381))</f>
        <v>0</v>
      </c>
      <c r="CQ382" s="78">
        <f>-MIN(SUM(CQ360:CQ361),SUM(CQ$377:CQ381))</f>
        <v>0</v>
      </c>
      <c r="CR382" s="78">
        <f>-MIN(SUM(CR360:CR361),SUM(CR$377:CR381))</f>
        <v>0</v>
      </c>
      <c r="CS382" s="78">
        <f>-MIN(SUM(CS360:CS361),SUM(CS$377:CS381))</f>
        <v>0</v>
      </c>
      <c r="CT382" s="78">
        <f>-MIN(SUM(CT360:CT361),SUM(CT$377:CT381))</f>
        <v>0</v>
      </c>
      <c r="CU382" s="78">
        <f>-MIN(SUM(CU360:CU361),SUM(CU$377:CU381))</f>
        <v>0</v>
      </c>
      <c r="CV382" s="78">
        <f>-MIN(SUM(CV360:CV361),SUM(CV$377:CV381))</f>
        <v>0</v>
      </c>
      <c r="CW382" s="78">
        <f>-MIN(SUM(CW360:CW361),SUM(CW$377:CW381))</f>
        <v>0</v>
      </c>
      <c r="CX382" s="78">
        <f>-MIN(SUM(CX360:CX361),SUM(CX$377:CX381))</f>
        <v>0</v>
      </c>
      <c r="CY382" s="78">
        <f>-MIN(SUM(CY360:CY361),SUM(CY$377:CY381))</f>
        <v>-24605672.299141534</v>
      </c>
      <c r="CZ382" s="78">
        <f>-MIN(SUM(CZ360:CZ361),SUM(CZ$377:CZ381))</f>
        <v>0</v>
      </c>
      <c r="DA382" s="78">
        <f>-MIN(SUM(DA360:DA361),SUM(DA$377:DA381))</f>
        <v>0</v>
      </c>
      <c r="DB382" s="78">
        <f>-MIN(SUM(DB360:DB361),SUM(DB$377:DB381))</f>
        <v>0</v>
      </c>
      <c r="DC382" s="78">
        <f>-MIN(SUM(DC360:DC361),SUM(DC$377:DC381))</f>
        <v>0</v>
      </c>
      <c r="DD382" s="78">
        <f>-MIN(SUM(DD360:DD361),SUM(DD$377:DD381))</f>
        <v>0</v>
      </c>
      <c r="DE382" s="78">
        <f>-MIN(SUM(DE360:DE361),SUM(DE$377:DE381))</f>
        <v>0</v>
      </c>
      <c r="DF382" s="78">
        <f>-MIN(SUM(DF360:DF361),SUM(DF$377:DF381))</f>
        <v>0</v>
      </c>
      <c r="DG382" s="78">
        <f>-MIN(SUM(DG360:DG361),SUM(DG$377:DG381))</f>
        <v>0</v>
      </c>
      <c r="DH382" s="78">
        <f>-MIN(SUM(DH360:DH361),SUM(DH$377:DH381))</f>
        <v>0</v>
      </c>
      <c r="DI382" s="78">
        <f>-MIN(SUM(DI360:DI361),SUM(DI$377:DI381))</f>
        <v>0</v>
      </c>
      <c r="DJ382" s="78">
        <f>-MIN(SUM(DJ360:DJ361),SUM(DJ$377:DJ381))</f>
        <v>0</v>
      </c>
      <c r="DK382" s="78">
        <f>-MIN(SUM(DK360:DK361),SUM(DK$377:DK381))</f>
        <v>0</v>
      </c>
      <c r="DL382" s="78">
        <f>-MIN(SUM(DL360:DL361),SUM(DL$377:DL381))</f>
        <v>0</v>
      </c>
      <c r="DM382" s="78">
        <f>-MIN(SUM(DM360:DM361),SUM(DM$377:DM381))</f>
        <v>0</v>
      </c>
      <c r="DN382" s="78">
        <f>-MIN(SUM(DN360:DN361),SUM(DN$377:DN381))</f>
        <v>0</v>
      </c>
      <c r="DO382" s="78">
        <f>-MIN(SUM(DO360:DO361),SUM(DO$377:DO381))</f>
        <v>0</v>
      </c>
      <c r="DP382" s="78">
        <f>-MIN(SUM(DP360:DP361),SUM(DP$377:DP381))</f>
        <v>0</v>
      </c>
      <c r="DQ382" s="78">
        <f>-MIN(SUM(DQ360:DQ361),SUM(DQ$377:DQ381))</f>
        <v>0</v>
      </c>
      <c r="DR382" s="78">
        <f>-MIN(SUM(DR360:DR361),SUM(DR$377:DR381))</f>
        <v>0</v>
      </c>
      <c r="DS382" s="78">
        <f>-MIN(SUM(DS360:DS361),SUM(DS$377:DS381))</f>
        <v>0</v>
      </c>
      <c r="DT382" s="78">
        <f>-MIN(SUM(DT360:DT361),SUM(DT$377:DT381))</f>
        <v>0</v>
      </c>
      <c r="DU382" s="78">
        <f>-MIN(SUM(DU360:DU361),SUM(DU$377:DU381))</f>
        <v>0</v>
      </c>
      <c r="DV382" s="78">
        <f>-MIN(SUM(DV360:DV361),SUM(DV$377:DV381))</f>
        <v>0</v>
      </c>
      <c r="DW382" s="78">
        <f>-MIN(SUM(DW360:DW361),SUM(DW$377:DW381))</f>
        <v>0</v>
      </c>
      <c r="DX382" s="78">
        <f>-MIN(SUM(DX360:DX361),SUM(DX$377:DX381))</f>
        <v>0</v>
      </c>
      <c r="DY382" s="78">
        <f>-MIN(SUM(DY360:DY361),SUM(DY$377:DY381))</f>
        <v>0</v>
      </c>
      <c r="DZ382" s="78">
        <f>-MIN(SUM(DZ360:DZ361),SUM(DZ$377:DZ381))</f>
        <v>0</v>
      </c>
      <c r="EA382" s="78">
        <f>-MIN(SUM(EA360:EA361),SUM(EA$377:EA381))</f>
        <v>0</v>
      </c>
      <c r="EB382" s="78">
        <f>-MIN(SUM(EB360:EB361),SUM(EB$377:EB381))</f>
        <v>0</v>
      </c>
      <c r="EC382" s="78">
        <f>-MIN(SUM(EC360:EC361),SUM(EC$377:EC381))</f>
        <v>0</v>
      </c>
      <c r="ED382" s="78">
        <f>-MIN(SUM(ED360:ED361),SUM(ED$377:ED381))</f>
        <v>0</v>
      </c>
      <c r="EE382" s="78">
        <f>-MIN(SUM(EE360:EE361),SUM(EE$377:EE381))</f>
        <v>0</v>
      </c>
      <c r="EF382" s="78">
        <f>-MIN(SUM(EF360:EF361),SUM(EF$377:EF381))</f>
        <v>0</v>
      </c>
      <c r="EG382" s="78">
        <f>-MIN(SUM(EG360:EG361),SUM(EG$377:EG381))</f>
        <v>0</v>
      </c>
      <c r="EH382" s="78">
        <f>-MIN(SUM(EH360:EH361),SUM(EH$377:EH381))</f>
        <v>0</v>
      </c>
      <c r="EI382" s="78">
        <f>-MIN(SUM(EI360:EI361),SUM(EI$377:EI381))</f>
        <v>0</v>
      </c>
    </row>
    <row r="383" spans="2:139">
      <c r="B383" s="198" t="s">
        <v>666</v>
      </c>
      <c r="C383" s="211"/>
      <c r="D383" s="78"/>
      <c r="E383" s="78"/>
      <c r="F383" s="78"/>
      <c r="G383" s="78"/>
      <c r="H383" s="78"/>
      <c r="I383" s="78"/>
      <c r="J383" s="78"/>
      <c r="K383" s="78"/>
      <c r="L383" s="78"/>
      <c r="M383" s="78"/>
      <c r="N383" s="78"/>
      <c r="O383" s="145"/>
      <c r="S383" s="78"/>
      <c r="T383" s="78"/>
      <c r="U383" s="78"/>
      <c r="V383" s="78"/>
      <c r="W383" s="78"/>
      <c r="X383" s="78"/>
      <c r="Y383" s="78"/>
      <c r="Z383" s="78"/>
      <c r="AA383" s="78"/>
      <c r="AB383" s="78"/>
      <c r="AC383" s="78"/>
      <c r="AD383" s="78"/>
      <c r="AE383" s="78"/>
      <c r="AF383" s="78"/>
      <c r="AG383" s="78"/>
      <c r="AH383" s="78"/>
      <c r="AI383" s="78"/>
      <c r="AJ383" s="78"/>
      <c r="AK383" s="78"/>
      <c r="AL383" s="78"/>
      <c r="AM383" s="78"/>
      <c r="AN383" s="78"/>
      <c r="AO383" s="78"/>
      <c r="AP383" s="78"/>
      <c r="AQ383" s="78"/>
      <c r="AR383" s="78"/>
      <c r="AS383" s="78"/>
      <c r="AT383" s="78"/>
      <c r="AU383" s="78"/>
      <c r="AV383" s="78"/>
      <c r="AW383" s="78"/>
      <c r="AX383" s="78"/>
      <c r="AY383" s="78"/>
      <c r="AZ383" s="78"/>
      <c r="BA383" s="78"/>
      <c r="BB383" s="78"/>
      <c r="BC383" s="78"/>
      <c r="BD383" s="78"/>
      <c r="BE383" s="78"/>
      <c r="BF383" s="78"/>
      <c r="BG383" s="78"/>
      <c r="BH383" s="78"/>
      <c r="BI383" s="78"/>
      <c r="BJ383" s="78"/>
      <c r="BK383" s="78"/>
      <c r="BL383" s="78"/>
      <c r="BM383" s="78"/>
      <c r="BN383" s="78"/>
      <c r="BO383" s="78"/>
      <c r="BP383" s="78"/>
      <c r="BQ383" s="78"/>
      <c r="BR383" s="78"/>
      <c r="BS383" s="78"/>
      <c r="BT383" s="78"/>
      <c r="BU383" s="78"/>
      <c r="BV383" s="78"/>
      <c r="BW383" s="78"/>
      <c r="BX383" s="78"/>
      <c r="BY383" s="78"/>
      <c r="BZ383" s="78"/>
      <c r="CA383" s="78"/>
      <c r="CB383" s="78"/>
      <c r="CC383" s="78"/>
      <c r="CD383" s="78"/>
      <c r="CE383" s="78"/>
      <c r="CF383" s="78"/>
      <c r="CG383" s="78"/>
      <c r="CH383" s="78"/>
      <c r="CI383" s="78"/>
      <c r="CJ383" s="78"/>
      <c r="CK383" s="78"/>
      <c r="CL383" s="78"/>
      <c r="CM383" s="78"/>
      <c r="CN383" s="78"/>
      <c r="CO383" s="78"/>
      <c r="CP383" s="78"/>
      <c r="CQ383" s="78"/>
      <c r="CR383" s="78"/>
      <c r="CS383" s="78"/>
      <c r="CT383" s="78"/>
      <c r="CU383" s="78"/>
      <c r="CV383" s="78"/>
      <c r="CW383" s="78"/>
      <c r="CX383" s="78"/>
      <c r="CY383" s="78"/>
      <c r="CZ383" s="78"/>
      <c r="DA383" s="78"/>
      <c r="DB383" s="78"/>
      <c r="DC383" s="78"/>
      <c r="DD383" s="78"/>
      <c r="DE383" s="78"/>
      <c r="DF383" s="78"/>
      <c r="DG383" s="78"/>
      <c r="DH383" s="78"/>
      <c r="DI383" s="78"/>
      <c r="DJ383" s="78"/>
      <c r="DK383" s="78"/>
      <c r="DL383" s="78"/>
      <c r="DM383" s="78"/>
      <c r="DN383" s="78"/>
      <c r="DO383" s="78"/>
      <c r="DP383" s="78"/>
      <c r="DQ383" s="78"/>
      <c r="DR383" s="78"/>
      <c r="DS383" s="78"/>
      <c r="DT383" s="78"/>
      <c r="DU383" s="78"/>
      <c r="DV383" s="78"/>
      <c r="DW383" s="78"/>
      <c r="DX383" s="78"/>
      <c r="DY383" s="78"/>
      <c r="DZ383" s="78"/>
      <c r="EA383" s="78"/>
      <c r="EB383" s="78"/>
      <c r="EC383" s="78"/>
      <c r="ED383" s="78"/>
      <c r="EE383" s="78"/>
      <c r="EF383" s="78"/>
      <c r="EG383" s="78"/>
      <c r="EH383" s="78"/>
      <c r="EI383" s="78"/>
    </row>
    <row r="384" spans="2:139">
      <c r="B384" s="41" t="s">
        <v>667</v>
      </c>
      <c r="C384" s="211"/>
      <c r="D384" s="78">
        <f t="shared" ref="D384:N384" si="844">IF(IrrCalculationType=170,MAX(D138+D140+D161+D163+D184+D186,),SUMIF($S$6:$EI$6,D$5,$S384:$EI384))</f>
        <v>0</v>
      </c>
      <c r="E384" s="78">
        <f t="shared" si="844"/>
        <v>0</v>
      </c>
      <c r="F384" s="78">
        <f t="shared" si="844"/>
        <v>0</v>
      </c>
      <c r="G384" s="78">
        <f t="shared" si="844"/>
        <v>0</v>
      </c>
      <c r="H384" s="78">
        <f t="shared" si="844"/>
        <v>0</v>
      </c>
      <c r="I384" s="78">
        <f t="shared" si="844"/>
        <v>0</v>
      </c>
      <c r="J384" s="78">
        <f t="shared" si="844"/>
        <v>0</v>
      </c>
      <c r="K384" s="78">
        <f t="shared" si="844"/>
        <v>0</v>
      </c>
      <c r="L384" s="78">
        <f t="shared" si="844"/>
        <v>0</v>
      </c>
      <c r="M384" s="78">
        <f t="shared" si="844"/>
        <v>0</v>
      </c>
      <c r="N384" s="78">
        <f t="shared" si="844"/>
        <v>0</v>
      </c>
      <c r="O384" s="145">
        <f t="shared" ref="O384:O400" si="845">SUM(D384:N384)</f>
        <v>0</v>
      </c>
      <c r="R384" s="201"/>
      <c r="S384" s="78">
        <f t="shared" ref="S384:AX384" si="846">MAX(S138+S140+S161+S163+S184+S186,)</f>
        <v>0</v>
      </c>
      <c r="T384" s="78">
        <f t="shared" si="846"/>
        <v>0</v>
      </c>
      <c r="U384" s="78">
        <f t="shared" si="846"/>
        <v>0</v>
      </c>
      <c r="V384" s="78">
        <f t="shared" si="846"/>
        <v>0</v>
      </c>
      <c r="W384" s="78">
        <f t="shared" si="846"/>
        <v>0</v>
      </c>
      <c r="X384" s="78">
        <f t="shared" si="846"/>
        <v>0</v>
      </c>
      <c r="Y384" s="78">
        <f t="shared" si="846"/>
        <v>0</v>
      </c>
      <c r="Z384" s="78">
        <f t="shared" si="846"/>
        <v>0</v>
      </c>
      <c r="AA384" s="78">
        <f t="shared" si="846"/>
        <v>0</v>
      </c>
      <c r="AB384" s="78">
        <f t="shared" si="846"/>
        <v>0</v>
      </c>
      <c r="AC384" s="78">
        <f t="shared" si="846"/>
        <v>0</v>
      </c>
      <c r="AD384" s="78">
        <f t="shared" si="846"/>
        <v>0</v>
      </c>
      <c r="AE384" s="78">
        <f t="shared" si="846"/>
        <v>0</v>
      </c>
      <c r="AF384" s="78">
        <f t="shared" si="846"/>
        <v>0</v>
      </c>
      <c r="AG384" s="78">
        <f t="shared" si="846"/>
        <v>0</v>
      </c>
      <c r="AH384" s="78">
        <f t="shared" si="846"/>
        <v>0</v>
      </c>
      <c r="AI384" s="78">
        <f t="shared" si="846"/>
        <v>0</v>
      </c>
      <c r="AJ384" s="78">
        <f t="shared" si="846"/>
        <v>0</v>
      </c>
      <c r="AK384" s="78">
        <f t="shared" si="846"/>
        <v>0</v>
      </c>
      <c r="AL384" s="78">
        <f t="shared" si="846"/>
        <v>0</v>
      </c>
      <c r="AM384" s="78">
        <f t="shared" si="846"/>
        <v>0</v>
      </c>
      <c r="AN384" s="78">
        <f t="shared" si="846"/>
        <v>0</v>
      </c>
      <c r="AO384" s="78">
        <f t="shared" si="846"/>
        <v>0</v>
      </c>
      <c r="AP384" s="78">
        <f t="shared" si="846"/>
        <v>0</v>
      </c>
      <c r="AQ384" s="78">
        <f t="shared" si="846"/>
        <v>0</v>
      </c>
      <c r="AR384" s="78">
        <f t="shared" si="846"/>
        <v>0</v>
      </c>
      <c r="AS384" s="78">
        <f t="shared" si="846"/>
        <v>0</v>
      </c>
      <c r="AT384" s="78">
        <f t="shared" si="846"/>
        <v>0</v>
      </c>
      <c r="AU384" s="78">
        <f t="shared" si="846"/>
        <v>0</v>
      </c>
      <c r="AV384" s="78">
        <f t="shared" si="846"/>
        <v>0</v>
      </c>
      <c r="AW384" s="78">
        <f t="shared" si="846"/>
        <v>0</v>
      </c>
      <c r="AX384" s="78">
        <f t="shared" si="846"/>
        <v>0</v>
      </c>
      <c r="AY384" s="78">
        <f t="shared" ref="AY384:CD384" si="847">MAX(AY138+AY140+AY161+AY163+AY184+AY186,)</f>
        <v>0</v>
      </c>
      <c r="AZ384" s="78">
        <f t="shared" si="847"/>
        <v>0</v>
      </c>
      <c r="BA384" s="78">
        <f t="shared" si="847"/>
        <v>0</v>
      </c>
      <c r="BB384" s="78">
        <f t="shared" si="847"/>
        <v>0</v>
      </c>
      <c r="BC384" s="78">
        <f t="shared" si="847"/>
        <v>0</v>
      </c>
      <c r="BD384" s="78">
        <f t="shared" si="847"/>
        <v>0</v>
      </c>
      <c r="BE384" s="78">
        <f t="shared" si="847"/>
        <v>0</v>
      </c>
      <c r="BF384" s="78">
        <f t="shared" si="847"/>
        <v>0</v>
      </c>
      <c r="BG384" s="78">
        <f t="shared" si="847"/>
        <v>0</v>
      </c>
      <c r="BH384" s="78">
        <f t="shared" si="847"/>
        <v>0</v>
      </c>
      <c r="BI384" s="78">
        <f t="shared" si="847"/>
        <v>0</v>
      </c>
      <c r="BJ384" s="78">
        <f t="shared" si="847"/>
        <v>0</v>
      </c>
      <c r="BK384" s="78">
        <f t="shared" si="847"/>
        <v>0</v>
      </c>
      <c r="BL384" s="78">
        <f t="shared" si="847"/>
        <v>0</v>
      </c>
      <c r="BM384" s="78">
        <f t="shared" si="847"/>
        <v>0</v>
      </c>
      <c r="BN384" s="78">
        <f t="shared" si="847"/>
        <v>0</v>
      </c>
      <c r="BO384" s="78">
        <f t="shared" si="847"/>
        <v>0</v>
      </c>
      <c r="BP384" s="78">
        <f t="shared" si="847"/>
        <v>0</v>
      </c>
      <c r="BQ384" s="78">
        <f t="shared" si="847"/>
        <v>0</v>
      </c>
      <c r="BR384" s="78">
        <f t="shared" si="847"/>
        <v>0</v>
      </c>
      <c r="BS384" s="78">
        <f t="shared" si="847"/>
        <v>0</v>
      </c>
      <c r="BT384" s="78">
        <f t="shared" si="847"/>
        <v>0</v>
      </c>
      <c r="BU384" s="78">
        <f t="shared" si="847"/>
        <v>0</v>
      </c>
      <c r="BV384" s="78">
        <f t="shared" si="847"/>
        <v>0</v>
      </c>
      <c r="BW384" s="78">
        <f t="shared" si="847"/>
        <v>0</v>
      </c>
      <c r="BX384" s="78">
        <f t="shared" si="847"/>
        <v>0</v>
      </c>
      <c r="BY384" s="78">
        <f t="shared" si="847"/>
        <v>0</v>
      </c>
      <c r="BZ384" s="78">
        <f t="shared" si="847"/>
        <v>0</v>
      </c>
      <c r="CA384" s="78">
        <f t="shared" si="847"/>
        <v>0</v>
      </c>
      <c r="CB384" s="78">
        <f t="shared" si="847"/>
        <v>0</v>
      </c>
      <c r="CC384" s="78">
        <f t="shared" si="847"/>
        <v>0</v>
      </c>
      <c r="CD384" s="78">
        <f t="shared" si="847"/>
        <v>0</v>
      </c>
      <c r="CE384" s="78">
        <f t="shared" ref="CE384:DJ384" si="848">MAX(CE138+CE140+CE161+CE163+CE184+CE186,)</f>
        <v>0</v>
      </c>
      <c r="CF384" s="78">
        <f t="shared" si="848"/>
        <v>0</v>
      </c>
      <c r="CG384" s="78">
        <f t="shared" si="848"/>
        <v>0</v>
      </c>
      <c r="CH384" s="78">
        <f t="shared" si="848"/>
        <v>0</v>
      </c>
      <c r="CI384" s="78">
        <f t="shared" si="848"/>
        <v>0</v>
      </c>
      <c r="CJ384" s="78">
        <f t="shared" si="848"/>
        <v>0</v>
      </c>
      <c r="CK384" s="78">
        <f t="shared" si="848"/>
        <v>0</v>
      </c>
      <c r="CL384" s="78">
        <f t="shared" si="848"/>
        <v>0</v>
      </c>
      <c r="CM384" s="78">
        <f t="shared" si="848"/>
        <v>0</v>
      </c>
      <c r="CN384" s="78">
        <f t="shared" si="848"/>
        <v>0</v>
      </c>
      <c r="CO384" s="78">
        <f t="shared" si="848"/>
        <v>0</v>
      </c>
      <c r="CP384" s="78">
        <f t="shared" si="848"/>
        <v>0</v>
      </c>
      <c r="CQ384" s="78">
        <f t="shared" si="848"/>
        <v>0</v>
      </c>
      <c r="CR384" s="78">
        <f t="shared" si="848"/>
        <v>0</v>
      </c>
      <c r="CS384" s="78">
        <f t="shared" si="848"/>
        <v>0</v>
      </c>
      <c r="CT384" s="78">
        <f t="shared" si="848"/>
        <v>0</v>
      </c>
      <c r="CU384" s="78">
        <f t="shared" si="848"/>
        <v>0</v>
      </c>
      <c r="CV384" s="78">
        <f t="shared" si="848"/>
        <v>0</v>
      </c>
      <c r="CW384" s="78">
        <f t="shared" si="848"/>
        <v>0</v>
      </c>
      <c r="CX384" s="78">
        <f t="shared" si="848"/>
        <v>0</v>
      </c>
      <c r="CY384" s="78">
        <f t="shared" si="848"/>
        <v>0</v>
      </c>
      <c r="CZ384" s="78">
        <f t="shared" si="848"/>
        <v>0</v>
      </c>
      <c r="DA384" s="78">
        <f t="shared" si="848"/>
        <v>0</v>
      </c>
      <c r="DB384" s="78">
        <f t="shared" si="848"/>
        <v>0</v>
      </c>
      <c r="DC384" s="78">
        <f t="shared" si="848"/>
        <v>0</v>
      </c>
      <c r="DD384" s="78">
        <f t="shared" si="848"/>
        <v>0</v>
      </c>
      <c r="DE384" s="78">
        <f t="shared" si="848"/>
        <v>0</v>
      </c>
      <c r="DF384" s="78">
        <f t="shared" si="848"/>
        <v>0</v>
      </c>
      <c r="DG384" s="78">
        <f t="shared" si="848"/>
        <v>0</v>
      </c>
      <c r="DH384" s="78">
        <f t="shared" si="848"/>
        <v>0</v>
      </c>
      <c r="DI384" s="78">
        <f t="shared" si="848"/>
        <v>0</v>
      </c>
      <c r="DJ384" s="78">
        <f t="shared" si="848"/>
        <v>0</v>
      </c>
      <c r="DK384" s="78">
        <f t="shared" ref="DK384:EI384" si="849">MAX(DK138+DK140+DK161+DK163+DK184+DK186,)</f>
        <v>0</v>
      </c>
      <c r="DL384" s="78">
        <f t="shared" si="849"/>
        <v>0</v>
      </c>
      <c r="DM384" s="78">
        <f t="shared" si="849"/>
        <v>0</v>
      </c>
      <c r="DN384" s="78">
        <f t="shared" si="849"/>
        <v>0</v>
      </c>
      <c r="DO384" s="78">
        <f t="shared" si="849"/>
        <v>0</v>
      </c>
      <c r="DP384" s="78">
        <f t="shared" si="849"/>
        <v>0</v>
      </c>
      <c r="DQ384" s="78">
        <f t="shared" si="849"/>
        <v>0</v>
      </c>
      <c r="DR384" s="78">
        <f t="shared" si="849"/>
        <v>0</v>
      </c>
      <c r="DS384" s="78">
        <f t="shared" si="849"/>
        <v>0</v>
      </c>
      <c r="DT384" s="78">
        <f t="shared" si="849"/>
        <v>0</v>
      </c>
      <c r="DU384" s="78">
        <f t="shared" si="849"/>
        <v>0</v>
      </c>
      <c r="DV384" s="78">
        <f t="shared" si="849"/>
        <v>0</v>
      </c>
      <c r="DW384" s="78">
        <f t="shared" si="849"/>
        <v>0</v>
      </c>
      <c r="DX384" s="78">
        <f t="shared" si="849"/>
        <v>0</v>
      </c>
      <c r="DY384" s="78">
        <f t="shared" si="849"/>
        <v>0</v>
      </c>
      <c r="DZ384" s="78">
        <f t="shared" si="849"/>
        <v>0</v>
      </c>
      <c r="EA384" s="78">
        <f t="shared" si="849"/>
        <v>0</v>
      </c>
      <c r="EB384" s="78">
        <f t="shared" si="849"/>
        <v>0</v>
      </c>
      <c r="EC384" s="78">
        <f t="shared" si="849"/>
        <v>0</v>
      </c>
      <c r="ED384" s="78">
        <f t="shared" si="849"/>
        <v>0</v>
      </c>
      <c r="EE384" s="78">
        <f t="shared" si="849"/>
        <v>0</v>
      </c>
      <c r="EF384" s="78">
        <f t="shared" si="849"/>
        <v>0</v>
      </c>
      <c r="EG384" s="78">
        <f t="shared" si="849"/>
        <v>0</v>
      </c>
      <c r="EH384" s="78">
        <f t="shared" si="849"/>
        <v>0</v>
      </c>
      <c r="EI384" s="78">
        <f t="shared" si="849"/>
        <v>0</v>
      </c>
    </row>
    <row r="385" spans="2:139">
      <c r="B385" s="41" t="s">
        <v>658</v>
      </c>
      <c r="C385" s="211"/>
      <c r="D385" s="78">
        <f t="shared" ref="D385:N385" si="850">IF(IrrCalculationType=170,-MIN(SUM(D360:D362),D384),SUMIF($S$6:$EI$6,D$5,$S385:$EI385))</f>
        <v>0</v>
      </c>
      <c r="E385" s="78">
        <f t="shared" si="850"/>
        <v>0</v>
      </c>
      <c r="F385" s="78">
        <f t="shared" si="850"/>
        <v>0</v>
      </c>
      <c r="G385" s="78">
        <f t="shared" si="850"/>
        <v>0</v>
      </c>
      <c r="H385" s="78">
        <f t="shared" si="850"/>
        <v>0</v>
      </c>
      <c r="I385" s="78">
        <f t="shared" si="850"/>
        <v>0</v>
      </c>
      <c r="J385" s="78">
        <f t="shared" si="850"/>
        <v>0</v>
      </c>
      <c r="K385" s="78">
        <f t="shared" si="850"/>
        <v>0</v>
      </c>
      <c r="L385" s="78">
        <f t="shared" si="850"/>
        <v>0</v>
      </c>
      <c r="M385" s="78">
        <f t="shared" si="850"/>
        <v>0</v>
      </c>
      <c r="N385" s="78">
        <f t="shared" si="850"/>
        <v>0</v>
      </c>
      <c r="O385" s="145">
        <f t="shared" si="845"/>
        <v>0</v>
      </c>
      <c r="R385" s="201"/>
      <c r="S385" s="78">
        <f t="shared" ref="S385:AX385" si="851">-MIN(SUM(S360:S362),S384)</f>
        <v>0</v>
      </c>
      <c r="T385" s="78">
        <f t="shared" si="851"/>
        <v>0</v>
      </c>
      <c r="U385" s="78">
        <f t="shared" si="851"/>
        <v>0</v>
      </c>
      <c r="V385" s="78">
        <f t="shared" si="851"/>
        <v>0</v>
      </c>
      <c r="W385" s="78">
        <f t="shared" si="851"/>
        <v>0</v>
      </c>
      <c r="X385" s="78">
        <f t="shared" si="851"/>
        <v>0</v>
      </c>
      <c r="Y385" s="78">
        <f t="shared" si="851"/>
        <v>0</v>
      </c>
      <c r="Z385" s="78">
        <f t="shared" si="851"/>
        <v>0</v>
      </c>
      <c r="AA385" s="78">
        <f t="shared" si="851"/>
        <v>0</v>
      </c>
      <c r="AB385" s="78">
        <f t="shared" si="851"/>
        <v>0</v>
      </c>
      <c r="AC385" s="78">
        <f t="shared" si="851"/>
        <v>0</v>
      </c>
      <c r="AD385" s="78">
        <f t="shared" si="851"/>
        <v>0</v>
      </c>
      <c r="AE385" s="78">
        <f t="shared" si="851"/>
        <v>0</v>
      </c>
      <c r="AF385" s="78">
        <f t="shared" si="851"/>
        <v>0</v>
      </c>
      <c r="AG385" s="78">
        <f t="shared" si="851"/>
        <v>0</v>
      </c>
      <c r="AH385" s="78">
        <f t="shared" si="851"/>
        <v>0</v>
      </c>
      <c r="AI385" s="78">
        <f t="shared" si="851"/>
        <v>0</v>
      </c>
      <c r="AJ385" s="78">
        <f t="shared" si="851"/>
        <v>0</v>
      </c>
      <c r="AK385" s="78">
        <f t="shared" si="851"/>
        <v>0</v>
      </c>
      <c r="AL385" s="78">
        <f t="shared" si="851"/>
        <v>0</v>
      </c>
      <c r="AM385" s="78">
        <f t="shared" si="851"/>
        <v>0</v>
      </c>
      <c r="AN385" s="78">
        <f t="shared" si="851"/>
        <v>0</v>
      </c>
      <c r="AO385" s="78">
        <f t="shared" si="851"/>
        <v>0</v>
      </c>
      <c r="AP385" s="78">
        <f t="shared" si="851"/>
        <v>0</v>
      </c>
      <c r="AQ385" s="78">
        <f t="shared" si="851"/>
        <v>0</v>
      </c>
      <c r="AR385" s="78">
        <f t="shared" si="851"/>
        <v>0</v>
      </c>
      <c r="AS385" s="78">
        <f t="shared" si="851"/>
        <v>0</v>
      </c>
      <c r="AT385" s="78">
        <f t="shared" si="851"/>
        <v>0</v>
      </c>
      <c r="AU385" s="78">
        <f t="shared" si="851"/>
        <v>0</v>
      </c>
      <c r="AV385" s="78">
        <f t="shared" si="851"/>
        <v>0</v>
      </c>
      <c r="AW385" s="78">
        <f t="shared" si="851"/>
        <v>0</v>
      </c>
      <c r="AX385" s="78">
        <f t="shared" si="851"/>
        <v>0</v>
      </c>
      <c r="AY385" s="78">
        <f t="shared" ref="AY385:CD385" si="852">-MIN(SUM(AY360:AY362),AY384)</f>
        <v>0</v>
      </c>
      <c r="AZ385" s="78">
        <f t="shared" si="852"/>
        <v>0</v>
      </c>
      <c r="BA385" s="78">
        <f t="shared" si="852"/>
        <v>0</v>
      </c>
      <c r="BB385" s="78">
        <f t="shared" si="852"/>
        <v>0</v>
      </c>
      <c r="BC385" s="78">
        <f t="shared" si="852"/>
        <v>0</v>
      </c>
      <c r="BD385" s="78">
        <f t="shared" si="852"/>
        <v>0</v>
      </c>
      <c r="BE385" s="78">
        <f t="shared" si="852"/>
        <v>0</v>
      </c>
      <c r="BF385" s="78">
        <f t="shared" si="852"/>
        <v>0</v>
      </c>
      <c r="BG385" s="78">
        <f t="shared" si="852"/>
        <v>0</v>
      </c>
      <c r="BH385" s="78">
        <f t="shared" si="852"/>
        <v>0</v>
      </c>
      <c r="BI385" s="78">
        <f t="shared" si="852"/>
        <v>0</v>
      </c>
      <c r="BJ385" s="78">
        <f t="shared" si="852"/>
        <v>0</v>
      </c>
      <c r="BK385" s="78">
        <f t="shared" si="852"/>
        <v>0</v>
      </c>
      <c r="BL385" s="78">
        <f t="shared" si="852"/>
        <v>0</v>
      </c>
      <c r="BM385" s="78">
        <f t="shared" si="852"/>
        <v>0</v>
      </c>
      <c r="BN385" s="78">
        <f t="shared" si="852"/>
        <v>0</v>
      </c>
      <c r="BO385" s="78">
        <f t="shared" si="852"/>
        <v>0</v>
      </c>
      <c r="BP385" s="78">
        <f t="shared" si="852"/>
        <v>0</v>
      </c>
      <c r="BQ385" s="78">
        <f t="shared" si="852"/>
        <v>0</v>
      </c>
      <c r="BR385" s="78">
        <f t="shared" si="852"/>
        <v>0</v>
      </c>
      <c r="BS385" s="78">
        <f t="shared" si="852"/>
        <v>0</v>
      </c>
      <c r="BT385" s="78">
        <f t="shared" si="852"/>
        <v>0</v>
      </c>
      <c r="BU385" s="78">
        <f t="shared" si="852"/>
        <v>0</v>
      </c>
      <c r="BV385" s="78">
        <f t="shared" si="852"/>
        <v>0</v>
      </c>
      <c r="BW385" s="78">
        <f t="shared" si="852"/>
        <v>0</v>
      </c>
      <c r="BX385" s="78">
        <f t="shared" si="852"/>
        <v>0</v>
      </c>
      <c r="BY385" s="78">
        <f t="shared" si="852"/>
        <v>0</v>
      </c>
      <c r="BZ385" s="78">
        <f t="shared" si="852"/>
        <v>0</v>
      </c>
      <c r="CA385" s="78">
        <f t="shared" si="852"/>
        <v>0</v>
      </c>
      <c r="CB385" s="78">
        <f t="shared" si="852"/>
        <v>0</v>
      </c>
      <c r="CC385" s="78">
        <f t="shared" si="852"/>
        <v>0</v>
      </c>
      <c r="CD385" s="78">
        <f t="shared" si="852"/>
        <v>0</v>
      </c>
      <c r="CE385" s="78">
        <f t="shared" ref="CE385:DJ385" si="853">-MIN(SUM(CE360:CE362),CE384)</f>
        <v>0</v>
      </c>
      <c r="CF385" s="78">
        <f t="shared" si="853"/>
        <v>0</v>
      </c>
      <c r="CG385" s="78">
        <f t="shared" si="853"/>
        <v>0</v>
      </c>
      <c r="CH385" s="78">
        <f t="shared" si="853"/>
        <v>0</v>
      </c>
      <c r="CI385" s="78">
        <f t="shared" si="853"/>
        <v>0</v>
      </c>
      <c r="CJ385" s="78">
        <f t="shared" si="853"/>
        <v>0</v>
      </c>
      <c r="CK385" s="78">
        <f t="shared" si="853"/>
        <v>0</v>
      </c>
      <c r="CL385" s="78">
        <f t="shared" si="853"/>
        <v>0</v>
      </c>
      <c r="CM385" s="78">
        <f t="shared" si="853"/>
        <v>0</v>
      </c>
      <c r="CN385" s="78">
        <f t="shared" si="853"/>
        <v>0</v>
      </c>
      <c r="CO385" s="78">
        <f t="shared" si="853"/>
        <v>0</v>
      </c>
      <c r="CP385" s="78">
        <f t="shared" si="853"/>
        <v>0</v>
      </c>
      <c r="CQ385" s="78">
        <f t="shared" si="853"/>
        <v>0</v>
      </c>
      <c r="CR385" s="78">
        <f t="shared" si="853"/>
        <v>0</v>
      </c>
      <c r="CS385" s="78">
        <f t="shared" si="853"/>
        <v>0</v>
      </c>
      <c r="CT385" s="78">
        <f t="shared" si="853"/>
        <v>0</v>
      </c>
      <c r="CU385" s="78">
        <f t="shared" si="853"/>
        <v>0</v>
      </c>
      <c r="CV385" s="78">
        <f t="shared" si="853"/>
        <v>0</v>
      </c>
      <c r="CW385" s="78">
        <f t="shared" si="853"/>
        <v>0</v>
      </c>
      <c r="CX385" s="78">
        <f t="shared" si="853"/>
        <v>0</v>
      </c>
      <c r="CY385" s="78">
        <f t="shared" si="853"/>
        <v>0</v>
      </c>
      <c r="CZ385" s="78">
        <f t="shared" si="853"/>
        <v>0</v>
      </c>
      <c r="DA385" s="78">
        <f t="shared" si="853"/>
        <v>0</v>
      </c>
      <c r="DB385" s="78">
        <f t="shared" si="853"/>
        <v>0</v>
      </c>
      <c r="DC385" s="78">
        <f t="shared" si="853"/>
        <v>0</v>
      </c>
      <c r="DD385" s="78">
        <f t="shared" si="853"/>
        <v>0</v>
      </c>
      <c r="DE385" s="78">
        <f t="shared" si="853"/>
        <v>0</v>
      </c>
      <c r="DF385" s="78">
        <f t="shared" si="853"/>
        <v>0</v>
      </c>
      <c r="DG385" s="78">
        <f t="shared" si="853"/>
        <v>0</v>
      </c>
      <c r="DH385" s="78">
        <f t="shared" si="853"/>
        <v>0</v>
      </c>
      <c r="DI385" s="78">
        <f t="shared" si="853"/>
        <v>0</v>
      </c>
      <c r="DJ385" s="78">
        <f t="shared" si="853"/>
        <v>0</v>
      </c>
      <c r="DK385" s="78">
        <f t="shared" ref="DK385:EP385" si="854">-MIN(SUM(DK360:DK362),DK384)</f>
        <v>0</v>
      </c>
      <c r="DL385" s="78">
        <f t="shared" si="854"/>
        <v>0</v>
      </c>
      <c r="DM385" s="78">
        <f t="shared" si="854"/>
        <v>0</v>
      </c>
      <c r="DN385" s="78">
        <f t="shared" si="854"/>
        <v>0</v>
      </c>
      <c r="DO385" s="78">
        <f t="shared" si="854"/>
        <v>0</v>
      </c>
      <c r="DP385" s="78">
        <f t="shared" si="854"/>
        <v>0</v>
      </c>
      <c r="DQ385" s="78">
        <f t="shared" si="854"/>
        <v>0</v>
      </c>
      <c r="DR385" s="78">
        <f t="shared" si="854"/>
        <v>0</v>
      </c>
      <c r="DS385" s="78">
        <f t="shared" si="854"/>
        <v>0</v>
      </c>
      <c r="DT385" s="78">
        <f t="shared" si="854"/>
        <v>0</v>
      </c>
      <c r="DU385" s="78">
        <f t="shared" si="854"/>
        <v>0</v>
      </c>
      <c r="DV385" s="78">
        <f t="shared" si="854"/>
        <v>0</v>
      </c>
      <c r="DW385" s="78">
        <f t="shared" si="854"/>
        <v>0</v>
      </c>
      <c r="DX385" s="78">
        <f t="shared" si="854"/>
        <v>0</v>
      </c>
      <c r="DY385" s="78">
        <f t="shared" si="854"/>
        <v>0</v>
      </c>
      <c r="DZ385" s="78">
        <f t="shared" si="854"/>
        <v>0</v>
      </c>
      <c r="EA385" s="78">
        <f t="shared" si="854"/>
        <v>0</v>
      </c>
      <c r="EB385" s="78">
        <f t="shared" si="854"/>
        <v>0</v>
      </c>
      <c r="EC385" s="78">
        <f t="shared" si="854"/>
        <v>0</v>
      </c>
      <c r="ED385" s="78">
        <f t="shared" si="854"/>
        <v>0</v>
      </c>
      <c r="EE385" s="78">
        <f t="shared" si="854"/>
        <v>0</v>
      </c>
      <c r="EF385" s="78">
        <f t="shared" si="854"/>
        <v>0</v>
      </c>
      <c r="EG385" s="78">
        <f t="shared" si="854"/>
        <v>0</v>
      </c>
      <c r="EH385" s="78">
        <f t="shared" si="854"/>
        <v>0</v>
      </c>
      <c r="EI385" s="78">
        <f t="shared" si="854"/>
        <v>0</v>
      </c>
    </row>
    <row r="386" spans="2:139">
      <c r="B386" s="41" t="s">
        <v>668</v>
      </c>
      <c r="C386" s="211"/>
      <c r="D386" s="78">
        <f t="shared" ref="D386:N386" si="855">IF(IrrCalculationType=170,MAX(D206+D208,),SUMIF($S$6:$EI$6,D$5,$S386:$EI386))</f>
        <v>0</v>
      </c>
      <c r="E386" s="78">
        <f t="shared" si="855"/>
        <v>0</v>
      </c>
      <c r="F386" s="78">
        <f t="shared" si="855"/>
        <v>0</v>
      </c>
      <c r="G386" s="78">
        <f t="shared" si="855"/>
        <v>0</v>
      </c>
      <c r="H386" s="78">
        <f t="shared" si="855"/>
        <v>0</v>
      </c>
      <c r="I386" s="78">
        <f t="shared" si="855"/>
        <v>0</v>
      </c>
      <c r="J386" s="78">
        <f t="shared" si="855"/>
        <v>0</v>
      </c>
      <c r="K386" s="78">
        <f t="shared" si="855"/>
        <v>0</v>
      </c>
      <c r="L386" s="78">
        <f t="shared" si="855"/>
        <v>0</v>
      </c>
      <c r="M386" s="78">
        <f t="shared" si="855"/>
        <v>0</v>
      </c>
      <c r="N386" s="78">
        <f t="shared" si="855"/>
        <v>0</v>
      </c>
      <c r="O386" s="145">
        <f t="shared" si="845"/>
        <v>0</v>
      </c>
      <c r="R386" s="201"/>
      <c r="S386" s="78">
        <f t="shared" ref="S386:AX386" si="856">MAX(S206+S208,)</f>
        <v>0</v>
      </c>
      <c r="T386" s="78">
        <f t="shared" si="856"/>
        <v>0</v>
      </c>
      <c r="U386" s="78">
        <f t="shared" si="856"/>
        <v>0</v>
      </c>
      <c r="V386" s="78">
        <f t="shared" si="856"/>
        <v>0</v>
      </c>
      <c r="W386" s="78">
        <f t="shared" si="856"/>
        <v>0</v>
      </c>
      <c r="X386" s="78">
        <f t="shared" si="856"/>
        <v>0</v>
      </c>
      <c r="Y386" s="78">
        <f t="shared" si="856"/>
        <v>0</v>
      </c>
      <c r="Z386" s="78">
        <f t="shared" si="856"/>
        <v>0</v>
      </c>
      <c r="AA386" s="78">
        <f t="shared" si="856"/>
        <v>0</v>
      </c>
      <c r="AB386" s="78">
        <f t="shared" si="856"/>
        <v>0</v>
      </c>
      <c r="AC386" s="78">
        <f t="shared" si="856"/>
        <v>0</v>
      </c>
      <c r="AD386" s="78">
        <f t="shared" si="856"/>
        <v>0</v>
      </c>
      <c r="AE386" s="78">
        <f t="shared" si="856"/>
        <v>0</v>
      </c>
      <c r="AF386" s="78">
        <f t="shared" si="856"/>
        <v>0</v>
      </c>
      <c r="AG386" s="78">
        <f t="shared" si="856"/>
        <v>0</v>
      </c>
      <c r="AH386" s="78">
        <f t="shared" si="856"/>
        <v>0</v>
      </c>
      <c r="AI386" s="78">
        <f t="shared" si="856"/>
        <v>0</v>
      </c>
      <c r="AJ386" s="78">
        <f t="shared" si="856"/>
        <v>0</v>
      </c>
      <c r="AK386" s="78">
        <f t="shared" si="856"/>
        <v>0</v>
      </c>
      <c r="AL386" s="78">
        <f t="shared" si="856"/>
        <v>0</v>
      </c>
      <c r="AM386" s="78">
        <f t="shared" si="856"/>
        <v>0</v>
      </c>
      <c r="AN386" s="78">
        <f t="shared" si="856"/>
        <v>0</v>
      </c>
      <c r="AO386" s="78">
        <f t="shared" si="856"/>
        <v>0</v>
      </c>
      <c r="AP386" s="78">
        <f t="shared" si="856"/>
        <v>0</v>
      </c>
      <c r="AQ386" s="78">
        <f t="shared" si="856"/>
        <v>0</v>
      </c>
      <c r="AR386" s="78">
        <f t="shared" si="856"/>
        <v>0</v>
      </c>
      <c r="AS386" s="78">
        <f t="shared" si="856"/>
        <v>0</v>
      </c>
      <c r="AT386" s="78">
        <f t="shared" si="856"/>
        <v>0</v>
      </c>
      <c r="AU386" s="78">
        <f t="shared" si="856"/>
        <v>0</v>
      </c>
      <c r="AV386" s="78">
        <f t="shared" si="856"/>
        <v>0</v>
      </c>
      <c r="AW386" s="78">
        <f t="shared" si="856"/>
        <v>0</v>
      </c>
      <c r="AX386" s="78">
        <f t="shared" si="856"/>
        <v>0</v>
      </c>
      <c r="AY386" s="78">
        <f t="shared" ref="AY386:CD386" si="857">MAX(AY206+AY208,)</f>
        <v>0</v>
      </c>
      <c r="AZ386" s="78">
        <f t="shared" si="857"/>
        <v>0</v>
      </c>
      <c r="BA386" s="78">
        <f t="shared" si="857"/>
        <v>0</v>
      </c>
      <c r="BB386" s="78">
        <f t="shared" si="857"/>
        <v>0</v>
      </c>
      <c r="BC386" s="78">
        <f t="shared" si="857"/>
        <v>0</v>
      </c>
      <c r="BD386" s="78">
        <f t="shared" si="857"/>
        <v>0</v>
      </c>
      <c r="BE386" s="78">
        <f t="shared" si="857"/>
        <v>0</v>
      </c>
      <c r="BF386" s="78">
        <f t="shared" si="857"/>
        <v>0</v>
      </c>
      <c r="BG386" s="78">
        <f t="shared" si="857"/>
        <v>0</v>
      </c>
      <c r="BH386" s="78">
        <f t="shared" si="857"/>
        <v>0</v>
      </c>
      <c r="BI386" s="78">
        <f t="shared" si="857"/>
        <v>0</v>
      </c>
      <c r="BJ386" s="78">
        <f t="shared" si="857"/>
        <v>0</v>
      </c>
      <c r="BK386" s="78">
        <f t="shared" si="857"/>
        <v>0</v>
      </c>
      <c r="BL386" s="78">
        <f t="shared" si="857"/>
        <v>0</v>
      </c>
      <c r="BM386" s="78">
        <f t="shared" si="857"/>
        <v>0</v>
      </c>
      <c r="BN386" s="78">
        <f t="shared" si="857"/>
        <v>0</v>
      </c>
      <c r="BO386" s="78">
        <f t="shared" si="857"/>
        <v>0</v>
      </c>
      <c r="BP386" s="78">
        <f t="shared" si="857"/>
        <v>0</v>
      </c>
      <c r="BQ386" s="78">
        <f t="shared" si="857"/>
        <v>0</v>
      </c>
      <c r="BR386" s="78">
        <f t="shared" si="857"/>
        <v>0</v>
      </c>
      <c r="BS386" s="78">
        <f t="shared" si="857"/>
        <v>0</v>
      </c>
      <c r="BT386" s="78">
        <f t="shared" si="857"/>
        <v>0</v>
      </c>
      <c r="BU386" s="78">
        <f t="shared" si="857"/>
        <v>0</v>
      </c>
      <c r="BV386" s="78">
        <f t="shared" si="857"/>
        <v>0</v>
      </c>
      <c r="BW386" s="78">
        <f t="shared" si="857"/>
        <v>0</v>
      </c>
      <c r="BX386" s="78">
        <f t="shared" si="857"/>
        <v>0</v>
      </c>
      <c r="BY386" s="78">
        <f t="shared" si="857"/>
        <v>0</v>
      </c>
      <c r="BZ386" s="78">
        <f t="shared" si="857"/>
        <v>0</v>
      </c>
      <c r="CA386" s="78">
        <f t="shared" si="857"/>
        <v>0</v>
      </c>
      <c r="CB386" s="78">
        <f t="shared" si="857"/>
        <v>0</v>
      </c>
      <c r="CC386" s="78">
        <f t="shared" si="857"/>
        <v>0</v>
      </c>
      <c r="CD386" s="78">
        <f t="shared" si="857"/>
        <v>0</v>
      </c>
      <c r="CE386" s="78">
        <f t="shared" ref="CE386:DJ386" si="858">MAX(CE206+CE208,)</f>
        <v>0</v>
      </c>
      <c r="CF386" s="78">
        <f t="shared" si="858"/>
        <v>0</v>
      </c>
      <c r="CG386" s="78">
        <f t="shared" si="858"/>
        <v>0</v>
      </c>
      <c r="CH386" s="78">
        <f t="shared" si="858"/>
        <v>0</v>
      </c>
      <c r="CI386" s="78">
        <f t="shared" si="858"/>
        <v>0</v>
      </c>
      <c r="CJ386" s="78">
        <f t="shared" si="858"/>
        <v>0</v>
      </c>
      <c r="CK386" s="78">
        <f t="shared" si="858"/>
        <v>0</v>
      </c>
      <c r="CL386" s="78">
        <f t="shared" si="858"/>
        <v>0</v>
      </c>
      <c r="CM386" s="78">
        <f t="shared" si="858"/>
        <v>0</v>
      </c>
      <c r="CN386" s="78">
        <f t="shared" si="858"/>
        <v>0</v>
      </c>
      <c r="CO386" s="78">
        <f t="shared" si="858"/>
        <v>0</v>
      </c>
      <c r="CP386" s="78">
        <f t="shared" si="858"/>
        <v>0</v>
      </c>
      <c r="CQ386" s="78">
        <f t="shared" si="858"/>
        <v>0</v>
      </c>
      <c r="CR386" s="78">
        <f t="shared" si="858"/>
        <v>0</v>
      </c>
      <c r="CS386" s="78">
        <f t="shared" si="858"/>
        <v>0</v>
      </c>
      <c r="CT386" s="78">
        <f t="shared" si="858"/>
        <v>0</v>
      </c>
      <c r="CU386" s="78">
        <f t="shared" si="858"/>
        <v>0</v>
      </c>
      <c r="CV386" s="78">
        <f t="shared" si="858"/>
        <v>0</v>
      </c>
      <c r="CW386" s="78">
        <f t="shared" si="858"/>
        <v>0</v>
      </c>
      <c r="CX386" s="78">
        <f t="shared" si="858"/>
        <v>0</v>
      </c>
      <c r="CY386" s="78">
        <f t="shared" si="858"/>
        <v>0</v>
      </c>
      <c r="CZ386" s="78">
        <f t="shared" si="858"/>
        <v>0</v>
      </c>
      <c r="DA386" s="78">
        <f t="shared" si="858"/>
        <v>0</v>
      </c>
      <c r="DB386" s="78">
        <f t="shared" si="858"/>
        <v>0</v>
      </c>
      <c r="DC386" s="78">
        <f t="shared" si="858"/>
        <v>0</v>
      </c>
      <c r="DD386" s="78">
        <f t="shared" si="858"/>
        <v>0</v>
      </c>
      <c r="DE386" s="78">
        <f t="shared" si="858"/>
        <v>0</v>
      </c>
      <c r="DF386" s="78">
        <f t="shared" si="858"/>
        <v>0</v>
      </c>
      <c r="DG386" s="78">
        <f t="shared" si="858"/>
        <v>0</v>
      </c>
      <c r="DH386" s="78">
        <f t="shared" si="858"/>
        <v>0</v>
      </c>
      <c r="DI386" s="78">
        <f t="shared" si="858"/>
        <v>0</v>
      </c>
      <c r="DJ386" s="78">
        <f t="shared" si="858"/>
        <v>0</v>
      </c>
      <c r="DK386" s="78">
        <f t="shared" ref="DK386:EI386" si="859">MAX(DK206+DK208,)</f>
        <v>0</v>
      </c>
      <c r="DL386" s="78">
        <f t="shared" si="859"/>
        <v>0</v>
      </c>
      <c r="DM386" s="78">
        <f t="shared" si="859"/>
        <v>0</v>
      </c>
      <c r="DN386" s="78">
        <f t="shared" si="859"/>
        <v>0</v>
      </c>
      <c r="DO386" s="78">
        <f t="shared" si="859"/>
        <v>0</v>
      </c>
      <c r="DP386" s="78">
        <f t="shared" si="859"/>
        <v>0</v>
      </c>
      <c r="DQ386" s="78">
        <f t="shared" si="859"/>
        <v>0</v>
      </c>
      <c r="DR386" s="78">
        <f t="shared" si="859"/>
        <v>0</v>
      </c>
      <c r="DS386" s="78">
        <f t="shared" si="859"/>
        <v>0</v>
      </c>
      <c r="DT386" s="78">
        <f t="shared" si="859"/>
        <v>0</v>
      </c>
      <c r="DU386" s="78">
        <f t="shared" si="859"/>
        <v>0</v>
      </c>
      <c r="DV386" s="78">
        <f t="shared" si="859"/>
        <v>0</v>
      </c>
      <c r="DW386" s="78">
        <f t="shared" si="859"/>
        <v>0</v>
      </c>
      <c r="DX386" s="78">
        <f t="shared" si="859"/>
        <v>0</v>
      </c>
      <c r="DY386" s="78">
        <f t="shared" si="859"/>
        <v>0</v>
      </c>
      <c r="DZ386" s="78">
        <f t="shared" si="859"/>
        <v>0</v>
      </c>
      <c r="EA386" s="78">
        <f t="shared" si="859"/>
        <v>0</v>
      </c>
      <c r="EB386" s="78">
        <f t="shared" si="859"/>
        <v>0</v>
      </c>
      <c r="EC386" s="78">
        <f t="shared" si="859"/>
        <v>0</v>
      </c>
      <c r="ED386" s="78">
        <f t="shared" si="859"/>
        <v>0</v>
      </c>
      <c r="EE386" s="78">
        <f t="shared" si="859"/>
        <v>0</v>
      </c>
      <c r="EF386" s="78">
        <f t="shared" si="859"/>
        <v>0</v>
      </c>
      <c r="EG386" s="78">
        <f t="shared" si="859"/>
        <v>0</v>
      </c>
      <c r="EH386" s="78">
        <f t="shared" si="859"/>
        <v>0</v>
      </c>
      <c r="EI386" s="78">
        <f t="shared" si="859"/>
        <v>0</v>
      </c>
    </row>
    <row r="387" spans="2:139">
      <c r="B387" s="880" t="s">
        <v>640</v>
      </c>
      <c r="C387" s="211"/>
      <c r="D387" s="78">
        <f>IF(IrrCalculationType=170,IF(D$386&gt;0,-MIN(D342,SUM(D$386:D386)),0),SUMIF($S$6:$EI$6,D$5,$S387:$EI387))</f>
        <v>0</v>
      </c>
      <c r="E387" s="78">
        <f>IF(IrrCalculationType=170,IF(E$386&gt;0,-MIN(E342,SUM(E$386:E386)),0),SUMIF($S$6:$EI$6,E$5,$S387:$EI387))</f>
        <v>0</v>
      </c>
      <c r="F387" s="78">
        <f>IF(IrrCalculationType=170,IF(F$386&gt;0,-MIN(F342,SUM(F$386:F386)),0),SUMIF($S$6:$EI$6,F$5,$S387:$EI387))</f>
        <v>0</v>
      </c>
      <c r="G387" s="78">
        <f>IF(IrrCalculationType=170,IF(G$386&gt;0,-MIN(G342,SUM(G$386:G386)),0),SUMIF($S$6:$EI$6,G$5,$S387:$EI387))</f>
        <v>0</v>
      </c>
      <c r="H387" s="78">
        <f>IF(IrrCalculationType=170,IF(H$386&gt;0,-MIN(H342,SUM(H$386:H386)),0),SUMIF($S$6:$EI$6,H$5,$S387:$EI387))</f>
        <v>0</v>
      </c>
      <c r="I387" s="78">
        <f>IF(IrrCalculationType=170,IF(I$386&gt;0,-MIN(I342,SUM(I$386:I386)),0),SUMIF($S$6:$EI$6,I$5,$S387:$EI387))</f>
        <v>0</v>
      </c>
      <c r="J387" s="78">
        <f>IF(IrrCalculationType=170,IF(J$386&gt;0,-MIN(J342,SUM(J$386:J386)),0),SUMIF($S$6:$EI$6,J$5,$S387:$EI387))</f>
        <v>0</v>
      </c>
      <c r="K387" s="78">
        <f>IF(IrrCalculationType=170,IF(K$386&gt;0,-MIN(K342,SUM(K$386:K386)),0),SUMIF($S$6:$EI$6,K$5,$S387:$EI387))</f>
        <v>0</v>
      </c>
      <c r="L387" s="78">
        <f>IF(IrrCalculationType=170,IF(L$386&gt;0,-MIN(L342,SUM(L$386:L386)),0),SUMIF($S$6:$EI$6,L$5,$S387:$EI387))</f>
        <v>0</v>
      </c>
      <c r="M387" s="78">
        <f>IF(IrrCalculationType=170,IF(M$386&gt;0,-MIN(M342,SUM(M$386:M386)),0),SUMIF($S$6:$EI$6,M$5,$S387:$EI387))</f>
        <v>0</v>
      </c>
      <c r="N387" s="78">
        <f>IF(IrrCalculationType=170,IF(N$386&gt;0,-MIN(N342,SUM(N$386:N386)),0),SUMIF($S$6:$EI$6,N$5,$S387:$EI387))</f>
        <v>0</v>
      </c>
      <c r="O387" s="145">
        <f t="shared" si="845"/>
        <v>0</v>
      </c>
      <c r="R387" s="201"/>
      <c r="S387" s="78">
        <f>IF(S$386&gt;0,-MIN(S342,SUM(S$386:S386)),0)</f>
        <v>0</v>
      </c>
      <c r="T387" s="78">
        <f>IF(T$386&gt;0,-MIN(T342,SUM(T$386:T386)),0)</f>
        <v>0</v>
      </c>
      <c r="U387" s="78">
        <f>IF(U$386&gt;0,-MIN(U342,SUM(U$386:U386)),0)</f>
        <v>0</v>
      </c>
      <c r="V387" s="78">
        <f>IF(V$386&gt;0,-MIN(V342,SUM(V$386:V386)),0)</f>
        <v>0</v>
      </c>
      <c r="W387" s="78">
        <f>IF(W$386&gt;0,-MIN(W342,SUM(W$386:W386)),0)</f>
        <v>0</v>
      </c>
      <c r="X387" s="78">
        <f>IF(X$386&gt;0,-MIN(X342,SUM(X$386:X386)),0)</f>
        <v>0</v>
      </c>
      <c r="Y387" s="78">
        <f>IF(Y$386&gt;0,-MIN(Y342,SUM(Y$386:Y386)),0)</f>
        <v>0</v>
      </c>
      <c r="Z387" s="78">
        <f>IF(Z$386&gt;0,-MIN(Z342,SUM(Z$386:Z386)),0)</f>
        <v>0</v>
      </c>
      <c r="AA387" s="78">
        <f>IF(AA$386&gt;0,-MIN(AA342,SUM(AA$386:AA386)),0)</f>
        <v>0</v>
      </c>
      <c r="AB387" s="78">
        <f>IF(AB$386&gt;0,-MIN(AB342,SUM(AB$386:AB386)),0)</f>
        <v>0</v>
      </c>
      <c r="AC387" s="78">
        <f>IF(AC$386&gt;0,-MIN(AC342,SUM(AC$386:AC386)),0)</f>
        <v>0</v>
      </c>
      <c r="AD387" s="78">
        <f>IF(AD$386&gt;0,-MIN(AD342,SUM(AD$386:AD386)),0)</f>
        <v>0</v>
      </c>
      <c r="AE387" s="78">
        <f>IF(AE$386&gt;0,-MIN(AE342,SUM(AE$386:AE386)),0)</f>
        <v>0</v>
      </c>
      <c r="AF387" s="78">
        <f>IF(AF$386&gt;0,-MIN(AF342,SUM(AF$386:AF386)),0)</f>
        <v>0</v>
      </c>
      <c r="AG387" s="78">
        <f>IF(AG$386&gt;0,-MIN(AG342,SUM(AG$386:AG386)),0)</f>
        <v>0</v>
      </c>
      <c r="AH387" s="78">
        <f>IF(AH$386&gt;0,-MIN(AH342,SUM(AH$386:AH386)),0)</f>
        <v>0</v>
      </c>
      <c r="AI387" s="78">
        <f>IF(AI$386&gt;0,-MIN(AI342,SUM(AI$386:AI386)),0)</f>
        <v>0</v>
      </c>
      <c r="AJ387" s="78">
        <f>IF(AJ$386&gt;0,-MIN(AJ342,SUM(AJ$386:AJ386)),0)</f>
        <v>0</v>
      </c>
      <c r="AK387" s="78">
        <f>IF(AK$386&gt;0,-MIN(AK342,SUM(AK$386:AK386)),0)</f>
        <v>0</v>
      </c>
      <c r="AL387" s="78">
        <f>IF(AL$386&gt;0,-MIN(AL342,SUM(AL$386:AL386)),0)</f>
        <v>0</v>
      </c>
      <c r="AM387" s="78">
        <f>IF(AM$386&gt;0,-MIN(AM342,SUM(AM$386:AM386)),0)</f>
        <v>0</v>
      </c>
      <c r="AN387" s="78">
        <f>IF(AN$386&gt;0,-MIN(AN342,SUM(AN$386:AN386)),0)</f>
        <v>0</v>
      </c>
      <c r="AO387" s="78">
        <f>IF(AO$386&gt;0,-MIN(AO342,SUM(AO$386:AO386)),0)</f>
        <v>0</v>
      </c>
      <c r="AP387" s="78">
        <f>IF(AP$386&gt;0,-MIN(AP342,SUM(AP$386:AP386)),0)</f>
        <v>0</v>
      </c>
      <c r="AQ387" s="78">
        <f>IF(AQ$386&gt;0,-MIN(AQ342,SUM(AQ$386:AQ386)),0)</f>
        <v>0</v>
      </c>
      <c r="AR387" s="78">
        <f>IF(AR$386&gt;0,-MIN(AR342,SUM(AR$386:AR386)),0)</f>
        <v>0</v>
      </c>
      <c r="AS387" s="78">
        <f>IF(AS$386&gt;0,-MIN(AS342,SUM(AS$386:AS386)),0)</f>
        <v>0</v>
      </c>
      <c r="AT387" s="78">
        <f>IF(AT$386&gt;0,-MIN(AT342,SUM(AT$386:AT386)),0)</f>
        <v>0</v>
      </c>
      <c r="AU387" s="78">
        <f>IF(AU$386&gt;0,-MIN(AU342,SUM(AU$386:AU386)),0)</f>
        <v>0</v>
      </c>
      <c r="AV387" s="78">
        <f>IF(AV$386&gt;0,-MIN(AV342,SUM(AV$386:AV386)),0)</f>
        <v>0</v>
      </c>
      <c r="AW387" s="78">
        <f>IF(AW$386&gt;0,-MIN(AW342,SUM(AW$386:AW386)),0)</f>
        <v>0</v>
      </c>
      <c r="AX387" s="78">
        <f>IF(AX$386&gt;0,-MIN(AX342,SUM(AX$386:AX386)),0)</f>
        <v>0</v>
      </c>
      <c r="AY387" s="78">
        <f>IF(AY$386&gt;0,-MIN(AY342,SUM(AY$386:AY386)),0)</f>
        <v>0</v>
      </c>
      <c r="AZ387" s="78">
        <f>IF(AZ$386&gt;0,-MIN(AZ342,SUM(AZ$386:AZ386)),0)</f>
        <v>0</v>
      </c>
      <c r="BA387" s="78">
        <f>IF(BA$386&gt;0,-MIN(BA342,SUM(BA$386:BA386)),0)</f>
        <v>0</v>
      </c>
      <c r="BB387" s="78">
        <f>IF(BB$386&gt;0,-MIN(BB342,SUM(BB$386:BB386)),0)</f>
        <v>0</v>
      </c>
      <c r="BC387" s="78">
        <f>IF(BC$386&gt;0,-MIN(BC342,SUM(BC$386:BC386)),0)</f>
        <v>0</v>
      </c>
      <c r="BD387" s="78">
        <f>IF(BD$386&gt;0,-MIN(BD342,SUM(BD$386:BD386)),0)</f>
        <v>0</v>
      </c>
      <c r="BE387" s="78">
        <f>IF(BE$386&gt;0,-MIN(BE342,SUM(BE$386:BE386)),0)</f>
        <v>0</v>
      </c>
      <c r="BF387" s="78">
        <f>IF(BF$386&gt;0,-MIN(BF342,SUM(BF$386:BF386)),0)</f>
        <v>0</v>
      </c>
      <c r="BG387" s="78">
        <f>IF(BG$386&gt;0,-MIN(BG342,SUM(BG$386:BG386)),0)</f>
        <v>0</v>
      </c>
      <c r="BH387" s="78">
        <f>IF(BH$386&gt;0,-MIN(BH342,SUM(BH$386:BH386)),0)</f>
        <v>0</v>
      </c>
      <c r="BI387" s="78">
        <f>IF(BI$386&gt;0,-MIN(BI342,SUM(BI$386:BI386)),0)</f>
        <v>0</v>
      </c>
      <c r="BJ387" s="78">
        <f>IF(BJ$386&gt;0,-MIN(BJ342,SUM(BJ$386:BJ386)),0)</f>
        <v>0</v>
      </c>
      <c r="BK387" s="78">
        <f>IF(BK$386&gt;0,-MIN(BK342,SUM(BK$386:BK386)),0)</f>
        <v>0</v>
      </c>
      <c r="BL387" s="78">
        <f>IF(BL$386&gt;0,-MIN(BL342,SUM(BL$386:BL386)),0)</f>
        <v>0</v>
      </c>
      <c r="BM387" s="78">
        <f>IF(BM$386&gt;0,-MIN(BM342,SUM(BM$386:BM386)),0)</f>
        <v>0</v>
      </c>
      <c r="BN387" s="78">
        <f>IF(BN$386&gt;0,-MIN(BN342,SUM(BN$386:BN386)),0)</f>
        <v>0</v>
      </c>
      <c r="BO387" s="78">
        <f>IF(BO$386&gt;0,-MIN(BO342,SUM(BO$386:BO386)),0)</f>
        <v>0</v>
      </c>
      <c r="BP387" s="78">
        <f>IF(BP$386&gt;0,-MIN(BP342,SUM(BP$386:BP386)),0)</f>
        <v>0</v>
      </c>
      <c r="BQ387" s="78">
        <f>IF(BQ$386&gt;0,-MIN(BQ342,SUM(BQ$386:BQ386)),0)</f>
        <v>0</v>
      </c>
      <c r="BR387" s="78">
        <f>IF(BR$386&gt;0,-MIN(BR342,SUM(BR$386:BR386)),0)</f>
        <v>0</v>
      </c>
      <c r="BS387" s="78">
        <f>IF(BS$386&gt;0,-MIN(BS342,SUM(BS$386:BS386)),0)</f>
        <v>0</v>
      </c>
      <c r="BT387" s="78">
        <f>IF(BT$386&gt;0,-MIN(BT342,SUM(BT$386:BT386)),0)</f>
        <v>0</v>
      </c>
      <c r="BU387" s="78">
        <f>IF(BU$386&gt;0,-MIN(BU342,SUM(BU$386:BU386)),0)</f>
        <v>0</v>
      </c>
      <c r="BV387" s="78">
        <f>IF(BV$386&gt;0,-MIN(BV342,SUM(BV$386:BV386)),0)</f>
        <v>0</v>
      </c>
      <c r="BW387" s="78">
        <f>IF(BW$386&gt;0,-MIN(BW342,SUM(BW$386:BW386)),0)</f>
        <v>0</v>
      </c>
      <c r="BX387" s="78">
        <f>IF(BX$386&gt;0,-MIN(BX342,SUM(BX$386:BX386)),0)</f>
        <v>0</v>
      </c>
      <c r="BY387" s="78">
        <f>IF(BY$386&gt;0,-MIN(BY342,SUM(BY$386:BY386)),0)</f>
        <v>0</v>
      </c>
      <c r="BZ387" s="78">
        <f>IF(BZ$386&gt;0,-MIN(BZ342,SUM(BZ$386:BZ386)),0)</f>
        <v>0</v>
      </c>
      <c r="CA387" s="78">
        <f>IF(CA$386&gt;0,-MIN(CA342,SUM(CA$386:CA386)),0)</f>
        <v>0</v>
      </c>
      <c r="CB387" s="78">
        <f>IF(CB$386&gt;0,-MIN(CB342,SUM(CB$386:CB386)),0)</f>
        <v>0</v>
      </c>
      <c r="CC387" s="78">
        <f>IF(CC$386&gt;0,-MIN(CC342,SUM(CC$386:CC386)),0)</f>
        <v>0</v>
      </c>
      <c r="CD387" s="78">
        <f>IF(CD$386&gt;0,-MIN(CD342,SUM(CD$386:CD386)),0)</f>
        <v>0</v>
      </c>
      <c r="CE387" s="78">
        <f>IF(CE$386&gt;0,-MIN(CE342,SUM(CE$386:CE386)),0)</f>
        <v>0</v>
      </c>
      <c r="CF387" s="78">
        <f>IF(CF$386&gt;0,-MIN(CF342,SUM(CF$386:CF386)),0)</f>
        <v>0</v>
      </c>
      <c r="CG387" s="78">
        <f>IF(CG$386&gt;0,-MIN(CG342,SUM(CG$386:CG386)),0)</f>
        <v>0</v>
      </c>
      <c r="CH387" s="78">
        <f>IF(CH$386&gt;0,-MIN(CH342,SUM(CH$386:CH386)),0)</f>
        <v>0</v>
      </c>
      <c r="CI387" s="78">
        <f>IF(CI$386&gt;0,-MIN(CI342,SUM(CI$386:CI386)),0)</f>
        <v>0</v>
      </c>
      <c r="CJ387" s="78">
        <f>IF(CJ$386&gt;0,-MIN(CJ342,SUM(CJ$386:CJ386)),0)</f>
        <v>0</v>
      </c>
      <c r="CK387" s="78">
        <f>IF(CK$386&gt;0,-MIN(CK342,SUM(CK$386:CK386)),0)</f>
        <v>0</v>
      </c>
      <c r="CL387" s="78">
        <f>IF(CL$386&gt;0,-MIN(CL342,SUM(CL$386:CL386)),0)</f>
        <v>0</v>
      </c>
      <c r="CM387" s="78">
        <f>IF(CM$386&gt;0,-MIN(CM342,SUM(CM$386:CM386)),0)</f>
        <v>0</v>
      </c>
      <c r="CN387" s="78">
        <f>IF(CN$386&gt;0,-MIN(CN342,SUM(CN$386:CN386)),0)</f>
        <v>0</v>
      </c>
      <c r="CO387" s="78">
        <f>IF(CO$386&gt;0,-MIN(CO342,SUM(CO$386:CO386)),0)</f>
        <v>0</v>
      </c>
      <c r="CP387" s="78">
        <f>IF(CP$386&gt;0,-MIN(CP342,SUM(CP$386:CP386)),0)</f>
        <v>0</v>
      </c>
      <c r="CQ387" s="78">
        <f>IF(CQ$386&gt;0,-MIN(CQ342,SUM(CQ$386:CQ386)),0)</f>
        <v>0</v>
      </c>
      <c r="CR387" s="78">
        <f>IF(CR$386&gt;0,-MIN(CR342,SUM(CR$386:CR386)),0)</f>
        <v>0</v>
      </c>
      <c r="CS387" s="78">
        <f>IF(CS$386&gt;0,-MIN(CS342,SUM(CS$386:CS386)),0)</f>
        <v>0</v>
      </c>
      <c r="CT387" s="78">
        <f>IF(CT$386&gt;0,-MIN(CT342,SUM(CT$386:CT386)),0)</f>
        <v>0</v>
      </c>
      <c r="CU387" s="78">
        <f>IF(CU$386&gt;0,-MIN(CU342,SUM(CU$386:CU386)),0)</f>
        <v>0</v>
      </c>
      <c r="CV387" s="78">
        <f>IF(CV$386&gt;0,-MIN(CV342,SUM(CV$386:CV386)),0)</f>
        <v>0</v>
      </c>
      <c r="CW387" s="78">
        <f>IF(CW$386&gt;0,-MIN(CW342,SUM(CW$386:CW386)),0)</f>
        <v>0</v>
      </c>
      <c r="CX387" s="78">
        <f>IF(CX$386&gt;0,-MIN(CX342,SUM(CX$386:CX386)),0)</f>
        <v>0</v>
      </c>
      <c r="CY387" s="78">
        <f>IF(CY$386&gt;0,-MIN(CY342,SUM(CY$386:CY386)),0)</f>
        <v>0</v>
      </c>
      <c r="CZ387" s="78">
        <f>IF(CZ$386&gt;0,-MIN(CZ342,SUM(CZ$386:CZ386)),0)</f>
        <v>0</v>
      </c>
      <c r="DA387" s="78">
        <f>IF(DA$386&gt;0,-MIN(DA342,SUM(DA$386:DA386)),0)</f>
        <v>0</v>
      </c>
      <c r="DB387" s="78">
        <f>IF(DB$386&gt;0,-MIN(DB342,SUM(DB$386:DB386)),0)</f>
        <v>0</v>
      </c>
      <c r="DC387" s="78">
        <f>IF(DC$386&gt;0,-MIN(DC342,SUM(DC$386:DC386)),0)</f>
        <v>0</v>
      </c>
      <c r="DD387" s="78">
        <f>IF(DD$386&gt;0,-MIN(DD342,SUM(DD$386:DD386)),0)</f>
        <v>0</v>
      </c>
      <c r="DE387" s="78">
        <f>IF(DE$386&gt;0,-MIN(DE342,SUM(DE$386:DE386)),0)</f>
        <v>0</v>
      </c>
      <c r="DF387" s="78">
        <f>IF(DF$386&gt;0,-MIN(DF342,SUM(DF$386:DF386)),0)</f>
        <v>0</v>
      </c>
      <c r="DG387" s="78">
        <f>IF(DG$386&gt;0,-MIN(DG342,SUM(DG$386:DG386)),0)</f>
        <v>0</v>
      </c>
      <c r="DH387" s="78">
        <f>IF(DH$386&gt;0,-MIN(DH342,SUM(DH$386:DH386)),0)</f>
        <v>0</v>
      </c>
      <c r="DI387" s="78">
        <f>IF(DI$386&gt;0,-MIN(DI342,SUM(DI$386:DI386)),0)</f>
        <v>0</v>
      </c>
      <c r="DJ387" s="78">
        <f>IF(DJ$386&gt;0,-MIN(DJ342,SUM(DJ$386:DJ386)),0)</f>
        <v>0</v>
      </c>
      <c r="DK387" s="78">
        <f>IF(DK$386&gt;0,-MIN(DK342,SUM(DK$386:DK386)),0)</f>
        <v>0</v>
      </c>
      <c r="DL387" s="78">
        <f>IF(DL$386&gt;0,-MIN(DL342,SUM(DL$386:DL386)),0)</f>
        <v>0</v>
      </c>
      <c r="DM387" s="78">
        <f>IF(DM$386&gt;0,-MIN(DM342,SUM(DM$386:DM386)),0)</f>
        <v>0</v>
      </c>
      <c r="DN387" s="78">
        <f>IF(DN$386&gt;0,-MIN(DN342,SUM(DN$386:DN386)),0)</f>
        <v>0</v>
      </c>
      <c r="DO387" s="78">
        <f>IF(DO$386&gt;0,-MIN(DO342,SUM(DO$386:DO386)),0)</f>
        <v>0</v>
      </c>
      <c r="DP387" s="78">
        <f>IF(DP$386&gt;0,-MIN(DP342,SUM(DP$386:DP386)),0)</f>
        <v>0</v>
      </c>
      <c r="DQ387" s="78">
        <f>IF(DQ$386&gt;0,-MIN(DQ342,SUM(DQ$386:DQ386)),0)</f>
        <v>0</v>
      </c>
      <c r="DR387" s="78">
        <f>IF(DR$386&gt;0,-MIN(DR342,SUM(DR$386:DR386)),0)</f>
        <v>0</v>
      </c>
      <c r="DS387" s="78">
        <f>IF(DS$386&gt;0,-MIN(DS342,SUM(DS$386:DS386)),0)</f>
        <v>0</v>
      </c>
      <c r="DT387" s="78">
        <f>IF(DT$386&gt;0,-MIN(DT342,SUM(DT$386:DT386)),0)</f>
        <v>0</v>
      </c>
      <c r="DU387" s="78">
        <f>IF(DU$386&gt;0,-MIN(DU342,SUM(DU$386:DU386)),0)</f>
        <v>0</v>
      </c>
      <c r="DV387" s="78">
        <f>IF(DV$386&gt;0,-MIN(DV342,SUM(DV$386:DV386)),0)</f>
        <v>0</v>
      </c>
      <c r="DW387" s="78">
        <f>IF(DW$386&gt;0,-MIN(DW342,SUM(DW$386:DW386)),0)</f>
        <v>0</v>
      </c>
      <c r="DX387" s="78">
        <f>IF(DX$386&gt;0,-MIN(DX342,SUM(DX$386:DX386)),0)</f>
        <v>0</v>
      </c>
      <c r="DY387" s="78">
        <f>IF(DY$386&gt;0,-MIN(DY342,SUM(DY$386:DY386)),0)</f>
        <v>0</v>
      </c>
      <c r="DZ387" s="78">
        <f>IF(DZ$386&gt;0,-MIN(DZ342,SUM(DZ$386:DZ386)),0)</f>
        <v>0</v>
      </c>
      <c r="EA387" s="78">
        <f>IF(EA$386&gt;0,-MIN(EA342,SUM(EA$386:EA386)),0)</f>
        <v>0</v>
      </c>
      <c r="EB387" s="78">
        <f>IF(EB$386&gt;0,-MIN(EB342,SUM(EB$386:EB386)),0)</f>
        <v>0</v>
      </c>
      <c r="EC387" s="78">
        <f>IF(EC$386&gt;0,-MIN(EC342,SUM(EC$386:EC386)),0)</f>
        <v>0</v>
      </c>
      <c r="ED387" s="78">
        <f>IF(ED$386&gt;0,-MIN(ED342,SUM(ED$386:ED386)),0)</f>
        <v>0</v>
      </c>
      <c r="EE387" s="78">
        <f>IF(EE$386&gt;0,-MIN(EE342,SUM(EE$386:EE386)),0)</f>
        <v>0</v>
      </c>
      <c r="EF387" s="78">
        <f>IF(EF$386&gt;0,-MIN(EF342,SUM(EF$386:EF386)),0)</f>
        <v>0</v>
      </c>
      <c r="EG387" s="78">
        <f>IF(EG$386&gt;0,-MIN(EG342,SUM(EG$386:EG386)),0)</f>
        <v>0</v>
      </c>
      <c r="EH387" s="78">
        <f>IF(EH$386&gt;0,-MIN(EH342,SUM(EH$386:EH386)),0)</f>
        <v>0</v>
      </c>
      <c r="EI387" s="78">
        <f>IF(EI$386&gt;0,-MIN(EI342,SUM(EI$386:EI386)),0)</f>
        <v>0</v>
      </c>
    </row>
    <row r="388" spans="2:139">
      <c r="B388" s="880" t="s">
        <v>649</v>
      </c>
      <c r="C388" s="211"/>
      <c r="D388" s="78">
        <f>IF(IrrCalculationType=170,IF(D$386&gt;0,-MIN(D351,SUM(D$386:D387)),0),SUMIF($S$6:$EI$6,D$5,$S388:$EI388))</f>
        <v>0</v>
      </c>
      <c r="E388" s="78">
        <f>IF(IrrCalculationType=170,IF(E$386&gt;0,-MIN(E351,SUM(E$386:E387)),0),SUMIF($S$6:$EI$6,E$5,$S388:$EI388))</f>
        <v>0</v>
      </c>
      <c r="F388" s="78">
        <f>IF(IrrCalculationType=170,IF(F$386&gt;0,-MIN(F351,SUM(F$386:F387)),0),SUMIF($S$6:$EI$6,F$5,$S388:$EI388))</f>
        <v>0</v>
      </c>
      <c r="G388" s="78">
        <f>IF(IrrCalculationType=170,IF(G$386&gt;0,-MIN(G351,SUM(G$386:G387)),0),SUMIF($S$6:$EI$6,G$5,$S388:$EI388))</f>
        <v>0</v>
      </c>
      <c r="H388" s="78">
        <f>IF(IrrCalculationType=170,IF(H$386&gt;0,-MIN(H351,SUM(H$386:H387)),0),SUMIF($S$6:$EI$6,H$5,$S388:$EI388))</f>
        <v>0</v>
      </c>
      <c r="I388" s="78">
        <f>IF(IrrCalculationType=170,IF(I$386&gt;0,-MIN(I351,SUM(I$386:I387)),0),SUMIF($S$6:$EI$6,I$5,$S388:$EI388))</f>
        <v>0</v>
      </c>
      <c r="J388" s="78">
        <f>IF(IrrCalculationType=170,IF(J$386&gt;0,-MIN(J351,SUM(J$386:J387)),0),SUMIF($S$6:$EI$6,J$5,$S388:$EI388))</f>
        <v>0</v>
      </c>
      <c r="K388" s="78">
        <f>IF(IrrCalculationType=170,IF(K$386&gt;0,-MIN(K351,SUM(K$386:K387)),0),SUMIF($S$6:$EI$6,K$5,$S388:$EI388))</f>
        <v>0</v>
      </c>
      <c r="L388" s="78">
        <f>IF(IrrCalculationType=170,IF(L$386&gt;0,-MIN(L351,SUM(L$386:L387)),0),SUMIF($S$6:$EI$6,L$5,$S388:$EI388))</f>
        <v>0</v>
      </c>
      <c r="M388" s="78">
        <f>IF(IrrCalculationType=170,IF(M$386&gt;0,-MIN(M351,SUM(M$386:M387)),0),SUMIF($S$6:$EI$6,M$5,$S388:$EI388))</f>
        <v>0</v>
      </c>
      <c r="N388" s="78">
        <f>IF(IrrCalculationType=170,IF(N$386&gt;0,-MIN(N351,SUM(N$386:N387)),0),SUMIF($S$6:$EI$6,N$5,$S388:$EI388))</f>
        <v>0</v>
      </c>
      <c r="O388" s="145">
        <f t="shared" si="845"/>
        <v>0</v>
      </c>
      <c r="R388" s="201"/>
      <c r="S388" s="78">
        <f>IF(S$386&gt;0,-MIN(S351,SUM(S$386:S387)),0)</f>
        <v>0</v>
      </c>
      <c r="T388" s="78">
        <f>IF(T$386&gt;0,-MIN(T351,SUM(T$386:T387)),0)</f>
        <v>0</v>
      </c>
      <c r="U388" s="78">
        <f>IF(U$386&gt;0,-MIN(U351,SUM(U$386:U387)),0)</f>
        <v>0</v>
      </c>
      <c r="V388" s="78">
        <f>IF(V$386&gt;0,-MIN(V351,SUM(V$386:V387)),0)</f>
        <v>0</v>
      </c>
      <c r="W388" s="78">
        <f>IF(W$386&gt;0,-MIN(W351,SUM(W$386:W387)),0)</f>
        <v>0</v>
      </c>
      <c r="X388" s="78">
        <f>IF(X$386&gt;0,-MIN(X351,SUM(X$386:X387)),0)</f>
        <v>0</v>
      </c>
      <c r="Y388" s="78">
        <f>IF(Y$386&gt;0,-MIN(Y351,SUM(Y$386:Y387)),0)</f>
        <v>0</v>
      </c>
      <c r="Z388" s="78">
        <f>IF(Z$386&gt;0,-MIN(Z351,SUM(Z$386:Z387)),0)</f>
        <v>0</v>
      </c>
      <c r="AA388" s="78">
        <f>IF(AA$386&gt;0,-MIN(AA351,SUM(AA$386:AA387)),0)</f>
        <v>0</v>
      </c>
      <c r="AB388" s="78">
        <f>IF(AB$386&gt;0,-MIN(AB351,SUM(AB$386:AB387)),0)</f>
        <v>0</v>
      </c>
      <c r="AC388" s="78">
        <f>IF(AC$386&gt;0,-MIN(AC351,SUM(AC$386:AC387)),0)</f>
        <v>0</v>
      </c>
      <c r="AD388" s="78">
        <f>IF(AD$386&gt;0,-MIN(AD351,SUM(AD$386:AD387)),0)</f>
        <v>0</v>
      </c>
      <c r="AE388" s="78">
        <f>IF(AE$386&gt;0,-MIN(AE351,SUM(AE$386:AE387)),0)</f>
        <v>0</v>
      </c>
      <c r="AF388" s="78">
        <f>IF(AF$386&gt;0,-MIN(AF351,SUM(AF$386:AF387)),0)</f>
        <v>0</v>
      </c>
      <c r="AG388" s="78">
        <f>IF(AG$386&gt;0,-MIN(AG351,SUM(AG$386:AG387)),0)</f>
        <v>0</v>
      </c>
      <c r="AH388" s="78">
        <f>IF(AH$386&gt;0,-MIN(AH351,SUM(AH$386:AH387)),0)</f>
        <v>0</v>
      </c>
      <c r="AI388" s="78">
        <f>IF(AI$386&gt;0,-MIN(AI351,SUM(AI$386:AI387)),0)</f>
        <v>0</v>
      </c>
      <c r="AJ388" s="78">
        <f>IF(AJ$386&gt;0,-MIN(AJ351,SUM(AJ$386:AJ387)),0)</f>
        <v>0</v>
      </c>
      <c r="AK388" s="78">
        <f>IF(AK$386&gt;0,-MIN(AK351,SUM(AK$386:AK387)),0)</f>
        <v>0</v>
      </c>
      <c r="AL388" s="78">
        <f>IF(AL$386&gt;0,-MIN(AL351,SUM(AL$386:AL387)),0)</f>
        <v>0</v>
      </c>
      <c r="AM388" s="78">
        <f>IF(AM$386&gt;0,-MIN(AM351,SUM(AM$386:AM387)),0)</f>
        <v>0</v>
      </c>
      <c r="AN388" s="78">
        <f>IF(AN$386&gt;0,-MIN(AN351,SUM(AN$386:AN387)),0)</f>
        <v>0</v>
      </c>
      <c r="AO388" s="78">
        <f>IF(AO$386&gt;0,-MIN(AO351,SUM(AO$386:AO387)),0)</f>
        <v>0</v>
      </c>
      <c r="AP388" s="78">
        <f>IF(AP$386&gt;0,-MIN(AP351,SUM(AP$386:AP387)),0)</f>
        <v>0</v>
      </c>
      <c r="AQ388" s="78">
        <f>IF(AQ$386&gt;0,-MIN(AQ351,SUM(AQ$386:AQ387)),0)</f>
        <v>0</v>
      </c>
      <c r="AR388" s="78">
        <f>IF(AR$386&gt;0,-MIN(AR351,SUM(AR$386:AR387)),0)</f>
        <v>0</v>
      </c>
      <c r="AS388" s="78">
        <f>IF(AS$386&gt;0,-MIN(AS351,SUM(AS$386:AS387)),0)</f>
        <v>0</v>
      </c>
      <c r="AT388" s="78">
        <f>IF(AT$386&gt;0,-MIN(AT351,SUM(AT$386:AT387)),0)</f>
        <v>0</v>
      </c>
      <c r="AU388" s="78">
        <f>IF(AU$386&gt;0,-MIN(AU351,SUM(AU$386:AU387)),0)</f>
        <v>0</v>
      </c>
      <c r="AV388" s="78">
        <f>IF(AV$386&gt;0,-MIN(AV351,SUM(AV$386:AV387)),0)</f>
        <v>0</v>
      </c>
      <c r="AW388" s="78">
        <f>IF(AW$386&gt;0,-MIN(AW351,SUM(AW$386:AW387)),0)</f>
        <v>0</v>
      </c>
      <c r="AX388" s="78">
        <f>IF(AX$386&gt;0,-MIN(AX351,SUM(AX$386:AX387)),0)</f>
        <v>0</v>
      </c>
      <c r="AY388" s="78">
        <f>IF(AY$386&gt;0,-MIN(AY351,SUM(AY$386:AY387)),0)</f>
        <v>0</v>
      </c>
      <c r="AZ388" s="78">
        <f>IF(AZ$386&gt;0,-MIN(AZ351,SUM(AZ$386:AZ387)),0)</f>
        <v>0</v>
      </c>
      <c r="BA388" s="78">
        <f>IF(BA$386&gt;0,-MIN(BA351,SUM(BA$386:BA387)),0)</f>
        <v>0</v>
      </c>
      <c r="BB388" s="78">
        <f>IF(BB$386&gt;0,-MIN(BB351,SUM(BB$386:BB387)),0)</f>
        <v>0</v>
      </c>
      <c r="BC388" s="78">
        <f>IF(BC$386&gt;0,-MIN(BC351,SUM(BC$386:BC387)),0)</f>
        <v>0</v>
      </c>
      <c r="BD388" s="78">
        <f>IF(BD$386&gt;0,-MIN(BD351,SUM(BD$386:BD387)),0)</f>
        <v>0</v>
      </c>
      <c r="BE388" s="78">
        <f>IF(BE$386&gt;0,-MIN(BE351,SUM(BE$386:BE387)),0)</f>
        <v>0</v>
      </c>
      <c r="BF388" s="78">
        <f>IF(BF$386&gt;0,-MIN(BF351,SUM(BF$386:BF387)),0)</f>
        <v>0</v>
      </c>
      <c r="BG388" s="78">
        <f>IF(BG$386&gt;0,-MIN(BG351,SUM(BG$386:BG387)),0)</f>
        <v>0</v>
      </c>
      <c r="BH388" s="78">
        <f>IF(BH$386&gt;0,-MIN(BH351,SUM(BH$386:BH387)),0)</f>
        <v>0</v>
      </c>
      <c r="BI388" s="78">
        <f>IF(BI$386&gt;0,-MIN(BI351,SUM(BI$386:BI387)),0)</f>
        <v>0</v>
      </c>
      <c r="BJ388" s="78">
        <f>IF(BJ$386&gt;0,-MIN(BJ351,SUM(BJ$386:BJ387)),0)</f>
        <v>0</v>
      </c>
      <c r="BK388" s="78">
        <f>IF(BK$386&gt;0,-MIN(BK351,SUM(BK$386:BK387)),0)</f>
        <v>0</v>
      </c>
      <c r="BL388" s="78">
        <f>IF(BL$386&gt;0,-MIN(BL351,SUM(BL$386:BL387)),0)</f>
        <v>0</v>
      </c>
      <c r="BM388" s="78">
        <f>IF(BM$386&gt;0,-MIN(BM351,SUM(BM$386:BM387)),0)</f>
        <v>0</v>
      </c>
      <c r="BN388" s="78">
        <f>IF(BN$386&gt;0,-MIN(BN351,SUM(BN$386:BN387)),0)</f>
        <v>0</v>
      </c>
      <c r="BO388" s="78">
        <f>IF(BO$386&gt;0,-MIN(BO351,SUM(BO$386:BO387)),0)</f>
        <v>0</v>
      </c>
      <c r="BP388" s="78">
        <f>IF(BP$386&gt;0,-MIN(BP351,SUM(BP$386:BP387)),0)</f>
        <v>0</v>
      </c>
      <c r="BQ388" s="78">
        <f>IF(BQ$386&gt;0,-MIN(BQ351,SUM(BQ$386:BQ387)),0)</f>
        <v>0</v>
      </c>
      <c r="BR388" s="78">
        <f>IF(BR$386&gt;0,-MIN(BR351,SUM(BR$386:BR387)),0)</f>
        <v>0</v>
      </c>
      <c r="BS388" s="78">
        <f>IF(BS$386&gt;0,-MIN(BS351,SUM(BS$386:BS387)),0)</f>
        <v>0</v>
      </c>
      <c r="BT388" s="78">
        <f>IF(BT$386&gt;0,-MIN(BT351,SUM(BT$386:BT387)),0)</f>
        <v>0</v>
      </c>
      <c r="BU388" s="78">
        <f>IF(BU$386&gt;0,-MIN(BU351,SUM(BU$386:BU387)),0)</f>
        <v>0</v>
      </c>
      <c r="BV388" s="78">
        <f>IF(BV$386&gt;0,-MIN(BV351,SUM(BV$386:BV387)),0)</f>
        <v>0</v>
      </c>
      <c r="BW388" s="78">
        <f>IF(BW$386&gt;0,-MIN(BW351,SUM(BW$386:BW387)),0)</f>
        <v>0</v>
      </c>
      <c r="BX388" s="78">
        <f>IF(BX$386&gt;0,-MIN(BX351,SUM(BX$386:BX387)),0)</f>
        <v>0</v>
      </c>
      <c r="BY388" s="78">
        <f>IF(BY$386&gt;0,-MIN(BY351,SUM(BY$386:BY387)),0)</f>
        <v>0</v>
      </c>
      <c r="BZ388" s="78">
        <f>IF(BZ$386&gt;0,-MIN(BZ351,SUM(BZ$386:BZ387)),0)</f>
        <v>0</v>
      </c>
      <c r="CA388" s="78">
        <f>IF(CA$386&gt;0,-MIN(CA351,SUM(CA$386:CA387)),0)</f>
        <v>0</v>
      </c>
      <c r="CB388" s="78">
        <f>IF(CB$386&gt;0,-MIN(CB351,SUM(CB$386:CB387)),0)</f>
        <v>0</v>
      </c>
      <c r="CC388" s="78">
        <f>IF(CC$386&gt;0,-MIN(CC351,SUM(CC$386:CC387)),0)</f>
        <v>0</v>
      </c>
      <c r="CD388" s="78">
        <f>IF(CD$386&gt;0,-MIN(CD351,SUM(CD$386:CD387)),0)</f>
        <v>0</v>
      </c>
      <c r="CE388" s="78">
        <f>IF(CE$386&gt;0,-MIN(CE351,SUM(CE$386:CE387)),0)</f>
        <v>0</v>
      </c>
      <c r="CF388" s="78">
        <f>IF(CF$386&gt;0,-MIN(CF351,SUM(CF$386:CF387)),0)</f>
        <v>0</v>
      </c>
      <c r="CG388" s="78">
        <f>IF(CG$386&gt;0,-MIN(CG351,SUM(CG$386:CG387)),0)</f>
        <v>0</v>
      </c>
      <c r="CH388" s="78">
        <f>IF(CH$386&gt;0,-MIN(CH351,SUM(CH$386:CH387)),0)</f>
        <v>0</v>
      </c>
      <c r="CI388" s="78">
        <f>IF(CI$386&gt;0,-MIN(CI351,SUM(CI$386:CI387)),0)</f>
        <v>0</v>
      </c>
      <c r="CJ388" s="78">
        <f>IF(CJ$386&gt;0,-MIN(CJ351,SUM(CJ$386:CJ387)),0)</f>
        <v>0</v>
      </c>
      <c r="CK388" s="78">
        <f>IF(CK$386&gt;0,-MIN(CK351,SUM(CK$386:CK387)),0)</f>
        <v>0</v>
      </c>
      <c r="CL388" s="78">
        <f>IF(CL$386&gt;0,-MIN(CL351,SUM(CL$386:CL387)),0)</f>
        <v>0</v>
      </c>
      <c r="CM388" s="78">
        <f>IF(CM$386&gt;0,-MIN(CM351,SUM(CM$386:CM387)),0)</f>
        <v>0</v>
      </c>
      <c r="CN388" s="78">
        <f>IF(CN$386&gt;0,-MIN(CN351,SUM(CN$386:CN387)),0)</f>
        <v>0</v>
      </c>
      <c r="CO388" s="78">
        <f>IF(CO$386&gt;0,-MIN(CO351,SUM(CO$386:CO387)),0)</f>
        <v>0</v>
      </c>
      <c r="CP388" s="78">
        <f>IF(CP$386&gt;0,-MIN(CP351,SUM(CP$386:CP387)),0)</f>
        <v>0</v>
      </c>
      <c r="CQ388" s="78">
        <f>IF(CQ$386&gt;0,-MIN(CQ351,SUM(CQ$386:CQ387)),0)</f>
        <v>0</v>
      </c>
      <c r="CR388" s="78">
        <f>IF(CR$386&gt;0,-MIN(CR351,SUM(CR$386:CR387)),0)</f>
        <v>0</v>
      </c>
      <c r="CS388" s="78">
        <f>IF(CS$386&gt;0,-MIN(CS351,SUM(CS$386:CS387)),0)</f>
        <v>0</v>
      </c>
      <c r="CT388" s="78">
        <f>IF(CT$386&gt;0,-MIN(CT351,SUM(CT$386:CT387)),0)</f>
        <v>0</v>
      </c>
      <c r="CU388" s="78">
        <f>IF(CU$386&gt;0,-MIN(CU351,SUM(CU$386:CU387)),0)</f>
        <v>0</v>
      </c>
      <c r="CV388" s="78">
        <f>IF(CV$386&gt;0,-MIN(CV351,SUM(CV$386:CV387)),0)</f>
        <v>0</v>
      </c>
      <c r="CW388" s="78">
        <f>IF(CW$386&gt;0,-MIN(CW351,SUM(CW$386:CW387)),0)</f>
        <v>0</v>
      </c>
      <c r="CX388" s="78">
        <f>IF(CX$386&gt;0,-MIN(CX351,SUM(CX$386:CX387)),0)</f>
        <v>0</v>
      </c>
      <c r="CY388" s="78">
        <f>IF(CY$386&gt;0,-MIN(CY351,SUM(CY$386:CY387)),0)</f>
        <v>0</v>
      </c>
      <c r="CZ388" s="78">
        <f>IF(CZ$386&gt;0,-MIN(CZ351,SUM(CZ$386:CZ387)),0)</f>
        <v>0</v>
      </c>
      <c r="DA388" s="78">
        <f>IF(DA$386&gt;0,-MIN(DA351,SUM(DA$386:DA387)),0)</f>
        <v>0</v>
      </c>
      <c r="DB388" s="78">
        <f>IF(DB$386&gt;0,-MIN(DB351,SUM(DB$386:DB387)),0)</f>
        <v>0</v>
      </c>
      <c r="DC388" s="78">
        <f>IF(DC$386&gt;0,-MIN(DC351,SUM(DC$386:DC387)),0)</f>
        <v>0</v>
      </c>
      <c r="DD388" s="78">
        <f>IF(DD$386&gt;0,-MIN(DD351,SUM(DD$386:DD387)),0)</f>
        <v>0</v>
      </c>
      <c r="DE388" s="78">
        <f>IF(DE$386&gt;0,-MIN(DE351,SUM(DE$386:DE387)),0)</f>
        <v>0</v>
      </c>
      <c r="DF388" s="78">
        <f>IF(DF$386&gt;0,-MIN(DF351,SUM(DF$386:DF387)),0)</f>
        <v>0</v>
      </c>
      <c r="DG388" s="78">
        <f>IF(DG$386&gt;0,-MIN(DG351,SUM(DG$386:DG387)),0)</f>
        <v>0</v>
      </c>
      <c r="DH388" s="78">
        <f>IF(DH$386&gt;0,-MIN(DH351,SUM(DH$386:DH387)),0)</f>
        <v>0</v>
      </c>
      <c r="DI388" s="78">
        <f>IF(DI$386&gt;0,-MIN(DI351,SUM(DI$386:DI387)),0)</f>
        <v>0</v>
      </c>
      <c r="DJ388" s="78">
        <f>IF(DJ$386&gt;0,-MIN(DJ351,SUM(DJ$386:DJ387)),0)</f>
        <v>0</v>
      </c>
      <c r="DK388" s="78">
        <f>IF(DK$386&gt;0,-MIN(DK351,SUM(DK$386:DK387)),0)</f>
        <v>0</v>
      </c>
      <c r="DL388" s="78">
        <f>IF(DL$386&gt;0,-MIN(DL351,SUM(DL$386:DL387)),0)</f>
        <v>0</v>
      </c>
      <c r="DM388" s="78">
        <f>IF(DM$386&gt;0,-MIN(DM351,SUM(DM$386:DM387)),0)</f>
        <v>0</v>
      </c>
      <c r="DN388" s="78">
        <f>IF(DN$386&gt;0,-MIN(DN351,SUM(DN$386:DN387)),0)</f>
        <v>0</v>
      </c>
      <c r="DO388" s="78">
        <f>IF(DO$386&gt;0,-MIN(DO351,SUM(DO$386:DO387)),0)</f>
        <v>0</v>
      </c>
      <c r="DP388" s="78">
        <f>IF(DP$386&gt;0,-MIN(DP351,SUM(DP$386:DP387)),0)</f>
        <v>0</v>
      </c>
      <c r="DQ388" s="78">
        <f>IF(DQ$386&gt;0,-MIN(DQ351,SUM(DQ$386:DQ387)),0)</f>
        <v>0</v>
      </c>
      <c r="DR388" s="78">
        <f>IF(DR$386&gt;0,-MIN(DR351,SUM(DR$386:DR387)),0)</f>
        <v>0</v>
      </c>
      <c r="DS388" s="78">
        <f>IF(DS$386&gt;0,-MIN(DS351,SUM(DS$386:DS387)),0)</f>
        <v>0</v>
      </c>
      <c r="DT388" s="78">
        <f>IF(DT$386&gt;0,-MIN(DT351,SUM(DT$386:DT387)),0)</f>
        <v>0</v>
      </c>
      <c r="DU388" s="78">
        <f>IF(DU$386&gt;0,-MIN(DU351,SUM(DU$386:DU387)),0)</f>
        <v>0</v>
      </c>
      <c r="DV388" s="78">
        <f>IF(DV$386&gt;0,-MIN(DV351,SUM(DV$386:DV387)),0)</f>
        <v>0</v>
      </c>
      <c r="DW388" s="78">
        <f>IF(DW$386&gt;0,-MIN(DW351,SUM(DW$386:DW387)),0)</f>
        <v>0</v>
      </c>
      <c r="DX388" s="78">
        <f>IF(DX$386&gt;0,-MIN(DX351,SUM(DX$386:DX387)),0)</f>
        <v>0</v>
      </c>
      <c r="DY388" s="78">
        <f>IF(DY$386&gt;0,-MIN(DY351,SUM(DY$386:DY387)),0)</f>
        <v>0</v>
      </c>
      <c r="DZ388" s="78">
        <f>IF(DZ$386&gt;0,-MIN(DZ351,SUM(DZ$386:DZ387)),0)</f>
        <v>0</v>
      </c>
      <c r="EA388" s="78">
        <f>IF(EA$386&gt;0,-MIN(EA351,SUM(EA$386:EA387)),0)</f>
        <v>0</v>
      </c>
      <c r="EB388" s="78">
        <f>IF(EB$386&gt;0,-MIN(EB351,SUM(EB$386:EB387)),0)</f>
        <v>0</v>
      </c>
      <c r="EC388" s="78">
        <f>IF(EC$386&gt;0,-MIN(EC351,SUM(EC$386:EC387)),0)</f>
        <v>0</v>
      </c>
      <c r="ED388" s="78">
        <f>IF(ED$386&gt;0,-MIN(ED351,SUM(ED$386:ED387)),0)</f>
        <v>0</v>
      </c>
      <c r="EE388" s="78">
        <f>IF(EE$386&gt;0,-MIN(EE351,SUM(EE$386:EE387)),0)</f>
        <v>0</v>
      </c>
      <c r="EF388" s="78">
        <f>IF(EF$386&gt;0,-MIN(EF351,SUM(EF$386:EF387)),0)</f>
        <v>0</v>
      </c>
      <c r="EG388" s="78">
        <f>IF(EG$386&gt;0,-MIN(EG351,SUM(EG$386:EG387)),0)</f>
        <v>0</v>
      </c>
      <c r="EH388" s="78">
        <f>IF(EH$386&gt;0,-MIN(EH351,SUM(EH$386:EH387)),0)</f>
        <v>0</v>
      </c>
      <c r="EI388" s="78">
        <f>IF(EI$386&gt;0,-MIN(EI351,SUM(EI$386:EI387)),0)</f>
        <v>0</v>
      </c>
    </row>
    <row r="389" spans="2:139">
      <c r="B389" s="880" t="s">
        <v>653</v>
      </c>
      <c r="C389" s="211"/>
      <c r="D389" s="78">
        <f>IF(IrrCalculationType=170,IF(D$386&gt;0,-MIN(D355,SUM(D$386:D388)),0),SUMIF($S$6:$EI$6,D$5,$S389:$EI389))</f>
        <v>0</v>
      </c>
      <c r="E389" s="78">
        <f>IF(IrrCalculationType=170,IF(E$386&gt;0,-MIN(E355,SUM(E$386:E388)),0),SUMIF($S$6:$EI$6,E$5,$S389:$EI389))</f>
        <v>0</v>
      </c>
      <c r="F389" s="78">
        <f>IF(IrrCalculationType=170,IF(F$386&gt;0,-MIN(F355,SUM(F$386:F388)),0),SUMIF($S$6:$EI$6,F$5,$S389:$EI389))</f>
        <v>0</v>
      </c>
      <c r="G389" s="78">
        <f>IF(IrrCalculationType=170,IF(G$386&gt;0,-MIN(G355,SUM(G$386:G388)),0),SUMIF($S$6:$EI$6,G$5,$S389:$EI389))</f>
        <v>0</v>
      </c>
      <c r="H389" s="78">
        <f>IF(IrrCalculationType=170,IF(H$386&gt;0,-MIN(H355,SUM(H$386:H388)),0),SUMIF($S$6:$EI$6,H$5,$S389:$EI389))</f>
        <v>0</v>
      </c>
      <c r="I389" s="78">
        <f>IF(IrrCalculationType=170,IF(I$386&gt;0,-MIN(I355,SUM(I$386:I388)),0),SUMIF($S$6:$EI$6,I$5,$S389:$EI389))</f>
        <v>0</v>
      </c>
      <c r="J389" s="78">
        <f>IF(IrrCalculationType=170,IF(J$386&gt;0,-MIN(J355,SUM(J$386:J388)),0),SUMIF($S$6:$EI$6,J$5,$S389:$EI389))</f>
        <v>0</v>
      </c>
      <c r="K389" s="78">
        <f>IF(IrrCalculationType=170,IF(K$386&gt;0,-MIN(K355,SUM(K$386:K388)),0),SUMIF($S$6:$EI$6,K$5,$S389:$EI389))</f>
        <v>0</v>
      </c>
      <c r="L389" s="78">
        <f>IF(IrrCalculationType=170,IF(L$386&gt;0,-MIN(L355,SUM(L$386:L388)),0),SUMIF($S$6:$EI$6,L$5,$S389:$EI389))</f>
        <v>0</v>
      </c>
      <c r="M389" s="78">
        <f>IF(IrrCalculationType=170,IF(M$386&gt;0,-MIN(M355,SUM(M$386:M388)),0),SUMIF($S$6:$EI$6,M$5,$S389:$EI389))</f>
        <v>0</v>
      </c>
      <c r="N389" s="78">
        <f>IF(IrrCalculationType=170,IF(N$386&gt;0,-MIN(N355,SUM(N$386:N388)),0),SUMIF($S$6:$EI$6,N$5,$S389:$EI389))</f>
        <v>0</v>
      </c>
      <c r="O389" s="145">
        <f t="shared" si="845"/>
        <v>0</v>
      </c>
      <c r="R389" s="201"/>
      <c r="S389" s="78">
        <f>IF(S$386&gt;0,-MIN(S355,SUM(S$386:S388)),0)</f>
        <v>0</v>
      </c>
      <c r="T389" s="78">
        <f>IF(T$386&gt;0,-MIN(T355,SUM(T$386:T388)),0)</f>
        <v>0</v>
      </c>
      <c r="U389" s="78">
        <f>IF(U$386&gt;0,-MIN(U355,SUM(U$386:U388)),0)</f>
        <v>0</v>
      </c>
      <c r="V389" s="78">
        <f>IF(V$386&gt;0,-MIN(V355,SUM(V$386:V388)),0)</f>
        <v>0</v>
      </c>
      <c r="W389" s="78">
        <f>IF(W$386&gt;0,-MIN(W355,SUM(W$386:W388)),0)</f>
        <v>0</v>
      </c>
      <c r="X389" s="78">
        <f>IF(X$386&gt;0,-MIN(X355,SUM(X$386:X388)),0)</f>
        <v>0</v>
      </c>
      <c r="Y389" s="78">
        <f>IF(Y$386&gt;0,-MIN(Y355,SUM(Y$386:Y388)),0)</f>
        <v>0</v>
      </c>
      <c r="Z389" s="78">
        <f>IF(Z$386&gt;0,-MIN(Z355,SUM(Z$386:Z388)),0)</f>
        <v>0</v>
      </c>
      <c r="AA389" s="78">
        <f>IF(AA$386&gt;0,-MIN(AA355,SUM(AA$386:AA388)),0)</f>
        <v>0</v>
      </c>
      <c r="AB389" s="78">
        <f>IF(AB$386&gt;0,-MIN(AB355,SUM(AB$386:AB388)),0)</f>
        <v>0</v>
      </c>
      <c r="AC389" s="78">
        <f>IF(AC$386&gt;0,-MIN(AC355,SUM(AC$386:AC388)),0)</f>
        <v>0</v>
      </c>
      <c r="AD389" s="78">
        <f>IF(AD$386&gt;0,-MIN(AD355,SUM(AD$386:AD388)),0)</f>
        <v>0</v>
      </c>
      <c r="AE389" s="78">
        <f>IF(AE$386&gt;0,-MIN(AE355,SUM(AE$386:AE388)),0)</f>
        <v>0</v>
      </c>
      <c r="AF389" s="78">
        <f>IF(AF$386&gt;0,-MIN(AF355,SUM(AF$386:AF388)),0)</f>
        <v>0</v>
      </c>
      <c r="AG389" s="78">
        <f>IF(AG$386&gt;0,-MIN(AG355,SUM(AG$386:AG388)),0)</f>
        <v>0</v>
      </c>
      <c r="AH389" s="78">
        <f>IF(AH$386&gt;0,-MIN(AH355,SUM(AH$386:AH388)),0)</f>
        <v>0</v>
      </c>
      <c r="AI389" s="78">
        <f>IF(AI$386&gt;0,-MIN(AI355,SUM(AI$386:AI388)),0)</f>
        <v>0</v>
      </c>
      <c r="AJ389" s="78">
        <f>IF(AJ$386&gt;0,-MIN(AJ355,SUM(AJ$386:AJ388)),0)</f>
        <v>0</v>
      </c>
      <c r="AK389" s="78">
        <f>IF(AK$386&gt;0,-MIN(AK355,SUM(AK$386:AK388)),0)</f>
        <v>0</v>
      </c>
      <c r="AL389" s="78">
        <f>IF(AL$386&gt;0,-MIN(AL355,SUM(AL$386:AL388)),0)</f>
        <v>0</v>
      </c>
      <c r="AM389" s="78">
        <f>IF(AM$386&gt;0,-MIN(AM355,SUM(AM$386:AM388)),0)</f>
        <v>0</v>
      </c>
      <c r="AN389" s="78">
        <f>IF(AN$386&gt;0,-MIN(AN355,SUM(AN$386:AN388)),0)</f>
        <v>0</v>
      </c>
      <c r="AO389" s="78">
        <f>IF(AO$386&gt;0,-MIN(AO355,SUM(AO$386:AO388)),0)</f>
        <v>0</v>
      </c>
      <c r="AP389" s="78">
        <f>IF(AP$386&gt;0,-MIN(AP355,SUM(AP$386:AP388)),0)</f>
        <v>0</v>
      </c>
      <c r="AQ389" s="78">
        <f>IF(AQ$386&gt;0,-MIN(AQ355,SUM(AQ$386:AQ388)),0)</f>
        <v>0</v>
      </c>
      <c r="AR389" s="78">
        <f>IF(AR$386&gt;0,-MIN(AR355,SUM(AR$386:AR388)),0)</f>
        <v>0</v>
      </c>
      <c r="AS389" s="78">
        <f>IF(AS$386&gt;0,-MIN(AS355,SUM(AS$386:AS388)),0)</f>
        <v>0</v>
      </c>
      <c r="AT389" s="78">
        <f>IF(AT$386&gt;0,-MIN(AT355,SUM(AT$386:AT388)),0)</f>
        <v>0</v>
      </c>
      <c r="AU389" s="78">
        <f>IF(AU$386&gt;0,-MIN(AU355,SUM(AU$386:AU388)),0)</f>
        <v>0</v>
      </c>
      <c r="AV389" s="78">
        <f>IF(AV$386&gt;0,-MIN(AV355,SUM(AV$386:AV388)),0)</f>
        <v>0</v>
      </c>
      <c r="AW389" s="78">
        <f>IF(AW$386&gt;0,-MIN(AW355,SUM(AW$386:AW388)),0)</f>
        <v>0</v>
      </c>
      <c r="AX389" s="78">
        <f>IF(AX$386&gt;0,-MIN(AX355,SUM(AX$386:AX388)),0)</f>
        <v>0</v>
      </c>
      <c r="AY389" s="78">
        <f>IF(AY$386&gt;0,-MIN(AY355,SUM(AY$386:AY388)),0)</f>
        <v>0</v>
      </c>
      <c r="AZ389" s="78">
        <f>IF(AZ$386&gt;0,-MIN(AZ355,SUM(AZ$386:AZ388)),0)</f>
        <v>0</v>
      </c>
      <c r="BA389" s="78">
        <f>IF(BA$386&gt;0,-MIN(BA355,SUM(BA$386:BA388)),0)</f>
        <v>0</v>
      </c>
      <c r="BB389" s="78">
        <f>IF(BB$386&gt;0,-MIN(BB355,SUM(BB$386:BB388)),0)</f>
        <v>0</v>
      </c>
      <c r="BC389" s="78">
        <f>IF(BC$386&gt;0,-MIN(BC355,SUM(BC$386:BC388)),0)</f>
        <v>0</v>
      </c>
      <c r="BD389" s="78">
        <f>IF(BD$386&gt;0,-MIN(BD355,SUM(BD$386:BD388)),0)</f>
        <v>0</v>
      </c>
      <c r="BE389" s="78">
        <f>IF(BE$386&gt;0,-MIN(BE355,SUM(BE$386:BE388)),0)</f>
        <v>0</v>
      </c>
      <c r="BF389" s="78">
        <f>IF(BF$386&gt;0,-MIN(BF355,SUM(BF$386:BF388)),0)</f>
        <v>0</v>
      </c>
      <c r="BG389" s="78">
        <f>IF(BG$386&gt;0,-MIN(BG355,SUM(BG$386:BG388)),0)</f>
        <v>0</v>
      </c>
      <c r="BH389" s="78">
        <f>IF(BH$386&gt;0,-MIN(BH355,SUM(BH$386:BH388)),0)</f>
        <v>0</v>
      </c>
      <c r="BI389" s="78">
        <f>IF(BI$386&gt;0,-MIN(BI355,SUM(BI$386:BI388)),0)</f>
        <v>0</v>
      </c>
      <c r="BJ389" s="78">
        <f>IF(BJ$386&gt;0,-MIN(BJ355,SUM(BJ$386:BJ388)),0)</f>
        <v>0</v>
      </c>
      <c r="BK389" s="78">
        <f>IF(BK$386&gt;0,-MIN(BK355,SUM(BK$386:BK388)),0)</f>
        <v>0</v>
      </c>
      <c r="BL389" s="78">
        <f>IF(BL$386&gt;0,-MIN(BL355,SUM(BL$386:BL388)),0)</f>
        <v>0</v>
      </c>
      <c r="BM389" s="78">
        <f>IF(BM$386&gt;0,-MIN(BM355,SUM(BM$386:BM388)),0)</f>
        <v>0</v>
      </c>
      <c r="BN389" s="78">
        <f>IF(BN$386&gt;0,-MIN(BN355,SUM(BN$386:BN388)),0)</f>
        <v>0</v>
      </c>
      <c r="BO389" s="78">
        <f>IF(BO$386&gt;0,-MIN(BO355,SUM(BO$386:BO388)),0)</f>
        <v>0</v>
      </c>
      <c r="BP389" s="78">
        <f>IF(BP$386&gt;0,-MIN(BP355,SUM(BP$386:BP388)),0)</f>
        <v>0</v>
      </c>
      <c r="BQ389" s="78">
        <f>IF(BQ$386&gt;0,-MIN(BQ355,SUM(BQ$386:BQ388)),0)</f>
        <v>0</v>
      </c>
      <c r="BR389" s="78">
        <f>IF(BR$386&gt;0,-MIN(BR355,SUM(BR$386:BR388)),0)</f>
        <v>0</v>
      </c>
      <c r="BS389" s="78">
        <f>IF(BS$386&gt;0,-MIN(BS355,SUM(BS$386:BS388)),0)</f>
        <v>0</v>
      </c>
      <c r="BT389" s="78">
        <f>IF(BT$386&gt;0,-MIN(BT355,SUM(BT$386:BT388)),0)</f>
        <v>0</v>
      </c>
      <c r="BU389" s="78">
        <f>IF(BU$386&gt;0,-MIN(BU355,SUM(BU$386:BU388)),0)</f>
        <v>0</v>
      </c>
      <c r="BV389" s="78">
        <f>IF(BV$386&gt;0,-MIN(BV355,SUM(BV$386:BV388)),0)</f>
        <v>0</v>
      </c>
      <c r="BW389" s="78">
        <f>IF(BW$386&gt;0,-MIN(BW355,SUM(BW$386:BW388)),0)</f>
        <v>0</v>
      </c>
      <c r="BX389" s="78">
        <f>IF(BX$386&gt;0,-MIN(BX355,SUM(BX$386:BX388)),0)</f>
        <v>0</v>
      </c>
      <c r="BY389" s="78">
        <f>IF(BY$386&gt;0,-MIN(BY355,SUM(BY$386:BY388)),0)</f>
        <v>0</v>
      </c>
      <c r="BZ389" s="78">
        <f>IF(BZ$386&gt;0,-MIN(BZ355,SUM(BZ$386:BZ388)),0)</f>
        <v>0</v>
      </c>
      <c r="CA389" s="78">
        <f>IF(CA$386&gt;0,-MIN(CA355,SUM(CA$386:CA388)),0)</f>
        <v>0</v>
      </c>
      <c r="CB389" s="78">
        <f>IF(CB$386&gt;0,-MIN(CB355,SUM(CB$386:CB388)),0)</f>
        <v>0</v>
      </c>
      <c r="CC389" s="78">
        <f>IF(CC$386&gt;0,-MIN(CC355,SUM(CC$386:CC388)),0)</f>
        <v>0</v>
      </c>
      <c r="CD389" s="78">
        <f>IF(CD$386&gt;0,-MIN(CD355,SUM(CD$386:CD388)),0)</f>
        <v>0</v>
      </c>
      <c r="CE389" s="78">
        <f>IF(CE$386&gt;0,-MIN(CE355,SUM(CE$386:CE388)),0)</f>
        <v>0</v>
      </c>
      <c r="CF389" s="78">
        <f>IF(CF$386&gt;0,-MIN(CF355,SUM(CF$386:CF388)),0)</f>
        <v>0</v>
      </c>
      <c r="CG389" s="78">
        <f>IF(CG$386&gt;0,-MIN(CG355,SUM(CG$386:CG388)),0)</f>
        <v>0</v>
      </c>
      <c r="CH389" s="78">
        <f>IF(CH$386&gt;0,-MIN(CH355,SUM(CH$386:CH388)),0)</f>
        <v>0</v>
      </c>
      <c r="CI389" s="78">
        <f>IF(CI$386&gt;0,-MIN(CI355,SUM(CI$386:CI388)),0)</f>
        <v>0</v>
      </c>
      <c r="CJ389" s="78">
        <f>IF(CJ$386&gt;0,-MIN(CJ355,SUM(CJ$386:CJ388)),0)</f>
        <v>0</v>
      </c>
      <c r="CK389" s="78">
        <f>IF(CK$386&gt;0,-MIN(CK355,SUM(CK$386:CK388)),0)</f>
        <v>0</v>
      </c>
      <c r="CL389" s="78">
        <f>IF(CL$386&gt;0,-MIN(CL355,SUM(CL$386:CL388)),0)</f>
        <v>0</v>
      </c>
      <c r="CM389" s="78">
        <f>IF(CM$386&gt;0,-MIN(CM355,SUM(CM$386:CM388)),0)</f>
        <v>0</v>
      </c>
      <c r="CN389" s="78">
        <f>IF(CN$386&gt;0,-MIN(CN355,SUM(CN$386:CN388)),0)</f>
        <v>0</v>
      </c>
      <c r="CO389" s="78">
        <f>IF(CO$386&gt;0,-MIN(CO355,SUM(CO$386:CO388)),0)</f>
        <v>0</v>
      </c>
      <c r="CP389" s="78">
        <f>IF(CP$386&gt;0,-MIN(CP355,SUM(CP$386:CP388)),0)</f>
        <v>0</v>
      </c>
      <c r="CQ389" s="78">
        <f>IF(CQ$386&gt;0,-MIN(CQ355,SUM(CQ$386:CQ388)),0)</f>
        <v>0</v>
      </c>
      <c r="CR389" s="78">
        <f>IF(CR$386&gt;0,-MIN(CR355,SUM(CR$386:CR388)),0)</f>
        <v>0</v>
      </c>
      <c r="CS389" s="78">
        <f>IF(CS$386&gt;0,-MIN(CS355,SUM(CS$386:CS388)),0)</f>
        <v>0</v>
      </c>
      <c r="CT389" s="78">
        <f>IF(CT$386&gt;0,-MIN(CT355,SUM(CT$386:CT388)),0)</f>
        <v>0</v>
      </c>
      <c r="CU389" s="78">
        <f>IF(CU$386&gt;0,-MIN(CU355,SUM(CU$386:CU388)),0)</f>
        <v>0</v>
      </c>
      <c r="CV389" s="78">
        <f>IF(CV$386&gt;0,-MIN(CV355,SUM(CV$386:CV388)),0)</f>
        <v>0</v>
      </c>
      <c r="CW389" s="78">
        <f>IF(CW$386&gt;0,-MIN(CW355,SUM(CW$386:CW388)),0)</f>
        <v>0</v>
      </c>
      <c r="CX389" s="78">
        <f>IF(CX$386&gt;0,-MIN(CX355,SUM(CX$386:CX388)),0)</f>
        <v>0</v>
      </c>
      <c r="CY389" s="78">
        <f>IF(CY$386&gt;0,-MIN(CY355,SUM(CY$386:CY388)),0)</f>
        <v>0</v>
      </c>
      <c r="CZ389" s="78">
        <f>IF(CZ$386&gt;0,-MIN(CZ355,SUM(CZ$386:CZ388)),0)</f>
        <v>0</v>
      </c>
      <c r="DA389" s="78">
        <f>IF(DA$386&gt;0,-MIN(DA355,SUM(DA$386:DA388)),0)</f>
        <v>0</v>
      </c>
      <c r="DB389" s="78">
        <f>IF(DB$386&gt;0,-MIN(DB355,SUM(DB$386:DB388)),0)</f>
        <v>0</v>
      </c>
      <c r="DC389" s="78">
        <f>IF(DC$386&gt;0,-MIN(DC355,SUM(DC$386:DC388)),0)</f>
        <v>0</v>
      </c>
      <c r="DD389" s="78">
        <f>IF(DD$386&gt;0,-MIN(DD355,SUM(DD$386:DD388)),0)</f>
        <v>0</v>
      </c>
      <c r="DE389" s="78">
        <f>IF(DE$386&gt;0,-MIN(DE355,SUM(DE$386:DE388)),0)</f>
        <v>0</v>
      </c>
      <c r="DF389" s="78">
        <f>IF(DF$386&gt;0,-MIN(DF355,SUM(DF$386:DF388)),0)</f>
        <v>0</v>
      </c>
      <c r="DG389" s="78">
        <f>IF(DG$386&gt;0,-MIN(DG355,SUM(DG$386:DG388)),0)</f>
        <v>0</v>
      </c>
      <c r="DH389" s="78">
        <f>IF(DH$386&gt;0,-MIN(DH355,SUM(DH$386:DH388)),0)</f>
        <v>0</v>
      </c>
      <c r="DI389" s="78">
        <f>IF(DI$386&gt;0,-MIN(DI355,SUM(DI$386:DI388)),0)</f>
        <v>0</v>
      </c>
      <c r="DJ389" s="78">
        <f>IF(DJ$386&gt;0,-MIN(DJ355,SUM(DJ$386:DJ388)),0)</f>
        <v>0</v>
      </c>
      <c r="DK389" s="78">
        <f>IF(DK$386&gt;0,-MIN(DK355,SUM(DK$386:DK388)),0)</f>
        <v>0</v>
      </c>
      <c r="DL389" s="78">
        <f>IF(DL$386&gt;0,-MIN(DL355,SUM(DL$386:DL388)),0)</f>
        <v>0</v>
      </c>
      <c r="DM389" s="78">
        <f>IF(DM$386&gt;0,-MIN(DM355,SUM(DM$386:DM388)),0)</f>
        <v>0</v>
      </c>
      <c r="DN389" s="78">
        <f>IF(DN$386&gt;0,-MIN(DN355,SUM(DN$386:DN388)),0)</f>
        <v>0</v>
      </c>
      <c r="DO389" s="78">
        <f>IF(DO$386&gt;0,-MIN(DO355,SUM(DO$386:DO388)),0)</f>
        <v>0</v>
      </c>
      <c r="DP389" s="78">
        <f>IF(DP$386&gt;0,-MIN(DP355,SUM(DP$386:DP388)),0)</f>
        <v>0</v>
      </c>
      <c r="DQ389" s="78">
        <f>IF(DQ$386&gt;0,-MIN(DQ355,SUM(DQ$386:DQ388)),0)</f>
        <v>0</v>
      </c>
      <c r="DR389" s="78">
        <f>IF(DR$386&gt;0,-MIN(DR355,SUM(DR$386:DR388)),0)</f>
        <v>0</v>
      </c>
      <c r="DS389" s="78">
        <f>IF(DS$386&gt;0,-MIN(DS355,SUM(DS$386:DS388)),0)</f>
        <v>0</v>
      </c>
      <c r="DT389" s="78">
        <f>IF(DT$386&gt;0,-MIN(DT355,SUM(DT$386:DT388)),0)</f>
        <v>0</v>
      </c>
      <c r="DU389" s="78">
        <f>IF(DU$386&gt;0,-MIN(DU355,SUM(DU$386:DU388)),0)</f>
        <v>0</v>
      </c>
      <c r="DV389" s="78">
        <f>IF(DV$386&gt;0,-MIN(DV355,SUM(DV$386:DV388)),0)</f>
        <v>0</v>
      </c>
      <c r="DW389" s="78">
        <f>IF(DW$386&gt;0,-MIN(DW355,SUM(DW$386:DW388)),0)</f>
        <v>0</v>
      </c>
      <c r="DX389" s="78">
        <f>IF(DX$386&gt;0,-MIN(DX355,SUM(DX$386:DX388)),0)</f>
        <v>0</v>
      </c>
      <c r="DY389" s="78">
        <f>IF(DY$386&gt;0,-MIN(DY355,SUM(DY$386:DY388)),0)</f>
        <v>0</v>
      </c>
      <c r="DZ389" s="78">
        <f>IF(DZ$386&gt;0,-MIN(DZ355,SUM(DZ$386:DZ388)),0)</f>
        <v>0</v>
      </c>
      <c r="EA389" s="78">
        <f>IF(EA$386&gt;0,-MIN(EA355,SUM(EA$386:EA388)),0)</f>
        <v>0</v>
      </c>
      <c r="EB389" s="78">
        <f>IF(EB$386&gt;0,-MIN(EB355,SUM(EB$386:EB388)),0)</f>
        <v>0</v>
      </c>
      <c r="EC389" s="78">
        <f>IF(EC$386&gt;0,-MIN(EC355,SUM(EC$386:EC388)),0)</f>
        <v>0</v>
      </c>
      <c r="ED389" s="78">
        <f>IF(ED$386&gt;0,-MIN(ED355,SUM(ED$386:ED388)),0)</f>
        <v>0</v>
      </c>
      <c r="EE389" s="78">
        <f>IF(EE$386&gt;0,-MIN(EE355,SUM(EE$386:EE388)),0)</f>
        <v>0</v>
      </c>
      <c r="EF389" s="78">
        <f>IF(EF$386&gt;0,-MIN(EF355,SUM(EF$386:EF388)),0)</f>
        <v>0</v>
      </c>
      <c r="EG389" s="78">
        <f>IF(EG$386&gt;0,-MIN(EG355,SUM(EG$386:EG388)),0)</f>
        <v>0</v>
      </c>
      <c r="EH389" s="78">
        <f>IF(EH$386&gt;0,-MIN(EH355,SUM(EH$386:EH388)),0)</f>
        <v>0</v>
      </c>
      <c r="EI389" s="78">
        <f>IF(EI$386&gt;0,-MIN(EI355,SUM(EI$386:EI388)),0)</f>
        <v>0</v>
      </c>
    </row>
    <row r="390" spans="2:139">
      <c r="B390" s="880" t="s">
        <v>659</v>
      </c>
      <c r="C390" s="211"/>
      <c r="D390" s="78">
        <f t="shared" ref="D390:N390" si="860">IF(IrrCalculationType=170,-MIN(SUM(D360:D363),SUM(D386:D389)),SUMIF($S$6:$EI$6,D$5,$S390:$EI390))</f>
        <v>0</v>
      </c>
      <c r="E390" s="78">
        <f t="shared" si="860"/>
        <v>0</v>
      </c>
      <c r="F390" s="78">
        <f t="shared" si="860"/>
        <v>0</v>
      </c>
      <c r="G390" s="78">
        <f t="shared" si="860"/>
        <v>0</v>
      </c>
      <c r="H390" s="78">
        <f t="shared" si="860"/>
        <v>0</v>
      </c>
      <c r="I390" s="78">
        <f t="shared" si="860"/>
        <v>0</v>
      </c>
      <c r="J390" s="78">
        <f t="shared" si="860"/>
        <v>0</v>
      </c>
      <c r="K390" s="78">
        <f t="shared" si="860"/>
        <v>0</v>
      </c>
      <c r="L390" s="78">
        <f t="shared" si="860"/>
        <v>0</v>
      </c>
      <c r="M390" s="78">
        <f t="shared" si="860"/>
        <v>0</v>
      </c>
      <c r="N390" s="78">
        <f t="shared" si="860"/>
        <v>0</v>
      </c>
      <c r="O390" s="145">
        <f t="shared" si="845"/>
        <v>0</v>
      </c>
      <c r="R390" s="201"/>
      <c r="S390" s="78">
        <f t="shared" ref="S390:AX390" si="861">-MIN(SUM(S360:S363),SUM(S386:S389))</f>
        <v>0</v>
      </c>
      <c r="T390" s="78">
        <f t="shared" si="861"/>
        <v>0</v>
      </c>
      <c r="U390" s="78">
        <f t="shared" si="861"/>
        <v>0</v>
      </c>
      <c r="V390" s="78">
        <f t="shared" si="861"/>
        <v>0</v>
      </c>
      <c r="W390" s="78">
        <f t="shared" si="861"/>
        <v>0</v>
      </c>
      <c r="X390" s="78">
        <f t="shared" si="861"/>
        <v>0</v>
      </c>
      <c r="Y390" s="78">
        <f t="shared" si="861"/>
        <v>0</v>
      </c>
      <c r="Z390" s="78">
        <f t="shared" si="861"/>
        <v>0</v>
      </c>
      <c r="AA390" s="78">
        <f t="shared" si="861"/>
        <v>0</v>
      </c>
      <c r="AB390" s="78">
        <f t="shared" si="861"/>
        <v>0</v>
      </c>
      <c r="AC390" s="78">
        <f t="shared" si="861"/>
        <v>0</v>
      </c>
      <c r="AD390" s="78">
        <f t="shared" si="861"/>
        <v>0</v>
      </c>
      <c r="AE390" s="78">
        <f t="shared" si="861"/>
        <v>0</v>
      </c>
      <c r="AF390" s="78">
        <f t="shared" si="861"/>
        <v>0</v>
      </c>
      <c r="AG390" s="78">
        <f t="shared" si="861"/>
        <v>0</v>
      </c>
      <c r="AH390" s="78">
        <f t="shared" si="861"/>
        <v>0</v>
      </c>
      <c r="AI390" s="78">
        <f t="shared" si="861"/>
        <v>0</v>
      </c>
      <c r="AJ390" s="78">
        <f t="shared" si="861"/>
        <v>0</v>
      </c>
      <c r="AK390" s="78">
        <f t="shared" si="861"/>
        <v>0</v>
      </c>
      <c r="AL390" s="78">
        <f t="shared" si="861"/>
        <v>0</v>
      </c>
      <c r="AM390" s="78">
        <f t="shared" si="861"/>
        <v>0</v>
      </c>
      <c r="AN390" s="78">
        <f t="shared" si="861"/>
        <v>0</v>
      </c>
      <c r="AO390" s="78">
        <f t="shared" si="861"/>
        <v>0</v>
      </c>
      <c r="AP390" s="78">
        <f t="shared" si="861"/>
        <v>0</v>
      </c>
      <c r="AQ390" s="78">
        <f t="shared" si="861"/>
        <v>0</v>
      </c>
      <c r="AR390" s="78">
        <f t="shared" si="861"/>
        <v>0</v>
      </c>
      <c r="AS390" s="78">
        <f t="shared" si="861"/>
        <v>0</v>
      </c>
      <c r="AT390" s="78">
        <f t="shared" si="861"/>
        <v>0</v>
      </c>
      <c r="AU390" s="78">
        <f t="shared" si="861"/>
        <v>0</v>
      </c>
      <c r="AV390" s="78">
        <f t="shared" si="861"/>
        <v>0</v>
      </c>
      <c r="AW390" s="78">
        <f t="shared" si="861"/>
        <v>0</v>
      </c>
      <c r="AX390" s="78">
        <f t="shared" si="861"/>
        <v>0</v>
      </c>
      <c r="AY390" s="78">
        <f t="shared" ref="AY390:CD390" si="862">-MIN(SUM(AY360:AY363),SUM(AY386:AY389))</f>
        <v>0</v>
      </c>
      <c r="AZ390" s="78">
        <f t="shared" si="862"/>
        <v>0</v>
      </c>
      <c r="BA390" s="78">
        <f t="shared" si="862"/>
        <v>0</v>
      </c>
      <c r="BB390" s="78">
        <f t="shared" si="862"/>
        <v>0</v>
      </c>
      <c r="BC390" s="78">
        <f t="shared" si="862"/>
        <v>0</v>
      </c>
      <c r="BD390" s="78">
        <f t="shared" si="862"/>
        <v>0</v>
      </c>
      <c r="BE390" s="78">
        <f t="shared" si="862"/>
        <v>0</v>
      </c>
      <c r="BF390" s="78">
        <f t="shared" si="862"/>
        <v>0</v>
      </c>
      <c r="BG390" s="78">
        <f t="shared" si="862"/>
        <v>0</v>
      </c>
      <c r="BH390" s="78">
        <f t="shared" si="862"/>
        <v>0</v>
      </c>
      <c r="BI390" s="78">
        <f t="shared" si="862"/>
        <v>0</v>
      </c>
      <c r="BJ390" s="78">
        <f t="shared" si="862"/>
        <v>0</v>
      </c>
      <c r="BK390" s="78">
        <f t="shared" si="862"/>
        <v>0</v>
      </c>
      <c r="BL390" s="78">
        <f t="shared" si="862"/>
        <v>0</v>
      </c>
      <c r="BM390" s="78">
        <f t="shared" si="862"/>
        <v>0</v>
      </c>
      <c r="BN390" s="78">
        <f t="shared" si="862"/>
        <v>0</v>
      </c>
      <c r="BO390" s="78">
        <f t="shared" si="862"/>
        <v>0</v>
      </c>
      <c r="BP390" s="78">
        <f t="shared" si="862"/>
        <v>0</v>
      </c>
      <c r="BQ390" s="78">
        <f t="shared" si="862"/>
        <v>0</v>
      </c>
      <c r="BR390" s="78">
        <f t="shared" si="862"/>
        <v>0</v>
      </c>
      <c r="BS390" s="78">
        <f t="shared" si="862"/>
        <v>0</v>
      </c>
      <c r="BT390" s="78">
        <f t="shared" si="862"/>
        <v>0</v>
      </c>
      <c r="BU390" s="78">
        <f t="shared" si="862"/>
        <v>0</v>
      </c>
      <c r="BV390" s="78">
        <f t="shared" si="862"/>
        <v>0</v>
      </c>
      <c r="BW390" s="78">
        <f t="shared" si="862"/>
        <v>0</v>
      </c>
      <c r="BX390" s="78">
        <f t="shared" si="862"/>
        <v>0</v>
      </c>
      <c r="BY390" s="78">
        <f t="shared" si="862"/>
        <v>0</v>
      </c>
      <c r="BZ390" s="78">
        <f t="shared" si="862"/>
        <v>0</v>
      </c>
      <c r="CA390" s="78">
        <f t="shared" si="862"/>
        <v>0</v>
      </c>
      <c r="CB390" s="78">
        <f t="shared" si="862"/>
        <v>0</v>
      </c>
      <c r="CC390" s="78">
        <f t="shared" si="862"/>
        <v>0</v>
      </c>
      <c r="CD390" s="78">
        <f t="shared" si="862"/>
        <v>0</v>
      </c>
      <c r="CE390" s="78">
        <f t="shared" ref="CE390:DJ390" si="863">-MIN(SUM(CE360:CE363),SUM(CE386:CE389))</f>
        <v>0</v>
      </c>
      <c r="CF390" s="78">
        <f t="shared" si="863"/>
        <v>0</v>
      </c>
      <c r="CG390" s="78">
        <f t="shared" si="863"/>
        <v>0</v>
      </c>
      <c r="CH390" s="78">
        <f t="shared" si="863"/>
        <v>0</v>
      </c>
      <c r="CI390" s="78">
        <f t="shared" si="863"/>
        <v>0</v>
      </c>
      <c r="CJ390" s="78">
        <f t="shared" si="863"/>
        <v>0</v>
      </c>
      <c r="CK390" s="78">
        <f t="shared" si="863"/>
        <v>0</v>
      </c>
      <c r="CL390" s="78">
        <f t="shared" si="863"/>
        <v>0</v>
      </c>
      <c r="CM390" s="78">
        <f t="shared" si="863"/>
        <v>0</v>
      </c>
      <c r="CN390" s="78">
        <f t="shared" si="863"/>
        <v>0</v>
      </c>
      <c r="CO390" s="78">
        <f t="shared" si="863"/>
        <v>0</v>
      </c>
      <c r="CP390" s="78">
        <f t="shared" si="863"/>
        <v>0</v>
      </c>
      <c r="CQ390" s="78">
        <f t="shared" si="863"/>
        <v>0</v>
      </c>
      <c r="CR390" s="78">
        <f t="shared" si="863"/>
        <v>0</v>
      </c>
      <c r="CS390" s="78">
        <f t="shared" si="863"/>
        <v>0</v>
      </c>
      <c r="CT390" s="78">
        <f t="shared" si="863"/>
        <v>0</v>
      </c>
      <c r="CU390" s="78">
        <f t="shared" si="863"/>
        <v>0</v>
      </c>
      <c r="CV390" s="78">
        <f t="shared" si="863"/>
        <v>0</v>
      </c>
      <c r="CW390" s="78">
        <f t="shared" si="863"/>
        <v>0</v>
      </c>
      <c r="CX390" s="78">
        <f t="shared" si="863"/>
        <v>0</v>
      </c>
      <c r="CY390" s="78">
        <f t="shared" si="863"/>
        <v>0</v>
      </c>
      <c r="CZ390" s="78">
        <f t="shared" si="863"/>
        <v>0</v>
      </c>
      <c r="DA390" s="78">
        <f t="shared" si="863"/>
        <v>0</v>
      </c>
      <c r="DB390" s="78">
        <f t="shared" si="863"/>
        <v>0</v>
      </c>
      <c r="DC390" s="78">
        <f t="shared" si="863"/>
        <v>0</v>
      </c>
      <c r="DD390" s="78">
        <f t="shared" si="863"/>
        <v>0</v>
      </c>
      <c r="DE390" s="78">
        <f t="shared" si="863"/>
        <v>0</v>
      </c>
      <c r="DF390" s="78">
        <f t="shared" si="863"/>
        <v>0</v>
      </c>
      <c r="DG390" s="78">
        <f t="shared" si="863"/>
        <v>0</v>
      </c>
      <c r="DH390" s="78">
        <f t="shared" si="863"/>
        <v>0</v>
      </c>
      <c r="DI390" s="78">
        <f t="shared" si="863"/>
        <v>0</v>
      </c>
      <c r="DJ390" s="78">
        <f t="shared" si="863"/>
        <v>0</v>
      </c>
      <c r="DK390" s="78">
        <f t="shared" ref="DK390:EP390" si="864">-MIN(SUM(DK360:DK363),SUM(DK386:DK389))</f>
        <v>0</v>
      </c>
      <c r="DL390" s="78">
        <f t="shared" si="864"/>
        <v>0</v>
      </c>
      <c r="DM390" s="78">
        <f t="shared" si="864"/>
        <v>0</v>
      </c>
      <c r="DN390" s="78">
        <f t="shared" si="864"/>
        <v>0</v>
      </c>
      <c r="DO390" s="78">
        <f t="shared" si="864"/>
        <v>0</v>
      </c>
      <c r="DP390" s="78">
        <f t="shared" si="864"/>
        <v>0</v>
      </c>
      <c r="DQ390" s="78">
        <f t="shared" si="864"/>
        <v>0</v>
      </c>
      <c r="DR390" s="78">
        <f t="shared" si="864"/>
        <v>0</v>
      </c>
      <c r="DS390" s="78">
        <f t="shared" si="864"/>
        <v>0</v>
      </c>
      <c r="DT390" s="78">
        <f t="shared" si="864"/>
        <v>0</v>
      </c>
      <c r="DU390" s="78">
        <f t="shared" si="864"/>
        <v>0</v>
      </c>
      <c r="DV390" s="78">
        <f t="shared" si="864"/>
        <v>0</v>
      </c>
      <c r="DW390" s="78">
        <f t="shared" si="864"/>
        <v>0</v>
      </c>
      <c r="DX390" s="78">
        <f t="shared" si="864"/>
        <v>0</v>
      </c>
      <c r="DY390" s="78">
        <f t="shared" si="864"/>
        <v>0</v>
      </c>
      <c r="DZ390" s="78">
        <f t="shared" si="864"/>
        <v>0</v>
      </c>
      <c r="EA390" s="78">
        <f t="shared" si="864"/>
        <v>0</v>
      </c>
      <c r="EB390" s="78">
        <f t="shared" si="864"/>
        <v>0</v>
      </c>
      <c r="EC390" s="78">
        <f t="shared" si="864"/>
        <v>0</v>
      </c>
      <c r="ED390" s="78">
        <f t="shared" si="864"/>
        <v>0</v>
      </c>
      <c r="EE390" s="78">
        <f t="shared" si="864"/>
        <v>0</v>
      </c>
      <c r="EF390" s="78">
        <f t="shared" si="864"/>
        <v>0</v>
      </c>
      <c r="EG390" s="78">
        <f t="shared" si="864"/>
        <v>0</v>
      </c>
      <c r="EH390" s="78">
        <f t="shared" si="864"/>
        <v>0</v>
      </c>
      <c r="EI390" s="78">
        <f t="shared" si="864"/>
        <v>0</v>
      </c>
    </row>
    <row r="391" spans="2:139">
      <c r="B391" s="41" t="s">
        <v>669</v>
      </c>
      <c r="C391" s="211"/>
      <c r="D391" s="78">
        <f t="shared" ref="D391:N391" si="865">IF(IrrCalculationType=170,MAX(D270+D272,),SUMIF($S$6:$EI$6,D$5,$S391:$EI391))</f>
        <v>0</v>
      </c>
      <c r="E391" s="78">
        <f t="shared" si="865"/>
        <v>0</v>
      </c>
      <c r="F391" s="78">
        <f t="shared" si="865"/>
        <v>0</v>
      </c>
      <c r="G391" s="78">
        <f t="shared" si="865"/>
        <v>0</v>
      </c>
      <c r="H391" s="78">
        <f t="shared" si="865"/>
        <v>0</v>
      </c>
      <c r="I391" s="78">
        <f t="shared" si="865"/>
        <v>0</v>
      </c>
      <c r="J391" s="78">
        <f t="shared" si="865"/>
        <v>0</v>
      </c>
      <c r="K391" s="78">
        <f t="shared" si="865"/>
        <v>0</v>
      </c>
      <c r="L391" s="78">
        <f t="shared" si="865"/>
        <v>0</v>
      </c>
      <c r="M391" s="78">
        <f t="shared" si="865"/>
        <v>0</v>
      </c>
      <c r="N391" s="78">
        <f t="shared" si="865"/>
        <v>0</v>
      </c>
      <c r="O391" s="145">
        <f t="shared" si="845"/>
        <v>0</v>
      </c>
      <c r="R391" s="201"/>
      <c r="S391" s="78">
        <f t="shared" ref="S391:AX391" si="866">MAX(S270+S272,)</f>
        <v>0</v>
      </c>
      <c r="T391" s="78">
        <f t="shared" si="866"/>
        <v>0</v>
      </c>
      <c r="U391" s="78">
        <f t="shared" si="866"/>
        <v>0</v>
      </c>
      <c r="V391" s="78">
        <f t="shared" si="866"/>
        <v>0</v>
      </c>
      <c r="W391" s="78">
        <f t="shared" si="866"/>
        <v>0</v>
      </c>
      <c r="X391" s="78">
        <f t="shared" si="866"/>
        <v>0</v>
      </c>
      <c r="Y391" s="78">
        <f t="shared" si="866"/>
        <v>0</v>
      </c>
      <c r="Z391" s="78">
        <f t="shared" si="866"/>
        <v>0</v>
      </c>
      <c r="AA391" s="78">
        <f t="shared" si="866"/>
        <v>0</v>
      </c>
      <c r="AB391" s="78">
        <f t="shared" si="866"/>
        <v>0</v>
      </c>
      <c r="AC391" s="78">
        <f t="shared" si="866"/>
        <v>0</v>
      </c>
      <c r="AD391" s="78">
        <f t="shared" si="866"/>
        <v>0</v>
      </c>
      <c r="AE391" s="78">
        <f t="shared" si="866"/>
        <v>0</v>
      </c>
      <c r="AF391" s="78">
        <f t="shared" si="866"/>
        <v>0</v>
      </c>
      <c r="AG391" s="78">
        <f t="shared" si="866"/>
        <v>0</v>
      </c>
      <c r="AH391" s="78">
        <f t="shared" si="866"/>
        <v>0</v>
      </c>
      <c r="AI391" s="78">
        <f t="shared" si="866"/>
        <v>0</v>
      </c>
      <c r="AJ391" s="78">
        <f t="shared" si="866"/>
        <v>0</v>
      </c>
      <c r="AK391" s="78">
        <f t="shared" si="866"/>
        <v>0</v>
      </c>
      <c r="AL391" s="78">
        <f t="shared" si="866"/>
        <v>0</v>
      </c>
      <c r="AM391" s="78">
        <f t="shared" si="866"/>
        <v>0</v>
      </c>
      <c r="AN391" s="78">
        <f t="shared" si="866"/>
        <v>0</v>
      </c>
      <c r="AO391" s="78">
        <f t="shared" si="866"/>
        <v>0</v>
      </c>
      <c r="AP391" s="78">
        <f t="shared" si="866"/>
        <v>0</v>
      </c>
      <c r="AQ391" s="78">
        <f t="shared" si="866"/>
        <v>0</v>
      </c>
      <c r="AR391" s="78">
        <f t="shared" si="866"/>
        <v>0</v>
      </c>
      <c r="AS391" s="78">
        <f t="shared" si="866"/>
        <v>0</v>
      </c>
      <c r="AT391" s="78">
        <f t="shared" si="866"/>
        <v>0</v>
      </c>
      <c r="AU391" s="78">
        <f t="shared" si="866"/>
        <v>0</v>
      </c>
      <c r="AV391" s="78">
        <f t="shared" si="866"/>
        <v>0</v>
      </c>
      <c r="AW391" s="78">
        <f t="shared" si="866"/>
        <v>0</v>
      </c>
      <c r="AX391" s="78">
        <f t="shared" si="866"/>
        <v>0</v>
      </c>
      <c r="AY391" s="78">
        <f t="shared" ref="AY391:CD391" si="867">MAX(AY270+AY272,)</f>
        <v>0</v>
      </c>
      <c r="AZ391" s="78">
        <f t="shared" si="867"/>
        <v>0</v>
      </c>
      <c r="BA391" s="78">
        <f t="shared" si="867"/>
        <v>0</v>
      </c>
      <c r="BB391" s="78">
        <f t="shared" si="867"/>
        <v>0</v>
      </c>
      <c r="BC391" s="78">
        <f t="shared" si="867"/>
        <v>0</v>
      </c>
      <c r="BD391" s="78">
        <f t="shared" si="867"/>
        <v>0</v>
      </c>
      <c r="BE391" s="78">
        <f t="shared" si="867"/>
        <v>0</v>
      </c>
      <c r="BF391" s="78">
        <f t="shared" si="867"/>
        <v>0</v>
      </c>
      <c r="BG391" s="78">
        <f t="shared" si="867"/>
        <v>0</v>
      </c>
      <c r="BH391" s="78">
        <f t="shared" si="867"/>
        <v>0</v>
      </c>
      <c r="BI391" s="78">
        <f t="shared" si="867"/>
        <v>0</v>
      </c>
      <c r="BJ391" s="78">
        <f t="shared" si="867"/>
        <v>0</v>
      </c>
      <c r="BK391" s="78">
        <f t="shared" si="867"/>
        <v>0</v>
      </c>
      <c r="BL391" s="78">
        <f t="shared" si="867"/>
        <v>0</v>
      </c>
      <c r="BM391" s="78">
        <f t="shared" si="867"/>
        <v>0</v>
      </c>
      <c r="BN391" s="78">
        <f t="shared" si="867"/>
        <v>0</v>
      </c>
      <c r="BO391" s="78">
        <f t="shared" si="867"/>
        <v>0</v>
      </c>
      <c r="BP391" s="78">
        <f t="shared" si="867"/>
        <v>0</v>
      </c>
      <c r="BQ391" s="78">
        <f t="shared" si="867"/>
        <v>0</v>
      </c>
      <c r="BR391" s="78">
        <f t="shared" si="867"/>
        <v>0</v>
      </c>
      <c r="BS391" s="78">
        <f t="shared" si="867"/>
        <v>0</v>
      </c>
      <c r="BT391" s="78">
        <f t="shared" si="867"/>
        <v>0</v>
      </c>
      <c r="BU391" s="78">
        <f t="shared" si="867"/>
        <v>0</v>
      </c>
      <c r="BV391" s="78">
        <f t="shared" si="867"/>
        <v>0</v>
      </c>
      <c r="BW391" s="78">
        <f t="shared" si="867"/>
        <v>0</v>
      </c>
      <c r="BX391" s="78">
        <f t="shared" si="867"/>
        <v>0</v>
      </c>
      <c r="BY391" s="78">
        <f t="shared" si="867"/>
        <v>0</v>
      </c>
      <c r="BZ391" s="78">
        <f t="shared" si="867"/>
        <v>0</v>
      </c>
      <c r="CA391" s="78">
        <f t="shared" si="867"/>
        <v>0</v>
      </c>
      <c r="CB391" s="78">
        <f t="shared" si="867"/>
        <v>0</v>
      </c>
      <c r="CC391" s="78">
        <f t="shared" si="867"/>
        <v>0</v>
      </c>
      <c r="CD391" s="78">
        <f t="shared" si="867"/>
        <v>0</v>
      </c>
      <c r="CE391" s="78">
        <f t="shared" ref="CE391:DJ391" si="868">MAX(CE270+CE272,)</f>
        <v>0</v>
      </c>
      <c r="CF391" s="78">
        <f t="shared" si="868"/>
        <v>0</v>
      </c>
      <c r="CG391" s="78">
        <f t="shared" si="868"/>
        <v>0</v>
      </c>
      <c r="CH391" s="78">
        <f t="shared" si="868"/>
        <v>0</v>
      </c>
      <c r="CI391" s="78">
        <f t="shared" si="868"/>
        <v>0</v>
      </c>
      <c r="CJ391" s="78">
        <f t="shared" si="868"/>
        <v>0</v>
      </c>
      <c r="CK391" s="78">
        <f t="shared" si="868"/>
        <v>0</v>
      </c>
      <c r="CL391" s="78">
        <f t="shared" si="868"/>
        <v>0</v>
      </c>
      <c r="CM391" s="78">
        <f t="shared" si="868"/>
        <v>0</v>
      </c>
      <c r="CN391" s="78">
        <f t="shared" si="868"/>
        <v>0</v>
      </c>
      <c r="CO391" s="78">
        <f t="shared" si="868"/>
        <v>0</v>
      </c>
      <c r="CP391" s="78">
        <f t="shared" si="868"/>
        <v>0</v>
      </c>
      <c r="CQ391" s="78">
        <f t="shared" si="868"/>
        <v>0</v>
      </c>
      <c r="CR391" s="78">
        <f t="shared" si="868"/>
        <v>0</v>
      </c>
      <c r="CS391" s="78">
        <f t="shared" si="868"/>
        <v>0</v>
      </c>
      <c r="CT391" s="78">
        <f t="shared" si="868"/>
        <v>0</v>
      </c>
      <c r="CU391" s="78">
        <f t="shared" si="868"/>
        <v>0</v>
      </c>
      <c r="CV391" s="78">
        <f t="shared" si="868"/>
        <v>0</v>
      </c>
      <c r="CW391" s="78">
        <f t="shared" si="868"/>
        <v>0</v>
      </c>
      <c r="CX391" s="78">
        <f t="shared" si="868"/>
        <v>0</v>
      </c>
      <c r="CY391" s="78">
        <f t="shared" si="868"/>
        <v>0</v>
      </c>
      <c r="CZ391" s="78">
        <f t="shared" si="868"/>
        <v>0</v>
      </c>
      <c r="DA391" s="78">
        <f t="shared" si="868"/>
        <v>0</v>
      </c>
      <c r="DB391" s="78">
        <f t="shared" si="868"/>
        <v>0</v>
      </c>
      <c r="DC391" s="78">
        <f t="shared" si="868"/>
        <v>0</v>
      </c>
      <c r="DD391" s="78">
        <f t="shared" si="868"/>
        <v>0</v>
      </c>
      <c r="DE391" s="78">
        <f t="shared" si="868"/>
        <v>0</v>
      </c>
      <c r="DF391" s="78">
        <f t="shared" si="868"/>
        <v>0</v>
      </c>
      <c r="DG391" s="78">
        <f t="shared" si="868"/>
        <v>0</v>
      </c>
      <c r="DH391" s="78">
        <f t="shared" si="868"/>
        <v>0</v>
      </c>
      <c r="DI391" s="78">
        <f t="shared" si="868"/>
        <v>0</v>
      </c>
      <c r="DJ391" s="78">
        <f t="shared" si="868"/>
        <v>0</v>
      </c>
      <c r="DK391" s="78">
        <f t="shared" ref="DK391:EI391" si="869">MAX(DK270+DK272,)</f>
        <v>0</v>
      </c>
      <c r="DL391" s="78">
        <f t="shared" si="869"/>
        <v>0</v>
      </c>
      <c r="DM391" s="78">
        <f t="shared" si="869"/>
        <v>0</v>
      </c>
      <c r="DN391" s="78">
        <f t="shared" si="869"/>
        <v>0</v>
      </c>
      <c r="DO391" s="78">
        <f t="shared" si="869"/>
        <v>0</v>
      </c>
      <c r="DP391" s="78">
        <f t="shared" si="869"/>
        <v>0</v>
      </c>
      <c r="DQ391" s="78">
        <f t="shared" si="869"/>
        <v>0</v>
      </c>
      <c r="DR391" s="78">
        <f t="shared" si="869"/>
        <v>0</v>
      </c>
      <c r="DS391" s="78">
        <f t="shared" si="869"/>
        <v>0</v>
      </c>
      <c r="DT391" s="78">
        <f t="shared" si="869"/>
        <v>0</v>
      </c>
      <c r="DU391" s="78">
        <f t="shared" si="869"/>
        <v>0</v>
      </c>
      <c r="DV391" s="78">
        <f t="shared" si="869"/>
        <v>0</v>
      </c>
      <c r="DW391" s="78">
        <f t="shared" si="869"/>
        <v>0</v>
      </c>
      <c r="DX391" s="78">
        <f t="shared" si="869"/>
        <v>0</v>
      </c>
      <c r="DY391" s="78">
        <f t="shared" si="869"/>
        <v>0</v>
      </c>
      <c r="DZ391" s="78">
        <f t="shared" si="869"/>
        <v>0</v>
      </c>
      <c r="EA391" s="78">
        <f t="shared" si="869"/>
        <v>0</v>
      </c>
      <c r="EB391" s="78">
        <f t="shared" si="869"/>
        <v>0</v>
      </c>
      <c r="EC391" s="78">
        <f t="shared" si="869"/>
        <v>0</v>
      </c>
      <c r="ED391" s="78">
        <f t="shared" si="869"/>
        <v>0</v>
      </c>
      <c r="EE391" s="78">
        <f t="shared" si="869"/>
        <v>0</v>
      </c>
      <c r="EF391" s="78">
        <f t="shared" si="869"/>
        <v>0</v>
      </c>
      <c r="EG391" s="78">
        <f t="shared" si="869"/>
        <v>0</v>
      </c>
      <c r="EH391" s="78">
        <f t="shared" si="869"/>
        <v>0</v>
      </c>
      <c r="EI391" s="78">
        <f t="shared" si="869"/>
        <v>0</v>
      </c>
    </row>
    <row r="392" spans="2:139">
      <c r="B392" s="880" t="s">
        <v>641</v>
      </c>
      <c r="C392" s="211"/>
      <c r="D392" s="78">
        <f>IF(IrrCalculationType=170,IF(D$391&gt;0,-MIN(D342,SUM(D$391:D391)),0),SUMIF($S$6:$EI$6,D$5,$S392:$EI392))</f>
        <v>0</v>
      </c>
      <c r="E392" s="78">
        <f>IF(IrrCalculationType=170,IF(E$391&gt;0,-MIN(E342,SUM(E$391:E391)),0),SUMIF($S$6:$EI$6,E$5,$S392:$EI392))</f>
        <v>0</v>
      </c>
      <c r="F392" s="78">
        <f>IF(IrrCalculationType=170,IF(F$391&gt;0,-MIN(F342,SUM(F$391:F391)),0),SUMIF($S$6:$EI$6,F$5,$S392:$EI392))</f>
        <v>0</v>
      </c>
      <c r="G392" s="78">
        <f>IF(IrrCalculationType=170,IF(G$391&gt;0,-MIN(G342,SUM(G$391:G391)),0),SUMIF($S$6:$EI$6,G$5,$S392:$EI392))</f>
        <v>0</v>
      </c>
      <c r="H392" s="78">
        <f>IF(IrrCalculationType=170,IF(H$391&gt;0,-MIN(H342,SUM(H$391:H391)),0),SUMIF($S$6:$EI$6,H$5,$S392:$EI392))</f>
        <v>0</v>
      </c>
      <c r="I392" s="78">
        <f>IF(IrrCalculationType=170,IF(I$391&gt;0,-MIN(I342,SUM(I$391:I391)),0),SUMIF($S$6:$EI$6,I$5,$S392:$EI392))</f>
        <v>0</v>
      </c>
      <c r="J392" s="78">
        <f>IF(IrrCalculationType=170,IF(J$391&gt;0,-MIN(J342,SUM(J$391:J391)),0),SUMIF($S$6:$EI$6,J$5,$S392:$EI392))</f>
        <v>0</v>
      </c>
      <c r="K392" s="78">
        <f>IF(IrrCalculationType=170,IF(K$391&gt;0,-MIN(K342,SUM(K$391:K391)),0),SUMIF($S$6:$EI$6,K$5,$S392:$EI392))</f>
        <v>0</v>
      </c>
      <c r="L392" s="78">
        <f>IF(IrrCalculationType=170,IF(L$391&gt;0,-MIN(L342,SUM(L$391:L391)),0),SUMIF($S$6:$EI$6,L$5,$S392:$EI392))</f>
        <v>0</v>
      </c>
      <c r="M392" s="78">
        <f>IF(IrrCalculationType=170,IF(M$391&gt;0,-MIN(M342,SUM(M$391:M391)),0),SUMIF($S$6:$EI$6,M$5,$S392:$EI392))</f>
        <v>0</v>
      </c>
      <c r="N392" s="78">
        <f>IF(IrrCalculationType=170,IF(N$391&gt;0,-MIN(N342,SUM(N$391:N391)),0),SUMIF($S$6:$EI$6,N$5,$S392:$EI392))</f>
        <v>0</v>
      </c>
      <c r="O392" s="145">
        <f t="shared" si="845"/>
        <v>0</v>
      </c>
      <c r="R392" s="201"/>
      <c r="S392" s="78">
        <f>IF(S$391&gt;0,-MIN(S342,SUM(S$391:S391)),0)</f>
        <v>0</v>
      </c>
      <c r="T392" s="78">
        <f>IF(T$391&gt;0,-MIN(T342,SUM(T$391:T391)),0)</f>
        <v>0</v>
      </c>
      <c r="U392" s="78">
        <f>IF(U$391&gt;0,-MIN(U342,SUM(U$391:U391)),0)</f>
        <v>0</v>
      </c>
      <c r="V392" s="78">
        <f>IF(V$391&gt;0,-MIN(V342,SUM(V$391:V391)),0)</f>
        <v>0</v>
      </c>
      <c r="W392" s="78">
        <f>IF(W$391&gt;0,-MIN(W342,SUM(W$391:W391)),0)</f>
        <v>0</v>
      </c>
      <c r="X392" s="78">
        <f>IF(X$391&gt;0,-MIN(X342,SUM(X$391:X391)),0)</f>
        <v>0</v>
      </c>
      <c r="Y392" s="78">
        <f>IF(Y$391&gt;0,-MIN(Y342,SUM(Y$391:Y391)),0)</f>
        <v>0</v>
      </c>
      <c r="Z392" s="78">
        <f>IF(Z$391&gt;0,-MIN(Z342,SUM(Z$391:Z391)),0)</f>
        <v>0</v>
      </c>
      <c r="AA392" s="78">
        <f>IF(AA$391&gt;0,-MIN(AA342,SUM(AA$391:AA391)),0)</f>
        <v>0</v>
      </c>
      <c r="AB392" s="78">
        <f>IF(AB$391&gt;0,-MIN(AB342,SUM(AB$391:AB391)),0)</f>
        <v>0</v>
      </c>
      <c r="AC392" s="78">
        <f>IF(AC$391&gt;0,-MIN(AC342,SUM(AC$391:AC391)),0)</f>
        <v>0</v>
      </c>
      <c r="AD392" s="78">
        <f>IF(AD$391&gt;0,-MIN(AD342,SUM(AD$391:AD391)),0)</f>
        <v>0</v>
      </c>
      <c r="AE392" s="78">
        <f>IF(AE$391&gt;0,-MIN(AE342,SUM(AE$391:AE391)),0)</f>
        <v>0</v>
      </c>
      <c r="AF392" s="78">
        <f>IF(AF$391&gt;0,-MIN(AF342,SUM(AF$391:AF391)),0)</f>
        <v>0</v>
      </c>
      <c r="AG392" s="78">
        <f>IF(AG$391&gt;0,-MIN(AG342,SUM(AG$391:AG391)),0)</f>
        <v>0</v>
      </c>
      <c r="AH392" s="78">
        <f>IF(AH$391&gt;0,-MIN(AH342,SUM(AH$391:AH391)),0)</f>
        <v>0</v>
      </c>
      <c r="AI392" s="78">
        <f>IF(AI$391&gt;0,-MIN(AI342,SUM(AI$391:AI391)),0)</f>
        <v>0</v>
      </c>
      <c r="AJ392" s="78">
        <f>IF(AJ$391&gt;0,-MIN(AJ342,SUM(AJ$391:AJ391)),0)</f>
        <v>0</v>
      </c>
      <c r="AK392" s="78">
        <f>IF(AK$391&gt;0,-MIN(AK342,SUM(AK$391:AK391)),0)</f>
        <v>0</v>
      </c>
      <c r="AL392" s="78">
        <f>IF(AL$391&gt;0,-MIN(AL342,SUM(AL$391:AL391)),0)</f>
        <v>0</v>
      </c>
      <c r="AM392" s="78">
        <f>IF(AM$391&gt;0,-MIN(AM342,SUM(AM$391:AM391)),0)</f>
        <v>0</v>
      </c>
      <c r="AN392" s="78">
        <f>IF(AN$391&gt;0,-MIN(AN342,SUM(AN$391:AN391)),0)</f>
        <v>0</v>
      </c>
      <c r="AO392" s="78">
        <f>IF(AO$391&gt;0,-MIN(AO342,SUM(AO$391:AO391)),0)</f>
        <v>0</v>
      </c>
      <c r="AP392" s="78">
        <f>IF(AP$391&gt;0,-MIN(AP342,SUM(AP$391:AP391)),0)</f>
        <v>0</v>
      </c>
      <c r="AQ392" s="78">
        <f>IF(AQ$391&gt;0,-MIN(AQ342,SUM(AQ$391:AQ391)),0)</f>
        <v>0</v>
      </c>
      <c r="AR392" s="78">
        <f>IF(AR$391&gt;0,-MIN(AR342,SUM(AR$391:AR391)),0)</f>
        <v>0</v>
      </c>
      <c r="AS392" s="78">
        <f>IF(AS$391&gt;0,-MIN(AS342,SUM(AS$391:AS391)),0)</f>
        <v>0</v>
      </c>
      <c r="AT392" s="78">
        <f>IF(AT$391&gt;0,-MIN(AT342,SUM(AT$391:AT391)),0)</f>
        <v>0</v>
      </c>
      <c r="AU392" s="78">
        <f>IF(AU$391&gt;0,-MIN(AU342,SUM(AU$391:AU391)),0)</f>
        <v>0</v>
      </c>
      <c r="AV392" s="78">
        <f>IF(AV$391&gt;0,-MIN(AV342,SUM(AV$391:AV391)),0)</f>
        <v>0</v>
      </c>
      <c r="AW392" s="78">
        <f>IF(AW$391&gt;0,-MIN(AW342,SUM(AW$391:AW391)),0)</f>
        <v>0</v>
      </c>
      <c r="AX392" s="78">
        <f>IF(AX$391&gt;0,-MIN(AX342,SUM(AX$391:AX391)),0)</f>
        <v>0</v>
      </c>
      <c r="AY392" s="78">
        <f>IF(AY$391&gt;0,-MIN(AY342,SUM(AY$391:AY391)),0)</f>
        <v>0</v>
      </c>
      <c r="AZ392" s="78">
        <f>IF(AZ$391&gt;0,-MIN(AZ342,SUM(AZ$391:AZ391)),0)</f>
        <v>0</v>
      </c>
      <c r="BA392" s="78">
        <f>IF(BA$391&gt;0,-MIN(BA342,SUM(BA$391:BA391)),0)</f>
        <v>0</v>
      </c>
      <c r="BB392" s="78">
        <f>IF(BB$391&gt;0,-MIN(BB342,SUM(BB$391:BB391)),0)</f>
        <v>0</v>
      </c>
      <c r="BC392" s="78">
        <f>IF(BC$391&gt;0,-MIN(BC342,SUM(BC$391:BC391)),0)</f>
        <v>0</v>
      </c>
      <c r="BD392" s="78">
        <f>IF(BD$391&gt;0,-MIN(BD342,SUM(BD$391:BD391)),0)</f>
        <v>0</v>
      </c>
      <c r="BE392" s="78">
        <f>IF(BE$391&gt;0,-MIN(BE342,SUM(BE$391:BE391)),0)</f>
        <v>0</v>
      </c>
      <c r="BF392" s="78">
        <f>IF(BF$391&gt;0,-MIN(BF342,SUM(BF$391:BF391)),0)</f>
        <v>0</v>
      </c>
      <c r="BG392" s="78">
        <f>IF(BG$391&gt;0,-MIN(BG342,SUM(BG$391:BG391)),0)</f>
        <v>0</v>
      </c>
      <c r="BH392" s="78">
        <f>IF(BH$391&gt;0,-MIN(BH342,SUM(BH$391:BH391)),0)</f>
        <v>0</v>
      </c>
      <c r="BI392" s="78">
        <f>IF(BI$391&gt;0,-MIN(BI342,SUM(BI$391:BI391)),0)</f>
        <v>0</v>
      </c>
      <c r="BJ392" s="78">
        <f>IF(BJ$391&gt;0,-MIN(BJ342,SUM(BJ$391:BJ391)),0)</f>
        <v>0</v>
      </c>
      <c r="BK392" s="78">
        <f>IF(BK$391&gt;0,-MIN(BK342,SUM(BK$391:BK391)),0)</f>
        <v>0</v>
      </c>
      <c r="BL392" s="78">
        <f>IF(BL$391&gt;0,-MIN(BL342,SUM(BL$391:BL391)),0)</f>
        <v>0</v>
      </c>
      <c r="BM392" s="78">
        <f>IF(BM$391&gt;0,-MIN(BM342,SUM(BM$391:BM391)),0)</f>
        <v>0</v>
      </c>
      <c r="BN392" s="78">
        <f>IF(BN$391&gt;0,-MIN(BN342,SUM(BN$391:BN391)),0)</f>
        <v>0</v>
      </c>
      <c r="BO392" s="78">
        <f>IF(BO$391&gt;0,-MIN(BO342,SUM(BO$391:BO391)),0)</f>
        <v>0</v>
      </c>
      <c r="BP392" s="78">
        <f>IF(BP$391&gt;0,-MIN(BP342,SUM(BP$391:BP391)),0)</f>
        <v>0</v>
      </c>
      <c r="BQ392" s="78">
        <f>IF(BQ$391&gt;0,-MIN(BQ342,SUM(BQ$391:BQ391)),0)</f>
        <v>0</v>
      </c>
      <c r="BR392" s="78">
        <f>IF(BR$391&gt;0,-MIN(BR342,SUM(BR$391:BR391)),0)</f>
        <v>0</v>
      </c>
      <c r="BS392" s="78">
        <f>IF(BS$391&gt;0,-MIN(BS342,SUM(BS$391:BS391)),0)</f>
        <v>0</v>
      </c>
      <c r="BT392" s="78">
        <f>IF(BT$391&gt;0,-MIN(BT342,SUM(BT$391:BT391)),0)</f>
        <v>0</v>
      </c>
      <c r="BU392" s="78">
        <f>IF(BU$391&gt;0,-MIN(BU342,SUM(BU$391:BU391)),0)</f>
        <v>0</v>
      </c>
      <c r="BV392" s="78">
        <f>IF(BV$391&gt;0,-MIN(BV342,SUM(BV$391:BV391)),0)</f>
        <v>0</v>
      </c>
      <c r="BW392" s="78">
        <f>IF(BW$391&gt;0,-MIN(BW342,SUM(BW$391:BW391)),0)</f>
        <v>0</v>
      </c>
      <c r="BX392" s="78">
        <f>IF(BX$391&gt;0,-MIN(BX342,SUM(BX$391:BX391)),0)</f>
        <v>0</v>
      </c>
      <c r="BY392" s="78">
        <f>IF(BY$391&gt;0,-MIN(BY342,SUM(BY$391:BY391)),0)</f>
        <v>0</v>
      </c>
      <c r="BZ392" s="78">
        <f>IF(BZ$391&gt;0,-MIN(BZ342,SUM(BZ$391:BZ391)),0)</f>
        <v>0</v>
      </c>
      <c r="CA392" s="78">
        <f>IF(CA$391&gt;0,-MIN(CA342,SUM(CA$391:CA391)),0)</f>
        <v>0</v>
      </c>
      <c r="CB392" s="78">
        <f>IF(CB$391&gt;0,-MIN(CB342,SUM(CB$391:CB391)),0)</f>
        <v>0</v>
      </c>
      <c r="CC392" s="78">
        <f>IF(CC$391&gt;0,-MIN(CC342,SUM(CC$391:CC391)),0)</f>
        <v>0</v>
      </c>
      <c r="CD392" s="78">
        <f>IF(CD$391&gt;0,-MIN(CD342,SUM(CD$391:CD391)),0)</f>
        <v>0</v>
      </c>
      <c r="CE392" s="78">
        <f>IF(CE$391&gt;0,-MIN(CE342,SUM(CE$391:CE391)),0)</f>
        <v>0</v>
      </c>
      <c r="CF392" s="78">
        <f>IF(CF$391&gt;0,-MIN(CF342,SUM(CF$391:CF391)),0)</f>
        <v>0</v>
      </c>
      <c r="CG392" s="78">
        <f>IF(CG$391&gt;0,-MIN(CG342,SUM(CG$391:CG391)),0)</f>
        <v>0</v>
      </c>
      <c r="CH392" s="78">
        <f>IF(CH$391&gt;0,-MIN(CH342,SUM(CH$391:CH391)),0)</f>
        <v>0</v>
      </c>
      <c r="CI392" s="78">
        <f>IF(CI$391&gt;0,-MIN(CI342,SUM(CI$391:CI391)),0)</f>
        <v>0</v>
      </c>
      <c r="CJ392" s="78">
        <f>IF(CJ$391&gt;0,-MIN(CJ342,SUM(CJ$391:CJ391)),0)</f>
        <v>0</v>
      </c>
      <c r="CK392" s="78">
        <f>IF(CK$391&gt;0,-MIN(CK342,SUM(CK$391:CK391)),0)</f>
        <v>0</v>
      </c>
      <c r="CL392" s="78">
        <f>IF(CL$391&gt;0,-MIN(CL342,SUM(CL$391:CL391)),0)</f>
        <v>0</v>
      </c>
      <c r="CM392" s="78">
        <f>IF(CM$391&gt;0,-MIN(CM342,SUM(CM$391:CM391)),0)</f>
        <v>0</v>
      </c>
      <c r="CN392" s="78">
        <f>IF(CN$391&gt;0,-MIN(CN342,SUM(CN$391:CN391)),0)</f>
        <v>0</v>
      </c>
      <c r="CO392" s="78">
        <f>IF(CO$391&gt;0,-MIN(CO342,SUM(CO$391:CO391)),0)</f>
        <v>0</v>
      </c>
      <c r="CP392" s="78">
        <f>IF(CP$391&gt;0,-MIN(CP342,SUM(CP$391:CP391)),0)</f>
        <v>0</v>
      </c>
      <c r="CQ392" s="78">
        <f>IF(CQ$391&gt;0,-MIN(CQ342,SUM(CQ$391:CQ391)),0)</f>
        <v>0</v>
      </c>
      <c r="CR392" s="78">
        <f>IF(CR$391&gt;0,-MIN(CR342,SUM(CR$391:CR391)),0)</f>
        <v>0</v>
      </c>
      <c r="CS392" s="78">
        <f>IF(CS$391&gt;0,-MIN(CS342,SUM(CS$391:CS391)),0)</f>
        <v>0</v>
      </c>
      <c r="CT392" s="78">
        <f>IF(CT$391&gt;0,-MIN(CT342,SUM(CT$391:CT391)),0)</f>
        <v>0</v>
      </c>
      <c r="CU392" s="78">
        <f>IF(CU$391&gt;0,-MIN(CU342,SUM(CU$391:CU391)),0)</f>
        <v>0</v>
      </c>
      <c r="CV392" s="78">
        <f>IF(CV$391&gt;0,-MIN(CV342,SUM(CV$391:CV391)),0)</f>
        <v>0</v>
      </c>
      <c r="CW392" s="78">
        <f>IF(CW$391&gt;0,-MIN(CW342,SUM(CW$391:CW391)),0)</f>
        <v>0</v>
      </c>
      <c r="CX392" s="78">
        <f>IF(CX$391&gt;0,-MIN(CX342,SUM(CX$391:CX391)),0)</f>
        <v>0</v>
      </c>
      <c r="CY392" s="78">
        <f>IF(CY$391&gt;0,-MIN(CY342,SUM(CY$391:CY391)),0)</f>
        <v>0</v>
      </c>
      <c r="CZ392" s="78">
        <f>IF(CZ$391&gt;0,-MIN(CZ342,SUM(CZ$391:CZ391)),0)</f>
        <v>0</v>
      </c>
      <c r="DA392" s="78">
        <f>IF(DA$391&gt;0,-MIN(DA342,SUM(DA$391:DA391)),0)</f>
        <v>0</v>
      </c>
      <c r="DB392" s="78">
        <f>IF(DB$391&gt;0,-MIN(DB342,SUM(DB$391:DB391)),0)</f>
        <v>0</v>
      </c>
      <c r="DC392" s="78">
        <f>IF(DC$391&gt;0,-MIN(DC342,SUM(DC$391:DC391)),0)</f>
        <v>0</v>
      </c>
      <c r="DD392" s="78">
        <f>IF(DD$391&gt;0,-MIN(DD342,SUM(DD$391:DD391)),0)</f>
        <v>0</v>
      </c>
      <c r="DE392" s="78">
        <f>IF(DE$391&gt;0,-MIN(DE342,SUM(DE$391:DE391)),0)</f>
        <v>0</v>
      </c>
      <c r="DF392" s="78">
        <f>IF(DF$391&gt;0,-MIN(DF342,SUM(DF$391:DF391)),0)</f>
        <v>0</v>
      </c>
      <c r="DG392" s="78">
        <f>IF(DG$391&gt;0,-MIN(DG342,SUM(DG$391:DG391)),0)</f>
        <v>0</v>
      </c>
      <c r="DH392" s="78">
        <f>IF(DH$391&gt;0,-MIN(DH342,SUM(DH$391:DH391)),0)</f>
        <v>0</v>
      </c>
      <c r="DI392" s="78">
        <f>IF(DI$391&gt;0,-MIN(DI342,SUM(DI$391:DI391)),0)</f>
        <v>0</v>
      </c>
      <c r="DJ392" s="78">
        <f>IF(DJ$391&gt;0,-MIN(DJ342,SUM(DJ$391:DJ391)),0)</f>
        <v>0</v>
      </c>
      <c r="DK392" s="78">
        <f>IF(DK$391&gt;0,-MIN(DK342,SUM(DK$391:DK391)),0)</f>
        <v>0</v>
      </c>
      <c r="DL392" s="78">
        <f>IF(DL$391&gt;0,-MIN(DL342,SUM(DL$391:DL391)),0)</f>
        <v>0</v>
      </c>
      <c r="DM392" s="78">
        <f>IF(DM$391&gt;0,-MIN(DM342,SUM(DM$391:DM391)),0)</f>
        <v>0</v>
      </c>
      <c r="DN392" s="78">
        <f>IF(DN$391&gt;0,-MIN(DN342,SUM(DN$391:DN391)),0)</f>
        <v>0</v>
      </c>
      <c r="DO392" s="78">
        <f>IF(DO$391&gt;0,-MIN(DO342,SUM(DO$391:DO391)),0)</f>
        <v>0</v>
      </c>
      <c r="DP392" s="78">
        <f>IF(DP$391&gt;0,-MIN(DP342,SUM(DP$391:DP391)),0)</f>
        <v>0</v>
      </c>
      <c r="DQ392" s="78">
        <f>IF(DQ$391&gt;0,-MIN(DQ342,SUM(DQ$391:DQ391)),0)</f>
        <v>0</v>
      </c>
      <c r="DR392" s="78">
        <f>IF(DR$391&gt;0,-MIN(DR342,SUM(DR$391:DR391)),0)</f>
        <v>0</v>
      </c>
      <c r="DS392" s="78">
        <f>IF(DS$391&gt;0,-MIN(DS342,SUM(DS$391:DS391)),0)</f>
        <v>0</v>
      </c>
      <c r="DT392" s="78">
        <f>IF(DT$391&gt;0,-MIN(DT342,SUM(DT$391:DT391)),0)</f>
        <v>0</v>
      </c>
      <c r="DU392" s="78">
        <f>IF(DU$391&gt;0,-MIN(DU342,SUM(DU$391:DU391)),0)</f>
        <v>0</v>
      </c>
      <c r="DV392" s="78">
        <f>IF(DV$391&gt;0,-MIN(DV342,SUM(DV$391:DV391)),0)</f>
        <v>0</v>
      </c>
      <c r="DW392" s="78">
        <f>IF(DW$391&gt;0,-MIN(DW342,SUM(DW$391:DW391)),0)</f>
        <v>0</v>
      </c>
      <c r="DX392" s="78">
        <f>IF(DX$391&gt;0,-MIN(DX342,SUM(DX$391:DX391)),0)</f>
        <v>0</v>
      </c>
      <c r="DY392" s="78">
        <f>IF(DY$391&gt;0,-MIN(DY342,SUM(DY$391:DY391)),0)</f>
        <v>0</v>
      </c>
      <c r="DZ392" s="78">
        <f>IF(DZ$391&gt;0,-MIN(DZ342,SUM(DZ$391:DZ391)),0)</f>
        <v>0</v>
      </c>
      <c r="EA392" s="78">
        <f>IF(EA$391&gt;0,-MIN(EA342,SUM(EA$391:EA391)),0)</f>
        <v>0</v>
      </c>
      <c r="EB392" s="78">
        <f>IF(EB$391&gt;0,-MIN(EB342,SUM(EB$391:EB391)),0)</f>
        <v>0</v>
      </c>
      <c r="EC392" s="78">
        <f>IF(EC$391&gt;0,-MIN(EC342,SUM(EC$391:EC391)),0)</f>
        <v>0</v>
      </c>
      <c r="ED392" s="78">
        <f>IF(ED$391&gt;0,-MIN(ED342,SUM(ED$391:ED391)),0)</f>
        <v>0</v>
      </c>
      <c r="EE392" s="78">
        <f>IF(EE$391&gt;0,-MIN(EE342,SUM(EE$391:EE391)),0)</f>
        <v>0</v>
      </c>
      <c r="EF392" s="78">
        <f>IF(EF$391&gt;0,-MIN(EF342,SUM(EF$391:EF391)),0)</f>
        <v>0</v>
      </c>
      <c r="EG392" s="78">
        <f>IF(EG$391&gt;0,-MIN(EG342,SUM(EG$391:EG391)),0)</f>
        <v>0</v>
      </c>
      <c r="EH392" s="78">
        <f>IF(EH$391&gt;0,-MIN(EH342,SUM(EH$391:EH391)),0)</f>
        <v>0</v>
      </c>
      <c r="EI392" s="78">
        <f>IF(EI$391&gt;0,-MIN(EI342,SUM(EI$391:EI391)),0)</f>
        <v>0</v>
      </c>
    </row>
    <row r="393" spans="2:139">
      <c r="B393" s="880" t="s">
        <v>645</v>
      </c>
      <c r="C393" s="211"/>
      <c r="D393" s="78">
        <f>IF(IrrCalculationType=170,IF(D$391&gt;0,-MIN(D347,SUM(D$391:D392)),0),SUMIF($S$6:$EI$6,D$5,$S393:$EI393))</f>
        <v>0</v>
      </c>
      <c r="E393" s="78">
        <f>IF(IrrCalculationType=170,IF(E$391&gt;0,-MIN(E347,SUM(E$391:E392)),0),SUMIF($S$6:$EI$6,E$5,$S393:$EI393))</f>
        <v>0</v>
      </c>
      <c r="F393" s="78">
        <f>IF(IrrCalculationType=170,IF(F$391&gt;0,-MIN(F347,SUM(F$391:F392)),0),SUMIF($S$6:$EI$6,F$5,$S393:$EI393))</f>
        <v>0</v>
      </c>
      <c r="G393" s="78">
        <f>IF(IrrCalculationType=170,IF(G$391&gt;0,-MIN(G347,SUM(G$391:G392)),0),SUMIF($S$6:$EI$6,G$5,$S393:$EI393))</f>
        <v>0</v>
      </c>
      <c r="H393" s="78">
        <f>IF(IrrCalculationType=170,IF(H$391&gt;0,-MIN(H347,SUM(H$391:H392)),0),SUMIF($S$6:$EI$6,H$5,$S393:$EI393))</f>
        <v>0</v>
      </c>
      <c r="I393" s="78">
        <f>IF(IrrCalculationType=170,IF(I$391&gt;0,-MIN(I347,SUM(I$391:I392)),0),SUMIF($S$6:$EI$6,I$5,$S393:$EI393))</f>
        <v>0</v>
      </c>
      <c r="J393" s="78">
        <f>IF(IrrCalculationType=170,IF(J$391&gt;0,-MIN(J347,SUM(J$391:J392)),0),SUMIF($S$6:$EI$6,J$5,$S393:$EI393))</f>
        <v>0</v>
      </c>
      <c r="K393" s="78">
        <f>IF(IrrCalculationType=170,IF(K$391&gt;0,-MIN(K347,SUM(K$391:K392)),0),SUMIF($S$6:$EI$6,K$5,$S393:$EI393))</f>
        <v>0</v>
      </c>
      <c r="L393" s="78">
        <f>IF(IrrCalculationType=170,IF(L$391&gt;0,-MIN(L347,SUM(L$391:L392)),0),SUMIF($S$6:$EI$6,L$5,$S393:$EI393))</f>
        <v>0</v>
      </c>
      <c r="M393" s="78">
        <f>IF(IrrCalculationType=170,IF(M$391&gt;0,-MIN(M347,SUM(M$391:M392)),0),SUMIF($S$6:$EI$6,M$5,$S393:$EI393))</f>
        <v>0</v>
      </c>
      <c r="N393" s="78">
        <f>IF(IrrCalculationType=170,IF(N$391&gt;0,-MIN(N347,SUM(N$391:N392)),0),SUMIF($S$6:$EI$6,N$5,$S393:$EI393))</f>
        <v>0</v>
      </c>
      <c r="O393" s="145">
        <f t="shared" si="845"/>
        <v>0</v>
      </c>
      <c r="R393" s="201"/>
      <c r="S393" s="78">
        <f>IF(S$391&gt;0,-MIN(S347,SUM(S$391:S392)),0)</f>
        <v>0</v>
      </c>
      <c r="T393" s="78">
        <f>IF(T$391&gt;0,-MIN(T347,SUM(T$391:T392)),0)</f>
        <v>0</v>
      </c>
      <c r="U393" s="78">
        <f>IF(U$391&gt;0,-MIN(U347,SUM(U$391:U392)),0)</f>
        <v>0</v>
      </c>
      <c r="V393" s="78">
        <f>IF(V$391&gt;0,-MIN(V347,SUM(V$391:V392)),0)</f>
        <v>0</v>
      </c>
      <c r="W393" s="78">
        <f>IF(W$391&gt;0,-MIN(W347,SUM(W$391:W392)),0)</f>
        <v>0</v>
      </c>
      <c r="X393" s="78">
        <f>IF(X$391&gt;0,-MIN(X347,SUM(X$391:X392)),0)</f>
        <v>0</v>
      </c>
      <c r="Y393" s="78">
        <f>IF(Y$391&gt;0,-MIN(Y347,SUM(Y$391:Y392)),0)</f>
        <v>0</v>
      </c>
      <c r="Z393" s="78">
        <f>IF(Z$391&gt;0,-MIN(Z347,SUM(Z$391:Z392)),0)</f>
        <v>0</v>
      </c>
      <c r="AA393" s="78">
        <f>IF(AA$391&gt;0,-MIN(AA347,SUM(AA$391:AA392)),0)</f>
        <v>0</v>
      </c>
      <c r="AB393" s="78">
        <f>IF(AB$391&gt;0,-MIN(AB347,SUM(AB$391:AB392)),0)</f>
        <v>0</v>
      </c>
      <c r="AC393" s="78">
        <f>IF(AC$391&gt;0,-MIN(AC347,SUM(AC$391:AC392)),0)</f>
        <v>0</v>
      </c>
      <c r="AD393" s="78">
        <f>IF(AD$391&gt;0,-MIN(AD347,SUM(AD$391:AD392)),0)</f>
        <v>0</v>
      </c>
      <c r="AE393" s="78">
        <f>IF(AE$391&gt;0,-MIN(AE347,SUM(AE$391:AE392)),0)</f>
        <v>0</v>
      </c>
      <c r="AF393" s="78">
        <f>IF(AF$391&gt;0,-MIN(AF347,SUM(AF$391:AF392)),0)</f>
        <v>0</v>
      </c>
      <c r="AG393" s="78">
        <f>IF(AG$391&gt;0,-MIN(AG347,SUM(AG$391:AG392)),0)</f>
        <v>0</v>
      </c>
      <c r="AH393" s="78">
        <f>IF(AH$391&gt;0,-MIN(AH347,SUM(AH$391:AH392)),0)</f>
        <v>0</v>
      </c>
      <c r="AI393" s="78">
        <f>IF(AI$391&gt;0,-MIN(AI347,SUM(AI$391:AI392)),0)</f>
        <v>0</v>
      </c>
      <c r="AJ393" s="78">
        <f>IF(AJ$391&gt;0,-MIN(AJ347,SUM(AJ$391:AJ392)),0)</f>
        <v>0</v>
      </c>
      <c r="AK393" s="78">
        <f>IF(AK$391&gt;0,-MIN(AK347,SUM(AK$391:AK392)),0)</f>
        <v>0</v>
      </c>
      <c r="AL393" s="78">
        <f>IF(AL$391&gt;0,-MIN(AL347,SUM(AL$391:AL392)),0)</f>
        <v>0</v>
      </c>
      <c r="AM393" s="78">
        <f>IF(AM$391&gt;0,-MIN(AM347,SUM(AM$391:AM392)),0)</f>
        <v>0</v>
      </c>
      <c r="AN393" s="78">
        <f>IF(AN$391&gt;0,-MIN(AN347,SUM(AN$391:AN392)),0)</f>
        <v>0</v>
      </c>
      <c r="AO393" s="78">
        <f>IF(AO$391&gt;0,-MIN(AO347,SUM(AO$391:AO392)),0)</f>
        <v>0</v>
      </c>
      <c r="AP393" s="78">
        <f>IF(AP$391&gt;0,-MIN(AP347,SUM(AP$391:AP392)),0)</f>
        <v>0</v>
      </c>
      <c r="AQ393" s="78">
        <f>IF(AQ$391&gt;0,-MIN(AQ347,SUM(AQ$391:AQ392)),0)</f>
        <v>0</v>
      </c>
      <c r="AR393" s="78">
        <f>IF(AR$391&gt;0,-MIN(AR347,SUM(AR$391:AR392)),0)</f>
        <v>0</v>
      </c>
      <c r="AS393" s="78">
        <f>IF(AS$391&gt;0,-MIN(AS347,SUM(AS$391:AS392)),0)</f>
        <v>0</v>
      </c>
      <c r="AT393" s="78">
        <f>IF(AT$391&gt;0,-MIN(AT347,SUM(AT$391:AT392)),0)</f>
        <v>0</v>
      </c>
      <c r="AU393" s="78">
        <f>IF(AU$391&gt;0,-MIN(AU347,SUM(AU$391:AU392)),0)</f>
        <v>0</v>
      </c>
      <c r="AV393" s="78">
        <f>IF(AV$391&gt;0,-MIN(AV347,SUM(AV$391:AV392)),0)</f>
        <v>0</v>
      </c>
      <c r="AW393" s="78">
        <f>IF(AW$391&gt;0,-MIN(AW347,SUM(AW$391:AW392)),0)</f>
        <v>0</v>
      </c>
      <c r="AX393" s="78">
        <f>IF(AX$391&gt;0,-MIN(AX347,SUM(AX$391:AX392)),0)</f>
        <v>0</v>
      </c>
      <c r="AY393" s="78">
        <f>IF(AY$391&gt;0,-MIN(AY347,SUM(AY$391:AY392)),0)</f>
        <v>0</v>
      </c>
      <c r="AZ393" s="78">
        <f>IF(AZ$391&gt;0,-MIN(AZ347,SUM(AZ$391:AZ392)),0)</f>
        <v>0</v>
      </c>
      <c r="BA393" s="78">
        <f>IF(BA$391&gt;0,-MIN(BA347,SUM(BA$391:BA392)),0)</f>
        <v>0</v>
      </c>
      <c r="BB393" s="78">
        <f>IF(BB$391&gt;0,-MIN(BB347,SUM(BB$391:BB392)),0)</f>
        <v>0</v>
      </c>
      <c r="BC393" s="78">
        <f>IF(BC$391&gt;0,-MIN(BC347,SUM(BC$391:BC392)),0)</f>
        <v>0</v>
      </c>
      <c r="BD393" s="78">
        <f>IF(BD$391&gt;0,-MIN(BD347,SUM(BD$391:BD392)),0)</f>
        <v>0</v>
      </c>
      <c r="BE393" s="78">
        <f>IF(BE$391&gt;0,-MIN(BE347,SUM(BE$391:BE392)),0)</f>
        <v>0</v>
      </c>
      <c r="BF393" s="78">
        <f>IF(BF$391&gt;0,-MIN(BF347,SUM(BF$391:BF392)),0)</f>
        <v>0</v>
      </c>
      <c r="BG393" s="78">
        <f>IF(BG$391&gt;0,-MIN(BG347,SUM(BG$391:BG392)),0)</f>
        <v>0</v>
      </c>
      <c r="BH393" s="78">
        <f>IF(BH$391&gt;0,-MIN(BH347,SUM(BH$391:BH392)),0)</f>
        <v>0</v>
      </c>
      <c r="BI393" s="78">
        <f>IF(BI$391&gt;0,-MIN(BI347,SUM(BI$391:BI392)),0)</f>
        <v>0</v>
      </c>
      <c r="BJ393" s="78">
        <f>IF(BJ$391&gt;0,-MIN(BJ347,SUM(BJ$391:BJ392)),0)</f>
        <v>0</v>
      </c>
      <c r="BK393" s="78">
        <f>IF(BK$391&gt;0,-MIN(BK347,SUM(BK$391:BK392)),0)</f>
        <v>0</v>
      </c>
      <c r="BL393" s="78">
        <f>IF(BL$391&gt;0,-MIN(BL347,SUM(BL$391:BL392)),0)</f>
        <v>0</v>
      </c>
      <c r="BM393" s="78">
        <f>IF(BM$391&gt;0,-MIN(BM347,SUM(BM$391:BM392)),0)</f>
        <v>0</v>
      </c>
      <c r="BN393" s="78">
        <f>IF(BN$391&gt;0,-MIN(BN347,SUM(BN$391:BN392)),0)</f>
        <v>0</v>
      </c>
      <c r="BO393" s="78">
        <f>IF(BO$391&gt;0,-MIN(BO347,SUM(BO$391:BO392)),0)</f>
        <v>0</v>
      </c>
      <c r="BP393" s="78">
        <f>IF(BP$391&gt;0,-MIN(BP347,SUM(BP$391:BP392)),0)</f>
        <v>0</v>
      </c>
      <c r="BQ393" s="78">
        <f>IF(BQ$391&gt;0,-MIN(BQ347,SUM(BQ$391:BQ392)),0)</f>
        <v>0</v>
      </c>
      <c r="BR393" s="78">
        <f>IF(BR$391&gt;0,-MIN(BR347,SUM(BR$391:BR392)),0)</f>
        <v>0</v>
      </c>
      <c r="BS393" s="78">
        <f>IF(BS$391&gt;0,-MIN(BS347,SUM(BS$391:BS392)),0)</f>
        <v>0</v>
      </c>
      <c r="BT393" s="78">
        <f>IF(BT$391&gt;0,-MIN(BT347,SUM(BT$391:BT392)),0)</f>
        <v>0</v>
      </c>
      <c r="BU393" s="78">
        <f>IF(BU$391&gt;0,-MIN(BU347,SUM(BU$391:BU392)),0)</f>
        <v>0</v>
      </c>
      <c r="BV393" s="78">
        <f>IF(BV$391&gt;0,-MIN(BV347,SUM(BV$391:BV392)),0)</f>
        <v>0</v>
      </c>
      <c r="BW393" s="78">
        <f>IF(BW$391&gt;0,-MIN(BW347,SUM(BW$391:BW392)),0)</f>
        <v>0</v>
      </c>
      <c r="BX393" s="78">
        <f>IF(BX$391&gt;0,-MIN(BX347,SUM(BX$391:BX392)),0)</f>
        <v>0</v>
      </c>
      <c r="BY393" s="78">
        <f>IF(BY$391&gt;0,-MIN(BY347,SUM(BY$391:BY392)),0)</f>
        <v>0</v>
      </c>
      <c r="BZ393" s="78">
        <f>IF(BZ$391&gt;0,-MIN(BZ347,SUM(BZ$391:BZ392)),0)</f>
        <v>0</v>
      </c>
      <c r="CA393" s="78">
        <f>IF(CA$391&gt;0,-MIN(CA347,SUM(CA$391:CA392)),0)</f>
        <v>0</v>
      </c>
      <c r="CB393" s="78">
        <f>IF(CB$391&gt;0,-MIN(CB347,SUM(CB$391:CB392)),0)</f>
        <v>0</v>
      </c>
      <c r="CC393" s="78">
        <f>IF(CC$391&gt;0,-MIN(CC347,SUM(CC$391:CC392)),0)</f>
        <v>0</v>
      </c>
      <c r="CD393" s="78">
        <f>IF(CD$391&gt;0,-MIN(CD347,SUM(CD$391:CD392)),0)</f>
        <v>0</v>
      </c>
      <c r="CE393" s="78">
        <f>IF(CE$391&gt;0,-MIN(CE347,SUM(CE$391:CE392)),0)</f>
        <v>0</v>
      </c>
      <c r="CF393" s="78">
        <f>IF(CF$391&gt;0,-MIN(CF347,SUM(CF$391:CF392)),0)</f>
        <v>0</v>
      </c>
      <c r="CG393" s="78">
        <f>IF(CG$391&gt;0,-MIN(CG347,SUM(CG$391:CG392)),0)</f>
        <v>0</v>
      </c>
      <c r="CH393" s="78">
        <f>IF(CH$391&gt;0,-MIN(CH347,SUM(CH$391:CH392)),0)</f>
        <v>0</v>
      </c>
      <c r="CI393" s="78">
        <f>IF(CI$391&gt;0,-MIN(CI347,SUM(CI$391:CI392)),0)</f>
        <v>0</v>
      </c>
      <c r="CJ393" s="78">
        <f>IF(CJ$391&gt;0,-MIN(CJ347,SUM(CJ$391:CJ392)),0)</f>
        <v>0</v>
      </c>
      <c r="CK393" s="78">
        <f>IF(CK$391&gt;0,-MIN(CK347,SUM(CK$391:CK392)),0)</f>
        <v>0</v>
      </c>
      <c r="CL393" s="78">
        <f>IF(CL$391&gt;0,-MIN(CL347,SUM(CL$391:CL392)),0)</f>
        <v>0</v>
      </c>
      <c r="CM393" s="78">
        <f>IF(CM$391&gt;0,-MIN(CM347,SUM(CM$391:CM392)),0)</f>
        <v>0</v>
      </c>
      <c r="CN393" s="78">
        <f>IF(CN$391&gt;0,-MIN(CN347,SUM(CN$391:CN392)),0)</f>
        <v>0</v>
      </c>
      <c r="CO393" s="78">
        <f>IF(CO$391&gt;0,-MIN(CO347,SUM(CO$391:CO392)),0)</f>
        <v>0</v>
      </c>
      <c r="CP393" s="78">
        <f>IF(CP$391&gt;0,-MIN(CP347,SUM(CP$391:CP392)),0)</f>
        <v>0</v>
      </c>
      <c r="CQ393" s="78">
        <f>IF(CQ$391&gt;0,-MIN(CQ347,SUM(CQ$391:CQ392)),0)</f>
        <v>0</v>
      </c>
      <c r="CR393" s="78">
        <f>IF(CR$391&gt;0,-MIN(CR347,SUM(CR$391:CR392)),0)</f>
        <v>0</v>
      </c>
      <c r="CS393" s="78">
        <f>IF(CS$391&gt;0,-MIN(CS347,SUM(CS$391:CS392)),0)</f>
        <v>0</v>
      </c>
      <c r="CT393" s="78">
        <f>IF(CT$391&gt;0,-MIN(CT347,SUM(CT$391:CT392)),0)</f>
        <v>0</v>
      </c>
      <c r="CU393" s="78">
        <f>IF(CU$391&gt;0,-MIN(CU347,SUM(CU$391:CU392)),0)</f>
        <v>0</v>
      </c>
      <c r="CV393" s="78">
        <f>IF(CV$391&gt;0,-MIN(CV347,SUM(CV$391:CV392)),0)</f>
        <v>0</v>
      </c>
      <c r="CW393" s="78">
        <f>IF(CW$391&gt;0,-MIN(CW347,SUM(CW$391:CW392)),0)</f>
        <v>0</v>
      </c>
      <c r="CX393" s="78">
        <f>IF(CX$391&gt;0,-MIN(CX347,SUM(CX$391:CX392)),0)</f>
        <v>0</v>
      </c>
      <c r="CY393" s="78">
        <f>IF(CY$391&gt;0,-MIN(CY347,SUM(CY$391:CY392)),0)</f>
        <v>0</v>
      </c>
      <c r="CZ393" s="78">
        <f>IF(CZ$391&gt;0,-MIN(CZ347,SUM(CZ$391:CZ392)),0)</f>
        <v>0</v>
      </c>
      <c r="DA393" s="78">
        <f>IF(DA$391&gt;0,-MIN(DA347,SUM(DA$391:DA392)),0)</f>
        <v>0</v>
      </c>
      <c r="DB393" s="78">
        <f>IF(DB$391&gt;0,-MIN(DB347,SUM(DB$391:DB392)),0)</f>
        <v>0</v>
      </c>
      <c r="DC393" s="78">
        <f>IF(DC$391&gt;0,-MIN(DC347,SUM(DC$391:DC392)),0)</f>
        <v>0</v>
      </c>
      <c r="DD393" s="78">
        <f>IF(DD$391&gt;0,-MIN(DD347,SUM(DD$391:DD392)),0)</f>
        <v>0</v>
      </c>
      <c r="DE393" s="78">
        <f>IF(DE$391&gt;0,-MIN(DE347,SUM(DE$391:DE392)),0)</f>
        <v>0</v>
      </c>
      <c r="DF393" s="78">
        <f>IF(DF$391&gt;0,-MIN(DF347,SUM(DF$391:DF392)),0)</f>
        <v>0</v>
      </c>
      <c r="DG393" s="78">
        <f>IF(DG$391&gt;0,-MIN(DG347,SUM(DG$391:DG392)),0)</f>
        <v>0</v>
      </c>
      <c r="DH393" s="78">
        <f>IF(DH$391&gt;0,-MIN(DH347,SUM(DH$391:DH392)),0)</f>
        <v>0</v>
      </c>
      <c r="DI393" s="78">
        <f>IF(DI$391&gt;0,-MIN(DI347,SUM(DI$391:DI392)),0)</f>
        <v>0</v>
      </c>
      <c r="DJ393" s="78">
        <f>IF(DJ$391&gt;0,-MIN(DJ347,SUM(DJ$391:DJ392)),0)</f>
        <v>0</v>
      </c>
      <c r="DK393" s="78">
        <f>IF(DK$391&gt;0,-MIN(DK347,SUM(DK$391:DK392)),0)</f>
        <v>0</v>
      </c>
      <c r="DL393" s="78">
        <f>IF(DL$391&gt;0,-MIN(DL347,SUM(DL$391:DL392)),0)</f>
        <v>0</v>
      </c>
      <c r="DM393" s="78">
        <f>IF(DM$391&gt;0,-MIN(DM347,SUM(DM$391:DM392)),0)</f>
        <v>0</v>
      </c>
      <c r="DN393" s="78">
        <f>IF(DN$391&gt;0,-MIN(DN347,SUM(DN$391:DN392)),0)</f>
        <v>0</v>
      </c>
      <c r="DO393" s="78">
        <f>IF(DO$391&gt;0,-MIN(DO347,SUM(DO$391:DO392)),0)</f>
        <v>0</v>
      </c>
      <c r="DP393" s="78">
        <f>IF(DP$391&gt;0,-MIN(DP347,SUM(DP$391:DP392)),0)</f>
        <v>0</v>
      </c>
      <c r="DQ393" s="78">
        <f>IF(DQ$391&gt;0,-MIN(DQ347,SUM(DQ$391:DQ392)),0)</f>
        <v>0</v>
      </c>
      <c r="DR393" s="78">
        <f>IF(DR$391&gt;0,-MIN(DR347,SUM(DR$391:DR392)),0)</f>
        <v>0</v>
      </c>
      <c r="DS393" s="78">
        <f>IF(DS$391&gt;0,-MIN(DS347,SUM(DS$391:DS392)),0)</f>
        <v>0</v>
      </c>
      <c r="DT393" s="78">
        <f>IF(DT$391&gt;0,-MIN(DT347,SUM(DT$391:DT392)),0)</f>
        <v>0</v>
      </c>
      <c r="DU393" s="78">
        <f>IF(DU$391&gt;0,-MIN(DU347,SUM(DU$391:DU392)),0)</f>
        <v>0</v>
      </c>
      <c r="DV393" s="78">
        <f>IF(DV$391&gt;0,-MIN(DV347,SUM(DV$391:DV392)),0)</f>
        <v>0</v>
      </c>
      <c r="DW393" s="78">
        <f>IF(DW$391&gt;0,-MIN(DW347,SUM(DW$391:DW392)),0)</f>
        <v>0</v>
      </c>
      <c r="DX393" s="78">
        <f>IF(DX$391&gt;0,-MIN(DX347,SUM(DX$391:DX392)),0)</f>
        <v>0</v>
      </c>
      <c r="DY393" s="78">
        <f>IF(DY$391&gt;0,-MIN(DY347,SUM(DY$391:DY392)),0)</f>
        <v>0</v>
      </c>
      <c r="DZ393" s="78">
        <f>IF(DZ$391&gt;0,-MIN(DZ347,SUM(DZ$391:DZ392)),0)</f>
        <v>0</v>
      </c>
      <c r="EA393" s="78">
        <f>IF(EA$391&gt;0,-MIN(EA347,SUM(EA$391:EA392)),0)</f>
        <v>0</v>
      </c>
      <c r="EB393" s="78">
        <f>IF(EB$391&gt;0,-MIN(EB347,SUM(EB$391:EB392)),0)</f>
        <v>0</v>
      </c>
      <c r="EC393" s="78">
        <f>IF(EC$391&gt;0,-MIN(EC347,SUM(EC$391:EC392)),0)</f>
        <v>0</v>
      </c>
      <c r="ED393" s="78">
        <f>IF(ED$391&gt;0,-MIN(ED347,SUM(ED$391:ED392)),0)</f>
        <v>0</v>
      </c>
      <c r="EE393" s="78">
        <f>IF(EE$391&gt;0,-MIN(EE347,SUM(EE$391:EE392)),0)</f>
        <v>0</v>
      </c>
      <c r="EF393" s="78">
        <f>IF(EF$391&gt;0,-MIN(EF347,SUM(EF$391:EF392)),0)</f>
        <v>0</v>
      </c>
      <c r="EG393" s="78">
        <f>IF(EG$391&gt;0,-MIN(EG347,SUM(EG$391:EG392)),0)</f>
        <v>0</v>
      </c>
      <c r="EH393" s="78">
        <f>IF(EH$391&gt;0,-MIN(EH347,SUM(EH$391:EH392)),0)</f>
        <v>0</v>
      </c>
      <c r="EI393" s="78">
        <f>IF(EI$391&gt;0,-MIN(EI347,SUM(EI$391:EI392)),0)</f>
        <v>0</v>
      </c>
    </row>
    <row r="394" spans="2:139">
      <c r="B394" s="880" t="s">
        <v>654</v>
      </c>
      <c r="C394" s="211"/>
      <c r="D394" s="78">
        <f>IF(IrrCalculationType=170,IF(D$391&gt;0,-MIN(D355,SUM(D$391:D393)),0),SUMIF($S$6:$EI$6,D$5,$S394:$EI394))</f>
        <v>0</v>
      </c>
      <c r="E394" s="78">
        <f>IF(IrrCalculationType=170,IF(E$391&gt;0,-MIN(E355,SUM(E$391:E393)),0),SUMIF($S$6:$EI$6,E$5,$S394:$EI394))</f>
        <v>0</v>
      </c>
      <c r="F394" s="78">
        <f>IF(IrrCalculationType=170,IF(F$391&gt;0,-MIN(F355,SUM(F$391:F393)),0),SUMIF($S$6:$EI$6,F$5,$S394:$EI394))</f>
        <v>0</v>
      </c>
      <c r="G394" s="78">
        <f>IF(IrrCalculationType=170,IF(G$391&gt;0,-MIN(G355,SUM(G$391:G393)),0),SUMIF($S$6:$EI$6,G$5,$S394:$EI394))</f>
        <v>0</v>
      </c>
      <c r="H394" s="78">
        <f>IF(IrrCalculationType=170,IF(H$391&gt;0,-MIN(H355,SUM(H$391:H393)),0),SUMIF($S$6:$EI$6,H$5,$S394:$EI394))</f>
        <v>0</v>
      </c>
      <c r="I394" s="78">
        <f>IF(IrrCalculationType=170,IF(I$391&gt;0,-MIN(I355,SUM(I$391:I393)),0),SUMIF($S$6:$EI$6,I$5,$S394:$EI394))</f>
        <v>0</v>
      </c>
      <c r="J394" s="78">
        <f>IF(IrrCalculationType=170,IF(J$391&gt;0,-MIN(J355,SUM(J$391:J393)),0),SUMIF($S$6:$EI$6,J$5,$S394:$EI394))</f>
        <v>0</v>
      </c>
      <c r="K394" s="78">
        <f>IF(IrrCalculationType=170,IF(K$391&gt;0,-MIN(K355,SUM(K$391:K393)),0),SUMIF($S$6:$EI$6,K$5,$S394:$EI394))</f>
        <v>0</v>
      </c>
      <c r="L394" s="78">
        <f>IF(IrrCalculationType=170,IF(L$391&gt;0,-MIN(L355,SUM(L$391:L393)),0),SUMIF($S$6:$EI$6,L$5,$S394:$EI394))</f>
        <v>0</v>
      </c>
      <c r="M394" s="78">
        <f>IF(IrrCalculationType=170,IF(M$391&gt;0,-MIN(M355,SUM(M$391:M393)),0),SUMIF($S$6:$EI$6,M$5,$S394:$EI394))</f>
        <v>0</v>
      </c>
      <c r="N394" s="78">
        <f>IF(IrrCalculationType=170,IF(N$391&gt;0,-MIN(N355,SUM(N$391:N393)),0),SUMIF($S$6:$EI$6,N$5,$S394:$EI394))</f>
        <v>0</v>
      </c>
      <c r="O394" s="145">
        <f t="shared" si="845"/>
        <v>0</v>
      </c>
      <c r="R394" s="201"/>
      <c r="S394" s="78">
        <f>IF(S$391&gt;0,-MIN(S355,SUM(S$391:S393)),0)</f>
        <v>0</v>
      </c>
      <c r="T394" s="78">
        <f>IF(T$391&gt;0,-MIN(T355,SUM(T$391:T393)),0)</f>
        <v>0</v>
      </c>
      <c r="U394" s="78">
        <f>IF(U$391&gt;0,-MIN(U355,SUM(U$391:U393)),0)</f>
        <v>0</v>
      </c>
      <c r="V394" s="78">
        <f>IF(V$391&gt;0,-MIN(V355,SUM(V$391:V393)),0)</f>
        <v>0</v>
      </c>
      <c r="W394" s="78">
        <f>IF(W$391&gt;0,-MIN(W355,SUM(W$391:W393)),0)</f>
        <v>0</v>
      </c>
      <c r="X394" s="78">
        <f>IF(X$391&gt;0,-MIN(X355,SUM(X$391:X393)),0)</f>
        <v>0</v>
      </c>
      <c r="Y394" s="78">
        <f>IF(Y$391&gt;0,-MIN(Y355,SUM(Y$391:Y393)),0)</f>
        <v>0</v>
      </c>
      <c r="Z394" s="78">
        <f>IF(Z$391&gt;0,-MIN(Z355,SUM(Z$391:Z393)),0)</f>
        <v>0</v>
      </c>
      <c r="AA394" s="78">
        <f>IF(AA$391&gt;0,-MIN(AA355,SUM(AA$391:AA393)),0)</f>
        <v>0</v>
      </c>
      <c r="AB394" s="78">
        <f>IF(AB$391&gt;0,-MIN(AB355,SUM(AB$391:AB393)),0)</f>
        <v>0</v>
      </c>
      <c r="AC394" s="78">
        <f>IF(AC$391&gt;0,-MIN(AC355,SUM(AC$391:AC393)),0)</f>
        <v>0</v>
      </c>
      <c r="AD394" s="78">
        <f>IF(AD$391&gt;0,-MIN(AD355,SUM(AD$391:AD393)),0)</f>
        <v>0</v>
      </c>
      <c r="AE394" s="78">
        <f>IF(AE$391&gt;0,-MIN(AE355,SUM(AE$391:AE393)),0)</f>
        <v>0</v>
      </c>
      <c r="AF394" s="78">
        <f>IF(AF$391&gt;0,-MIN(AF355,SUM(AF$391:AF393)),0)</f>
        <v>0</v>
      </c>
      <c r="AG394" s="78">
        <f>IF(AG$391&gt;0,-MIN(AG355,SUM(AG$391:AG393)),0)</f>
        <v>0</v>
      </c>
      <c r="AH394" s="78">
        <f>IF(AH$391&gt;0,-MIN(AH355,SUM(AH$391:AH393)),0)</f>
        <v>0</v>
      </c>
      <c r="AI394" s="78">
        <f>IF(AI$391&gt;0,-MIN(AI355,SUM(AI$391:AI393)),0)</f>
        <v>0</v>
      </c>
      <c r="AJ394" s="78">
        <f>IF(AJ$391&gt;0,-MIN(AJ355,SUM(AJ$391:AJ393)),0)</f>
        <v>0</v>
      </c>
      <c r="AK394" s="78">
        <f>IF(AK$391&gt;0,-MIN(AK355,SUM(AK$391:AK393)),0)</f>
        <v>0</v>
      </c>
      <c r="AL394" s="78">
        <f>IF(AL$391&gt;0,-MIN(AL355,SUM(AL$391:AL393)),0)</f>
        <v>0</v>
      </c>
      <c r="AM394" s="78">
        <f>IF(AM$391&gt;0,-MIN(AM355,SUM(AM$391:AM393)),0)</f>
        <v>0</v>
      </c>
      <c r="AN394" s="78">
        <f>IF(AN$391&gt;0,-MIN(AN355,SUM(AN$391:AN393)),0)</f>
        <v>0</v>
      </c>
      <c r="AO394" s="78">
        <f>IF(AO$391&gt;0,-MIN(AO355,SUM(AO$391:AO393)),0)</f>
        <v>0</v>
      </c>
      <c r="AP394" s="78">
        <f>IF(AP$391&gt;0,-MIN(AP355,SUM(AP$391:AP393)),0)</f>
        <v>0</v>
      </c>
      <c r="AQ394" s="78">
        <f>IF(AQ$391&gt;0,-MIN(AQ355,SUM(AQ$391:AQ393)),0)</f>
        <v>0</v>
      </c>
      <c r="AR394" s="78">
        <f>IF(AR$391&gt;0,-MIN(AR355,SUM(AR$391:AR393)),0)</f>
        <v>0</v>
      </c>
      <c r="AS394" s="78">
        <f>IF(AS$391&gt;0,-MIN(AS355,SUM(AS$391:AS393)),0)</f>
        <v>0</v>
      </c>
      <c r="AT394" s="78">
        <f>IF(AT$391&gt;0,-MIN(AT355,SUM(AT$391:AT393)),0)</f>
        <v>0</v>
      </c>
      <c r="AU394" s="78">
        <f>IF(AU$391&gt;0,-MIN(AU355,SUM(AU$391:AU393)),0)</f>
        <v>0</v>
      </c>
      <c r="AV394" s="78">
        <f>IF(AV$391&gt;0,-MIN(AV355,SUM(AV$391:AV393)),0)</f>
        <v>0</v>
      </c>
      <c r="AW394" s="78">
        <f>IF(AW$391&gt;0,-MIN(AW355,SUM(AW$391:AW393)),0)</f>
        <v>0</v>
      </c>
      <c r="AX394" s="78">
        <f>IF(AX$391&gt;0,-MIN(AX355,SUM(AX$391:AX393)),0)</f>
        <v>0</v>
      </c>
      <c r="AY394" s="78">
        <f>IF(AY$391&gt;0,-MIN(AY355,SUM(AY$391:AY393)),0)</f>
        <v>0</v>
      </c>
      <c r="AZ394" s="78">
        <f>IF(AZ$391&gt;0,-MIN(AZ355,SUM(AZ$391:AZ393)),0)</f>
        <v>0</v>
      </c>
      <c r="BA394" s="78">
        <f>IF(BA$391&gt;0,-MIN(BA355,SUM(BA$391:BA393)),0)</f>
        <v>0</v>
      </c>
      <c r="BB394" s="78">
        <f>IF(BB$391&gt;0,-MIN(BB355,SUM(BB$391:BB393)),0)</f>
        <v>0</v>
      </c>
      <c r="BC394" s="78">
        <f>IF(BC$391&gt;0,-MIN(BC355,SUM(BC$391:BC393)),0)</f>
        <v>0</v>
      </c>
      <c r="BD394" s="78">
        <f>IF(BD$391&gt;0,-MIN(BD355,SUM(BD$391:BD393)),0)</f>
        <v>0</v>
      </c>
      <c r="BE394" s="78">
        <f>IF(BE$391&gt;0,-MIN(BE355,SUM(BE$391:BE393)),0)</f>
        <v>0</v>
      </c>
      <c r="BF394" s="78">
        <f>IF(BF$391&gt;0,-MIN(BF355,SUM(BF$391:BF393)),0)</f>
        <v>0</v>
      </c>
      <c r="BG394" s="78">
        <f>IF(BG$391&gt;0,-MIN(BG355,SUM(BG$391:BG393)),0)</f>
        <v>0</v>
      </c>
      <c r="BH394" s="78">
        <f>IF(BH$391&gt;0,-MIN(BH355,SUM(BH$391:BH393)),0)</f>
        <v>0</v>
      </c>
      <c r="BI394" s="78">
        <f>IF(BI$391&gt;0,-MIN(BI355,SUM(BI$391:BI393)),0)</f>
        <v>0</v>
      </c>
      <c r="BJ394" s="78">
        <f>IF(BJ$391&gt;0,-MIN(BJ355,SUM(BJ$391:BJ393)),0)</f>
        <v>0</v>
      </c>
      <c r="BK394" s="78">
        <f>IF(BK$391&gt;0,-MIN(BK355,SUM(BK$391:BK393)),0)</f>
        <v>0</v>
      </c>
      <c r="BL394" s="78">
        <f>IF(BL$391&gt;0,-MIN(BL355,SUM(BL$391:BL393)),0)</f>
        <v>0</v>
      </c>
      <c r="BM394" s="78">
        <f>IF(BM$391&gt;0,-MIN(BM355,SUM(BM$391:BM393)),0)</f>
        <v>0</v>
      </c>
      <c r="BN394" s="78">
        <f>IF(BN$391&gt;0,-MIN(BN355,SUM(BN$391:BN393)),0)</f>
        <v>0</v>
      </c>
      <c r="BO394" s="78">
        <f>IF(BO$391&gt;0,-MIN(BO355,SUM(BO$391:BO393)),0)</f>
        <v>0</v>
      </c>
      <c r="BP394" s="78">
        <f>IF(BP$391&gt;0,-MIN(BP355,SUM(BP$391:BP393)),0)</f>
        <v>0</v>
      </c>
      <c r="BQ394" s="78">
        <f>IF(BQ$391&gt;0,-MIN(BQ355,SUM(BQ$391:BQ393)),0)</f>
        <v>0</v>
      </c>
      <c r="BR394" s="78">
        <f>IF(BR$391&gt;0,-MIN(BR355,SUM(BR$391:BR393)),0)</f>
        <v>0</v>
      </c>
      <c r="BS394" s="78">
        <f>IF(BS$391&gt;0,-MIN(BS355,SUM(BS$391:BS393)),0)</f>
        <v>0</v>
      </c>
      <c r="BT394" s="78">
        <f>IF(BT$391&gt;0,-MIN(BT355,SUM(BT$391:BT393)),0)</f>
        <v>0</v>
      </c>
      <c r="BU394" s="78">
        <f>IF(BU$391&gt;0,-MIN(BU355,SUM(BU$391:BU393)),0)</f>
        <v>0</v>
      </c>
      <c r="BV394" s="78">
        <f>IF(BV$391&gt;0,-MIN(BV355,SUM(BV$391:BV393)),0)</f>
        <v>0</v>
      </c>
      <c r="BW394" s="78">
        <f>IF(BW$391&gt;0,-MIN(BW355,SUM(BW$391:BW393)),0)</f>
        <v>0</v>
      </c>
      <c r="BX394" s="78">
        <f>IF(BX$391&gt;0,-MIN(BX355,SUM(BX$391:BX393)),0)</f>
        <v>0</v>
      </c>
      <c r="BY394" s="78">
        <f>IF(BY$391&gt;0,-MIN(BY355,SUM(BY$391:BY393)),0)</f>
        <v>0</v>
      </c>
      <c r="BZ394" s="78">
        <f>IF(BZ$391&gt;0,-MIN(BZ355,SUM(BZ$391:BZ393)),0)</f>
        <v>0</v>
      </c>
      <c r="CA394" s="78">
        <f>IF(CA$391&gt;0,-MIN(CA355,SUM(CA$391:CA393)),0)</f>
        <v>0</v>
      </c>
      <c r="CB394" s="78">
        <f>IF(CB$391&gt;0,-MIN(CB355,SUM(CB$391:CB393)),0)</f>
        <v>0</v>
      </c>
      <c r="CC394" s="78">
        <f>IF(CC$391&gt;0,-MIN(CC355,SUM(CC$391:CC393)),0)</f>
        <v>0</v>
      </c>
      <c r="CD394" s="78">
        <f>IF(CD$391&gt;0,-MIN(CD355,SUM(CD$391:CD393)),0)</f>
        <v>0</v>
      </c>
      <c r="CE394" s="78">
        <f>IF(CE$391&gt;0,-MIN(CE355,SUM(CE$391:CE393)),0)</f>
        <v>0</v>
      </c>
      <c r="CF394" s="78">
        <f>IF(CF$391&gt;0,-MIN(CF355,SUM(CF$391:CF393)),0)</f>
        <v>0</v>
      </c>
      <c r="CG394" s="78">
        <f>IF(CG$391&gt;0,-MIN(CG355,SUM(CG$391:CG393)),0)</f>
        <v>0</v>
      </c>
      <c r="CH394" s="78">
        <f>IF(CH$391&gt;0,-MIN(CH355,SUM(CH$391:CH393)),0)</f>
        <v>0</v>
      </c>
      <c r="CI394" s="78">
        <f>IF(CI$391&gt;0,-MIN(CI355,SUM(CI$391:CI393)),0)</f>
        <v>0</v>
      </c>
      <c r="CJ394" s="78">
        <f>IF(CJ$391&gt;0,-MIN(CJ355,SUM(CJ$391:CJ393)),0)</f>
        <v>0</v>
      </c>
      <c r="CK394" s="78">
        <f>IF(CK$391&gt;0,-MIN(CK355,SUM(CK$391:CK393)),0)</f>
        <v>0</v>
      </c>
      <c r="CL394" s="78">
        <f>IF(CL$391&gt;0,-MIN(CL355,SUM(CL$391:CL393)),0)</f>
        <v>0</v>
      </c>
      <c r="CM394" s="78">
        <f>IF(CM$391&gt;0,-MIN(CM355,SUM(CM$391:CM393)),0)</f>
        <v>0</v>
      </c>
      <c r="CN394" s="78">
        <f>IF(CN$391&gt;0,-MIN(CN355,SUM(CN$391:CN393)),0)</f>
        <v>0</v>
      </c>
      <c r="CO394" s="78">
        <f>IF(CO$391&gt;0,-MIN(CO355,SUM(CO$391:CO393)),0)</f>
        <v>0</v>
      </c>
      <c r="CP394" s="78">
        <f>IF(CP$391&gt;0,-MIN(CP355,SUM(CP$391:CP393)),0)</f>
        <v>0</v>
      </c>
      <c r="CQ394" s="78">
        <f>IF(CQ$391&gt;0,-MIN(CQ355,SUM(CQ$391:CQ393)),0)</f>
        <v>0</v>
      </c>
      <c r="CR394" s="78">
        <f>IF(CR$391&gt;0,-MIN(CR355,SUM(CR$391:CR393)),0)</f>
        <v>0</v>
      </c>
      <c r="CS394" s="78">
        <f>IF(CS$391&gt;0,-MIN(CS355,SUM(CS$391:CS393)),0)</f>
        <v>0</v>
      </c>
      <c r="CT394" s="78">
        <f>IF(CT$391&gt;0,-MIN(CT355,SUM(CT$391:CT393)),0)</f>
        <v>0</v>
      </c>
      <c r="CU394" s="78">
        <f>IF(CU$391&gt;0,-MIN(CU355,SUM(CU$391:CU393)),0)</f>
        <v>0</v>
      </c>
      <c r="CV394" s="78">
        <f>IF(CV$391&gt;0,-MIN(CV355,SUM(CV$391:CV393)),0)</f>
        <v>0</v>
      </c>
      <c r="CW394" s="78">
        <f>IF(CW$391&gt;0,-MIN(CW355,SUM(CW$391:CW393)),0)</f>
        <v>0</v>
      </c>
      <c r="CX394" s="78">
        <f>IF(CX$391&gt;0,-MIN(CX355,SUM(CX$391:CX393)),0)</f>
        <v>0</v>
      </c>
      <c r="CY394" s="78">
        <f>IF(CY$391&gt;0,-MIN(CY355,SUM(CY$391:CY393)),0)</f>
        <v>0</v>
      </c>
      <c r="CZ394" s="78">
        <f>IF(CZ$391&gt;0,-MIN(CZ355,SUM(CZ$391:CZ393)),0)</f>
        <v>0</v>
      </c>
      <c r="DA394" s="78">
        <f>IF(DA$391&gt;0,-MIN(DA355,SUM(DA$391:DA393)),0)</f>
        <v>0</v>
      </c>
      <c r="DB394" s="78">
        <f>IF(DB$391&gt;0,-MIN(DB355,SUM(DB$391:DB393)),0)</f>
        <v>0</v>
      </c>
      <c r="DC394" s="78">
        <f>IF(DC$391&gt;0,-MIN(DC355,SUM(DC$391:DC393)),0)</f>
        <v>0</v>
      </c>
      <c r="DD394" s="78">
        <f>IF(DD$391&gt;0,-MIN(DD355,SUM(DD$391:DD393)),0)</f>
        <v>0</v>
      </c>
      <c r="DE394" s="78">
        <f>IF(DE$391&gt;0,-MIN(DE355,SUM(DE$391:DE393)),0)</f>
        <v>0</v>
      </c>
      <c r="DF394" s="78">
        <f>IF(DF$391&gt;0,-MIN(DF355,SUM(DF$391:DF393)),0)</f>
        <v>0</v>
      </c>
      <c r="DG394" s="78">
        <f>IF(DG$391&gt;0,-MIN(DG355,SUM(DG$391:DG393)),0)</f>
        <v>0</v>
      </c>
      <c r="DH394" s="78">
        <f>IF(DH$391&gt;0,-MIN(DH355,SUM(DH$391:DH393)),0)</f>
        <v>0</v>
      </c>
      <c r="DI394" s="78">
        <f>IF(DI$391&gt;0,-MIN(DI355,SUM(DI$391:DI393)),0)</f>
        <v>0</v>
      </c>
      <c r="DJ394" s="78">
        <f>IF(DJ$391&gt;0,-MIN(DJ355,SUM(DJ$391:DJ393)),0)</f>
        <v>0</v>
      </c>
      <c r="DK394" s="78">
        <f>IF(DK$391&gt;0,-MIN(DK355,SUM(DK$391:DK393)),0)</f>
        <v>0</v>
      </c>
      <c r="DL394" s="78">
        <f>IF(DL$391&gt;0,-MIN(DL355,SUM(DL$391:DL393)),0)</f>
        <v>0</v>
      </c>
      <c r="DM394" s="78">
        <f>IF(DM$391&gt;0,-MIN(DM355,SUM(DM$391:DM393)),0)</f>
        <v>0</v>
      </c>
      <c r="DN394" s="78">
        <f>IF(DN$391&gt;0,-MIN(DN355,SUM(DN$391:DN393)),0)</f>
        <v>0</v>
      </c>
      <c r="DO394" s="78">
        <f>IF(DO$391&gt;0,-MIN(DO355,SUM(DO$391:DO393)),0)</f>
        <v>0</v>
      </c>
      <c r="DP394" s="78">
        <f>IF(DP$391&gt;0,-MIN(DP355,SUM(DP$391:DP393)),0)</f>
        <v>0</v>
      </c>
      <c r="DQ394" s="78">
        <f>IF(DQ$391&gt;0,-MIN(DQ355,SUM(DQ$391:DQ393)),0)</f>
        <v>0</v>
      </c>
      <c r="DR394" s="78">
        <f>IF(DR$391&gt;0,-MIN(DR355,SUM(DR$391:DR393)),0)</f>
        <v>0</v>
      </c>
      <c r="DS394" s="78">
        <f>IF(DS$391&gt;0,-MIN(DS355,SUM(DS$391:DS393)),0)</f>
        <v>0</v>
      </c>
      <c r="DT394" s="78">
        <f>IF(DT$391&gt;0,-MIN(DT355,SUM(DT$391:DT393)),0)</f>
        <v>0</v>
      </c>
      <c r="DU394" s="78">
        <f>IF(DU$391&gt;0,-MIN(DU355,SUM(DU$391:DU393)),0)</f>
        <v>0</v>
      </c>
      <c r="DV394" s="78">
        <f>IF(DV$391&gt;0,-MIN(DV355,SUM(DV$391:DV393)),0)</f>
        <v>0</v>
      </c>
      <c r="DW394" s="78">
        <f>IF(DW$391&gt;0,-MIN(DW355,SUM(DW$391:DW393)),0)</f>
        <v>0</v>
      </c>
      <c r="DX394" s="78">
        <f>IF(DX$391&gt;0,-MIN(DX355,SUM(DX$391:DX393)),0)</f>
        <v>0</v>
      </c>
      <c r="DY394" s="78">
        <f>IF(DY$391&gt;0,-MIN(DY355,SUM(DY$391:DY393)),0)</f>
        <v>0</v>
      </c>
      <c r="DZ394" s="78">
        <f>IF(DZ$391&gt;0,-MIN(DZ355,SUM(DZ$391:DZ393)),0)</f>
        <v>0</v>
      </c>
      <c r="EA394" s="78">
        <f>IF(EA$391&gt;0,-MIN(EA355,SUM(EA$391:EA393)),0)</f>
        <v>0</v>
      </c>
      <c r="EB394" s="78">
        <f>IF(EB$391&gt;0,-MIN(EB355,SUM(EB$391:EB393)),0)</f>
        <v>0</v>
      </c>
      <c r="EC394" s="78">
        <f>IF(EC$391&gt;0,-MIN(EC355,SUM(EC$391:EC393)),0)</f>
        <v>0</v>
      </c>
      <c r="ED394" s="78">
        <f>IF(ED$391&gt;0,-MIN(ED355,SUM(ED$391:ED393)),0)</f>
        <v>0</v>
      </c>
      <c r="EE394" s="78">
        <f>IF(EE$391&gt;0,-MIN(EE355,SUM(EE$391:EE393)),0)</f>
        <v>0</v>
      </c>
      <c r="EF394" s="78">
        <f>IF(EF$391&gt;0,-MIN(EF355,SUM(EF$391:EF393)),0)</f>
        <v>0</v>
      </c>
      <c r="EG394" s="78">
        <f>IF(EG$391&gt;0,-MIN(EG355,SUM(EG$391:EG393)),0)</f>
        <v>0</v>
      </c>
      <c r="EH394" s="78">
        <f>IF(EH$391&gt;0,-MIN(EH355,SUM(EH$391:EH393)),0)</f>
        <v>0</v>
      </c>
      <c r="EI394" s="78">
        <f>IF(EI$391&gt;0,-MIN(EI355,SUM(EI$391:EI393)),0)</f>
        <v>0</v>
      </c>
    </row>
    <row r="395" spans="2:139">
      <c r="B395" s="880" t="s">
        <v>660</v>
      </c>
      <c r="C395" s="211"/>
      <c r="D395" s="78">
        <f t="shared" ref="D395:N395" si="870">IF(IrrCalculationType=170,-MIN(SUM(D360:D364),SUM(D391:D394)),SUMIF($S$6:$EI$6,D$5,$S395:$EI395))</f>
        <v>0</v>
      </c>
      <c r="E395" s="78">
        <f t="shared" si="870"/>
        <v>0</v>
      </c>
      <c r="F395" s="78">
        <f t="shared" si="870"/>
        <v>0</v>
      </c>
      <c r="G395" s="78">
        <f t="shared" si="870"/>
        <v>0</v>
      </c>
      <c r="H395" s="78">
        <f t="shared" si="870"/>
        <v>0</v>
      </c>
      <c r="I395" s="78">
        <f t="shared" si="870"/>
        <v>0</v>
      </c>
      <c r="J395" s="78">
        <f t="shared" si="870"/>
        <v>0</v>
      </c>
      <c r="K395" s="78">
        <f t="shared" si="870"/>
        <v>0</v>
      </c>
      <c r="L395" s="78">
        <f t="shared" si="870"/>
        <v>0</v>
      </c>
      <c r="M395" s="78">
        <f t="shared" si="870"/>
        <v>0</v>
      </c>
      <c r="N395" s="78">
        <f t="shared" si="870"/>
        <v>0</v>
      </c>
      <c r="O395" s="145">
        <f t="shared" si="845"/>
        <v>0</v>
      </c>
      <c r="R395" s="201"/>
      <c r="S395" s="78">
        <f t="shared" ref="S395:AX395" si="871">-MIN(SUM(S360:S364),SUM(S391:S394))</f>
        <v>0</v>
      </c>
      <c r="T395" s="78">
        <f t="shared" si="871"/>
        <v>0</v>
      </c>
      <c r="U395" s="78">
        <f t="shared" si="871"/>
        <v>0</v>
      </c>
      <c r="V395" s="78">
        <f t="shared" si="871"/>
        <v>0</v>
      </c>
      <c r="W395" s="78">
        <f t="shared" si="871"/>
        <v>0</v>
      </c>
      <c r="X395" s="78">
        <f t="shared" si="871"/>
        <v>0</v>
      </c>
      <c r="Y395" s="78">
        <f t="shared" si="871"/>
        <v>0</v>
      </c>
      <c r="Z395" s="78">
        <f t="shared" si="871"/>
        <v>0</v>
      </c>
      <c r="AA395" s="78">
        <f t="shared" si="871"/>
        <v>0</v>
      </c>
      <c r="AB395" s="78">
        <f t="shared" si="871"/>
        <v>0</v>
      </c>
      <c r="AC395" s="78">
        <f t="shared" si="871"/>
        <v>0</v>
      </c>
      <c r="AD395" s="78">
        <f t="shared" si="871"/>
        <v>0</v>
      </c>
      <c r="AE395" s="78">
        <f t="shared" si="871"/>
        <v>0</v>
      </c>
      <c r="AF395" s="78">
        <f t="shared" si="871"/>
        <v>0</v>
      </c>
      <c r="AG395" s="78">
        <f t="shared" si="871"/>
        <v>0</v>
      </c>
      <c r="AH395" s="78">
        <f t="shared" si="871"/>
        <v>0</v>
      </c>
      <c r="AI395" s="78">
        <f t="shared" si="871"/>
        <v>0</v>
      </c>
      <c r="AJ395" s="78">
        <f t="shared" si="871"/>
        <v>0</v>
      </c>
      <c r="AK395" s="78">
        <f t="shared" si="871"/>
        <v>0</v>
      </c>
      <c r="AL395" s="78">
        <f t="shared" si="871"/>
        <v>0</v>
      </c>
      <c r="AM395" s="78">
        <f t="shared" si="871"/>
        <v>0</v>
      </c>
      <c r="AN395" s="78">
        <f t="shared" si="871"/>
        <v>0</v>
      </c>
      <c r="AO395" s="78">
        <f t="shared" si="871"/>
        <v>0</v>
      </c>
      <c r="AP395" s="78">
        <f t="shared" si="871"/>
        <v>0</v>
      </c>
      <c r="AQ395" s="78">
        <f t="shared" si="871"/>
        <v>0</v>
      </c>
      <c r="AR395" s="78">
        <f t="shared" si="871"/>
        <v>0</v>
      </c>
      <c r="AS395" s="78">
        <f t="shared" si="871"/>
        <v>0</v>
      </c>
      <c r="AT395" s="78">
        <f t="shared" si="871"/>
        <v>0</v>
      </c>
      <c r="AU395" s="78">
        <f t="shared" si="871"/>
        <v>0</v>
      </c>
      <c r="AV395" s="78">
        <f t="shared" si="871"/>
        <v>0</v>
      </c>
      <c r="AW395" s="78">
        <f t="shared" si="871"/>
        <v>0</v>
      </c>
      <c r="AX395" s="78">
        <f t="shared" si="871"/>
        <v>0</v>
      </c>
      <c r="AY395" s="78">
        <f t="shared" ref="AY395:CD395" si="872">-MIN(SUM(AY360:AY364),SUM(AY391:AY394))</f>
        <v>0</v>
      </c>
      <c r="AZ395" s="78">
        <f t="shared" si="872"/>
        <v>0</v>
      </c>
      <c r="BA395" s="78">
        <f t="shared" si="872"/>
        <v>0</v>
      </c>
      <c r="BB395" s="78">
        <f t="shared" si="872"/>
        <v>0</v>
      </c>
      <c r="BC395" s="78">
        <f t="shared" si="872"/>
        <v>0</v>
      </c>
      <c r="BD395" s="78">
        <f t="shared" si="872"/>
        <v>0</v>
      </c>
      <c r="BE395" s="78">
        <f t="shared" si="872"/>
        <v>0</v>
      </c>
      <c r="BF395" s="78">
        <f t="shared" si="872"/>
        <v>0</v>
      </c>
      <c r="BG395" s="78">
        <f t="shared" si="872"/>
        <v>0</v>
      </c>
      <c r="BH395" s="78">
        <f t="shared" si="872"/>
        <v>0</v>
      </c>
      <c r="BI395" s="78">
        <f t="shared" si="872"/>
        <v>0</v>
      </c>
      <c r="BJ395" s="78">
        <f t="shared" si="872"/>
        <v>0</v>
      </c>
      <c r="BK395" s="78">
        <f t="shared" si="872"/>
        <v>0</v>
      </c>
      <c r="BL395" s="78">
        <f t="shared" si="872"/>
        <v>0</v>
      </c>
      <c r="BM395" s="78">
        <f t="shared" si="872"/>
        <v>0</v>
      </c>
      <c r="BN395" s="78">
        <f t="shared" si="872"/>
        <v>0</v>
      </c>
      <c r="BO395" s="78">
        <f t="shared" si="872"/>
        <v>0</v>
      </c>
      <c r="BP395" s="78">
        <f t="shared" si="872"/>
        <v>0</v>
      </c>
      <c r="BQ395" s="78">
        <f t="shared" si="872"/>
        <v>0</v>
      </c>
      <c r="BR395" s="78">
        <f t="shared" si="872"/>
        <v>0</v>
      </c>
      <c r="BS395" s="78">
        <f t="shared" si="872"/>
        <v>0</v>
      </c>
      <c r="BT395" s="78">
        <f t="shared" si="872"/>
        <v>0</v>
      </c>
      <c r="BU395" s="78">
        <f t="shared" si="872"/>
        <v>0</v>
      </c>
      <c r="BV395" s="78">
        <f t="shared" si="872"/>
        <v>0</v>
      </c>
      <c r="BW395" s="78">
        <f t="shared" si="872"/>
        <v>0</v>
      </c>
      <c r="BX395" s="78">
        <f t="shared" si="872"/>
        <v>0</v>
      </c>
      <c r="BY395" s="78">
        <f t="shared" si="872"/>
        <v>0</v>
      </c>
      <c r="BZ395" s="78">
        <f t="shared" si="872"/>
        <v>0</v>
      </c>
      <c r="CA395" s="78">
        <f t="shared" si="872"/>
        <v>0</v>
      </c>
      <c r="CB395" s="78">
        <f t="shared" si="872"/>
        <v>0</v>
      </c>
      <c r="CC395" s="78">
        <f t="shared" si="872"/>
        <v>0</v>
      </c>
      <c r="CD395" s="78">
        <f t="shared" si="872"/>
        <v>0</v>
      </c>
      <c r="CE395" s="78">
        <f t="shared" ref="CE395:DJ395" si="873">-MIN(SUM(CE360:CE364),SUM(CE391:CE394))</f>
        <v>0</v>
      </c>
      <c r="CF395" s="78">
        <f t="shared" si="873"/>
        <v>0</v>
      </c>
      <c r="CG395" s="78">
        <f t="shared" si="873"/>
        <v>0</v>
      </c>
      <c r="CH395" s="78">
        <f t="shared" si="873"/>
        <v>0</v>
      </c>
      <c r="CI395" s="78">
        <f t="shared" si="873"/>
        <v>0</v>
      </c>
      <c r="CJ395" s="78">
        <f t="shared" si="873"/>
        <v>0</v>
      </c>
      <c r="CK395" s="78">
        <f t="shared" si="873"/>
        <v>0</v>
      </c>
      <c r="CL395" s="78">
        <f t="shared" si="873"/>
        <v>0</v>
      </c>
      <c r="CM395" s="78">
        <f t="shared" si="873"/>
        <v>0</v>
      </c>
      <c r="CN395" s="78">
        <f t="shared" si="873"/>
        <v>0</v>
      </c>
      <c r="CO395" s="78">
        <f t="shared" si="873"/>
        <v>0</v>
      </c>
      <c r="CP395" s="78">
        <f t="shared" si="873"/>
        <v>0</v>
      </c>
      <c r="CQ395" s="78">
        <f t="shared" si="873"/>
        <v>0</v>
      </c>
      <c r="CR395" s="78">
        <f t="shared" si="873"/>
        <v>0</v>
      </c>
      <c r="CS395" s="78">
        <f t="shared" si="873"/>
        <v>0</v>
      </c>
      <c r="CT395" s="78">
        <f t="shared" si="873"/>
        <v>0</v>
      </c>
      <c r="CU395" s="78">
        <f t="shared" si="873"/>
        <v>0</v>
      </c>
      <c r="CV395" s="78">
        <f t="shared" si="873"/>
        <v>0</v>
      </c>
      <c r="CW395" s="78">
        <f t="shared" si="873"/>
        <v>0</v>
      </c>
      <c r="CX395" s="78">
        <f t="shared" si="873"/>
        <v>0</v>
      </c>
      <c r="CY395" s="78">
        <f t="shared" si="873"/>
        <v>0</v>
      </c>
      <c r="CZ395" s="78">
        <f t="shared" si="873"/>
        <v>0</v>
      </c>
      <c r="DA395" s="78">
        <f t="shared" si="873"/>
        <v>0</v>
      </c>
      <c r="DB395" s="78">
        <f t="shared" si="873"/>
        <v>0</v>
      </c>
      <c r="DC395" s="78">
        <f t="shared" si="873"/>
        <v>0</v>
      </c>
      <c r="DD395" s="78">
        <f t="shared" si="873"/>
        <v>0</v>
      </c>
      <c r="DE395" s="78">
        <f t="shared" si="873"/>
        <v>0</v>
      </c>
      <c r="DF395" s="78">
        <f t="shared" si="873"/>
        <v>0</v>
      </c>
      <c r="DG395" s="78">
        <f t="shared" si="873"/>
        <v>0</v>
      </c>
      <c r="DH395" s="78">
        <f t="shared" si="873"/>
        <v>0</v>
      </c>
      <c r="DI395" s="78">
        <f t="shared" si="873"/>
        <v>0</v>
      </c>
      <c r="DJ395" s="78">
        <f t="shared" si="873"/>
        <v>0</v>
      </c>
      <c r="DK395" s="78">
        <f t="shared" ref="DK395:EP395" si="874">-MIN(SUM(DK360:DK364),SUM(DK391:DK394))</f>
        <v>0</v>
      </c>
      <c r="DL395" s="78">
        <f t="shared" si="874"/>
        <v>0</v>
      </c>
      <c r="DM395" s="78">
        <f t="shared" si="874"/>
        <v>0</v>
      </c>
      <c r="DN395" s="78">
        <f t="shared" si="874"/>
        <v>0</v>
      </c>
      <c r="DO395" s="78">
        <f t="shared" si="874"/>
        <v>0</v>
      </c>
      <c r="DP395" s="78">
        <f t="shared" si="874"/>
        <v>0</v>
      </c>
      <c r="DQ395" s="78">
        <f t="shared" si="874"/>
        <v>0</v>
      </c>
      <c r="DR395" s="78">
        <f t="shared" si="874"/>
        <v>0</v>
      </c>
      <c r="DS395" s="78">
        <f t="shared" si="874"/>
        <v>0</v>
      </c>
      <c r="DT395" s="78">
        <f t="shared" si="874"/>
        <v>0</v>
      </c>
      <c r="DU395" s="78">
        <f t="shared" si="874"/>
        <v>0</v>
      </c>
      <c r="DV395" s="78">
        <f t="shared" si="874"/>
        <v>0</v>
      </c>
      <c r="DW395" s="78">
        <f t="shared" si="874"/>
        <v>0</v>
      </c>
      <c r="DX395" s="78">
        <f t="shared" si="874"/>
        <v>0</v>
      </c>
      <c r="DY395" s="78">
        <f t="shared" si="874"/>
        <v>0</v>
      </c>
      <c r="DZ395" s="78">
        <f t="shared" si="874"/>
        <v>0</v>
      </c>
      <c r="EA395" s="78">
        <f t="shared" si="874"/>
        <v>0</v>
      </c>
      <c r="EB395" s="78">
        <f t="shared" si="874"/>
        <v>0</v>
      </c>
      <c r="EC395" s="78">
        <f t="shared" si="874"/>
        <v>0</v>
      </c>
      <c r="ED395" s="78">
        <f t="shared" si="874"/>
        <v>0</v>
      </c>
      <c r="EE395" s="78">
        <f t="shared" si="874"/>
        <v>0</v>
      </c>
      <c r="EF395" s="78">
        <f t="shared" si="874"/>
        <v>0</v>
      </c>
      <c r="EG395" s="78">
        <f t="shared" si="874"/>
        <v>0</v>
      </c>
      <c r="EH395" s="78">
        <f t="shared" si="874"/>
        <v>0</v>
      </c>
      <c r="EI395" s="78">
        <f t="shared" si="874"/>
        <v>0</v>
      </c>
    </row>
    <row r="396" spans="2:139">
      <c r="B396" s="41" t="s">
        <v>670</v>
      </c>
      <c r="C396" s="211"/>
      <c r="D396" s="78">
        <f t="shared" ref="D396:N396" si="875">IF(IrrCalculationType=170,MAX(D294+D292,),SUMIF($S$6:$EI$6,D$5,$S396:$EI396))</f>
        <v>0</v>
      </c>
      <c r="E396" s="78">
        <f t="shared" si="875"/>
        <v>0</v>
      </c>
      <c r="F396" s="78">
        <f t="shared" si="875"/>
        <v>0</v>
      </c>
      <c r="G396" s="78">
        <f t="shared" si="875"/>
        <v>0</v>
      </c>
      <c r="H396" s="78">
        <f t="shared" si="875"/>
        <v>0</v>
      </c>
      <c r="I396" s="78">
        <f t="shared" si="875"/>
        <v>0</v>
      </c>
      <c r="J396" s="78">
        <f t="shared" si="875"/>
        <v>0</v>
      </c>
      <c r="K396" s="78">
        <f t="shared" si="875"/>
        <v>0</v>
      </c>
      <c r="L396" s="78">
        <f t="shared" si="875"/>
        <v>0</v>
      </c>
      <c r="M396" s="78">
        <f t="shared" si="875"/>
        <v>0</v>
      </c>
      <c r="N396" s="78">
        <f t="shared" si="875"/>
        <v>0</v>
      </c>
      <c r="O396" s="145">
        <f t="shared" si="845"/>
        <v>0</v>
      </c>
      <c r="R396" s="201"/>
      <c r="S396" s="78">
        <f t="shared" ref="S396:AX396" si="876">MAX(S294+S292,)</f>
        <v>0</v>
      </c>
      <c r="T396" s="78">
        <f t="shared" si="876"/>
        <v>0</v>
      </c>
      <c r="U396" s="78">
        <f t="shared" si="876"/>
        <v>0</v>
      </c>
      <c r="V396" s="78">
        <f t="shared" si="876"/>
        <v>0</v>
      </c>
      <c r="W396" s="78">
        <f t="shared" si="876"/>
        <v>0</v>
      </c>
      <c r="X396" s="78">
        <f t="shared" si="876"/>
        <v>0</v>
      </c>
      <c r="Y396" s="78">
        <f t="shared" si="876"/>
        <v>0</v>
      </c>
      <c r="Z396" s="78">
        <f t="shared" si="876"/>
        <v>0</v>
      </c>
      <c r="AA396" s="78">
        <f t="shared" si="876"/>
        <v>0</v>
      </c>
      <c r="AB396" s="78">
        <f t="shared" si="876"/>
        <v>0</v>
      </c>
      <c r="AC396" s="78">
        <f t="shared" si="876"/>
        <v>0</v>
      </c>
      <c r="AD396" s="78">
        <f t="shared" si="876"/>
        <v>0</v>
      </c>
      <c r="AE396" s="78">
        <f t="shared" si="876"/>
        <v>0</v>
      </c>
      <c r="AF396" s="78">
        <f t="shared" si="876"/>
        <v>0</v>
      </c>
      <c r="AG396" s="78">
        <f t="shared" si="876"/>
        <v>0</v>
      </c>
      <c r="AH396" s="78">
        <f t="shared" si="876"/>
        <v>0</v>
      </c>
      <c r="AI396" s="78">
        <f t="shared" si="876"/>
        <v>0</v>
      </c>
      <c r="AJ396" s="78">
        <f t="shared" si="876"/>
        <v>0</v>
      </c>
      <c r="AK396" s="78">
        <f t="shared" si="876"/>
        <v>0</v>
      </c>
      <c r="AL396" s="78">
        <f t="shared" si="876"/>
        <v>0</v>
      </c>
      <c r="AM396" s="78">
        <f t="shared" si="876"/>
        <v>0</v>
      </c>
      <c r="AN396" s="78">
        <f t="shared" si="876"/>
        <v>0</v>
      </c>
      <c r="AO396" s="78">
        <f t="shared" si="876"/>
        <v>0</v>
      </c>
      <c r="AP396" s="78">
        <f t="shared" si="876"/>
        <v>0</v>
      </c>
      <c r="AQ396" s="78">
        <f t="shared" si="876"/>
        <v>0</v>
      </c>
      <c r="AR396" s="78">
        <f t="shared" si="876"/>
        <v>0</v>
      </c>
      <c r="AS396" s="78">
        <f t="shared" si="876"/>
        <v>0</v>
      </c>
      <c r="AT396" s="78">
        <f t="shared" si="876"/>
        <v>0</v>
      </c>
      <c r="AU396" s="78">
        <f t="shared" si="876"/>
        <v>0</v>
      </c>
      <c r="AV396" s="78">
        <f t="shared" si="876"/>
        <v>0</v>
      </c>
      <c r="AW396" s="78">
        <f t="shared" si="876"/>
        <v>0</v>
      </c>
      <c r="AX396" s="78">
        <f t="shared" si="876"/>
        <v>0</v>
      </c>
      <c r="AY396" s="78">
        <f t="shared" ref="AY396:CD396" si="877">MAX(AY294+AY292,)</f>
        <v>0</v>
      </c>
      <c r="AZ396" s="78">
        <f t="shared" si="877"/>
        <v>0</v>
      </c>
      <c r="BA396" s="78">
        <f t="shared" si="877"/>
        <v>0</v>
      </c>
      <c r="BB396" s="78">
        <f t="shared" si="877"/>
        <v>0</v>
      </c>
      <c r="BC396" s="78">
        <f t="shared" si="877"/>
        <v>0</v>
      </c>
      <c r="BD396" s="78">
        <f t="shared" si="877"/>
        <v>0</v>
      </c>
      <c r="BE396" s="78">
        <f t="shared" si="877"/>
        <v>0</v>
      </c>
      <c r="BF396" s="78">
        <f t="shared" si="877"/>
        <v>0</v>
      </c>
      <c r="BG396" s="78">
        <f t="shared" si="877"/>
        <v>0</v>
      </c>
      <c r="BH396" s="78">
        <f t="shared" si="877"/>
        <v>0</v>
      </c>
      <c r="BI396" s="78">
        <f t="shared" si="877"/>
        <v>0</v>
      </c>
      <c r="BJ396" s="78">
        <f t="shared" si="877"/>
        <v>0</v>
      </c>
      <c r="BK396" s="78">
        <f t="shared" si="877"/>
        <v>0</v>
      </c>
      <c r="BL396" s="78">
        <f t="shared" si="877"/>
        <v>0</v>
      </c>
      <c r="BM396" s="78">
        <f t="shared" si="877"/>
        <v>0</v>
      </c>
      <c r="BN396" s="78">
        <f t="shared" si="877"/>
        <v>0</v>
      </c>
      <c r="BO396" s="78">
        <f t="shared" si="877"/>
        <v>0</v>
      </c>
      <c r="BP396" s="78">
        <f t="shared" si="877"/>
        <v>0</v>
      </c>
      <c r="BQ396" s="78">
        <f t="shared" si="877"/>
        <v>0</v>
      </c>
      <c r="BR396" s="78">
        <f t="shared" si="877"/>
        <v>0</v>
      </c>
      <c r="BS396" s="78">
        <f t="shared" si="877"/>
        <v>0</v>
      </c>
      <c r="BT396" s="78">
        <f t="shared" si="877"/>
        <v>0</v>
      </c>
      <c r="BU396" s="78">
        <f t="shared" si="877"/>
        <v>0</v>
      </c>
      <c r="BV396" s="78">
        <f t="shared" si="877"/>
        <v>0</v>
      </c>
      <c r="BW396" s="78">
        <f t="shared" si="877"/>
        <v>0</v>
      </c>
      <c r="BX396" s="78">
        <f t="shared" si="877"/>
        <v>0</v>
      </c>
      <c r="BY396" s="78">
        <f t="shared" si="877"/>
        <v>0</v>
      </c>
      <c r="BZ396" s="78">
        <f t="shared" si="877"/>
        <v>0</v>
      </c>
      <c r="CA396" s="78">
        <f t="shared" si="877"/>
        <v>0</v>
      </c>
      <c r="CB396" s="78">
        <f t="shared" si="877"/>
        <v>0</v>
      </c>
      <c r="CC396" s="78">
        <f t="shared" si="877"/>
        <v>0</v>
      </c>
      <c r="CD396" s="78">
        <f t="shared" si="877"/>
        <v>0</v>
      </c>
      <c r="CE396" s="78">
        <f t="shared" ref="CE396:DJ396" si="878">MAX(CE294+CE292,)</f>
        <v>0</v>
      </c>
      <c r="CF396" s="78">
        <f t="shared" si="878"/>
        <v>0</v>
      </c>
      <c r="CG396" s="78">
        <f t="shared" si="878"/>
        <v>0</v>
      </c>
      <c r="CH396" s="78">
        <f t="shared" si="878"/>
        <v>0</v>
      </c>
      <c r="CI396" s="78">
        <f t="shared" si="878"/>
        <v>0</v>
      </c>
      <c r="CJ396" s="78">
        <f t="shared" si="878"/>
        <v>0</v>
      </c>
      <c r="CK396" s="78">
        <f t="shared" si="878"/>
        <v>0</v>
      </c>
      <c r="CL396" s="78">
        <f t="shared" si="878"/>
        <v>0</v>
      </c>
      <c r="CM396" s="78">
        <f t="shared" si="878"/>
        <v>0</v>
      </c>
      <c r="CN396" s="78">
        <f t="shared" si="878"/>
        <v>0</v>
      </c>
      <c r="CO396" s="78">
        <f t="shared" si="878"/>
        <v>0</v>
      </c>
      <c r="CP396" s="78">
        <f t="shared" si="878"/>
        <v>0</v>
      </c>
      <c r="CQ396" s="78">
        <f t="shared" si="878"/>
        <v>0</v>
      </c>
      <c r="CR396" s="78">
        <f t="shared" si="878"/>
        <v>0</v>
      </c>
      <c r="CS396" s="78">
        <f t="shared" si="878"/>
        <v>0</v>
      </c>
      <c r="CT396" s="78">
        <f t="shared" si="878"/>
        <v>0</v>
      </c>
      <c r="CU396" s="78">
        <f t="shared" si="878"/>
        <v>0</v>
      </c>
      <c r="CV396" s="78">
        <f t="shared" si="878"/>
        <v>0</v>
      </c>
      <c r="CW396" s="78">
        <f t="shared" si="878"/>
        <v>0</v>
      </c>
      <c r="CX396" s="78">
        <f t="shared" si="878"/>
        <v>0</v>
      </c>
      <c r="CY396" s="78">
        <f t="shared" si="878"/>
        <v>0</v>
      </c>
      <c r="CZ396" s="78">
        <f t="shared" si="878"/>
        <v>0</v>
      </c>
      <c r="DA396" s="78">
        <f t="shared" si="878"/>
        <v>0</v>
      </c>
      <c r="DB396" s="78">
        <f t="shared" si="878"/>
        <v>0</v>
      </c>
      <c r="DC396" s="78">
        <f t="shared" si="878"/>
        <v>0</v>
      </c>
      <c r="DD396" s="78">
        <f t="shared" si="878"/>
        <v>0</v>
      </c>
      <c r="DE396" s="78">
        <f t="shared" si="878"/>
        <v>0</v>
      </c>
      <c r="DF396" s="78">
        <f t="shared" si="878"/>
        <v>0</v>
      </c>
      <c r="DG396" s="78">
        <f t="shared" si="878"/>
        <v>0</v>
      </c>
      <c r="DH396" s="78">
        <f t="shared" si="878"/>
        <v>0</v>
      </c>
      <c r="DI396" s="78">
        <f t="shared" si="878"/>
        <v>0</v>
      </c>
      <c r="DJ396" s="78">
        <f t="shared" si="878"/>
        <v>0</v>
      </c>
      <c r="DK396" s="78">
        <f t="shared" ref="DK396:EI396" si="879">MAX(DK294+DK292,)</f>
        <v>0</v>
      </c>
      <c r="DL396" s="78">
        <f t="shared" si="879"/>
        <v>0</v>
      </c>
      <c r="DM396" s="78">
        <f t="shared" si="879"/>
        <v>0</v>
      </c>
      <c r="DN396" s="78">
        <f t="shared" si="879"/>
        <v>0</v>
      </c>
      <c r="DO396" s="78">
        <f t="shared" si="879"/>
        <v>0</v>
      </c>
      <c r="DP396" s="78">
        <f t="shared" si="879"/>
        <v>0</v>
      </c>
      <c r="DQ396" s="78">
        <f t="shared" si="879"/>
        <v>0</v>
      </c>
      <c r="DR396" s="78">
        <f t="shared" si="879"/>
        <v>0</v>
      </c>
      <c r="DS396" s="78">
        <f t="shared" si="879"/>
        <v>0</v>
      </c>
      <c r="DT396" s="78">
        <f t="shared" si="879"/>
        <v>0</v>
      </c>
      <c r="DU396" s="78">
        <f t="shared" si="879"/>
        <v>0</v>
      </c>
      <c r="DV396" s="78">
        <f t="shared" si="879"/>
        <v>0</v>
      </c>
      <c r="DW396" s="78">
        <f t="shared" si="879"/>
        <v>0</v>
      </c>
      <c r="DX396" s="78">
        <f t="shared" si="879"/>
        <v>0</v>
      </c>
      <c r="DY396" s="78">
        <f t="shared" si="879"/>
        <v>0</v>
      </c>
      <c r="DZ396" s="78">
        <f t="shared" si="879"/>
        <v>0</v>
      </c>
      <c r="EA396" s="78">
        <f t="shared" si="879"/>
        <v>0</v>
      </c>
      <c r="EB396" s="78">
        <f t="shared" si="879"/>
        <v>0</v>
      </c>
      <c r="EC396" s="78">
        <f t="shared" si="879"/>
        <v>0</v>
      </c>
      <c r="ED396" s="78">
        <f t="shared" si="879"/>
        <v>0</v>
      </c>
      <c r="EE396" s="78">
        <f t="shared" si="879"/>
        <v>0</v>
      </c>
      <c r="EF396" s="78">
        <f t="shared" si="879"/>
        <v>0</v>
      </c>
      <c r="EG396" s="78">
        <f t="shared" si="879"/>
        <v>0</v>
      </c>
      <c r="EH396" s="78">
        <f t="shared" si="879"/>
        <v>0</v>
      </c>
      <c r="EI396" s="78">
        <f t="shared" si="879"/>
        <v>0</v>
      </c>
    </row>
    <row r="397" spans="2:139">
      <c r="B397" s="880" t="s">
        <v>642</v>
      </c>
      <c r="C397" s="211"/>
      <c r="D397" s="78">
        <f>IF(IrrCalculationType=170,IF(D$396&gt;0,-MIN(D342,SUM(D$396:D396)),0),SUMIF($S$6:$EI$6,D$5,$S397:$EI397))</f>
        <v>0</v>
      </c>
      <c r="E397" s="78">
        <f>IF(IrrCalculationType=170,IF(E$396&gt;0,-MIN(E342,SUM(E$396:E396)),0),SUMIF($S$6:$EI$6,E$5,$S397:$EI397))</f>
        <v>0</v>
      </c>
      <c r="F397" s="78">
        <f>IF(IrrCalculationType=170,IF(F$396&gt;0,-MIN(F342,SUM(F$396:F396)),0),SUMIF($S$6:$EI$6,F$5,$S397:$EI397))</f>
        <v>0</v>
      </c>
      <c r="G397" s="78">
        <f>IF(IrrCalculationType=170,IF(G$396&gt;0,-MIN(G342,SUM(G$396:G396)),0),SUMIF($S$6:$EI$6,G$5,$S397:$EI397))</f>
        <v>0</v>
      </c>
      <c r="H397" s="78">
        <f>IF(IrrCalculationType=170,IF(H$396&gt;0,-MIN(H342,SUM(H$396:H396)),0),SUMIF($S$6:$EI$6,H$5,$S397:$EI397))</f>
        <v>0</v>
      </c>
      <c r="I397" s="78">
        <f>IF(IrrCalculationType=170,IF(I$396&gt;0,-MIN(I342,SUM(I$396:I396)),0),SUMIF($S$6:$EI$6,I$5,$S397:$EI397))</f>
        <v>0</v>
      </c>
      <c r="J397" s="78">
        <f>IF(IrrCalculationType=170,IF(J$396&gt;0,-MIN(J342,SUM(J$396:J396)),0),SUMIF($S$6:$EI$6,J$5,$S397:$EI397))</f>
        <v>0</v>
      </c>
      <c r="K397" s="78">
        <f>IF(IrrCalculationType=170,IF(K$396&gt;0,-MIN(K342,SUM(K$396:K396)),0),SUMIF($S$6:$EI$6,K$5,$S397:$EI397))</f>
        <v>0</v>
      </c>
      <c r="L397" s="78">
        <f>IF(IrrCalculationType=170,IF(L$396&gt;0,-MIN(L342,SUM(L$396:L396)),0),SUMIF($S$6:$EI$6,L$5,$S397:$EI397))</f>
        <v>0</v>
      </c>
      <c r="M397" s="78">
        <f>IF(IrrCalculationType=170,IF(M$396&gt;0,-MIN(M342,SUM(M$396:M396)),0),SUMIF($S$6:$EI$6,M$5,$S397:$EI397))</f>
        <v>0</v>
      </c>
      <c r="N397" s="78">
        <f>IF(IrrCalculationType=170,IF(N$396&gt;0,-MIN(N342,SUM(N$396:N396)),0),SUMIF($S$6:$EI$6,N$5,$S397:$EI397))</f>
        <v>0</v>
      </c>
      <c r="O397" s="145">
        <f t="shared" si="845"/>
        <v>0</v>
      </c>
      <c r="R397" s="201"/>
      <c r="S397" s="78">
        <f>IF(S$396&gt;0,-MIN(S342,SUM(S$396:S396)),0)</f>
        <v>0</v>
      </c>
      <c r="T397" s="78">
        <f>IF(T$396&gt;0,-MIN(T342,SUM(T$396:T396)),0)</f>
        <v>0</v>
      </c>
      <c r="U397" s="78">
        <f>IF(U$396&gt;0,-MIN(U342,SUM(U$396:U396)),0)</f>
        <v>0</v>
      </c>
      <c r="V397" s="78">
        <f>IF(V$396&gt;0,-MIN(V342,SUM(V$396:V396)),0)</f>
        <v>0</v>
      </c>
      <c r="W397" s="78">
        <f>IF(W$396&gt;0,-MIN(W342,SUM(W$396:W396)),0)</f>
        <v>0</v>
      </c>
      <c r="X397" s="78">
        <f>IF(X$396&gt;0,-MIN(X342,SUM(X$396:X396)),0)</f>
        <v>0</v>
      </c>
      <c r="Y397" s="78">
        <f>IF(Y$396&gt;0,-MIN(Y342,SUM(Y$396:Y396)),0)</f>
        <v>0</v>
      </c>
      <c r="Z397" s="78">
        <f>IF(Z$396&gt;0,-MIN(Z342,SUM(Z$396:Z396)),0)</f>
        <v>0</v>
      </c>
      <c r="AA397" s="78">
        <f>IF(AA$396&gt;0,-MIN(AA342,SUM(AA$396:AA396)),0)</f>
        <v>0</v>
      </c>
      <c r="AB397" s="78">
        <f>IF(AB$396&gt;0,-MIN(AB342,SUM(AB$396:AB396)),0)</f>
        <v>0</v>
      </c>
      <c r="AC397" s="78">
        <f>IF(AC$396&gt;0,-MIN(AC342,SUM(AC$396:AC396)),0)</f>
        <v>0</v>
      </c>
      <c r="AD397" s="78">
        <f>IF(AD$396&gt;0,-MIN(AD342,SUM(AD$396:AD396)),0)</f>
        <v>0</v>
      </c>
      <c r="AE397" s="78">
        <f>IF(AE$396&gt;0,-MIN(AE342,SUM(AE$396:AE396)),0)</f>
        <v>0</v>
      </c>
      <c r="AF397" s="78">
        <f>IF(AF$396&gt;0,-MIN(AF342,SUM(AF$396:AF396)),0)</f>
        <v>0</v>
      </c>
      <c r="AG397" s="78">
        <f>IF(AG$396&gt;0,-MIN(AG342,SUM(AG$396:AG396)),0)</f>
        <v>0</v>
      </c>
      <c r="AH397" s="78">
        <f>IF(AH$396&gt;0,-MIN(AH342,SUM(AH$396:AH396)),0)</f>
        <v>0</v>
      </c>
      <c r="AI397" s="78">
        <f>IF(AI$396&gt;0,-MIN(AI342,SUM(AI$396:AI396)),0)</f>
        <v>0</v>
      </c>
      <c r="AJ397" s="78">
        <f>IF(AJ$396&gt;0,-MIN(AJ342,SUM(AJ$396:AJ396)),0)</f>
        <v>0</v>
      </c>
      <c r="AK397" s="78">
        <f>IF(AK$396&gt;0,-MIN(AK342,SUM(AK$396:AK396)),0)</f>
        <v>0</v>
      </c>
      <c r="AL397" s="78">
        <f>IF(AL$396&gt;0,-MIN(AL342,SUM(AL$396:AL396)),0)</f>
        <v>0</v>
      </c>
      <c r="AM397" s="78">
        <f>IF(AM$396&gt;0,-MIN(AM342,SUM(AM$396:AM396)),0)</f>
        <v>0</v>
      </c>
      <c r="AN397" s="78">
        <f>IF(AN$396&gt;0,-MIN(AN342,SUM(AN$396:AN396)),0)</f>
        <v>0</v>
      </c>
      <c r="AO397" s="78">
        <f>IF(AO$396&gt;0,-MIN(AO342,SUM(AO$396:AO396)),0)</f>
        <v>0</v>
      </c>
      <c r="AP397" s="78">
        <f>IF(AP$396&gt;0,-MIN(AP342,SUM(AP$396:AP396)),0)</f>
        <v>0</v>
      </c>
      <c r="AQ397" s="78">
        <f>IF(AQ$396&gt;0,-MIN(AQ342,SUM(AQ$396:AQ396)),0)</f>
        <v>0</v>
      </c>
      <c r="AR397" s="78">
        <f>IF(AR$396&gt;0,-MIN(AR342,SUM(AR$396:AR396)),0)</f>
        <v>0</v>
      </c>
      <c r="AS397" s="78">
        <f>IF(AS$396&gt;0,-MIN(AS342,SUM(AS$396:AS396)),0)</f>
        <v>0</v>
      </c>
      <c r="AT397" s="78">
        <f>IF(AT$396&gt;0,-MIN(AT342,SUM(AT$396:AT396)),0)</f>
        <v>0</v>
      </c>
      <c r="AU397" s="78">
        <f>IF(AU$396&gt;0,-MIN(AU342,SUM(AU$396:AU396)),0)</f>
        <v>0</v>
      </c>
      <c r="AV397" s="78">
        <f>IF(AV$396&gt;0,-MIN(AV342,SUM(AV$396:AV396)),0)</f>
        <v>0</v>
      </c>
      <c r="AW397" s="78">
        <f>IF(AW$396&gt;0,-MIN(AW342,SUM(AW$396:AW396)),0)</f>
        <v>0</v>
      </c>
      <c r="AX397" s="78">
        <f>IF(AX$396&gt;0,-MIN(AX342,SUM(AX$396:AX396)),0)</f>
        <v>0</v>
      </c>
      <c r="AY397" s="78">
        <f>IF(AY$396&gt;0,-MIN(AY342,SUM(AY$396:AY396)),0)</f>
        <v>0</v>
      </c>
      <c r="AZ397" s="78">
        <f>IF(AZ$396&gt;0,-MIN(AZ342,SUM(AZ$396:AZ396)),0)</f>
        <v>0</v>
      </c>
      <c r="BA397" s="78">
        <f>IF(BA$396&gt;0,-MIN(BA342,SUM(BA$396:BA396)),0)</f>
        <v>0</v>
      </c>
      <c r="BB397" s="78">
        <f>IF(BB$396&gt;0,-MIN(BB342,SUM(BB$396:BB396)),0)</f>
        <v>0</v>
      </c>
      <c r="BC397" s="78">
        <f>IF(BC$396&gt;0,-MIN(BC342,SUM(BC$396:BC396)),0)</f>
        <v>0</v>
      </c>
      <c r="BD397" s="78">
        <f>IF(BD$396&gt;0,-MIN(BD342,SUM(BD$396:BD396)),0)</f>
        <v>0</v>
      </c>
      <c r="BE397" s="78">
        <f>IF(BE$396&gt;0,-MIN(BE342,SUM(BE$396:BE396)),0)</f>
        <v>0</v>
      </c>
      <c r="BF397" s="78">
        <f>IF(BF$396&gt;0,-MIN(BF342,SUM(BF$396:BF396)),0)</f>
        <v>0</v>
      </c>
      <c r="BG397" s="78">
        <f>IF(BG$396&gt;0,-MIN(BG342,SUM(BG$396:BG396)),0)</f>
        <v>0</v>
      </c>
      <c r="BH397" s="78">
        <f>IF(BH$396&gt;0,-MIN(BH342,SUM(BH$396:BH396)),0)</f>
        <v>0</v>
      </c>
      <c r="BI397" s="78">
        <f>IF(BI$396&gt;0,-MIN(BI342,SUM(BI$396:BI396)),0)</f>
        <v>0</v>
      </c>
      <c r="BJ397" s="78">
        <f>IF(BJ$396&gt;0,-MIN(BJ342,SUM(BJ$396:BJ396)),0)</f>
        <v>0</v>
      </c>
      <c r="BK397" s="78">
        <f>IF(BK$396&gt;0,-MIN(BK342,SUM(BK$396:BK396)),0)</f>
        <v>0</v>
      </c>
      <c r="BL397" s="78">
        <f>IF(BL$396&gt;0,-MIN(BL342,SUM(BL$396:BL396)),0)</f>
        <v>0</v>
      </c>
      <c r="BM397" s="78">
        <f>IF(BM$396&gt;0,-MIN(BM342,SUM(BM$396:BM396)),0)</f>
        <v>0</v>
      </c>
      <c r="BN397" s="78">
        <f>IF(BN$396&gt;0,-MIN(BN342,SUM(BN$396:BN396)),0)</f>
        <v>0</v>
      </c>
      <c r="BO397" s="78">
        <f>IF(BO$396&gt;0,-MIN(BO342,SUM(BO$396:BO396)),0)</f>
        <v>0</v>
      </c>
      <c r="BP397" s="78">
        <f>IF(BP$396&gt;0,-MIN(BP342,SUM(BP$396:BP396)),0)</f>
        <v>0</v>
      </c>
      <c r="BQ397" s="78">
        <f>IF(BQ$396&gt;0,-MIN(BQ342,SUM(BQ$396:BQ396)),0)</f>
        <v>0</v>
      </c>
      <c r="BR397" s="78">
        <f>IF(BR$396&gt;0,-MIN(BR342,SUM(BR$396:BR396)),0)</f>
        <v>0</v>
      </c>
      <c r="BS397" s="78">
        <f>IF(BS$396&gt;0,-MIN(BS342,SUM(BS$396:BS396)),0)</f>
        <v>0</v>
      </c>
      <c r="BT397" s="78">
        <f>IF(BT$396&gt;0,-MIN(BT342,SUM(BT$396:BT396)),0)</f>
        <v>0</v>
      </c>
      <c r="BU397" s="78">
        <f>IF(BU$396&gt;0,-MIN(BU342,SUM(BU$396:BU396)),0)</f>
        <v>0</v>
      </c>
      <c r="BV397" s="78">
        <f>IF(BV$396&gt;0,-MIN(BV342,SUM(BV$396:BV396)),0)</f>
        <v>0</v>
      </c>
      <c r="BW397" s="78">
        <f>IF(BW$396&gt;0,-MIN(BW342,SUM(BW$396:BW396)),0)</f>
        <v>0</v>
      </c>
      <c r="BX397" s="78">
        <f>IF(BX$396&gt;0,-MIN(BX342,SUM(BX$396:BX396)),0)</f>
        <v>0</v>
      </c>
      <c r="BY397" s="78">
        <f>IF(BY$396&gt;0,-MIN(BY342,SUM(BY$396:BY396)),0)</f>
        <v>0</v>
      </c>
      <c r="BZ397" s="78">
        <f>IF(BZ$396&gt;0,-MIN(BZ342,SUM(BZ$396:BZ396)),0)</f>
        <v>0</v>
      </c>
      <c r="CA397" s="78">
        <f>IF(CA$396&gt;0,-MIN(CA342,SUM(CA$396:CA396)),0)</f>
        <v>0</v>
      </c>
      <c r="CB397" s="78">
        <f>IF(CB$396&gt;0,-MIN(CB342,SUM(CB$396:CB396)),0)</f>
        <v>0</v>
      </c>
      <c r="CC397" s="78">
        <f>IF(CC$396&gt;0,-MIN(CC342,SUM(CC$396:CC396)),0)</f>
        <v>0</v>
      </c>
      <c r="CD397" s="78">
        <f>IF(CD$396&gt;0,-MIN(CD342,SUM(CD$396:CD396)),0)</f>
        <v>0</v>
      </c>
      <c r="CE397" s="78">
        <f>IF(CE$396&gt;0,-MIN(CE342,SUM(CE$396:CE396)),0)</f>
        <v>0</v>
      </c>
      <c r="CF397" s="78">
        <f>IF(CF$396&gt;0,-MIN(CF342,SUM(CF$396:CF396)),0)</f>
        <v>0</v>
      </c>
      <c r="CG397" s="78">
        <f>IF(CG$396&gt;0,-MIN(CG342,SUM(CG$396:CG396)),0)</f>
        <v>0</v>
      </c>
      <c r="CH397" s="78">
        <f>IF(CH$396&gt;0,-MIN(CH342,SUM(CH$396:CH396)),0)</f>
        <v>0</v>
      </c>
      <c r="CI397" s="78">
        <f>IF(CI$396&gt;0,-MIN(CI342,SUM(CI$396:CI396)),0)</f>
        <v>0</v>
      </c>
      <c r="CJ397" s="78">
        <f>IF(CJ$396&gt;0,-MIN(CJ342,SUM(CJ$396:CJ396)),0)</f>
        <v>0</v>
      </c>
      <c r="CK397" s="78">
        <f>IF(CK$396&gt;0,-MIN(CK342,SUM(CK$396:CK396)),0)</f>
        <v>0</v>
      </c>
      <c r="CL397" s="78">
        <f>IF(CL$396&gt;0,-MIN(CL342,SUM(CL$396:CL396)),0)</f>
        <v>0</v>
      </c>
      <c r="CM397" s="78">
        <f>IF(CM$396&gt;0,-MIN(CM342,SUM(CM$396:CM396)),0)</f>
        <v>0</v>
      </c>
      <c r="CN397" s="78">
        <f>IF(CN$396&gt;0,-MIN(CN342,SUM(CN$396:CN396)),0)</f>
        <v>0</v>
      </c>
      <c r="CO397" s="78">
        <f>IF(CO$396&gt;0,-MIN(CO342,SUM(CO$396:CO396)),0)</f>
        <v>0</v>
      </c>
      <c r="CP397" s="78">
        <f>IF(CP$396&gt;0,-MIN(CP342,SUM(CP$396:CP396)),0)</f>
        <v>0</v>
      </c>
      <c r="CQ397" s="78">
        <f>IF(CQ$396&gt;0,-MIN(CQ342,SUM(CQ$396:CQ396)),0)</f>
        <v>0</v>
      </c>
      <c r="CR397" s="78">
        <f>IF(CR$396&gt;0,-MIN(CR342,SUM(CR$396:CR396)),0)</f>
        <v>0</v>
      </c>
      <c r="CS397" s="78">
        <f>IF(CS$396&gt;0,-MIN(CS342,SUM(CS$396:CS396)),0)</f>
        <v>0</v>
      </c>
      <c r="CT397" s="78">
        <f>IF(CT$396&gt;0,-MIN(CT342,SUM(CT$396:CT396)),0)</f>
        <v>0</v>
      </c>
      <c r="CU397" s="78">
        <f>IF(CU$396&gt;0,-MIN(CU342,SUM(CU$396:CU396)),0)</f>
        <v>0</v>
      </c>
      <c r="CV397" s="78">
        <f>IF(CV$396&gt;0,-MIN(CV342,SUM(CV$396:CV396)),0)</f>
        <v>0</v>
      </c>
      <c r="CW397" s="78">
        <f>IF(CW$396&gt;0,-MIN(CW342,SUM(CW$396:CW396)),0)</f>
        <v>0</v>
      </c>
      <c r="CX397" s="78">
        <f>IF(CX$396&gt;0,-MIN(CX342,SUM(CX$396:CX396)),0)</f>
        <v>0</v>
      </c>
      <c r="CY397" s="78">
        <f>IF(CY$396&gt;0,-MIN(CY342,SUM(CY$396:CY396)),0)</f>
        <v>0</v>
      </c>
      <c r="CZ397" s="78">
        <f>IF(CZ$396&gt;0,-MIN(CZ342,SUM(CZ$396:CZ396)),0)</f>
        <v>0</v>
      </c>
      <c r="DA397" s="78">
        <f>IF(DA$396&gt;0,-MIN(DA342,SUM(DA$396:DA396)),0)</f>
        <v>0</v>
      </c>
      <c r="DB397" s="78">
        <f>IF(DB$396&gt;0,-MIN(DB342,SUM(DB$396:DB396)),0)</f>
        <v>0</v>
      </c>
      <c r="DC397" s="78">
        <f>IF(DC$396&gt;0,-MIN(DC342,SUM(DC$396:DC396)),0)</f>
        <v>0</v>
      </c>
      <c r="DD397" s="78">
        <f>IF(DD$396&gt;0,-MIN(DD342,SUM(DD$396:DD396)),0)</f>
        <v>0</v>
      </c>
      <c r="DE397" s="78">
        <f>IF(DE$396&gt;0,-MIN(DE342,SUM(DE$396:DE396)),0)</f>
        <v>0</v>
      </c>
      <c r="DF397" s="78">
        <f>IF(DF$396&gt;0,-MIN(DF342,SUM(DF$396:DF396)),0)</f>
        <v>0</v>
      </c>
      <c r="DG397" s="78">
        <f>IF(DG$396&gt;0,-MIN(DG342,SUM(DG$396:DG396)),0)</f>
        <v>0</v>
      </c>
      <c r="DH397" s="78">
        <f>IF(DH$396&gt;0,-MIN(DH342,SUM(DH$396:DH396)),0)</f>
        <v>0</v>
      </c>
      <c r="DI397" s="78">
        <f>IF(DI$396&gt;0,-MIN(DI342,SUM(DI$396:DI396)),0)</f>
        <v>0</v>
      </c>
      <c r="DJ397" s="78">
        <f>IF(DJ$396&gt;0,-MIN(DJ342,SUM(DJ$396:DJ396)),0)</f>
        <v>0</v>
      </c>
      <c r="DK397" s="78">
        <f>IF(DK$396&gt;0,-MIN(DK342,SUM(DK$396:DK396)),0)</f>
        <v>0</v>
      </c>
      <c r="DL397" s="78">
        <f>IF(DL$396&gt;0,-MIN(DL342,SUM(DL$396:DL396)),0)</f>
        <v>0</v>
      </c>
      <c r="DM397" s="78">
        <f>IF(DM$396&gt;0,-MIN(DM342,SUM(DM$396:DM396)),0)</f>
        <v>0</v>
      </c>
      <c r="DN397" s="78">
        <f>IF(DN$396&gt;0,-MIN(DN342,SUM(DN$396:DN396)),0)</f>
        <v>0</v>
      </c>
      <c r="DO397" s="78">
        <f>IF(DO$396&gt;0,-MIN(DO342,SUM(DO$396:DO396)),0)</f>
        <v>0</v>
      </c>
      <c r="DP397" s="78">
        <f>IF(DP$396&gt;0,-MIN(DP342,SUM(DP$396:DP396)),0)</f>
        <v>0</v>
      </c>
      <c r="DQ397" s="78">
        <f>IF(DQ$396&gt;0,-MIN(DQ342,SUM(DQ$396:DQ396)),0)</f>
        <v>0</v>
      </c>
      <c r="DR397" s="78">
        <f>IF(DR$396&gt;0,-MIN(DR342,SUM(DR$396:DR396)),0)</f>
        <v>0</v>
      </c>
      <c r="DS397" s="78">
        <f>IF(DS$396&gt;0,-MIN(DS342,SUM(DS$396:DS396)),0)</f>
        <v>0</v>
      </c>
      <c r="DT397" s="78">
        <f>IF(DT$396&gt;0,-MIN(DT342,SUM(DT$396:DT396)),0)</f>
        <v>0</v>
      </c>
      <c r="DU397" s="78">
        <f>IF(DU$396&gt;0,-MIN(DU342,SUM(DU$396:DU396)),0)</f>
        <v>0</v>
      </c>
      <c r="DV397" s="78">
        <f>IF(DV$396&gt;0,-MIN(DV342,SUM(DV$396:DV396)),0)</f>
        <v>0</v>
      </c>
      <c r="DW397" s="78">
        <f>IF(DW$396&gt;0,-MIN(DW342,SUM(DW$396:DW396)),0)</f>
        <v>0</v>
      </c>
      <c r="DX397" s="78">
        <f>IF(DX$396&gt;0,-MIN(DX342,SUM(DX$396:DX396)),0)</f>
        <v>0</v>
      </c>
      <c r="DY397" s="78">
        <f>IF(DY$396&gt;0,-MIN(DY342,SUM(DY$396:DY396)),0)</f>
        <v>0</v>
      </c>
      <c r="DZ397" s="78">
        <f>IF(DZ$396&gt;0,-MIN(DZ342,SUM(DZ$396:DZ396)),0)</f>
        <v>0</v>
      </c>
      <c r="EA397" s="78">
        <f>IF(EA$396&gt;0,-MIN(EA342,SUM(EA$396:EA396)),0)</f>
        <v>0</v>
      </c>
      <c r="EB397" s="78">
        <f>IF(EB$396&gt;0,-MIN(EB342,SUM(EB$396:EB396)),0)</f>
        <v>0</v>
      </c>
      <c r="EC397" s="78">
        <f>IF(EC$396&gt;0,-MIN(EC342,SUM(EC$396:EC396)),0)</f>
        <v>0</v>
      </c>
      <c r="ED397" s="78">
        <f>IF(ED$396&gt;0,-MIN(ED342,SUM(ED$396:ED396)),0)</f>
        <v>0</v>
      </c>
      <c r="EE397" s="78">
        <f>IF(EE$396&gt;0,-MIN(EE342,SUM(EE$396:EE396)),0)</f>
        <v>0</v>
      </c>
      <c r="EF397" s="78">
        <f>IF(EF$396&gt;0,-MIN(EF342,SUM(EF$396:EF396)),0)</f>
        <v>0</v>
      </c>
      <c r="EG397" s="78">
        <f>IF(EG$396&gt;0,-MIN(EG342,SUM(EG$396:EG396)),0)</f>
        <v>0</v>
      </c>
      <c r="EH397" s="78">
        <f>IF(EH$396&gt;0,-MIN(EH342,SUM(EH$396:EH396)),0)</f>
        <v>0</v>
      </c>
      <c r="EI397" s="78">
        <f>IF(EI$396&gt;0,-MIN(EI342,SUM(EI$396:EI396)),0)</f>
        <v>0</v>
      </c>
    </row>
    <row r="398" spans="2:139">
      <c r="B398" s="880" t="s">
        <v>646</v>
      </c>
      <c r="C398" s="211"/>
      <c r="D398" s="78">
        <f>IF(IrrCalculationType=170,IF(D$396&gt;0,-MIN(D347,SUM(D$396:D397)),0),SUMIF($S$6:$EI$6,D$5,$S398:$EI398))</f>
        <v>0</v>
      </c>
      <c r="E398" s="78">
        <f>IF(IrrCalculationType=170,IF(E$396&gt;0,-MIN(E347,SUM(E$396:E397)),0),SUMIF($S$6:$EI$6,E$5,$S398:$EI398))</f>
        <v>0</v>
      </c>
      <c r="F398" s="78">
        <f>IF(IrrCalculationType=170,IF(F$396&gt;0,-MIN(F347,SUM(F$396:F397)),0),SUMIF($S$6:$EI$6,F$5,$S398:$EI398))</f>
        <v>0</v>
      </c>
      <c r="G398" s="78">
        <f>IF(IrrCalculationType=170,IF(G$396&gt;0,-MIN(G347,SUM(G$396:G397)),0),SUMIF($S$6:$EI$6,G$5,$S398:$EI398))</f>
        <v>0</v>
      </c>
      <c r="H398" s="78">
        <f>IF(IrrCalculationType=170,IF(H$396&gt;0,-MIN(H347,SUM(H$396:H397)),0),SUMIF($S$6:$EI$6,H$5,$S398:$EI398))</f>
        <v>0</v>
      </c>
      <c r="I398" s="78">
        <f>IF(IrrCalculationType=170,IF(I$396&gt;0,-MIN(I347,SUM(I$396:I397)),0),SUMIF($S$6:$EI$6,I$5,$S398:$EI398))</f>
        <v>0</v>
      </c>
      <c r="J398" s="78">
        <f>IF(IrrCalculationType=170,IF(J$396&gt;0,-MIN(J347,SUM(J$396:J397)),0),SUMIF($S$6:$EI$6,J$5,$S398:$EI398))</f>
        <v>0</v>
      </c>
      <c r="K398" s="78">
        <f>IF(IrrCalculationType=170,IF(K$396&gt;0,-MIN(K347,SUM(K$396:K397)),0),SUMIF($S$6:$EI$6,K$5,$S398:$EI398))</f>
        <v>0</v>
      </c>
      <c r="L398" s="78">
        <f>IF(IrrCalculationType=170,IF(L$396&gt;0,-MIN(L347,SUM(L$396:L397)),0),SUMIF($S$6:$EI$6,L$5,$S398:$EI398))</f>
        <v>0</v>
      </c>
      <c r="M398" s="78">
        <f>IF(IrrCalculationType=170,IF(M$396&gt;0,-MIN(M347,SUM(M$396:M397)),0),SUMIF($S$6:$EI$6,M$5,$S398:$EI398))</f>
        <v>0</v>
      </c>
      <c r="N398" s="78">
        <f>IF(IrrCalculationType=170,IF(N$396&gt;0,-MIN(N347,SUM(N$396:N397)),0),SUMIF($S$6:$EI$6,N$5,$S398:$EI398))</f>
        <v>0</v>
      </c>
      <c r="O398" s="145">
        <f t="shared" si="845"/>
        <v>0</v>
      </c>
      <c r="R398" s="201"/>
      <c r="S398" s="78">
        <f>IF(S$396&gt;0,-MIN(S347,SUM(S$396:S397)),0)</f>
        <v>0</v>
      </c>
      <c r="T398" s="78">
        <f>IF(T$396&gt;0,-MIN(T347,SUM(T$396:T397)),0)</f>
        <v>0</v>
      </c>
      <c r="U398" s="78">
        <f>IF(U$396&gt;0,-MIN(U347,SUM(U$396:U397)),0)</f>
        <v>0</v>
      </c>
      <c r="V398" s="78">
        <f>IF(V$396&gt;0,-MIN(V347,SUM(V$396:V397)),0)</f>
        <v>0</v>
      </c>
      <c r="W398" s="78">
        <f>IF(W$396&gt;0,-MIN(W347,SUM(W$396:W397)),0)</f>
        <v>0</v>
      </c>
      <c r="X398" s="78">
        <f>IF(X$396&gt;0,-MIN(X347,SUM(X$396:X397)),0)</f>
        <v>0</v>
      </c>
      <c r="Y398" s="78">
        <f>IF(Y$396&gt;0,-MIN(Y347,SUM(Y$396:Y397)),0)</f>
        <v>0</v>
      </c>
      <c r="Z398" s="78">
        <f>IF(Z$396&gt;0,-MIN(Z347,SUM(Z$396:Z397)),0)</f>
        <v>0</v>
      </c>
      <c r="AA398" s="78">
        <f>IF(AA$396&gt;0,-MIN(AA347,SUM(AA$396:AA397)),0)</f>
        <v>0</v>
      </c>
      <c r="AB398" s="78">
        <f>IF(AB$396&gt;0,-MIN(AB347,SUM(AB$396:AB397)),0)</f>
        <v>0</v>
      </c>
      <c r="AC398" s="78">
        <f>IF(AC$396&gt;0,-MIN(AC347,SUM(AC$396:AC397)),0)</f>
        <v>0</v>
      </c>
      <c r="AD398" s="78">
        <f>IF(AD$396&gt;0,-MIN(AD347,SUM(AD$396:AD397)),0)</f>
        <v>0</v>
      </c>
      <c r="AE398" s="78">
        <f>IF(AE$396&gt;0,-MIN(AE347,SUM(AE$396:AE397)),0)</f>
        <v>0</v>
      </c>
      <c r="AF398" s="78">
        <f>IF(AF$396&gt;0,-MIN(AF347,SUM(AF$396:AF397)),0)</f>
        <v>0</v>
      </c>
      <c r="AG398" s="78">
        <f>IF(AG$396&gt;0,-MIN(AG347,SUM(AG$396:AG397)),0)</f>
        <v>0</v>
      </c>
      <c r="AH398" s="78">
        <f>IF(AH$396&gt;0,-MIN(AH347,SUM(AH$396:AH397)),0)</f>
        <v>0</v>
      </c>
      <c r="AI398" s="78">
        <f>IF(AI$396&gt;0,-MIN(AI347,SUM(AI$396:AI397)),0)</f>
        <v>0</v>
      </c>
      <c r="AJ398" s="78">
        <f>IF(AJ$396&gt;0,-MIN(AJ347,SUM(AJ$396:AJ397)),0)</f>
        <v>0</v>
      </c>
      <c r="AK398" s="78">
        <f>IF(AK$396&gt;0,-MIN(AK347,SUM(AK$396:AK397)),0)</f>
        <v>0</v>
      </c>
      <c r="AL398" s="78">
        <f>IF(AL$396&gt;0,-MIN(AL347,SUM(AL$396:AL397)),0)</f>
        <v>0</v>
      </c>
      <c r="AM398" s="78">
        <f>IF(AM$396&gt;0,-MIN(AM347,SUM(AM$396:AM397)),0)</f>
        <v>0</v>
      </c>
      <c r="AN398" s="78">
        <f>IF(AN$396&gt;0,-MIN(AN347,SUM(AN$396:AN397)),0)</f>
        <v>0</v>
      </c>
      <c r="AO398" s="78">
        <f>IF(AO$396&gt;0,-MIN(AO347,SUM(AO$396:AO397)),0)</f>
        <v>0</v>
      </c>
      <c r="AP398" s="78">
        <f>IF(AP$396&gt;0,-MIN(AP347,SUM(AP$396:AP397)),0)</f>
        <v>0</v>
      </c>
      <c r="AQ398" s="78">
        <f>IF(AQ$396&gt;0,-MIN(AQ347,SUM(AQ$396:AQ397)),0)</f>
        <v>0</v>
      </c>
      <c r="AR398" s="78">
        <f>IF(AR$396&gt;0,-MIN(AR347,SUM(AR$396:AR397)),0)</f>
        <v>0</v>
      </c>
      <c r="AS398" s="78">
        <f>IF(AS$396&gt;0,-MIN(AS347,SUM(AS$396:AS397)),0)</f>
        <v>0</v>
      </c>
      <c r="AT398" s="78">
        <f>IF(AT$396&gt;0,-MIN(AT347,SUM(AT$396:AT397)),0)</f>
        <v>0</v>
      </c>
      <c r="AU398" s="78">
        <f>IF(AU$396&gt;0,-MIN(AU347,SUM(AU$396:AU397)),0)</f>
        <v>0</v>
      </c>
      <c r="AV398" s="78">
        <f>IF(AV$396&gt;0,-MIN(AV347,SUM(AV$396:AV397)),0)</f>
        <v>0</v>
      </c>
      <c r="AW398" s="78">
        <f>IF(AW$396&gt;0,-MIN(AW347,SUM(AW$396:AW397)),0)</f>
        <v>0</v>
      </c>
      <c r="AX398" s="78">
        <f>IF(AX$396&gt;0,-MIN(AX347,SUM(AX$396:AX397)),0)</f>
        <v>0</v>
      </c>
      <c r="AY398" s="78">
        <f>IF(AY$396&gt;0,-MIN(AY347,SUM(AY$396:AY397)),0)</f>
        <v>0</v>
      </c>
      <c r="AZ398" s="78">
        <f>IF(AZ$396&gt;0,-MIN(AZ347,SUM(AZ$396:AZ397)),0)</f>
        <v>0</v>
      </c>
      <c r="BA398" s="78">
        <f>IF(BA$396&gt;0,-MIN(BA347,SUM(BA$396:BA397)),0)</f>
        <v>0</v>
      </c>
      <c r="BB398" s="78">
        <f>IF(BB$396&gt;0,-MIN(BB347,SUM(BB$396:BB397)),0)</f>
        <v>0</v>
      </c>
      <c r="BC398" s="78">
        <f>IF(BC$396&gt;0,-MIN(BC347,SUM(BC$396:BC397)),0)</f>
        <v>0</v>
      </c>
      <c r="BD398" s="78">
        <f>IF(BD$396&gt;0,-MIN(BD347,SUM(BD$396:BD397)),0)</f>
        <v>0</v>
      </c>
      <c r="BE398" s="78">
        <f>IF(BE$396&gt;0,-MIN(BE347,SUM(BE$396:BE397)),0)</f>
        <v>0</v>
      </c>
      <c r="BF398" s="78">
        <f>IF(BF$396&gt;0,-MIN(BF347,SUM(BF$396:BF397)),0)</f>
        <v>0</v>
      </c>
      <c r="BG398" s="78">
        <f>IF(BG$396&gt;0,-MIN(BG347,SUM(BG$396:BG397)),0)</f>
        <v>0</v>
      </c>
      <c r="BH398" s="78">
        <f>IF(BH$396&gt;0,-MIN(BH347,SUM(BH$396:BH397)),0)</f>
        <v>0</v>
      </c>
      <c r="BI398" s="78">
        <f>IF(BI$396&gt;0,-MIN(BI347,SUM(BI$396:BI397)),0)</f>
        <v>0</v>
      </c>
      <c r="BJ398" s="78">
        <f>IF(BJ$396&gt;0,-MIN(BJ347,SUM(BJ$396:BJ397)),0)</f>
        <v>0</v>
      </c>
      <c r="BK398" s="78">
        <f>IF(BK$396&gt;0,-MIN(BK347,SUM(BK$396:BK397)),0)</f>
        <v>0</v>
      </c>
      <c r="BL398" s="78">
        <f>IF(BL$396&gt;0,-MIN(BL347,SUM(BL$396:BL397)),0)</f>
        <v>0</v>
      </c>
      <c r="BM398" s="78">
        <f>IF(BM$396&gt;0,-MIN(BM347,SUM(BM$396:BM397)),0)</f>
        <v>0</v>
      </c>
      <c r="BN398" s="78">
        <f>IF(BN$396&gt;0,-MIN(BN347,SUM(BN$396:BN397)),0)</f>
        <v>0</v>
      </c>
      <c r="BO398" s="78">
        <f>IF(BO$396&gt;0,-MIN(BO347,SUM(BO$396:BO397)),0)</f>
        <v>0</v>
      </c>
      <c r="BP398" s="78">
        <f>IF(BP$396&gt;0,-MIN(BP347,SUM(BP$396:BP397)),0)</f>
        <v>0</v>
      </c>
      <c r="BQ398" s="78">
        <f>IF(BQ$396&gt;0,-MIN(BQ347,SUM(BQ$396:BQ397)),0)</f>
        <v>0</v>
      </c>
      <c r="BR398" s="78">
        <f>IF(BR$396&gt;0,-MIN(BR347,SUM(BR$396:BR397)),0)</f>
        <v>0</v>
      </c>
      <c r="BS398" s="78">
        <f>IF(BS$396&gt;0,-MIN(BS347,SUM(BS$396:BS397)),0)</f>
        <v>0</v>
      </c>
      <c r="BT398" s="78">
        <f>IF(BT$396&gt;0,-MIN(BT347,SUM(BT$396:BT397)),0)</f>
        <v>0</v>
      </c>
      <c r="BU398" s="78">
        <f>IF(BU$396&gt;0,-MIN(BU347,SUM(BU$396:BU397)),0)</f>
        <v>0</v>
      </c>
      <c r="BV398" s="78">
        <f>IF(BV$396&gt;0,-MIN(BV347,SUM(BV$396:BV397)),0)</f>
        <v>0</v>
      </c>
      <c r="BW398" s="78">
        <f>IF(BW$396&gt;0,-MIN(BW347,SUM(BW$396:BW397)),0)</f>
        <v>0</v>
      </c>
      <c r="BX398" s="78">
        <f>IF(BX$396&gt;0,-MIN(BX347,SUM(BX$396:BX397)),0)</f>
        <v>0</v>
      </c>
      <c r="BY398" s="78">
        <f>IF(BY$396&gt;0,-MIN(BY347,SUM(BY$396:BY397)),0)</f>
        <v>0</v>
      </c>
      <c r="BZ398" s="78">
        <f>IF(BZ$396&gt;0,-MIN(BZ347,SUM(BZ$396:BZ397)),0)</f>
        <v>0</v>
      </c>
      <c r="CA398" s="78">
        <f>IF(CA$396&gt;0,-MIN(CA347,SUM(CA$396:CA397)),0)</f>
        <v>0</v>
      </c>
      <c r="CB398" s="78">
        <f>IF(CB$396&gt;0,-MIN(CB347,SUM(CB$396:CB397)),0)</f>
        <v>0</v>
      </c>
      <c r="CC398" s="78">
        <f>IF(CC$396&gt;0,-MIN(CC347,SUM(CC$396:CC397)),0)</f>
        <v>0</v>
      </c>
      <c r="CD398" s="78">
        <f>IF(CD$396&gt;0,-MIN(CD347,SUM(CD$396:CD397)),0)</f>
        <v>0</v>
      </c>
      <c r="CE398" s="78">
        <f>IF(CE$396&gt;0,-MIN(CE347,SUM(CE$396:CE397)),0)</f>
        <v>0</v>
      </c>
      <c r="CF398" s="78">
        <f>IF(CF$396&gt;0,-MIN(CF347,SUM(CF$396:CF397)),0)</f>
        <v>0</v>
      </c>
      <c r="CG398" s="78">
        <f>IF(CG$396&gt;0,-MIN(CG347,SUM(CG$396:CG397)),0)</f>
        <v>0</v>
      </c>
      <c r="CH398" s="78">
        <f>IF(CH$396&gt;0,-MIN(CH347,SUM(CH$396:CH397)),0)</f>
        <v>0</v>
      </c>
      <c r="CI398" s="78">
        <f>IF(CI$396&gt;0,-MIN(CI347,SUM(CI$396:CI397)),0)</f>
        <v>0</v>
      </c>
      <c r="CJ398" s="78">
        <f>IF(CJ$396&gt;0,-MIN(CJ347,SUM(CJ$396:CJ397)),0)</f>
        <v>0</v>
      </c>
      <c r="CK398" s="78">
        <f>IF(CK$396&gt;0,-MIN(CK347,SUM(CK$396:CK397)),0)</f>
        <v>0</v>
      </c>
      <c r="CL398" s="78">
        <f>IF(CL$396&gt;0,-MIN(CL347,SUM(CL$396:CL397)),0)</f>
        <v>0</v>
      </c>
      <c r="CM398" s="78">
        <f>IF(CM$396&gt;0,-MIN(CM347,SUM(CM$396:CM397)),0)</f>
        <v>0</v>
      </c>
      <c r="CN398" s="78">
        <f>IF(CN$396&gt;0,-MIN(CN347,SUM(CN$396:CN397)),0)</f>
        <v>0</v>
      </c>
      <c r="CO398" s="78">
        <f>IF(CO$396&gt;0,-MIN(CO347,SUM(CO$396:CO397)),0)</f>
        <v>0</v>
      </c>
      <c r="CP398" s="78">
        <f>IF(CP$396&gt;0,-MIN(CP347,SUM(CP$396:CP397)),0)</f>
        <v>0</v>
      </c>
      <c r="CQ398" s="78">
        <f>IF(CQ$396&gt;0,-MIN(CQ347,SUM(CQ$396:CQ397)),0)</f>
        <v>0</v>
      </c>
      <c r="CR398" s="78">
        <f>IF(CR$396&gt;0,-MIN(CR347,SUM(CR$396:CR397)),0)</f>
        <v>0</v>
      </c>
      <c r="CS398" s="78">
        <f>IF(CS$396&gt;0,-MIN(CS347,SUM(CS$396:CS397)),0)</f>
        <v>0</v>
      </c>
      <c r="CT398" s="78">
        <f>IF(CT$396&gt;0,-MIN(CT347,SUM(CT$396:CT397)),0)</f>
        <v>0</v>
      </c>
      <c r="CU398" s="78">
        <f>IF(CU$396&gt;0,-MIN(CU347,SUM(CU$396:CU397)),0)</f>
        <v>0</v>
      </c>
      <c r="CV398" s="78">
        <f>IF(CV$396&gt;0,-MIN(CV347,SUM(CV$396:CV397)),0)</f>
        <v>0</v>
      </c>
      <c r="CW398" s="78">
        <f>IF(CW$396&gt;0,-MIN(CW347,SUM(CW$396:CW397)),0)</f>
        <v>0</v>
      </c>
      <c r="CX398" s="78">
        <f>IF(CX$396&gt;0,-MIN(CX347,SUM(CX$396:CX397)),0)</f>
        <v>0</v>
      </c>
      <c r="CY398" s="78">
        <f>IF(CY$396&gt;0,-MIN(CY347,SUM(CY$396:CY397)),0)</f>
        <v>0</v>
      </c>
      <c r="CZ398" s="78">
        <f>IF(CZ$396&gt;0,-MIN(CZ347,SUM(CZ$396:CZ397)),0)</f>
        <v>0</v>
      </c>
      <c r="DA398" s="78">
        <f>IF(DA$396&gt;0,-MIN(DA347,SUM(DA$396:DA397)),0)</f>
        <v>0</v>
      </c>
      <c r="DB398" s="78">
        <f>IF(DB$396&gt;0,-MIN(DB347,SUM(DB$396:DB397)),0)</f>
        <v>0</v>
      </c>
      <c r="DC398" s="78">
        <f>IF(DC$396&gt;0,-MIN(DC347,SUM(DC$396:DC397)),0)</f>
        <v>0</v>
      </c>
      <c r="DD398" s="78">
        <f>IF(DD$396&gt;0,-MIN(DD347,SUM(DD$396:DD397)),0)</f>
        <v>0</v>
      </c>
      <c r="DE398" s="78">
        <f>IF(DE$396&gt;0,-MIN(DE347,SUM(DE$396:DE397)),0)</f>
        <v>0</v>
      </c>
      <c r="DF398" s="78">
        <f>IF(DF$396&gt;0,-MIN(DF347,SUM(DF$396:DF397)),0)</f>
        <v>0</v>
      </c>
      <c r="DG398" s="78">
        <f>IF(DG$396&gt;0,-MIN(DG347,SUM(DG$396:DG397)),0)</f>
        <v>0</v>
      </c>
      <c r="DH398" s="78">
        <f>IF(DH$396&gt;0,-MIN(DH347,SUM(DH$396:DH397)),0)</f>
        <v>0</v>
      </c>
      <c r="DI398" s="78">
        <f>IF(DI$396&gt;0,-MIN(DI347,SUM(DI$396:DI397)),0)</f>
        <v>0</v>
      </c>
      <c r="DJ398" s="78">
        <f>IF(DJ$396&gt;0,-MIN(DJ347,SUM(DJ$396:DJ397)),0)</f>
        <v>0</v>
      </c>
      <c r="DK398" s="78">
        <f>IF(DK$396&gt;0,-MIN(DK347,SUM(DK$396:DK397)),0)</f>
        <v>0</v>
      </c>
      <c r="DL398" s="78">
        <f>IF(DL$396&gt;0,-MIN(DL347,SUM(DL$396:DL397)),0)</f>
        <v>0</v>
      </c>
      <c r="DM398" s="78">
        <f>IF(DM$396&gt;0,-MIN(DM347,SUM(DM$396:DM397)),0)</f>
        <v>0</v>
      </c>
      <c r="DN398" s="78">
        <f>IF(DN$396&gt;0,-MIN(DN347,SUM(DN$396:DN397)),0)</f>
        <v>0</v>
      </c>
      <c r="DO398" s="78">
        <f>IF(DO$396&gt;0,-MIN(DO347,SUM(DO$396:DO397)),0)</f>
        <v>0</v>
      </c>
      <c r="DP398" s="78">
        <f>IF(DP$396&gt;0,-MIN(DP347,SUM(DP$396:DP397)),0)</f>
        <v>0</v>
      </c>
      <c r="DQ398" s="78">
        <f>IF(DQ$396&gt;0,-MIN(DQ347,SUM(DQ$396:DQ397)),0)</f>
        <v>0</v>
      </c>
      <c r="DR398" s="78">
        <f>IF(DR$396&gt;0,-MIN(DR347,SUM(DR$396:DR397)),0)</f>
        <v>0</v>
      </c>
      <c r="DS398" s="78">
        <f>IF(DS$396&gt;0,-MIN(DS347,SUM(DS$396:DS397)),0)</f>
        <v>0</v>
      </c>
      <c r="DT398" s="78">
        <f>IF(DT$396&gt;0,-MIN(DT347,SUM(DT$396:DT397)),0)</f>
        <v>0</v>
      </c>
      <c r="DU398" s="78">
        <f>IF(DU$396&gt;0,-MIN(DU347,SUM(DU$396:DU397)),0)</f>
        <v>0</v>
      </c>
      <c r="DV398" s="78">
        <f>IF(DV$396&gt;0,-MIN(DV347,SUM(DV$396:DV397)),0)</f>
        <v>0</v>
      </c>
      <c r="DW398" s="78">
        <f>IF(DW$396&gt;0,-MIN(DW347,SUM(DW$396:DW397)),0)</f>
        <v>0</v>
      </c>
      <c r="DX398" s="78">
        <f>IF(DX$396&gt;0,-MIN(DX347,SUM(DX$396:DX397)),0)</f>
        <v>0</v>
      </c>
      <c r="DY398" s="78">
        <f>IF(DY$396&gt;0,-MIN(DY347,SUM(DY$396:DY397)),0)</f>
        <v>0</v>
      </c>
      <c r="DZ398" s="78">
        <f>IF(DZ$396&gt;0,-MIN(DZ347,SUM(DZ$396:DZ397)),0)</f>
        <v>0</v>
      </c>
      <c r="EA398" s="78">
        <f>IF(EA$396&gt;0,-MIN(EA347,SUM(EA$396:EA397)),0)</f>
        <v>0</v>
      </c>
      <c r="EB398" s="78">
        <f>IF(EB$396&gt;0,-MIN(EB347,SUM(EB$396:EB397)),0)</f>
        <v>0</v>
      </c>
      <c r="EC398" s="78">
        <f>IF(EC$396&gt;0,-MIN(EC347,SUM(EC$396:EC397)),0)</f>
        <v>0</v>
      </c>
      <c r="ED398" s="78">
        <f>IF(ED$396&gt;0,-MIN(ED347,SUM(ED$396:ED397)),0)</f>
        <v>0</v>
      </c>
      <c r="EE398" s="78">
        <f>IF(EE$396&gt;0,-MIN(EE347,SUM(EE$396:EE397)),0)</f>
        <v>0</v>
      </c>
      <c r="EF398" s="78">
        <f>IF(EF$396&gt;0,-MIN(EF347,SUM(EF$396:EF397)),0)</f>
        <v>0</v>
      </c>
      <c r="EG398" s="78">
        <f>IF(EG$396&gt;0,-MIN(EG347,SUM(EG$396:EG397)),0)</f>
        <v>0</v>
      </c>
      <c r="EH398" s="78">
        <f>IF(EH$396&gt;0,-MIN(EH347,SUM(EH$396:EH397)),0)</f>
        <v>0</v>
      </c>
      <c r="EI398" s="78">
        <f>IF(EI$396&gt;0,-MIN(EI347,SUM(EI$396:EI397)),0)</f>
        <v>0</v>
      </c>
    </row>
    <row r="399" spans="2:139">
      <c r="B399" s="880" t="s">
        <v>650</v>
      </c>
      <c r="C399" s="211"/>
      <c r="D399" s="78">
        <f>IF(IrrCalculationType=170,IF(D$396&gt;0,-MIN(D351,SUM(D$396:D398)),0),SUMIF($S$6:$EI$6,D$5,$S399:$EI399))</f>
        <v>0</v>
      </c>
      <c r="E399" s="78">
        <f>IF(IrrCalculationType=170,IF(E$396&gt;0,-MIN(E351,SUM(E$396:E398)),0),SUMIF($S$6:$EI$6,E$5,$S399:$EI399))</f>
        <v>0</v>
      </c>
      <c r="F399" s="78">
        <f>IF(IrrCalculationType=170,IF(F$396&gt;0,-MIN(F351,SUM(F$396:F398)),0),SUMIF($S$6:$EI$6,F$5,$S399:$EI399))</f>
        <v>0</v>
      </c>
      <c r="G399" s="78">
        <f>IF(IrrCalculationType=170,IF(G$396&gt;0,-MIN(G351,SUM(G$396:G398)),0),SUMIF($S$6:$EI$6,G$5,$S399:$EI399))</f>
        <v>0</v>
      </c>
      <c r="H399" s="78">
        <f>IF(IrrCalculationType=170,IF(H$396&gt;0,-MIN(H351,SUM(H$396:H398)),0),SUMIF($S$6:$EI$6,H$5,$S399:$EI399))</f>
        <v>0</v>
      </c>
      <c r="I399" s="78">
        <f>IF(IrrCalculationType=170,IF(I$396&gt;0,-MIN(I351,SUM(I$396:I398)),0),SUMIF($S$6:$EI$6,I$5,$S399:$EI399))</f>
        <v>0</v>
      </c>
      <c r="J399" s="78">
        <f>IF(IrrCalculationType=170,IF(J$396&gt;0,-MIN(J351,SUM(J$396:J398)),0),SUMIF($S$6:$EI$6,J$5,$S399:$EI399))</f>
        <v>0</v>
      </c>
      <c r="K399" s="78">
        <f>IF(IrrCalculationType=170,IF(K$396&gt;0,-MIN(K351,SUM(K$396:K398)),0),SUMIF($S$6:$EI$6,K$5,$S399:$EI399))</f>
        <v>0</v>
      </c>
      <c r="L399" s="78">
        <f>IF(IrrCalculationType=170,IF(L$396&gt;0,-MIN(L351,SUM(L$396:L398)),0),SUMIF($S$6:$EI$6,L$5,$S399:$EI399))</f>
        <v>0</v>
      </c>
      <c r="M399" s="78">
        <f>IF(IrrCalculationType=170,IF(M$396&gt;0,-MIN(M351,SUM(M$396:M398)),0),SUMIF($S$6:$EI$6,M$5,$S399:$EI399))</f>
        <v>0</v>
      </c>
      <c r="N399" s="78">
        <f>IF(IrrCalculationType=170,IF(N$396&gt;0,-MIN(N351,SUM(N$396:N398)),0),SUMIF($S$6:$EI$6,N$5,$S399:$EI399))</f>
        <v>0</v>
      </c>
      <c r="O399" s="145">
        <f t="shared" si="845"/>
        <v>0</v>
      </c>
      <c r="R399" s="201"/>
      <c r="S399" s="78">
        <f>IF(S$396&gt;0,-MIN(S351,SUM(S$396:S398)),0)</f>
        <v>0</v>
      </c>
      <c r="T399" s="78">
        <f>IF(T$396&gt;0,-MIN(T351,SUM(T$396:T398)),0)</f>
        <v>0</v>
      </c>
      <c r="U399" s="78">
        <f>IF(U$396&gt;0,-MIN(U351,SUM(U$396:U398)),0)</f>
        <v>0</v>
      </c>
      <c r="V399" s="78">
        <f>IF(V$396&gt;0,-MIN(V351,SUM(V$396:V398)),0)</f>
        <v>0</v>
      </c>
      <c r="W399" s="78">
        <f>IF(W$396&gt;0,-MIN(W351,SUM(W$396:W398)),0)</f>
        <v>0</v>
      </c>
      <c r="X399" s="78">
        <f>IF(X$396&gt;0,-MIN(X351,SUM(X$396:X398)),0)</f>
        <v>0</v>
      </c>
      <c r="Y399" s="78">
        <f>IF(Y$396&gt;0,-MIN(Y351,SUM(Y$396:Y398)),0)</f>
        <v>0</v>
      </c>
      <c r="Z399" s="78">
        <f>IF(Z$396&gt;0,-MIN(Z351,SUM(Z$396:Z398)),0)</f>
        <v>0</v>
      </c>
      <c r="AA399" s="78">
        <f>IF(AA$396&gt;0,-MIN(AA351,SUM(AA$396:AA398)),0)</f>
        <v>0</v>
      </c>
      <c r="AB399" s="78">
        <f>IF(AB$396&gt;0,-MIN(AB351,SUM(AB$396:AB398)),0)</f>
        <v>0</v>
      </c>
      <c r="AC399" s="78">
        <f>IF(AC$396&gt;0,-MIN(AC351,SUM(AC$396:AC398)),0)</f>
        <v>0</v>
      </c>
      <c r="AD399" s="78">
        <f>IF(AD$396&gt;0,-MIN(AD351,SUM(AD$396:AD398)),0)</f>
        <v>0</v>
      </c>
      <c r="AE399" s="78">
        <f>IF(AE$396&gt;0,-MIN(AE351,SUM(AE$396:AE398)),0)</f>
        <v>0</v>
      </c>
      <c r="AF399" s="78">
        <f>IF(AF$396&gt;0,-MIN(AF351,SUM(AF$396:AF398)),0)</f>
        <v>0</v>
      </c>
      <c r="AG399" s="78">
        <f>IF(AG$396&gt;0,-MIN(AG351,SUM(AG$396:AG398)),0)</f>
        <v>0</v>
      </c>
      <c r="AH399" s="78">
        <f>IF(AH$396&gt;0,-MIN(AH351,SUM(AH$396:AH398)),0)</f>
        <v>0</v>
      </c>
      <c r="AI399" s="78">
        <f>IF(AI$396&gt;0,-MIN(AI351,SUM(AI$396:AI398)),0)</f>
        <v>0</v>
      </c>
      <c r="AJ399" s="78">
        <f>IF(AJ$396&gt;0,-MIN(AJ351,SUM(AJ$396:AJ398)),0)</f>
        <v>0</v>
      </c>
      <c r="AK399" s="78">
        <f>IF(AK$396&gt;0,-MIN(AK351,SUM(AK$396:AK398)),0)</f>
        <v>0</v>
      </c>
      <c r="AL399" s="78">
        <f>IF(AL$396&gt;0,-MIN(AL351,SUM(AL$396:AL398)),0)</f>
        <v>0</v>
      </c>
      <c r="AM399" s="78">
        <f>IF(AM$396&gt;0,-MIN(AM351,SUM(AM$396:AM398)),0)</f>
        <v>0</v>
      </c>
      <c r="AN399" s="78">
        <f>IF(AN$396&gt;0,-MIN(AN351,SUM(AN$396:AN398)),0)</f>
        <v>0</v>
      </c>
      <c r="AO399" s="78">
        <f>IF(AO$396&gt;0,-MIN(AO351,SUM(AO$396:AO398)),0)</f>
        <v>0</v>
      </c>
      <c r="AP399" s="78">
        <f>IF(AP$396&gt;0,-MIN(AP351,SUM(AP$396:AP398)),0)</f>
        <v>0</v>
      </c>
      <c r="AQ399" s="78">
        <f>IF(AQ$396&gt;0,-MIN(AQ351,SUM(AQ$396:AQ398)),0)</f>
        <v>0</v>
      </c>
      <c r="AR399" s="78">
        <f>IF(AR$396&gt;0,-MIN(AR351,SUM(AR$396:AR398)),0)</f>
        <v>0</v>
      </c>
      <c r="AS399" s="78">
        <f>IF(AS$396&gt;0,-MIN(AS351,SUM(AS$396:AS398)),0)</f>
        <v>0</v>
      </c>
      <c r="AT399" s="78">
        <f>IF(AT$396&gt;0,-MIN(AT351,SUM(AT$396:AT398)),0)</f>
        <v>0</v>
      </c>
      <c r="AU399" s="78">
        <f>IF(AU$396&gt;0,-MIN(AU351,SUM(AU$396:AU398)),0)</f>
        <v>0</v>
      </c>
      <c r="AV399" s="78">
        <f>IF(AV$396&gt;0,-MIN(AV351,SUM(AV$396:AV398)),0)</f>
        <v>0</v>
      </c>
      <c r="AW399" s="78">
        <f>IF(AW$396&gt;0,-MIN(AW351,SUM(AW$396:AW398)),0)</f>
        <v>0</v>
      </c>
      <c r="AX399" s="78">
        <f>IF(AX$396&gt;0,-MIN(AX351,SUM(AX$396:AX398)),0)</f>
        <v>0</v>
      </c>
      <c r="AY399" s="78">
        <f>IF(AY$396&gt;0,-MIN(AY351,SUM(AY$396:AY398)),0)</f>
        <v>0</v>
      </c>
      <c r="AZ399" s="78">
        <f>IF(AZ$396&gt;0,-MIN(AZ351,SUM(AZ$396:AZ398)),0)</f>
        <v>0</v>
      </c>
      <c r="BA399" s="78">
        <f>IF(BA$396&gt;0,-MIN(BA351,SUM(BA$396:BA398)),0)</f>
        <v>0</v>
      </c>
      <c r="BB399" s="78">
        <f>IF(BB$396&gt;0,-MIN(BB351,SUM(BB$396:BB398)),0)</f>
        <v>0</v>
      </c>
      <c r="BC399" s="78">
        <f>IF(BC$396&gt;0,-MIN(BC351,SUM(BC$396:BC398)),0)</f>
        <v>0</v>
      </c>
      <c r="BD399" s="78">
        <f>IF(BD$396&gt;0,-MIN(BD351,SUM(BD$396:BD398)),0)</f>
        <v>0</v>
      </c>
      <c r="BE399" s="78">
        <f>IF(BE$396&gt;0,-MIN(BE351,SUM(BE$396:BE398)),0)</f>
        <v>0</v>
      </c>
      <c r="BF399" s="78">
        <f>IF(BF$396&gt;0,-MIN(BF351,SUM(BF$396:BF398)),0)</f>
        <v>0</v>
      </c>
      <c r="BG399" s="78">
        <f>IF(BG$396&gt;0,-MIN(BG351,SUM(BG$396:BG398)),0)</f>
        <v>0</v>
      </c>
      <c r="BH399" s="78">
        <f>IF(BH$396&gt;0,-MIN(BH351,SUM(BH$396:BH398)),0)</f>
        <v>0</v>
      </c>
      <c r="BI399" s="78">
        <f>IF(BI$396&gt;0,-MIN(BI351,SUM(BI$396:BI398)),0)</f>
        <v>0</v>
      </c>
      <c r="BJ399" s="78">
        <f>IF(BJ$396&gt;0,-MIN(BJ351,SUM(BJ$396:BJ398)),0)</f>
        <v>0</v>
      </c>
      <c r="BK399" s="78">
        <f>IF(BK$396&gt;0,-MIN(BK351,SUM(BK$396:BK398)),0)</f>
        <v>0</v>
      </c>
      <c r="BL399" s="78">
        <f>IF(BL$396&gt;0,-MIN(BL351,SUM(BL$396:BL398)),0)</f>
        <v>0</v>
      </c>
      <c r="BM399" s="78">
        <f>IF(BM$396&gt;0,-MIN(BM351,SUM(BM$396:BM398)),0)</f>
        <v>0</v>
      </c>
      <c r="BN399" s="78">
        <f>IF(BN$396&gt;0,-MIN(BN351,SUM(BN$396:BN398)),0)</f>
        <v>0</v>
      </c>
      <c r="BO399" s="78">
        <f>IF(BO$396&gt;0,-MIN(BO351,SUM(BO$396:BO398)),0)</f>
        <v>0</v>
      </c>
      <c r="BP399" s="78">
        <f>IF(BP$396&gt;0,-MIN(BP351,SUM(BP$396:BP398)),0)</f>
        <v>0</v>
      </c>
      <c r="BQ399" s="78">
        <f>IF(BQ$396&gt;0,-MIN(BQ351,SUM(BQ$396:BQ398)),0)</f>
        <v>0</v>
      </c>
      <c r="BR399" s="78">
        <f>IF(BR$396&gt;0,-MIN(BR351,SUM(BR$396:BR398)),0)</f>
        <v>0</v>
      </c>
      <c r="BS399" s="78">
        <f>IF(BS$396&gt;0,-MIN(BS351,SUM(BS$396:BS398)),0)</f>
        <v>0</v>
      </c>
      <c r="BT399" s="78">
        <f>IF(BT$396&gt;0,-MIN(BT351,SUM(BT$396:BT398)),0)</f>
        <v>0</v>
      </c>
      <c r="BU399" s="78">
        <f>IF(BU$396&gt;0,-MIN(BU351,SUM(BU$396:BU398)),0)</f>
        <v>0</v>
      </c>
      <c r="BV399" s="78">
        <f>IF(BV$396&gt;0,-MIN(BV351,SUM(BV$396:BV398)),0)</f>
        <v>0</v>
      </c>
      <c r="BW399" s="78">
        <f>IF(BW$396&gt;0,-MIN(BW351,SUM(BW$396:BW398)),0)</f>
        <v>0</v>
      </c>
      <c r="BX399" s="78">
        <f>IF(BX$396&gt;0,-MIN(BX351,SUM(BX$396:BX398)),0)</f>
        <v>0</v>
      </c>
      <c r="BY399" s="78">
        <f>IF(BY$396&gt;0,-MIN(BY351,SUM(BY$396:BY398)),0)</f>
        <v>0</v>
      </c>
      <c r="BZ399" s="78">
        <f>IF(BZ$396&gt;0,-MIN(BZ351,SUM(BZ$396:BZ398)),0)</f>
        <v>0</v>
      </c>
      <c r="CA399" s="78">
        <f>IF(CA$396&gt;0,-MIN(CA351,SUM(CA$396:CA398)),0)</f>
        <v>0</v>
      </c>
      <c r="CB399" s="78">
        <f>IF(CB$396&gt;0,-MIN(CB351,SUM(CB$396:CB398)),0)</f>
        <v>0</v>
      </c>
      <c r="CC399" s="78">
        <f>IF(CC$396&gt;0,-MIN(CC351,SUM(CC$396:CC398)),0)</f>
        <v>0</v>
      </c>
      <c r="CD399" s="78">
        <f>IF(CD$396&gt;0,-MIN(CD351,SUM(CD$396:CD398)),0)</f>
        <v>0</v>
      </c>
      <c r="CE399" s="78">
        <f>IF(CE$396&gt;0,-MIN(CE351,SUM(CE$396:CE398)),0)</f>
        <v>0</v>
      </c>
      <c r="CF399" s="78">
        <f>IF(CF$396&gt;0,-MIN(CF351,SUM(CF$396:CF398)),0)</f>
        <v>0</v>
      </c>
      <c r="CG399" s="78">
        <f>IF(CG$396&gt;0,-MIN(CG351,SUM(CG$396:CG398)),0)</f>
        <v>0</v>
      </c>
      <c r="CH399" s="78">
        <f>IF(CH$396&gt;0,-MIN(CH351,SUM(CH$396:CH398)),0)</f>
        <v>0</v>
      </c>
      <c r="CI399" s="78">
        <f>IF(CI$396&gt;0,-MIN(CI351,SUM(CI$396:CI398)),0)</f>
        <v>0</v>
      </c>
      <c r="CJ399" s="78">
        <f>IF(CJ$396&gt;0,-MIN(CJ351,SUM(CJ$396:CJ398)),0)</f>
        <v>0</v>
      </c>
      <c r="CK399" s="78">
        <f>IF(CK$396&gt;0,-MIN(CK351,SUM(CK$396:CK398)),0)</f>
        <v>0</v>
      </c>
      <c r="CL399" s="78">
        <f>IF(CL$396&gt;0,-MIN(CL351,SUM(CL$396:CL398)),0)</f>
        <v>0</v>
      </c>
      <c r="CM399" s="78">
        <f>IF(CM$396&gt;0,-MIN(CM351,SUM(CM$396:CM398)),0)</f>
        <v>0</v>
      </c>
      <c r="CN399" s="78">
        <f>IF(CN$396&gt;0,-MIN(CN351,SUM(CN$396:CN398)),0)</f>
        <v>0</v>
      </c>
      <c r="CO399" s="78">
        <f>IF(CO$396&gt;0,-MIN(CO351,SUM(CO$396:CO398)),0)</f>
        <v>0</v>
      </c>
      <c r="CP399" s="78">
        <f>IF(CP$396&gt;0,-MIN(CP351,SUM(CP$396:CP398)),0)</f>
        <v>0</v>
      </c>
      <c r="CQ399" s="78">
        <f>IF(CQ$396&gt;0,-MIN(CQ351,SUM(CQ$396:CQ398)),0)</f>
        <v>0</v>
      </c>
      <c r="CR399" s="78">
        <f>IF(CR$396&gt;0,-MIN(CR351,SUM(CR$396:CR398)),0)</f>
        <v>0</v>
      </c>
      <c r="CS399" s="78">
        <f>IF(CS$396&gt;0,-MIN(CS351,SUM(CS$396:CS398)),0)</f>
        <v>0</v>
      </c>
      <c r="CT399" s="78">
        <f>IF(CT$396&gt;0,-MIN(CT351,SUM(CT$396:CT398)),0)</f>
        <v>0</v>
      </c>
      <c r="CU399" s="78">
        <f>IF(CU$396&gt;0,-MIN(CU351,SUM(CU$396:CU398)),0)</f>
        <v>0</v>
      </c>
      <c r="CV399" s="78">
        <f>IF(CV$396&gt;0,-MIN(CV351,SUM(CV$396:CV398)),0)</f>
        <v>0</v>
      </c>
      <c r="CW399" s="78">
        <f>IF(CW$396&gt;0,-MIN(CW351,SUM(CW$396:CW398)),0)</f>
        <v>0</v>
      </c>
      <c r="CX399" s="78">
        <f>IF(CX$396&gt;0,-MIN(CX351,SUM(CX$396:CX398)),0)</f>
        <v>0</v>
      </c>
      <c r="CY399" s="78">
        <f>IF(CY$396&gt;0,-MIN(CY351,SUM(CY$396:CY398)),0)</f>
        <v>0</v>
      </c>
      <c r="CZ399" s="78">
        <f>IF(CZ$396&gt;0,-MIN(CZ351,SUM(CZ$396:CZ398)),0)</f>
        <v>0</v>
      </c>
      <c r="DA399" s="78">
        <f>IF(DA$396&gt;0,-MIN(DA351,SUM(DA$396:DA398)),0)</f>
        <v>0</v>
      </c>
      <c r="DB399" s="78">
        <f>IF(DB$396&gt;0,-MIN(DB351,SUM(DB$396:DB398)),0)</f>
        <v>0</v>
      </c>
      <c r="DC399" s="78">
        <f>IF(DC$396&gt;0,-MIN(DC351,SUM(DC$396:DC398)),0)</f>
        <v>0</v>
      </c>
      <c r="DD399" s="78">
        <f>IF(DD$396&gt;0,-MIN(DD351,SUM(DD$396:DD398)),0)</f>
        <v>0</v>
      </c>
      <c r="DE399" s="78">
        <f>IF(DE$396&gt;0,-MIN(DE351,SUM(DE$396:DE398)),0)</f>
        <v>0</v>
      </c>
      <c r="DF399" s="78">
        <f>IF(DF$396&gt;0,-MIN(DF351,SUM(DF$396:DF398)),0)</f>
        <v>0</v>
      </c>
      <c r="DG399" s="78">
        <f>IF(DG$396&gt;0,-MIN(DG351,SUM(DG$396:DG398)),0)</f>
        <v>0</v>
      </c>
      <c r="DH399" s="78">
        <f>IF(DH$396&gt;0,-MIN(DH351,SUM(DH$396:DH398)),0)</f>
        <v>0</v>
      </c>
      <c r="DI399" s="78">
        <f>IF(DI$396&gt;0,-MIN(DI351,SUM(DI$396:DI398)),0)</f>
        <v>0</v>
      </c>
      <c r="DJ399" s="78">
        <f>IF(DJ$396&gt;0,-MIN(DJ351,SUM(DJ$396:DJ398)),0)</f>
        <v>0</v>
      </c>
      <c r="DK399" s="78">
        <f>IF(DK$396&gt;0,-MIN(DK351,SUM(DK$396:DK398)),0)</f>
        <v>0</v>
      </c>
      <c r="DL399" s="78">
        <f>IF(DL$396&gt;0,-MIN(DL351,SUM(DL$396:DL398)),0)</f>
        <v>0</v>
      </c>
      <c r="DM399" s="78">
        <f>IF(DM$396&gt;0,-MIN(DM351,SUM(DM$396:DM398)),0)</f>
        <v>0</v>
      </c>
      <c r="DN399" s="78">
        <f>IF(DN$396&gt;0,-MIN(DN351,SUM(DN$396:DN398)),0)</f>
        <v>0</v>
      </c>
      <c r="DO399" s="78">
        <f>IF(DO$396&gt;0,-MIN(DO351,SUM(DO$396:DO398)),0)</f>
        <v>0</v>
      </c>
      <c r="DP399" s="78">
        <f>IF(DP$396&gt;0,-MIN(DP351,SUM(DP$396:DP398)),0)</f>
        <v>0</v>
      </c>
      <c r="DQ399" s="78">
        <f>IF(DQ$396&gt;0,-MIN(DQ351,SUM(DQ$396:DQ398)),0)</f>
        <v>0</v>
      </c>
      <c r="DR399" s="78">
        <f>IF(DR$396&gt;0,-MIN(DR351,SUM(DR$396:DR398)),0)</f>
        <v>0</v>
      </c>
      <c r="DS399" s="78">
        <f>IF(DS$396&gt;0,-MIN(DS351,SUM(DS$396:DS398)),0)</f>
        <v>0</v>
      </c>
      <c r="DT399" s="78">
        <f>IF(DT$396&gt;0,-MIN(DT351,SUM(DT$396:DT398)),0)</f>
        <v>0</v>
      </c>
      <c r="DU399" s="78">
        <f>IF(DU$396&gt;0,-MIN(DU351,SUM(DU$396:DU398)),0)</f>
        <v>0</v>
      </c>
      <c r="DV399" s="78">
        <f>IF(DV$396&gt;0,-MIN(DV351,SUM(DV$396:DV398)),0)</f>
        <v>0</v>
      </c>
      <c r="DW399" s="78">
        <f>IF(DW$396&gt;0,-MIN(DW351,SUM(DW$396:DW398)),0)</f>
        <v>0</v>
      </c>
      <c r="DX399" s="78">
        <f>IF(DX$396&gt;0,-MIN(DX351,SUM(DX$396:DX398)),0)</f>
        <v>0</v>
      </c>
      <c r="DY399" s="78">
        <f>IF(DY$396&gt;0,-MIN(DY351,SUM(DY$396:DY398)),0)</f>
        <v>0</v>
      </c>
      <c r="DZ399" s="78">
        <f>IF(DZ$396&gt;0,-MIN(DZ351,SUM(DZ$396:DZ398)),0)</f>
        <v>0</v>
      </c>
      <c r="EA399" s="78">
        <f>IF(EA$396&gt;0,-MIN(EA351,SUM(EA$396:EA398)),0)</f>
        <v>0</v>
      </c>
      <c r="EB399" s="78">
        <f>IF(EB$396&gt;0,-MIN(EB351,SUM(EB$396:EB398)),0)</f>
        <v>0</v>
      </c>
      <c r="EC399" s="78">
        <f>IF(EC$396&gt;0,-MIN(EC351,SUM(EC$396:EC398)),0)</f>
        <v>0</v>
      </c>
      <c r="ED399" s="78">
        <f>IF(ED$396&gt;0,-MIN(ED351,SUM(ED$396:ED398)),0)</f>
        <v>0</v>
      </c>
      <c r="EE399" s="78">
        <f>IF(EE$396&gt;0,-MIN(EE351,SUM(EE$396:EE398)),0)</f>
        <v>0</v>
      </c>
      <c r="EF399" s="78">
        <f>IF(EF$396&gt;0,-MIN(EF351,SUM(EF$396:EF398)),0)</f>
        <v>0</v>
      </c>
      <c r="EG399" s="78">
        <f>IF(EG$396&gt;0,-MIN(EG351,SUM(EG$396:EG398)),0)</f>
        <v>0</v>
      </c>
      <c r="EH399" s="78">
        <f>IF(EH$396&gt;0,-MIN(EH351,SUM(EH$396:EH398)),0)</f>
        <v>0</v>
      </c>
      <c r="EI399" s="78">
        <f>IF(EI$396&gt;0,-MIN(EI351,SUM(EI$396:EI398)),0)</f>
        <v>0</v>
      </c>
    </row>
    <row r="400" spans="2:139">
      <c r="B400" s="880" t="s">
        <v>661</v>
      </c>
      <c r="C400" s="211"/>
      <c r="D400" s="78">
        <f t="shared" ref="D400:N400" si="880">IF(IrrCalculationType=170,-MIN(SUM(D360:D365),SUM(D396:D399)),SUMIF($S$6:$EI$6,D$5,$S400:$EI400))</f>
        <v>0</v>
      </c>
      <c r="E400" s="78">
        <f t="shared" si="880"/>
        <v>0</v>
      </c>
      <c r="F400" s="78">
        <f t="shared" si="880"/>
        <v>0</v>
      </c>
      <c r="G400" s="78">
        <f t="shared" si="880"/>
        <v>0</v>
      </c>
      <c r="H400" s="78">
        <f t="shared" si="880"/>
        <v>0</v>
      </c>
      <c r="I400" s="78">
        <f t="shared" si="880"/>
        <v>0</v>
      </c>
      <c r="J400" s="78">
        <f t="shared" si="880"/>
        <v>0</v>
      </c>
      <c r="K400" s="78">
        <f t="shared" si="880"/>
        <v>0</v>
      </c>
      <c r="L400" s="78">
        <f t="shared" si="880"/>
        <v>0</v>
      </c>
      <c r="M400" s="78">
        <f t="shared" si="880"/>
        <v>0</v>
      </c>
      <c r="N400" s="78">
        <f t="shared" si="880"/>
        <v>0</v>
      </c>
      <c r="O400" s="145">
        <f t="shared" si="845"/>
        <v>0</v>
      </c>
      <c r="R400" s="201"/>
      <c r="S400" s="78">
        <f t="shared" ref="S400:AX400" si="881">-MIN(SUM(S360:S365),SUM(S396:S399))</f>
        <v>0</v>
      </c>
      <c r="T400" s="78">
        <f t="shared" si="881"/>
        <v>0</v>
      </c>
      <c r="U400" s="78">
        <f t="shared" si="881"/>
        <v>0</v>
      </c>
      <c r="V400" s="78">
        <f t="shared" si="881"/>
        <v>0</v>
      </c>
      <c r="W400" s="78">
        <f t="shared" si="881"/>
        <v>0</v>
      </c>
      <c r="X400" s="78">
        <f t="shared" si="881"/>
        <v>0</v>
      </c>
      <c r="Y400" s="78">
        <f t="shared" si="881"/>
        <v>0</v>
      </c>
      <c r="Z400" s="78">
        <f t="shared" si="881"/>
        <v>0</v>
      </c>
      <c r="AA400" s="78">
        <f t="shared" si="881"/>
        <v>0</v>
      </c>
      <c r="AB400" s="78">
        <f t="shared" si="881"/>
        <v>0</v>
      </c>
      <c r="AC400" s="78">
        <f t="shared" si="881"/>
        <v>0</v>
      </c>
      <c r="AD400" s="78">
        <f t="shared" si="881"/>
        <v>0</v>
      </c>
      <c r="AE400" s="78">
        <f t="shared" si="881"/>
        <v>0</v>
      </c>
      <c r="AF400" s="78">
        <f t="shared" si="881"/>
        <v>0</v>
      </c>
      <c r="AG400" s="78">
        <f t="shared" si="881"/>
        <v>0</v>
      </c>
      <c r="AH400" s="78">
        <f t="shared" si="881"/>
        <v>0</v>
      </c>
      <c r="AI400" s="78">
        <f t="shared" si="881"/>
        <v>0</v>
      </c>
      <c r="AJ400" s="78">
        <f t="shared" si="881"/>
        <v>0</v>
      </c>
      <c r="AK400" s="78">
        <f t="shared" si="881"/>
        <v>0</v>
      </c>
      <c r="AL400" s="78">
        <f t="shared" si="881"/>
        <v>0</v>
      </c>
      <c r="AM400" s="78">
        <f t="shared" si="881"/>
        <v>0</v>
      </c>
      <c r="AN400" s="78">
        <f t="shared" si="881"/>
        <v>0</v>
      </c>
      <c r="AO400" s="78">
        <f t="shared" si="881"/>
        <v>0</v>
      </c>
      <c r="AP400" s="78">
        <f t="shared" si="881"/>
        <v>0</v>
      </c>
      <c r="AQ400" s="78">
        <f t="shared" si="881"/>
        <v>0</v>
      </c>
      <c r="AR400" s="78">
        <f t="shared" si="881"/>
        <v>0</v>
      </c>
      <c r="AS400" s="78">
        <f t="shared" si="881"/>
        <v>0</v>
      </c>
      <c r="AT400" s="78">
        <f t="shared" si="881"/>
        <v>0</v>
      </c>
      <c r="AU400" s="78">
        <f t="shared" si="881"/>
        <v>0</v>
      </c>
      <c r="AV400" s="78">
        <f t="shared" si="881"/>
        <v>0</v>
      </c>
      <c r="AW400" s="78">
        <f t="shared" si="881"/>
        <v>0</v>
      </c>
      <c r="AX400" s="78">
        <f t="shared" si="881"/>
        <v>0</v>
      </c>
      <c r="AY400" s="78">
        <f t="shared" ref="AY400:CD400" si="882">-MIN(SUM(AY360:AY365),SUM(AY396:AY399))</f>
        <v>0</v>
      </c>
      <c r="AZ400" s="78">
        <f t="shared" si="882"/>
        <v>0</v>
      </c>
      <c r="BA400" s="78">
        <f t="shared" si="882"/>
        <v>0</v>
      </c>
      <c r="BB400" s="78">
        <f t="shared" si="882"/>
        <v>0</v>
      </c>
      <c r="BC400" s="78">
        <f t="shared" si="882"/>
        <v>0</v>
      </c>
      <c r="BD400" s="78">
        <f t="shared" si="882"/>
        <v>0</v>
      </c>
      <c r="BE400" s="78">
        <f t="shared" si="882"/>
        <v>0</v>
      </c>
      <c r="BF400" s="78">
        <f t="shared" si="882"/>
        <v>0</v>
      </c>
      <c r="BG400" s="78">
        <f t="shared" si="882"/>
        <v>0</v>
      </c>
      <c r="BH400" s="78">
        <f t="shared" si="882"/>
        <v>0</v>
      </c>
      <c r="BI400" s="78">
        <f t="shared" si="882"/>
        <v>0</v>
      </c>
      <c r="BJ400" s="78">
        <f t="shared" si="882"/>
        <v>0</v>
      </c>
      <c r="BK400" s="78">
        <f t="shared" si="882"/>
        <v>0</v>
      </c>
      <c r="BL400" s="78">
        <f t="shared" si="882"/>
        <v>0</v>
      </c>
      <c r="BM400" s="78">
        <f t="shared" si="882"/>
        <v>0</v>
      </c>
      <c r="BN400" s="78">
        <f t="shared" si="882"/>
        <v>0</v>
      </c>
      <c r="BO400" s="78">
        <f t="shared" si="882"/>
        <v>0</v>
      </c>
      <c r="BP400" s="78">
        <f t="shared" si="882"/>
        <v>0</v>
      </c>
      <c r="BQ400" s="78">
        <f t="shared" si="882"/>
        <v>0</v>
      </c>
      <c r="BR400" s="78">
        <f t="shared" si="882"/>
        <v>0</v>
      </c>
      <c r="BS400" s="78">
        <f t="shared" si="882"/>
        <v>0</v>
      </c>
      <c r="BT400" s="78">
        <f t="shared" si="882"/>
        <v>0</v>
      </c>
      <c r="BU400" s="78">
        <f t="shared" si="882"/>
        <v>0</v>
      </c>
      <c r="BV400" s="78">
        <f t="shared" si="882"/>
        <v>0</v>
      </c>
      <c r="BW400" s="78">
        <f t="shared" si="882"/>
        <v>0</v>
      </c>
      <c r="BX400" s="78">
        <f t="shared" si="882"/>
        <v>0</v>
      </c>
      <c r="BY400" s="78">
        <f t="shared" si="882"/>
        <v>0</v>
      </c>
      <c r="BZ400" s="78">
        <f t="shared" si="882"/>
        <v>0</v>
      </c>
      <c r="CA400" s="78">
        <f t="shared" si="882"/>
        <v>0</v>
      </c>
      <c r="CB400" s="78">
        <f t="shared" si="882"/>
        <v>0</v>
      </c>
      <c r="CC400" s="78">
        <f t="shared" si="882"/>
        <v>0</v>
      </c>
      <c r="CD400" s="78">
        <f t="shared" si="882"/>
        <v>0</v>
      </c>
      <c r="CE400" s="78">
        <f t="shared" ref="CE400:DJ400" si="883">-MIN(SUM(CE360:CE365),SUM(CE396:CE399))</f>
        <v>0</v>
      </c>
      <c r="CF400" s="78">
        <f t="shared" si="883"/>
        <v>0</v>
      </c>
      <c r="CG400" s="78">
        <f t="shared" si="883"/>
        <v>0</v>
      </c>
      <c r="CH400" s="78">
        <f t="shared" si="883"/>
        <v>0</v>
      </c>
      <c r="CI400" s="78">
        <f t="shared" si="883"/>
        <v>0</v>
      </c>
      <c r="CJ400" s="78">
        <f t="shared" si="883"/>
        <v>0</v>
      </c>
      <c r="CK400" s="78">
        <f t="shared" si="883"/>
        <v>0</v>
      </c>
      <c r="CL400" s="78">
        <f t="shared" si="883"/>
        <v>0</v>
      </c>
      <c r="CM400" s="78">
        <f t="shared" si="883"/>
        <v>0</v>
      </c>
      <c r="CN400" s="78">
        <f t="shared" si="883"/>
        <v>0</v>
      </c>
      <c r="CO400" s="78">
        <f t="shared" si="883"/>
        <v>0</v>
      </c>
      <c r="CP400" s="78">
        <f t="shared" si="883"/>
        <v>0</v>
      </c>
      <c r="CQ400" s="78">
        <f t="shared" si="883"/>
        <v>0</v>
      </c>
      <c r="CR400" s="78">
        <f t="shared" si="883"/>
        <v>0</v>
      </c>
      <c r="CS400" s="78">
        <f t="shared" si="883"/>
        <v>0</v>
      </c>
      <c r="CT400" s="78">
        <f t="shared" si="883"/>
        <v>0</v>
      </c>
      <c r="CU400" s="78">
        <f t="shared" si="883"/>
        <v>0</v>
      </c>
      <c r="CV400" s="78">
        <f t="shared" si="883"/>
        <v>0</v>
      </c>
      <c r="CW400" s="78">
        <f t="shared" si="883"/>
        <v>0</v>
      </c>
      <c r="CX400" s="78">
        <f t="shared" si="883"/>
        <v>0</v>
      </c>
      <c r="CY400" s="78">
        <f t="shared" si="883"/>
        <v>0</v>
      </c>
      <c r="CZ400" s="78">
        <f t="shared" si="883"/>
        <v>0</v>
      </c>
      <c r="DA400" s="78">
        <f t="shared" si="883"/>
        <v>0</v>
      </c>
      <c r="DB400" s="78">
        <f t="shared" si="883"/>
        <v>0</v>
      </c>
      <c r="DC400" s="78">
        <f t="shared" si="883"/>
        <v>0</v>
      </c>
      <c r="DD400" s="78">
        <f t="shared" si="883"/>
        <v>0</v>
      </c>
      <c r="DE400" s="78">
        <f t="shared" si="883"/>
        <v>0</v>
      </c>
      <c r="DF400" s="78">
        <f t="shared" si="883"/>
        <v>0</v>
      </c>
      <c r="DG400" s="78">
        <f t="shared" si="883"/>
        <v>0</v>
      </c>
      <c r="DH400" s="78">
        <f t="shared" si="883"/>
        <v>0</v>
      </c>
      <c r="DI400" s="78">
        <f t="shared" si="883"/>
        <v>0</v>
      </c>
      <c r="DJ400" s="78">
        <f t="shared" si="883"/>
        <v>0</v>
      </c>
      <c r="DK400" s="78">
        <f t="shared" ref="DK400:EP400" si="884">-MIN(SUM(DK360:DK365),SUM(DK396:DK399))</f>
        <v>0</v>
      </c>
      <c r="DL400" s="78">
        <f t="shared" si="884"/>
        <v>0</v>
      </c>
      <c r="DM400" s="78">
        <f t="shared" si="884"/>
        <v>0</v>
      </c>
      <c r="DN400" s="78">
        <f t="shared" si="884"/>
        <v>0</v>
      </c>
      <c r="DO400" s="78">
        <f t="shared" si="884"/>
        <v>0</v>
      </c>
      <c r="DP400" s="78">
        <f t="shared" si="884"/>
        <v>0</v>
      </c>
      <c r="DQ400" s="78">
        <f t="shared" si="884"/>
        <v>0</v>
      </c>
      <c r="DR400" s="78">
        <f t="shared" si="884"/>
        <v>0</v>
      </c>
      <c r="DS400" s="78">
        <f t="shared" si="884"/>
        <v>0</v>
      </c>
      <c r="DT400" s="78">
        <f t="shared" si="884"/>
        <v>0</v>
      </c>
      <c r="DU400" s="78">
        <f t="shared" si="884"/>
        <v>0</v>
      </c>
      <c r="DV400" s="78">
        <f t="shared" si="884"/>
        <v>0</v>
      </c>
      <c r="DW400" s="78">
        <f t="shared" si="884"/>
        <v>0</v>
      </c>
      <c r="DX400" s="78">
        <f t="shared" si="884"/>
        <v>0</v>
      </c>
      <c r="DY400" s="78">
        <f t="shared" si="884"/>
        <v>0</v>
      </c>
      <c r="DZ400" s="78">
        <f t="shared" si="884"/>
        <v>0</v>
      </c>
      <c r="EA400" s="78">
        <f t="shared" si="884"/>
        <v>0</v>
      </c>
      <c r="EB400" s="78">
        <f t="shared" si="884"/>
        <v>0</v>
      </c>
      <c r="EC400" s="78">
        <f t="shared" si="884"/>
        <v>0</v>
      </c>
      <c r="ED400" s="78">
        <f t="shared" si="884"/>
        <v>0</v>
      </c>
      <c r="EE400" s="78">
        <f t="shared" si="884"/>
        <v>0</v>
      </c>
      <c r="EF400" s="78">
        <f t="shared" si="884"/>
        <v>0</v>
      </c>
      <c r="EG400" s="78">
        <f t="shared" si="884"/>
        <v>0</v>
      </c>
      <c r="EH400" s="78">
        <f t="shared" si="884"/>
        <v>0</v>
      </c>
      <c r="EI400" s="78">
        <f t="shared" si="884"/>
        <v>0</v>
      </c>
    </row>
    <row r="401" spans="2:139">
      <c r="B401" s="41" t="s">
        <v>671</v>
      </c>
      <c r="C401" s="211"/>
      <c r="D401" s="78">
        <f t="shared" ref="D401:O401" si="885">SUBTOTAL(9,D402:D404)</f>
        <v>13009400</v>
      </c>
      <c r="E401" s="78">
        <f t="shared" si="885"/>
        <v>0</v>
      </c>
      <c r="F401" s="78">
        <f t="shared" si="885"/>
        <v>0</v>
      </c>
      <c r="G401" s="78">
        <f t="shared" si="885"/>
        <v>0</v>
      </c>
      <c r="H401" s="78">
        <f t="shared" si="885"/>
        <v>0</v>
      </c>
      <c r="I401" s="78">
        <f t="shared" si="885"/>
        <v>0</v>
      </c>
      <c r="J401" s="78">
        <f t="shared" si="885"/>
        <v>0</v>
      </c>
      <c r="K401" s="78">
        <f t="shared" si="885"/>
        <v>0</v>
      </c>
      <c r="L401" s="78">
        <f t="shared" si="885"/>
        <v>0</v>
      </c>
      <c r="M401" s="78">
        <f t="shared" si="885"/>
        <v>0</v>
      </c>
      <c r="N401" s="78">
        <f t="shared" si="885"/>
        <v>0</v>
      </c>
      <c r="O401" s="145">
        <f t="shared" si="885"/>
        <v>13009400</v>
      </c>
      <c r="R401" s="201"/>
      <c r="S401" s="78">
        <f t="shared" ref="S401:AX401" si="886">SUBTOTAL(9,S402:S404)</f>
        <v>13009400</v>
      </c>
      <c r="T401" s="78">
        <f t="shared" si="886"/>
        <v>0</v>
      </c>
      <c r="U401" s="78">
        <f t="shared" si="886"/>
        <v>0</v>
      </c>
      <c r="V401" s="78">
        <f t="shared" si="886"/>
        <v>0</v>
      </c>
      <c r="W401" s="78">
        <f t="shared" si="886"/>
        <v>0</v>
      </c>
      <c r="X401" s="78">
        <f t="shared" si="886"/>
        <v>0</v>
      </c>
      <c r="Y401" s="78">
        <f t="shared" si="886"/>
        <v>0</v>
      </c>
      <c r="Z401" s="78">
        <f t="shared" si="886"/>
        <v>0</v>
      </c>
      <c r="AA401" s="78">
        <f t="shared" si="886"/>
        <v>0</v>
      </c>
      <c r="AB401" s="78">
        <f t="shared" si="886"/>
        <v>0</v>
      </c>
      <c r="AC401" s="78">
        <f t="shared" si="886"/>
        <v>0</v>
      </c>
      <c r="AD401" s="78">
        <f t="shared" si="886"/>
        <v>0</v>
      </c>
      <c r="AE401" s="78">
        <f t="shared" si="886"/>
        <v>0</v>
      </c>
      <c r="AF401" s="78">
        <f t="shared" si="886"/>
        <v>0</v>
      </c>
      <c r="AG401" s="78">
        <f t="shared" si="886"/>
        <v>0</v>
      </c>
      <c r="AH401" s="78">
        <f t="shared" si="886"/>
        <v>0</v>
      </c>
      <c r="AI401" s="78">
        <f t="shared" si="886"/>
        <v>0</v>
      </c>
      <c r="AJ401" s="78">
        <f t="shared" si="886"/>
        <v>0</v>
      </c>
      <c r="AK401" s="78">
        <f t="shared" si="886"/>
        <v>0</v>
      </c>
      <c r="AL401" s="78">
        <f t="shared" si="886"/>
        <v>0</v>
      </c>
      <c r="AM401" s="78">
        <f t="shared" si="886"/>
        <v>0</v>
      </c>
      <c r="AN401" s="78">
        <f t="shared" si="886"/>
        <v>0</v>
      </c>
      <c r="AO401" s="78">
        <f t="shared" si="886"/>
        <v>0</v>
      </c>
      <c r="AP401" s="78">
        <f t="shared" si="886"/>
        <v>0</v>
      </c>
      <c r="AQ401" s="78">
        <f t="shared" si="886"/>
        <v>0</v>
      </c>
      <c r="AR401" s="78">
        <f t="shared" si="886"/>
        <v>0</v>
      </c>
      <c r="AS401" s="78">
        <f t="shared" si="886"/>
        <v>0</v>
      </c>
      <c r="AT401" s="78">
        <f t="shared" si="886"/>
        <v>0</v>
      </c>
      <c r="AU401" s="78">
        <f t="shared" si="886"/>
        <v>0</v>
      </c>
      <c r="AV401" s="78">
        <f t="shared" si="886"/>
        <v>0</v>
      </c>
      <c r="AW401" s="78">
        <f t="shared" si="886"/>
        <v>0</v>
      </c>
      <c r="AX401" s="78">
        <f t="shared" si="886"/>
        <v>0</v>
      </c>
      <c r="AY401" s="78">
        <f t="shared" ref="AY401:CD401" si="887">SUBTOTAL(9,AY402:AY404)</f>
        <v>0</v>
      </c>
      <c r="AZ401" s="78">
        <f t="shared" si="887"/>
        <v>0</v>
      </c>
      <c r="BA401" s="78">
        <f t="shared" si="887"/>
        <v>0</v>
      </c>
      <c r="BB401" s="78">
        <f t="shared" si="887"/>
        <v>0</v>
      </c>
      <c r="BC401" s="78">
        <f t="shared" si="887"/>
        <v>0</v>
      </c>
      <c r="BD401" s="78">
        <f t="shared" si="887"/>
        <v>0</v>
      </c>
      <c r="BE401" s="78">
        <f t="shared" si="887"/>
        <v>0</v>
      </c>
      <c r="BF401" s="78">
        <f t="shared" si="887"/>
        <v>0</v>
      </c>
      <c r="BG401" s="78">
        <f t="shared" si="887"/>
        <v>0</v>
      </c>
      <c r="BH401" s="78">
        <f t="shared" si="887"/>
        <v>0</v>
      </c>
      <c r="BI401" s="78">
        <f t="shared" si="887"/>
        <v>0</v>
      </c>
      <c r="BJ401" s="78">
        <f t="shared" si="887"/>
        <v>0</v>
      </c>
      <c r="BK401" s="78">
        <f t="shared" si="887"/>
        <v>0</v>
      </c>
      <c r="BL401" s="78">
        <f t="shared" si="887"/>
        <v>0</v>
      </c>
      <c r="BM401" s="78">
        <f t="shared" si="887"/>
        <v>0</v>
      </c>
      <c r="BN401" s="78">
        <f t="shared" si="887"/>
        <v>0</v>
      </c>
      <c r="BO401" s="78">
        <f t="shared" si="887"/>
        <v>0</v>
      </c>
      <c r="BP401" s="78">
        <f t="shared" si="887"/>
        <v>0</v>
      </c>
      <c r="BQ401" s="78">
        <f t="shared" si="887"/>
        <v>0</v>
      </c>
      <c r="BR401" s="78">
        <f t="shared" si="887"/>
        <v>0</v>
      </c>
      <c r="BS401" s="78">
        <f t="shared" si="887"/>
        <v>0</v>
      </c>
      <c r="BT401" s="78">
        <f t="shared" si="887"/>
        <v>0</v>
      </c>
      <c r="BU401" s="78">
        <f t="shared" si="887"/>
        <v>0</v>
      </c>
      <c r="BV401" s="78">
        <f t="shared" si="887"/>
        <v>0</v>
      </c>
      <c r="BW401" s="78">
        <f t="shared" si="887"/>
        <v>0</v>
      </c>
      <c r="BX401" s="78">
        <f t="shared" si="887"/>
        <v>0</v>
      </c>
      <c r="BY401" s="78">
        <f t="shared" si="887"/>
        <v>0</v>
      </c>
      <c r="BZ401" s="78">
        <f t="shared" si="887"/>
        <v>0</v>
      </c>
      <c r="CA401" s="78">
        <f t="shared" si="887"/>
        <v>0</v>
      </c>
      <c r="CB401" s="78">
        <f t="shared" si="887"/>
        <v>0</v>
      </c>
      <c r="CC401" s="78">
        <f t="shared" si="887"/>
        <v>0</v>
      </c>
      <c r="CD401" s="78">
        <f t="shared" si="887"/>
        <v>0</v>
      </c>
      <c r="CE401" s="78">
        <f t="shared" ref="CE401:DJ401" si="888">SUBTOTAL(9,CE402:CE404)</f>
        <v>0</v>
      </c>
      <c r="CF401" s="78">
        <f t="shared" si="888"/>
        <v>0</v>
      </c>
      <c r="CG401" s="78">
        <f t="shared" si="888"/>
        <v>0</v>
      </c>
      <c r="CH401" s="78">
        <f t="shared" si="888"/>
        <v>0</v>
      </c>
      <c r="CI401" s="78">
        <f t="shared" si="888"/>
        <v>0</v>
      </c>
      <c r="CJ401" s="78">
        <f t="shared" si="888"/>
        <v>0</v>
      </c>
      <c r="CK401" s="78">
        <f t="shared" si="888"/>
        <v>0</v>
      </c>
      <c r="CL401" s="78">
        <f t="shared" si="888"/>
        <v>0</v>
      </c>
      <c r="CM401" s="78">
        <f t="shared" si="888"/>
        <v>0</v>
      </c>
      <c r="CN401" s="78">
        <f t="shared" si="888"/>
        <v>0</v>
      </c>
      <c r="CO401" s="78">
        <f t="shared" si="888"/>
        <v>0</v>
      </c>
      <c r="CP401" s="78">
        <f t="shared" si="888"/>
        <v>0</v>
      </c>
      <c r="CQ401" s="78">
        <f t="shared" si="888"/>
        <v>0</v>
      </c>
      <c r="CR401" s="78">
        <f t="shared" si="888"/>
        <v>0</v>
      </c>
      <c r="CS401" s="78">
        <f t="shared" si="888"/>
        <v>0</v>
      </c>
      <c r="CT401" s="78">
        <f t="shared" si="888"/>
        <v>0</v>
      </c>
      <c r="CU401" s="78">
        <f t="shared" si="888"/>
        <v>0</v>
      </c>
      <c r="CV401" s="78">
        <f t="shared" si="888"/>
        <v>0</v>
      </c>
      <c r="CW401" s="78">
        <f t="shared" si="888"/>
        <v>0</v>
      </c>
      <c r="CX401" s="78">
        <f t="shared" si="888"/>
        <v>0</v>
      </c>
      <c r="CY401" s="78">
        <f t="shared" si="888"/>
        <v>0</v>
      </c>
      <c r="CZ401" s="78">
        <f t="shared" si="888"/>
        <v>0</v>
      </c>
      <c r="DA401" s="78">
        <f t="shared" si="888"/>
        <v>0</v>
      </c>
      <c r="DB401" s="78">
        <f t="shared" si="888"/>
        <v>0</v>
      </c>
      <c r="DC401" s="78">
        <f t="shared" si="888"/>
        <v>0</v>
      </c>
      <c r="DD401" s="78">
        <f t="shared" si="888"/>
        <v>0</v>
      </c>
      <c r="DE401" s="78">
        <f t="shared" si="888"/>
        <v>0</v>
      </c>
      <c r="DF401" s="78">
        <f t="shared" si="888"/>
        <v>0</v>
      </c>
      <c r="DG401" s="78">
        <f t="shared" si="888"/>
        <v>0</v>
      </c>
      <c r="DH401" s="78">
        <f t="shared" si="888"/>
        <v>0</v>
      </c>
      <c r="DI401" s="78">
        <f t="shared" si="888"/>
        <v>0</v>
      </c>
      <c r="DJ401" s="78">
        <f t="shared" si="888"/>
        <v>0</v>
      </c>
      <c r="DK401" s="78">
        <f t="shared" ref="DK401:EP401" si="889">SUBTOTAL(9,DK402:DK404)</f>
        <v>0</v>
      </c>
      <c r="DL401" s="78">
        <f t="shared" si="889"/>
        <v>0</v>
      </c>
      <c r="DM401" s="78">
        <f t="shared" si="889"/>
        <v>0</v>
      </c>
      <c r="DN401" s="78">
        <f t="shared" si="889"/>
        <v>0</v>
      </c>
      <c r="DO401" s="78">
        <f t="shared" si="889"/>
        <v>0</v>
      </c>
      <c r="DP401" s="78">
        <f t="shared" si="889"/>
        <v>0</v>
      </c>
      <c r="DQ401" s="78">
        <f t="shared" si="889"/>
        <v>0</v>
      </c>
      <c r="DR401" s="78">
        <f t="shared" si="889"/>
        <v>0</v>
      </c>
      <c r="DS401" s="78">
        <f t="shared" si="889"/>
        <v>0</v>
      </c>
      <c r="DT401" s="78">
        <f t="shared" si="889"/>
        <v>0</v>
      </c>
      <c r="DU401" s="78">
        <f t="shared" si="889"/>
        <v>0</v>
      </c>
      <c r="DV401" s="78">
        <f t="shared" si="889"/>
        <v>0</v>
      </c>
      <c r="DW401" s="78">
        <f t="shared" si="889"/>
        <v>0</v>
      </c>
      <c r="DX401" s="78">
        <f t="shared" si="889"/>
        <v>0</v>
      </c>
      <c r="DY401" s="78">
        <f t="shared" si="889"/>
        <v>0</v>
      </c>
      <c r="DZ401" s="78">
        <f t="shared" si="889"/>
        <v>0</v>
      </c>
      <c r="EA401" s="78">
        <f t="shared" si="889"/>
        <v>0</v>
      </c>
      <c r="EB401" s="78">
        <f t="shared" si="889"/>
        <v>0</v>
      </c>
      <c r="EC401" s="78">
        <f t="shared" si="889"/>
        <v>0</v>
      </c>
      <c r="ED401" s="78">
        <f t="shared" si="889"/>
        <v>0</v>
      </c>
      <c r="EE401" s="78">
        <f t="shared" si="889"/>
        <v>0</v>
      </c>
      <c r="EF401" s="78">
        <f t="shared" si="889"/>
        <v>0</v>
      </c>
      <c r="EG401" s="78">
        <f t="shared" si="889"/>
        <v>0</v>
      </c>
      <c r="EH401" s="78">
        <f t="shared" si="889"/>
        <v>0</v>
      </c>
      <c r="EI401" s="78">
        <f t="shared" si="889"/>
        <v>0</v>
      </c>
    </row>
    <row r="402" spans="2:139">
      <c r="B402" s="79" t="s">
        <v>672</v>
      </c>
      <c r="C402" s="211"/>
      <c r="D402" s="78">
        <f t="shared" ref="D402:N402" si="890">IF(IrrCalculationType=170,D318,SUMIF($S$6:$EI$6,D$5,$S402:$EI402))</f>
        <v>13009400</v>
      </c>
      <c r="E402" s="78">
        <f t="shared" si="890"/>
        <v>0</v>
      </c>
      <c r="F402" s="78">
        <f t="shared" si="890"/>
        <v>0</v>
      </c>
      <c r="G402" s="78">
        <f t="shared" si="890"/>
        <v>0</v>
      </c>
      <c r="H402" s="78">
        <f t="shared" si="890"/>
        <v>0</v>
      </c>
      <c r="I402" s="78">
        <f t="shared" si="890"/>
        <v>0</v>
      </c>
      <c r="J402" s="78">
        <f t="shared" si="890"/>
        <v>0</v>
      </c>
      <c r="K402" s="78">
        <f t="shared" si="890"/>
        <v>0</v>
      </c>
      <c r="L402" s="78">
        <f t="shared" si="890"/>
        <v>0</v>
      </c>
      <c r="M402" s="78">
        <f t="shared" si="890"/>
        <v>0</v>
      </c>
      <c r="N402" s="78">
        <f t="shared" si="890"/>
        <v>0</v>
      </c>
      <c r="O402" s="145">
        <f>SUM(D402:N402)</f>
        <v>13009400</v>
      </c>
      <c r="R402" s="201"/>
      <c r="S402" s="78">
        <f t="shared" ref="S402:AX402" si="891">S318</f>
        <v>13009400</v>
      </c>
      <c r="T402" s="78">
        <f t="shared" si="891"/>
        <v>0</v>
      </c>
      <c r="U402" s="78">
        <f t="shared" si="891"/>
        <v>0</v>
      </c>
      <c r="V402" s="78">
        <f t="shared" si="891"/>
        <v>0</v>
      </c>
      <c r="W402" s="78">
        <f t="shared" si="891"/>
        <v>0</v>
      </c>
      <c r="X402" s="78">
        <f t="shared" si="891"/>
        <v>0</v>
      </c>
      <c r="Y402" s="78">
        <f t="shared" si="891"/>
        <v>0</v>
      </c>
      <c r="Z402" s="78">
        <f t="shared" si="891"/>
        <v>0</v>
      </c>
      <c r="AA402" s="78">
        <f t="shared" si="891"/>
        <v>0</v>
      </c>
      <c r="AB402" s="78">
        <f t="shared" si="891"/>
        <v>0</v>
      </c>
      <c r="AC402" s="78">
        <f t="shared" si="891"/>
        <v>0</v>
      </c>
      <c r="AD402" s="78">
        <f t="shared" si="891"/>
        <v>0</v>
      </c>
      <c r="AE402" s="78">
        <f t="shared" si="891"/>
        <v>0</v>
      </c>
      <c r="AF402" s="78">
        <f t="shared" si="891"/>
        <v>0</v>
      </c>
      <c r="AG402" s="78">
        <f t="shared" si="891"/>
        <v>0</v>
      </c>
      <c r="AH402" s="78">
        <f t="shared" si="891"/>
        <v>0</v>
      </c>
      <c r="AI402" s="78">
        <f t="shared" si="891"/>
        <v>0</v>
      </c>
      <c r="AJ402" s="78">
        <f t="shared" si="891"/>
        <v>0</v>
      </c>
      <c r="AK402" s="78">
        <f t="shared" si="891"/>
        <v>0</v>
      </c>
      <c r="AL402" s="78">
        <f t="shared" si="891"/>
        <v>0</v>
      </c>
      <c r="AM402" s="78">
        <f t="shared" si="891"/>
        <v>0</v>
      </c>
      <c r="AN402" s="78">
        <f t="shared" si="891"/>
        <v>0</v>
      </c>
      <c r="AO402" s="78">
        <f t="shared" si="891"/>
        <v>0</v>
      </c>
      <c r="AP402" s="78">
        <f t="shared" si="891"/>
        <v>0</v>
      </c>
      <c r="AQ402" s="78">
        <f t="shared" si="891"/>
        <v>0</v>
      </c>
      <c r="AR402" s="78">
        <f t="shared" si="891"/>
        <v>0</v>
      </c>
      <c r="AS402" s="78">
        <f t="shared" si="891"/>
        <v>0</v>
      </c>
      <c r="AT402" s="78">
        <f t="shared" si="891"/>
        <v>0</v>
      </c>
      <c r="AU402" s="78">
        <f t="shared" si="891"/>
        <v>0</v>
      </c>
      <c r="AV402" s="78">
        <f t="shared" si="891"/>
        <v>0</v>
      </c>
      <c r="AW402" s="78">
        <f t="shared" si="891"/>
        <v>0</v>
      </c>
      <c r="AX402" s="78">
        <f t="shared" si="891"/>
        <v>0</v>
      </c>
      <c r="AY402" s="78">
        <f t="shared" ref="AY402:CD402" si="892">AY318</f>
        <v>0</v>
      </c>
      <c r="AZ402" s="78">
        <f t="shared" si="892"/>
        <v>0</v>
      </c>
      <c r="BA402" s="78">
        <f t="shared" si="892"/>
        <v>0</v>
      </c>
      <c r="BB402" s="78">
        <f t="shared" si="892"/>
        <v>0</v>
      </c>
      <c r="BC402" s="78">
        <f t="shared" si="892"/>
        <v>0</v>
      </c>
      <c r="BD402" s="78">
        <f t="shared" si="892"/>
        <v>0</v>
      </c>
      <c r="BE402" s="78">
        <f t="shared" si="892"/>
        <v>0</v>
      </c>
      <c r="BF402" s="78">
        <f t="shared" si="892"/>
        <v>0</v>
      </c>
      <c r="BG402" s="78">
        <f t="shared" si="892"/>
        <v>0</v>
      </c>
      <c r="BH402" s="78">
        <f t="shared" si="892"/>
        <v>0</v>
      </c>
      <c r="BI402" s="78">
        <f t="shared" si="892"/>
        <v>0</v>
      </c>
      <c r="BJ402" s="78">
        <f t="shared" si="892"/>
        <v>0</v>
      </c>
      <c r="BK402" s="78">
        <f t="shared" si="892"/>
        <v>0</v>
      </c>
      <c r="BL402" s="78">
        <f t="shared" si="892"/>
        <v>0</v>
      </c>
      <c r="BM402" s="78">
        <f t="shared" si="892"/>
        <v>0</v>
      </c>
      <c r="BN402" s="78">
        <f t="shared" si="892"/>
        <v>0</v>
      </c>
      <c r="BO402" s="78">
        <f t="shared" si="892"/>
        <v>0</v>
      </c>
      <c r="BP402" s="78">
        <f t="shared" si="892"/>
        <v>0</v>
      </c>
      <c r="BQ402" s="78">
        <f t="shared" si="892"/>
        <v>0</v>
      </c>
      <c r="BR402" s="78">
        <f t="shared" si="892"/>
        <v>0</v>
      </c>
      <c r="BS402" s="78">
        <f t="shared" si="892"/>
        <v>0</v>
      </c>
      <c r="BT402" s="78">
        <f t="shared" si="892"/>
        <v>0</v>
      </c>
      <c r="BU402" s="78">
        <f t="shared" si="892"/>
        <v>0</v>
      </c>
      <c r="BV402" s="78">
        <f t="shared" si="892"/>
        <v>0</v>
      </c>
      <c r="BW402" s="78">
        <f t="shared" si="892"/>
        <v>0</v>
      </c>
      <c r="BX402" s="78">
        <f t="shared" si="892"/>
        <v>0</v>
      </c>
      <c r="BY402" s="78">
        <f t="shared" si="892"/>
        <v>0</v>
      </c>
      <c r="BZ402" s="78">
        <f t="shared" si="892"/>
        <v>0</v>
      </c>
      <c r="CA402" s="78">
        <f t="shared" si="892"/>
        <v>0</v>
      </c>
      <c r="CB402" s="78">
        <f t="shared" si="892"/>
        <v>0</v>
      </c>
      <c r="CC402" s="78">
        <f t="shared" si="892"/>
        <v>0</v>
      </c>
      <c r="CD402" s="78">
        <f t="shared" si="892"/>
        <v>0</v>
      </c>
      <c r="CE402" s="78">
        <f t="shared" ref="CE402:DJ402" si="893">CE318</f>
        <v>0</v>
      </c>
      <c r="CF402" s="78">
        <f t="shared" si="893"/>
        <v>0</v>
      </c>
      <c r="CG402" s="78">
        <f t="shared" si="893"/>
        <v>0</v>
      </c>
      <c r="CH402" s="78">
        <f t="shared" si="893"/>
        <v>0</v>
      </c>
      <c r="CI402" s="78">
        <f t="shared" si="893"/>
        <v>0</v>
      </c>
      <c r="CJ402" s="78">
        <f t="shared" si="893"/>
        <v>0</v>
      </c>
      <c r="CK402" s="78">
        <f t="shared" si="893"/>
        <v>0</v>
      </c>
      <c r="CL402" s="78">
        <f t="shared" si="893"/>
        <v>0</v>
      </c>
      <c r="CM402" s="78">
        <f t="shared" si="893"/>
        <v>0</v>
      </c>
      <c r="CN402" s="78">
        <f t="shared" si="893"/>
        <v>0</v>
      </c>
      <c r="CO402" s="78">
        <f t="shared" si="893"/>
        <v>0</v>
      </c>
      <c r="CP402" s="78">
        <f t="shared" si="893"/>
        <v>0</v>
      </c>
      <c r="CQ402" s="78">
        <f t="shared" si="893"/>
        <v>0</v>
      </c>
      <c r="CR402" s="78">
        <f t="shared" si="893"/>
        <v>0</v>
      </c>
      <c r="CS402" s="78">
        <f t="shared" si="893"/>
        <v>0</v>
      </c>
      <c r="CT402" s="78">
        <f t="shared" si="893"/>
        <v>0</v>
      </c>
      <c r="CU402" s="78">
        <f t="shared" si="893"/>
        <v>0</v>
      </c>
      <c r="CV402" s="78">
        <f t="shared" si="893"/>
        <v>0</v>
      </c>
      <c r="CW402" s="78">
        <f t="shared" si="893"/>
        <v>0</v>
      </c>
      <c r="CX402" s="78">
        <f t="shared" si="893"/>
        <v>0</v>
      </c>
      <c r="CY402" s="78">
        <f t="shared" si="893"/>
        <v>0</v>
      </c>
      <c r="CZ402" s="78">
        <f t="shared" si="893"/>
        <v>0</v>
      </c>
      <c r="DA402" s="78">
        <f t="shared" si="893"/>
        <v>0</v>
      </c>
      <c r="DB402" s="78">
        <f t="shared" si="893"/>
        <v>0</v>
      </c>
      <c r="DC402" s="78">
        <f t="shared" si="893"/>
        <v>0</v>
      </c>
      <c r="DD402" s="78">
        <f t="shared" si="893"/>
        <v>0</v>
      </c>
      <c r="DE402" s="78">
        <f t="shared" si="893"/>
        <v>0</v>
      </c>
      <c r="DF402" s="78">
        <f t="shared" si="893"/>
        <v>0</v>
      </c>
      <c r="DG402" s="78">
        <f t="shared" si="893"/>
        <v>0</v>
      </c>
      <c r="DH402" s="78">
        <f t="shared" si="893"/>
        <v>0</v>
      </c>
      <c r="DI402" s="78">
        <f t="shared" si="893"/>
        <v>0</v>
      </c>
      <c r="DJ402" s="78">
        <f t="shared" si="893"/>
        <v>0</v>
      </c>
      <c r="DK402" s="78">
        <f t="shared" ref="DK402:EI402" si="894">DK318</f>
        <v>0</v>
      </c>
      <c r="DL402" s="78">
        <f t="shared" si="894"/>
        <v>0</v>
      </c>
      <c r="DM402" s="78">
        <f t="shared" si="894"/>
        <v>0</v>
      </c>
      <c r="DN402" s="78">
        <f t="shared" si="894"/>
        <v>0</v>
      </c>
      <c r="DO402" s="78">
        <f t="shared" si="894"/>
        <v>0</v>
      </c>
      <c r="DP402" s="78">
        <f t="shared" si="894"/>
        <v>0</v>
      </c>
      <c r="DQ402" s="78">
        <f t="shared" si="894"/>
        <v>0</v>
      </c>
      <c r="DR402" s="78">
        <f t="shared" si="894"/>
        <v>0</v>
      </c>
      <c r="DS402" s="78">
        <f t="shared" si="894"/>
        <v>0</v>
      </c>
      <c r="DT402" s="78">
        <f t="shared" si="894"/>
        <v>0</v>
      </c>
      <c r="DU402" s="78">
        <f t="shared" si="894"/>
        <v>0</v>
      </c>
      <c r="DV402" s="78">
        <f t="shared" si="894"/>
        <v>0</v>
      </c>
      <c r="DW402" s="78">
        <f t="shared" si="894"/>
        <v>0</v>
      </c>
      <c r="DX402" s="78">
        <f t="shared" si="894"/>
        <v>0</v>
      </c>
      <c r="DY402" s="78">
        <f t="shared" si="894"/>
        <v>0</v>
      </c>
      <c r="DZ402" s="78">
        <f t="shared" si="894"/>
        <v>0</v>
      </c>
      <c r="EA402" s="78">
        <f t="shared" si="894"/>
        <v>0</v>
      </c>
      <c r="EB402" s="78">
        <f t="shared" si="894"/>
        <v>0</v>
      </c>
      <c r="EC402" s="78">
        <f t="shared" si="894"/>
        <v>0</v>
      </c>
      <c r="ED402" s="78">
        <f t="shared" si="894"/>
        <v>0</v>
      </c>
      <c r="EE402" s="78">
        <f t="shared" si="894"/>
        <v>0</v>
      </c>
      <c r="EF402" s="78">
        <f t="shared" si="894"/>
        <v>0</v>
      </c>
      <c r="EG402" s="78">
        <f t="shared" si="894"/>
        <v>0</v>
      </c>
      <c r="EH402" s="78">
        <f t="shared" si="894"/>
        <v>0</v>
      </c>
      <c r="EI402" s="78">
        <f t="shared" si="894"/>
        <v>0</v>
      </c>
    </row>
    <row r="403" spans="2:139">
      <c r="B403" s="79" t="s">
        <v>673</v>
      </c>
      <c r="C403" s="211"/>
      <c r="D403" s="78">
        <f t="shared" ref="D403:N403" si="895">IF(IrrCalculationType=170,MIN(-MIN(D108,),-D309),SUMIF($S$6:$EI$6,D$5,$S403:$EI403))</f>
        <v>0</v>
      </c>
      <c r="E403" s="78">
        <f t="shared" si="895"/>
        <v>0</v>
      </c>
      <c r="F403" s="78">
        <f t="shared" si="895"/>
        <v>0</v>
      </c>
      <c r="G403" s="78">
        <f t="shared" si="895"/>
        <v>0</v>
      </c>
      <c r="H403" s="78">
        <f t="shared" si="895"/>
        <v>0</v>
      </c>
      <c r="I403" s="78">
        <f t="shared" si="895"/>
        <v>0</v>
      </c>
      <c r="J403" s="78">
        <f t="shared" si="895"/>
        <v>0</v>
      </c>
      <c r="K403" s="78">
        <f t="shared" si="895"/>
        <v>0</v>
      </c>
      <c r="L403" s="78">
        <f t="shared" si="895"/>
        <v>0</v>
      </c>
      <c r="M403" s="78">
        <f t="shared" si="895"/>
        <v>0</v>
      </c>
      <c r="N403" s="78">
        <f t="shared" si="895"/>
        <v>0</v>
      </c>
      <c r="O403" s="145">
        <f>SUM(D403:N403)</f>
        <v>0</v>
      </c>
      <c r="R403" s="201"/>
      <c r="S403" s="78">
        <f t="shared" ref="S403:AX403" si="896">MIN(-MIN(S108,),-S309)</f>
        <v>0</v>
      </c>
      <c r="T403" s="78">
        <f t="shared" si="896"/>
        <v>0</v>
      </c>
      <c r="U403" s="78">
        <f t="shared" si="896"/>
        <v>0</v>
      </c>
      <c r="V403" s="78">
        <f t="shared" si="896"/>
        <v>0</v>
      </c>
      <c r="W403" s="78">
        <f t="shared" si="896"/>
        <v>0</v>
      </c>
      <c r="X403" s="78">
        <f t="shared" si="896"/>
        <v>0</v>
      </c>
      <c r="Y403" s="78">
        <f t="shared" si="896"/>
        <v>0</v>
      </c>
      <c r="Z403" s="78">
        <f t="shared" si="896"/>
        <v>0</v>
      </c>
      <c r="AA403" s="78">
        <f t="shared" si="896"/>
        <v>0</v>
      </c>
      <c r="AB403" s="78">
        <f t="shared" si="896"/>
        <v>0</v>
      </c>
      <c r="AC403" s="78">
        <f t="shared" si="896"/>
        <v>0</v>
      </c>
      <c r="AD403" s="78">
        <f t="shared" si="896"/>
        <v>0</v>
      </c>
      <c r="AE403" s="78">
        <f t="shared" si="896"/>
        <v>0</v>
      </c>
      <c r="AF403" s="78">
        <f t="shared" si="896"/>
        <v>0</v>
      </c>
      <c r="AG403" s="78">
        <f t="shared" si="896"/>
        <v>0</v>
      </c>
      <c r="AH403" s="78">
        <f t="shared" si="896"/>
        <v>0</v>
      </c>
      <c r="AI403" s="78">
        <f t="shared" si="896"/>
        <v>0</v>
      </c>
      <c r="AJ403" s="78">
        <f t="shared" si="896"/>
        <v>0</v>
      </c>
      <c r="AK403" s="78">
        <f t="shared" si="896"/>
        <v>0</v>
      </c>
      <c r="AL403" s="78">
        <f t="shared" si="896"/>
        <v>0</v>
      </c>
      <c r="AM403" s="78">
        <f t="shared" si="896"/>
        <v>0</v>
      </c>
      <c r="AN403" s="78">
        <f t="shared" si="896"/>
        <v>0</v>
      </c>
      <c r="AO403" s="78">
        <f t="shared" si="896"/>
        <v>0</v>
      </c>
      <c r="AP403" s="78">
        <f t="shared" si="896"/>
        <v>0</v>
      </c>
      <c r="AQ403" s="78">
        <f t="shared" si="896"/>
        <v>0</v>
      </c>
      <c r="AR403" s="78">
        <f t="shared" si="896"/>
        <v>0</v>
      </c>
      <c r="AS403" s="78">
        <f t="shared" si="896"/>
        <v>0</v>
      </c>
      <c r="AT403" s="78">
        <f t="shared" si="896"/>
        <v>0</v>
      </c>
      <c r="AU403" s="78">
        <f t="shared" si="896"/>
        <v>0</v>
      </c>
      <c r="AV403" s="78">
        <f t="shared" si="896"/>
        <v>0</v>
      </c>
      <c r="AW403" s="78">
        <f t="shared" si="896"/>
        <v>0</v>
      </c>
      <c r="AX403" s="78">
        <f t="shared" si="896"/>
        <v>0</v>
      </c>
      <c r="AY403" s="78">
        <f t="shared" ref="AY403:CD403" si="897">MIN(-MIN(AY108,),-AY309)</f>
        <v>0</v>
      </c>
      <c r="AZ403" s="78">
        <f t="shared" si="897"/>
        <v>0</v>
      </c>
      <c r="BA403" s="78">
        <f t="shared" si="897"/>
        <v>0</v>
      </c>
      <c r="BB403" s="78">
        <f t="shared" si="897"/>
        <v>0</v>
      </c>
      <c r="BC403" s="78">
        <f t="shared" si="897"/>
        <v>0</v>
      </c>
      <c r="BD403" s="78">
        <f t="shared" si="897"/>
        <v>0</v>
      </c>
      <c r="BE403" s="78">
        <f t="shared" si="897"/>
        <v>0</v>
      </c>
      <c r="BF403" s="78">
        <f t="shared" si="897"/>
        <v>0</v>
      </c>
      <c r="BG403" s="78">
        <f t="shared" si="897"/>
        <v>0</v>
      </c>
      <c r="BH403" s="78">
        <f t="shared" si="897"/>
        <v>0</v>
      </c>
      <c r="BI403" s="78">
        <f t="shared" si="897"/>
        <v>0</v>
      </c>
      <c r="BJ403" s="78">
        <f t="shared" si="897"/>
        <v>0</v>
      </c>
      <c r="BK403" s="78">
        <f t="shared" si="897"/>
        <v>0</v>
      </c>
      <c r="BL403" s="78">
        <f t="shared" si="897"/>
        <v>0</v>
      </c>
      <c r="BM403" s="78">
        <f t="shared" si="897"/>
        <v>0</v>
      </c>
      <c r="BN403" s="78">
        <f t="shared" si="897"/>
        <v>0</v>
      </c>
      <c r="BO403" s="78">
        <f t="shared" si="897"/>
        <v>0</v>
      </c>
      <c r="BP403" s="78">
        <f t="shared" si="897"/>
        <v>0</v>
      </c>
      <c r="BQ403" s="78">
        <f t="shared" si="897"/>
        <v>0</v>
      </c>
      <c r="BR403" s="78">
        <f t="shared" si="897"/>
        <v>0</v>
      </c>
      <c r="BS403" s="78">
        <f t="shared" si="897"/>
        <v>0</v>
      </c>
      <c r="BT403" s="78">
        <f t="shared" si="897"/>
        <v>0</v>
      </c>
      <c r="BU403" s="78">
        <f t="shared" si="897"/>
        <v>0</v>
      </c>
      <c r="BV403" s="78">
        <f t="shared" si="897"/>
        <v>0</v>
      </c>
      <c r="BW403" s="78">
        <f t="shared" si="897"/>
        <v>0</v>
      </c>
      <c r="BX403" s="78">
        <f t="shared" si="897"/>
        <v>0</v>
      </c>
      <c r="BY403" s="78">
        <f t="shared" si="897"/>
        <v>0</v>
      </c>
      <c r="BZ403" s="78">
        <f t="shared" si="897"/>
        <v>0</v>
      </c>
      <c r="CA403" s="78">
        <f t="shared" si="897"/>
        <v>0</v>
      </c>
      <c r="CB403" s="78">
        <f t="shared" si="897"/>
        <v>0</v>
      </c>
      <c r="CC403" s="78">
        <f t="shared" si="897"/>
        <v>0</v>
      </c>
      <c r="CD403" s="78">
        <f t="shared" si="897"/>
        <v>0</v>
      </c>
      <c r="CE403" s="78">
        <f t="shared" ref="CE403:DJ403" si="898">MIN(-MIN(CE108,),-CE309)</f>
        <v>0</v>
      </c>
      <c r="CF403" s="78">
        <f t="shared" si="898"/>
        <v>0</v>
      </c>
      <c r="CG403" s="78">
        <f t="shared" si="898"/>
        <v>0</v>
      </c>
      <c r="CH403" s="78">
        <f t="shared" si="898"/>
        <v>0</v>
      </c>
      <c r="CI403" s="78">
        <f t="shared" si="898"/>
        <v>0</v>
      </c>
      <c r="CJ403" s="78">
        <f t="shared" si="898"/>
        <v>0</v>
      </c>
      <c r="CK403" s="78">
        <f t="shared" si="898"/>
        <v>0</v>
      </c>
      <c r="CL403" s="78">
        <f t="shared" si="898"/>
        <v>0</v>
      </c>
      <c r="CM403" s="78">
        <f t="shared" si="898"/>
        <v>0</v>
      </c>
      <c r="CN403" s="78">
        <f t="shared" si="898"/>
        <v>0</v>
      </c>
      <c r="CO403" s="78">
        <f t="shared" si="898"/>
        <v>0</v>
      </c>
      <c r="CP403" s="78">
        <f t="shared" si="898"/>
        <v>0</v>
      </c>
      <c r="CQ403" s="78">
        <f t="shared" si="898"/>
        <v>0</v>
      </c>
      <c r="CR403" s="78">
        <f t="shared" si="898"/>
        <v>0</v>
      </c>
      <c r="CS403" s="78">
        <f t="shared" si="898"/>
        <v>0</v>
      </c>
      <c r="CT403" s="78">
        <f t="shared" si="898"/>
        <v>0</v>
      </c>
      <c r="CU403" s="78">
        <f t="shared" si="898"/>
        <v>0</v>
      </c>
      <c r="CV403" s="78">
        <f t="shared" si="898"/>
        <v>0</v>
      </c>
      <c r="CW403" s="78">
        <f t="shared" si="898"/>
        <v>0</v>
      </c>
      <c r="CX403" s="78">
        <f t="shared" si="898"/>
        <v>0</v>
      </c>
      <c r="CY403" s="78">
        <f t="shared" si="898"/>
        <v>0</v>
      </c>
      <c r="CZ403" s="78">
        <f t="shared" si="898"/>
        <v>0</v>
      </c>
      <c r="DA403" s="78">
        <f t="shared" si="898"/>
        <v>0</v>
      </c>
      <c r="DB403" s="78">
        <f t="shared" si="898"/>
        <v>0</v>
      </c>
      <c r="DC403" s="78">
        <f t="shared" si="898"/>
        <v>0</v>
      </c>
      <c r="DD403" s="78">
        <f t="shared" si="898"/>
        <v>0</v>
      </c>
      <c r="DE403" s="78">
        <f t="shared" si="898"/>
        <v>0</v>
      </c>
      <c r="DF403" s="78">
        <f t="shared" si="898"/>
        <v>0</v>
      </c>
      <c r="DG403" s="78">
        <f t="shared" si="898"/>
        <v>0</v>
      </c>
      <c r="DH403" s="78">
        <f t="shared" si="898"/>
        <v>0</v>
      </c>
      <c r="DI403" s="78">
        <f t="shared" si="898"/>
        <v>0</v>
      </c>
      <c r="DJ403" s="78">
        <f t="shared" si="898"/>
        <v>0</v>
      </c>
      <c r="DK403" s="78">
        <f t="shared" ref="DK403:EI403" si="899">MIN(-MIN(DK108,),-DK309)</f>
        <v>0</v>
      </c>
      <c r="DL403" s="78">
        <f t="shared" si="899"/>
        <v>0</v>
      </c>
      <c r="DM403" s="78">
        <f t="shared" si="899"/>
        <v>0</v>
      </c>
      <c r="DN403" s="78">
        <f t="shared" si="899"/>
        <v>0</v>
      </c>
      <c r="DO403" s="78">
        <f t="shared" si="899"/>
        <v>0</v>
      </c>
      <c r="DP403" s="78">
        <f t="shared" si="899"/>
        <v>0</v>
      </c>
      <c r="DQ403" s="78">
        <f t="shared" si="899"/>
        <v>0</v>
      </c>
      <c r="DR403" s="78">
        <f t="shared" si="899"/>
        <v>0</v>
      </c>
      <c r="DS403" s="78">
        <f t="shared" si="899"/>
        <v>0</v>
      </c>
      <c r="DT403" s="78">
        <f t="shared" si="899"/>
        <v>0</v>
      </c>
      <c r="DU403" s="78">
        <f t="shared" si="899"/>
        <v>0</v>
      </c>
      <c r="DV403" s="78">
        <f t="shared" si="899"/>
        <v>0</v>
      </c>
      <c r="DW403" s="78">
        <f t="shared" si="899"/>
        <v>0</v>
      </c>
      <c r="DX403" s="78">
        <f t="shared" si="899"/>
        <v>0</v>
      </c>
      <c r="DY403" s="78">
        <f t="shared" si="899"/>
        <v>0</v>
      </c>
      <c r="DZ403" s="78">
        <f t="shared" si="899"/>
        <v>0</v>
      </c>
      <c r="EA403" s="78">
        <f t="shared" si="899"/>
        <v>0</v>
      </c>
      <c r="EB403" s="78">
        <f t="shared" si="899"/>
        <v>0</v>
      </c>
      <c r="EC403" s="78">
        <f t="shared" si="899"/>
        <v>0</v>
      </c>
      <c r="ED403" s="78">
        <f t="shared" si="899"/>
        <v>0</v>
      </c>
      <c r="EE403" s="78">
        <f t="shared" si="899"/>
        <v>0</v>
      </c>
      <c r="EF403" s="78">
        <f t="shared" si="899"/>
        <v>0</v>
      </c>
      <c r="EG403" s="78">
        <f t="shared" si="899"/>
        <v>0</v>
      </c>
      <c r="EH403" s="78">
        <f t="shared" si="899"/>
        <v>0</v>
      </c>
      <c r="EI403" s="78">
        <f t="shared" si="899"/>
        <v>0</v>
      </c>
    </row>
    <row r="404" spans="2:139">
      <c r="B404" s="79" t="s">
        <v>674</v>
      </c>
      <c r="C404" s="211"/>
      <c r="D404" s="78">
        <f t="shared" ref="D404:N404" si="900">IF(IrrCalculationType=170,-D317-D318,SUMIF($S$6:$EI$6,D$5,$S404:$EI404))</f>
        <v>0</v>
      </c>
      <c r="E404" s="78">
        <f t="shared" si="900"/>
        <v>0</v>
      </c>
      <c r="F404" s="78">
        <f t="shared" si="900"/>
        <v>0</v>
      </c>
      <c r="G404" s="78">
        <f t="shared" si="900"/>
        <v>0</v>
      </c>
      <c r="H404" s="78">
        <f t="shared" si="900"/>
        <v>0</v>
      </c>
      <c r="I404" s="78">
        <f t="shared" si="900"/>
        <v>0</v>
      </c>
      <c r="J404" s="78">
        <f t="shared" si="900"/>
        <v>0</v>
      </c>
      <c r="K404" s="78">
        <f t="shared" si="900"/>
        <v>0</v>
      </c>
      <c r="L404" s="78">
        <f t="shared" si="900"/>
        <v>0</v>
      </c>
      <c r="M404" s="78">
        <f t="shared" si="900"/>
        <v>0</v>
      </c>
      <c r="N404" s="78">
        <f t="shared" si="900"/>
        <v>0</v>
      </c>
      <c r="O404" s="145">
        <f>SUM(D404:N404)</f>
        <v>0</v>
      </c>
      <c r="R404" s="201"/>
      <c r="S404" s="78">
        <f t="shared" ref="S404:AX404" si="901">-S317-S318</f>
        <v>0</v>
      </c>
      <c r="T404" s="78">
        <f t="shared" si="901"/>
        <v>0</v>
      </c>
      <c r="U404" s="78">
        <f t="shared" si="901"/>
        <v>0</v>
      </c>
      <c r="V404" s="78">
        <f t="shared" si="901"/>
        <v>0</v>
      </c>
      <c r="W404" s="78">
        <f t="shared" si="901"/>
        <v>0</v>
      </c>
      <c r="X404" s="78">
        <f t="shared" si="901"/>
        <v>0</v>
      </c>
      <c r="Y404" s="78">
        <f t="shared" si="901"/>
        <v>0</v>
      </c>
      <c r="Z404" s="78">
        <f t="shared" si="901"/>
        <v>0</v>
      </c>
      <c r="AA404" s="78">
        <f t="shared" si="901"/>
        <v>0</v>
      </c>
      <c r="AB404" s="78">
        <f t="shared" si="901"/>
        <v>0</v>
      </c>
      <c r="AC404" s="78">
        <f t="shared" si="901"/>
        <v>0</v>
      </c>
      <c r="AD404" s="78">
        <f t="shared" si="901"/>
        <v>0</v>
      </c>
      <c r="AE404" s="78">
        <f t="shared" si="901"/>
        <v>0</v>
      </c>
      <c r="AF404" s="78">
        <f t="shared" si="901"/>
        <v>0</v>
      </c>
      <c r="AG404" s="78">
        <f t="shared" si="901"/>
        <v>0</v>
      </c>
      <c r="AH404" s="78">
        <f t="shared" si="901"/>
        <v>0</v>
      </c>
      <c r="AI404" s="78">
        <f t="shared" si="901"/>
        <v>0</v>
      </c>
      <c r="AJ404" s="78">
        <f t="shared" si="901"/>
        <v>0</v>
      </c>
      <c r="AK404" s="78">
        <f t="shared" si="901"/>
        <v>0</v>
      </c>
      <c r="AL404" s="78">
        <f t="shared" si="901"/>
        <v>0</v>
      </c>
      <c r="AM404" s="78">
        <f t="shared" si="901"/>
        <v>0</v>
      </c>
      <c r="AN404" s="78">
        <f t="shared" si="901"/>
        <v>0</v>
      </c>
      <c r="AO404" s="78">
        <f t="shared" si="901"/>
        <v>0</v>
      </c>
      <c r="AP404" s="78">
        <f t="shared" si="901"/>
        <v>0</v>
      </c>
      <c r="AQ404" s="78">
        <f t="shared" si="901"/>
        <v>0</v>
      </c>
      <c r="AR404" s="78">
        <f t="shared" si="901"/>
        <v>0</v>
      </c>
      <c r="AS404" s="78">
        <f t="shared" si="901"/>
        <v>0</v>
      </c>
      <c r="AT404" s="78">
        <f t="shared" si="901"/>
        <v>0</v>
      </c>
      <c r="AU404" s="78">
        <f t="shared" si="901"/>
        <v>0</v>
      </c>
      <c r="AV404" s="78">
        <f t="shared" si="901"/>
        <v>0</v>
      </c>
      <c r="AW404" s="78">
        <f t="shared" si="901"/>
        <v>0</v>
      </c>
      <c r="AX404" s="78">
        <f t="shared" si="901"/>
        <v>0</v>
      </c>
      <c r="AY404" s="78">
        <f t="shared" ref="AY404:CD404" si="902">-AY317-AY318</f>
        <v>0</v>
      </c>
      <c r="AZ404" s="78">
        <f t="shared" si="902"/>
        <v>0</v>
      </c>
      <c r="BA404" s="78">
        <f t="shared" si="902"/>
        <v>0</v>
      </c>
      <c r="BB404" s="78">
        <f t="shared" si="902"/>
        <v>0</v>
      </c>
      <c r="BC404" s="78">
        <f t="shared" si="902"/>
        <v>0</v>
      </c>
      <c r="BD404" s="78">
        <f t="shared" si="902"/>
        <v>0</v>
      </c>
      <c r="BE404" s="78">
        <f t="shared" si="902"/>
        <v>0</v>
      </c>
      <c r="BF404" s="78">
        <f t="shared" si="902"/>
        <v>0</v>
      </c>
      <c r="BG404" s="78">
        <f t="shared" si="902"/>
        <v>0</v>
      </c>
      <c r="BH404" s="78">
        <f t="shared" si="902"/>
        <v>0</v>
      </c>
      <c r="BI404" s="78">
        <f t="shared" si="902"/>
        <v>0</v>
      </c>
      <c r="BJ404" s="78">
        <f t="shared" si="902"/>
        <v>0</v>
      </c>
      <c r="BK404" s="78">
        <f t="shared" si="902"/>
        <v>0</v>
      </c>
      <c r="BL404" s="78">
        <f t="shared" si="902"/>
        <v>0</v>
      </c>
      <c r="BM404" s="78">
        <f t="shared" si="902"/>
        <v>0</v>
      </c>
      <c r="BN404" s="78">
        <f t="shared" si="902"/>
        <v>0</v>
      </c>
      <c r="BO404" s="78">
        <f t="shared" si="902"/>
        <v>0</v>
      </c>
      <c r="BP404" s="78">
        <f t="shared" si="902"/>
        <v>0</v>
      </c>
      <c r="BQ404" s="78">
        <f t="shared" si="902"/>
        <v>0</v>
      </c>
      <c r="BR404" s="78">
        <f t="shared" si="902"/>
        <v>0</v>
      </c>
      <c r="BS404" s="78">
        <f t="shared" si="902"/>
        <v>0</v>
      </c>
      <c r="BT404" s="78">
        <f t="shared" si="902"/>
        <v>0</v>
      </c>
      <c r="BU404" s="78">
        <f t="shared" si="902"/>
        <v>0</v>
      </c>
      <c r="BV404" s="78">
        <f t="shared" si="902"/>
        <v>0</v>
      </c>
      <c r="BW404" s="78">
        <f t="shared" si="902"/>
        <v>0</v>
      </c>
      <c r="BX404" s="78">
        <f t="shared" si="902"/>
        <v>0</v>
      </c>
      <c r="BY404" s="78">
        <f t="shared" si="902"/>
        <v>0</v>
      </c>
      <c r="BZ404" s="78">
        <f t="shared" si="902"/>
        <v>0</v>
      </c>
      <c r="CA404" s="78">
        <f t="shared" si="902"/>
        <v>0</v>
      </c>
      <c r="CB404" s="78">
        <f t="shared" si="902"/>
        <v>0</v>
      </c>
      <c r="CC404" s="78">
        <f t="shared" si="902"/>
        <v>0</v>
      </c>
      <c r="CD404" s="78">
        <f t="shared" si="902"/>
        <v>0</v>
      </c>
      <c r="CE404" s="78">
        <f t="shared" ref="CE404:DJ404" si="903">-CE317-CE318</f>
        <v>0</v>
      </c>
      <c r="CF404" s="78">
        <f t="shared" si="903"/>
        <v>0</v>
      </c>
      <c r="CG404" s="78">
        <f t="shared" si="903"/>
        <v>0</v>
      </c>
      <c r="CH404" s="78">
        <f t="shared" si="903"/>
        <v>0</v>
      </c>
      <c r="CI404" s="78">
        <f t="shared" si="903"/>
        <v>0</v>
      </c>
      <c r="CJ404" s="78">
        <f t="shared" si="903"/>
        <v>0</v>
      </c>
      <c r="CK404" s="78">
        <f t="shared" si="903"/>
        <v>0</v>
      </c>
      <c r="CL404" s="78">
        <f t="shared" si="903"/>
        <v>0</v>
      </c>
      <c r="CM404" s="78">
        <f t="shared" si="903"/>
        <v>0</v>
      </c>
      <c r="CN404" s="78">
        <f t="shared" si="903"/>
        <v>0</v>
      </c>
      <c r="CO404" s="78">
        <f t="shared" si="903"/>
        <v>0</v>
      </c>
      <c r="CP404" s="78">
        <f t="shared" si="903"/>
        <v>0</v>
      </c>
      <c r="CQ404" s="78">
        <f t="shared" si="903"/>
        <v>0</v>
      </c>
      <c r="CR404" s="78">
        <f t="shared" si="903"/>
        <v>0</v>
      </c>
      <c r="CS404" s="78">
        <f t="shared" si="903"/>
        <v>0</v>
      </c>
      <c r="CT404" s="78">
        <f t="shared" si="903"/>
        <v>0</v>
      </c>
      <c r="CU404" s="78">
        <f t="shared" si="903"/>
        <v>0</v>
      </c>
      <c r="CV404" s="78">
        <f t="shared" si="903"/>
        <v>0</v>
      </c>
      <c r="CW404" s="78">
        <f t="shared" si="903"/>
        <v>0</v>
      </c>
      <c r="CX404" s="78">
        <f t="shared" si="903"/>
        <v>0</v>
      </c>
      <c r="CY404" s="78">
        <f t="shared" si="903"/>
        <v>0</v>
      </c>
      <c r="CZ404" s="78">
        <f t="shared" si="903"/>
        <v>0</v>
      </c>
      <c r="DA404" s="78">
        <f t="shared" si="903"/>
        <v>0</v>
      </c>
      <c r="DB404" s="78">
        <f t="shared" si="903"/>
        <v>0</v>
      </c>
      <c r="DC404" s="78">
        <f t="shared" si="903"/>
        <v>0</v>
      </c>
      <c r="DD404" s="78">
        <f t="shared" si="903"/>
        <v>0</v>
      </c>
      <c r="DE404" s="78">
        <f t="shared" si="903"/>
        <v>0</v>
      </c>
      <c r="DF404" s="78">
        <f t="shared" si="903"/>
        <v>0</v>
      </c>
      <c r="DG404" s="78">
        <f t="shared" si="903"/>
        <v>0</v>
      </c>
      <c r="DH404" s="78">
        <f t="shared" si="903"/>
        <v>0</v>
      </c>
      <c r="DI404" s="78">
        <f t="shared" si="903"/>
        <v>0</v>
      </c>
      <c r="DJ404" s="78">
        <f t="shared" si="903"/>
        <v>0</v>
      </c>
      <c r="DK404" s="78">
        <f t="shared" ref="DK404:EI404" si="904">-DK317-DK318</f>
        <v>0</v>
      </c>
      <c r="DL404" s="78">
        <f t="shared" si="904"/>
        <v>0</v>
      </c>
      <c r="DM404" s="78">
        <f t="shared" si="904"/>
        <v>0</v>
      </c>
      <c r="DN404" s="78">
        <f t="shared" si="904"/>
        <v>0</v>
      </c>
      <c r="DO404" s="78">
        <f t="shared" si="904"/>
        <v>0</v>
      </c>
      <c r="DP404" s="78">
        <f t="shared" si="904"/>
        <v>0</v>
      </c>
      <c r="DQ404" s="78">
        <f t="shared" si="904"/>
        <v>0</v>
      </c>
      <c r="DR404" s="78">
        <f t="shared" si="904"/>
        <v>0</v>
      </c>
      <c r="DS404" s="78">
        <f t="shared" si="904"/>
        <v>0</v>
      </c>
      <c r="DT404" s="78">
        <f t="shared" si="904"/>
        <v>0</v>
      </c>
      <c r="DU404" s="78">
        <f t="shared" si="904"/>
        <v>0</v>
      </c>
      <c r="DV404" s="78">
        <f t="shared" si="904"/>
        <v>0</v>
      </c>
      <c r="DW404" s="78">
        <f t="shared" si="904"/>
        <v>0</v>
      </c>
      <c r="DX404" s="78">
        <f t="shared" si="904"/>
        <v>0</v>
      </c>
      <c r="DY404" s="78">
        <f t="shared" si="904"/>
        <v>0</v>
      </c>
      <c r="DZ404" s="78">
        <f t="shared" si="904"/>
        <v>0</v>
      </c>
      <c r="EA404" s="78">
        <f t="shared" si="904"/>
        <v>0</v>
      </c>
      <c r="EB404" s="78">
        <f t="shared" si="904"/>
        <v>0</v>
      </c>
      <c r="EC404" s="78">
        <f t="shared" si="904"/>
        <v>0</v>
      </c>
      <c r="ED404" s="78">
        <f t="shared" si="904"/>
        <v>0</v>
      </c>
      <c r="EE404" s="78">
        <f t="shared" si="904"/>
        <v>0</v>
      </c>
      <c r="EF404" s="78">
        <f t="shared" si="904"/>
        <v>0</v>
      </c>
      <c r="EG404" s="78">
        <f t="shared" si="904"/>
        <v>0</v>
      </c>
      <c r="EH404" s="78">
        <f t="shared" si="904"/>
        <v>0</v>
      </c>
      <c r="EI404" s="78">
        <f t="shared" si="904"/>
        <v>0</v>
      </c>
    </row>
    <row r="405" spans="2:139">
      <c r="B405" s="41" t="s">
        <v>675</v>
      </c>
      <c r="C405" s="211"/>
      <c r="D405" s="78">
        <f t="shared" ref="D405:O405" si="905">SUBTOTAL(9,D406:D407)</f>
        <v>0</v>
      </c>
      <c r="E405" s="78">
        <f t="shared" si="905"/>
        <v>0</v>
      </c>
      <c r="F405" s="78">
        <f t="shared" si="905"/>
        <v>0</v>
      </c>
      <c r="G405" s="78">
        <f t="shared" si="905"/>
        <v>0</v>
      </c>
      <c r="H405" s="78">
        <f t="shared" si="905"/>
        <v>0</v>
      </c>
      <c r="I405" s="78">
        <f t="shared" si="905"/>
        <v>0</v>
      </c>
      <c r="J405" s="78">
        <f t="shared" si="905"/>
        <v>0</v>
      </c>
      <c r="K405" s="78">
        <f t="shared" si="905"/>
        <v>0</v>
      </c>
      <c r="L405" s="78">
        <f t="shared" si="905"/>
        <v>0</v>
      </c>
      <c r="M405" s="78">
        <f t="shared" si="905"/>
        <v>0</v>
      </c>
      <c r="N405" s="78">
        <f t="shared" si="905"/>
        <v>0</v>
      </c>
      <c r="O405" s="145">
        <f t="shared" si="905"/>
        <v>0</v>
      </c>
      <c r="R405" s="201"/>
      <c r="S405" s="78">
        <f t="shared" ref="S405:AX405" si="906">SUBTOTAL(9,S406:S407)</f>
        <v>0</v>
      </c>
      <c r="T405" s="78">
        <f t="shared" si="906"/>
        <v>0</v>
      </c>
      <c r="U405" s="78">
        <f t="shared" si="906"/>
        <v>0</v>
      </c>
      <c r="V405" s="78">
        <f t="shared" si="906"/>
        <v>0</v>
      </c>
      <c r="W405" s="78">
        <f t="shared" si="906"/>
        <v>0</v>
      </c>
      <c r="X405" s="78">
        <f t="shared" si="906"/>
        <v>0</v>
      </c>
      <c r="Y405" s="78">
        <f t="shared" si="906"/>
        <v>0</v>
      </c>
      <c r="Z405" s="78">
        <f t="shared" si="906"/>
        <v>0</v>
      </c>
      <c r="AA405" s="78">
        <f t="shared" si="906"/>
        <v>0</v>
      </c>
      <c r="AB405" s="78">
        <f t="shared" si="906"/>
        <v>0</v>
      </c>
      <c r="AC405" s="78">
        <f t="shared" si="906"/>
        <v>0</v>
      </c>
      <c r="AD405" s="78">
        <f t="shared" si="906"/>
        <v>0</v>
      </c>
      <c r="AE405" s="78">
        <f t="shared" si="906"/>
        <v>0</v>
      </c>
      <c r="AF405" s="78">
        <f t="shared" si="906"/>
        <v>0</v>
      </c>
      <c r="AG405" s="78">
        <f t="shared" si="906"/>
        <v>0</v>
      </c>
      <c r="AH405" s="78">
        <f t="shared" si="906"/>
        <v>0</v>
      </c>
      <c r="AI405" s="78">
        <f t="shared" si="906"/>
        <v>0</v>
      </c>
      <c r="AJ405" s="78">
        <f t="shared" si="906"/>
        <v>0</v>
      </c>
      <c r="AK405" s="78">
        <f t="shared" si="906"/>
        <v>0</v>
      </c>
      <c r="AL405" s="78">
        <f t="shared" si="906"/>
        <v>0</v>
      </c>
      <c r="AM405" s="78">
        <f t="shared" si="906"/>
        <v>0</v>
      </c>
      <c r="AN405" s="78">
        <f t="shared" si="906"/>
        <v>0</v>
      </c>
      <c r="AO405" s="78">
        <f t="shared" si="906"/>
        <v>0</v>
      </c>
      <c r="AP405" s="78">
        <f t="shared" si="906"/>
        <v>0</v>
      </c>
      <c r="AQ405" s="78">
        <f t="shared" si="906"/>
        <v>0</v>
      </c>
      <c r="AR405" s="78">
        <f t="shared" si="906"/>
        <v>0</v>
      </c>
      <c r="AS405" s="78">
        <f t="shared" si="906"/>
        <v>0</v>
      </c>
      <c r="AT405" s="78">
        <f t="shared" si="906"/>
        <v>0</v>
      </c>
      <c r="AU405" s="78">
        <f t="shared" si="906"/>
        <v>0</v>
      </c>
      <c r="AV405" s="78">
        <f t="shared" si="906"/>
        <v>0</v>
      </c>
      <c r="AW405" s="78">
        <f t="shared" si="906"/>
        <v>0</v>
      </c>
      <c r="AX405" s="78">
        <f t="shared" si="906"/>
        <v>0</v>
      </c>
      <c r="AY405" s="78">
        <f t="shared" ref="AY405:CD405" si="907">SUBTOTAL(9,AY406:AY407)</f>
        <v>0</v>
      </c>
      <c r="AZ405" s="78">
        <f t="shared" si="907"/>
        <v>0</v>
      </c>
      <c r="BA405" s="78">
        <f t="shared" si="907"/>
        <v>0</v>
      </c>
      <c r="BB405" s="78">
        <f t="shared" si="907"/>
        <v>0</v>
      </c>
      <c r="BC405" s="78">
        <f t="shared" si="907"/>
        <v>0</v>
      </c>
      <c r="BD405" s="78">
        <f t="shared" si="907"/>
        <v>0</v>
      </c>
      <c r="BE405" s="78">
        <f t="shared" si="907"/>
        <v>0</v>
      </c>
      <c r="BF405" s="78">
        <f t="shared" si="907"/>
        <v>0</v>
      </c>
      <c r="BG405" s="78">
        <f t="shared" si="907"/>
        <v>0</v>
      </c>
      <c r="BH405" s="78">
        <f t="shared" si="907"/>
        <v>0</v>
      </c>
      <c r="BI405" s="78">
        <f t="shared" si="907"/>
        <v>0</v>
      </c>
      <c r="BJ405" s="78">
        <f t="shared" si="907"/>
        <v>0</v>
      </c>
      <c r="BK405" s="78">
        <f t="shared" si="907"/>
        <v>0</v>
      </c>
      <c r="BL405" s="78">
        <f t="shared" si="907"/>
        <v>0</v>
      </c>
      <c r="BM405" s="78">
        <f t="shared" si="907"/>
        <v>0</v>
      </c>
      <c r="BN405" s="78">
        <f t="shared" si="907"/>
        <v>0</v>
      </c>
      <c r="BO405" s="78">
        <f t="shared" si="907"/>
        <v>0</v>
      </c>
      <c r="BP405" s="78">
        <f t="shared" si="907"/>
        <v>0</v>
      </c>
      <c r="BQ405" s="78">
        <f t="shared" si="907"/>
        <v>0</v>
      </c>
      <c r="BR405" s="78">
        <f t="shared" si="907"/>
        <v>0</v>
      </c>
      <c r="BS405" s="78">
        <f t="shared" si="907"/>
        <v>0</v>
      </c>
      <c r="BT405" s="78">
        <f t="shared" si="907"/>
        <v>0</v>
      </c>
      <c r="BU405" s="78">
        <f t="shared" si="907"/>
        <v>0</v>
      </c>
      <c r="BV405" s="78">
        <f t="shared" si="907"/>
        <v>0</v>
      </c>
      <c r="BW405" s="78">
        <f t="shared" si="907"/>
        <v>0</v>
      </c>
      <c r="BX405" s="78">
        <f t="shared" si="907"/>
        <v>0</v>
      </c>
      <c r="BY405" s="78">
        <f t="shared" si="907"/>
        <v>0</v>
      </c>
      <c r="BZ405" s="78">
        <f t="shared" si="907"/>
        <v>0</v>
      </c>
      <c r="CA405" s="78">
        <f t="shared" si="907"/>
        <v>0</v>
      </c>
      <c r="CB405" s="78">
        <f t="shared" si="907"/>
        <v>0</v>
      </c>
      <c r="CC405" s="78">
        <f t="shared" si="907"/>
        <v>0</v>
      </c>
      <c r="CD405" s="78">
        <f t="shared" si="907"/>
        <v>0</v>
      </c>
      <c r="CE405" s="78">
        <f t="shared" ref="CE405:DJ405" si="908">SUBTOTAL(9,CE406:CE407)</f>
        <v>0</v>
      </c>
      <c r="CF405" s="78">
        <f t="shared" si="908"/>
        <v>0</v>
      </c>
      <c r="CG405" s="78">
        <f t="shared" si="908"/>
        <v>0</v>
      </c>
      <c r="CH405" s="78">
        <f t="shared" si="908"/>
        <v>0</v>
      </c>
      <c r="CI405" s="78">
        <f t="shared" si="908"/>
        <v>0</v>
      </c>
      <c r="CJ405" s="78">
        <f t="shared" si="908"/>
        <v>0</v>
      </c>
      <c r="CK405" s="78">
        <f t="shared" si="908"/>
        <v>0</v>
      </c>
      <c r="CL405" s="78">
        <f t="shared" si="908"/>
        <v>0</v>
      </c>
      <c r="CM405" s="78">
        <f t="shared" si="908"/>
        <v>0</v>
      </c>
      <c r="CN405" s="78">
        <f t="shared" si="908"/>
        <v>0</v>
      </c>
      <c r="CO405" s="78">
        <f t="shared" si="908"/>
        <v>0</v>
      </c>
      <c r="CP405" s="78">
        <f t="shared" si="908"/>
        <v>0</v>
      </c>
      <c r="CQ405" s="78">
        <f t="shared" si="908"/>
        <v>0</v>
      </c>
      <c r="CR405" s="78">
        <f t="shared" si="908"/>
        <v>0</v>
      </c>
      <c r="CS405" s="78">
        <f t="shared" si="908"/>
        <v>0</v>
      </c>
      <c r="CT405" s="78">
        <f t="shared" si="908"/>
        <v>0</v>
      </c>
      <c r="CU405" s="78">
        <f t="shared" si="908"/>
        <v>0</v>
      </c>
      <c r="CV405" s="78">
        <f t="shared" si="908"/>
        <v>0</v>
      </c>
      <c r="CW405" s="78">
        <f t="shared" si="908"/>
        <v>0</v>
      </c>
      <c r="CX405" s="78">
        <f t="shared" si="908"/>
        <v>0</v>
      </c>
      <c r="CY405" s="78">
        <f t="shared" si="908"/>
        <v>0</v>
      </c>
      <c r="CZ405" s="78">
        <f t="shared" si="908"/>
        <v>0</v>
      </c>
      <c r="DA405" s="78">
        <f t="shared" si="908"/>
        <v>0</v>
      </c>
      <c r="DB405" s="78">
        <f t="shared" si="908"/>
        <v>0</v>
      </c>
      <c r="DC405" s="78">
        <f t="shared" si="908"/>
        <v>0</v>
      </c>
      <c r="DD405" s="78">
        <f t="shared" si="908"/>
        <v>0</v>
      </c>
      <c r="DE405" s="78">
        <f t="shared" si="908"/>
        <v>0</v>
      </c>
      <c r="DF405" s="78">
        <f t="shared" si="908"/>
        <v>0</v>
      </c>
      <c r="DG405" s="78">
        <f t="shared" si="908"/>
        <v>0</v>
      </c>
      <c r="DH405" s="78">
        <f t="shared" si="908"/>
        <v>0</v>
      </c>
      <c r="DI405" s="78">
        <f t="shared" si="908"/>
        <v>0</v>
      </c>
      <c r="DJ405" s="78">
        <f t="shared" si="908"/>
        <v>0</v>
      </c>
      <c r="DK405" s="78">
        <f t="shared" ref="DK405:EP405" si="909">SUBTOTAL(9,DK406:DK407)</f>
        <v>0</v>
      </c>
      <c r="DL405" s="78">
        <f t="shared" si="909"/>
        <v>0</v>
      </c>
      <c r="DM405" s="78">
        <f t="shared" si="909"/>
        <v>0</v>
      </c>
      <c r="DN405" s="78">
        <f t="shared" si="909"/>
        <v>0</v>
      </c>
      <c r="DO405" s="78">
        <f t="shared" si="909"/>
        <v>0</v>
      </c>
      <c r="DP405" s="78">
        <f t="shared" si="909"/>
        <v>0</v>
      </c>
      <c r="DQ405" s="78">
        <f t="shared" si="909"/>
        <v>0</v>
      </c>
      <c r="DR405" s="78">
        <f t="shared" si="909"/>
        <v>0</v>
      </c>
      <c r="DS405" s="78">
        <f t="shared" si="909"/>
        <v>0</v>
      </c>
      <c r="DT405" s="78">
        <f t="shared" si="909"/>
        <v>0</v>
      </c>
      <c r="DU405" s="78">
        <f t="shared" si="909"/>
        <v>0</v>
      </c>
      <c r="DV405" s="78">
        <f t="shared" si="909"/>
        <v>0</v>
      </c>
      <c r="DW405" s="78">
        <f t="shared" si="909"/>
        <v>0</v>
      </c>
      <c r="DX405" s="78">
        <f t="shared" si="909"/>
        <v>0</v>
      </c>
      <c r="DY405" s="78">
        <f t="shared" si="909"/>
        <v>0</v>
      </c>
      <c r="DZ405" s="78">
        <f t="shared" si="909"/>
        <v>0</v>
      </c>
      <c r="EA405" s="78">
        <f t="shared" si="909"/>
        <v>0</v>
      </c>
      <c r="EB405" s="78">
        <f t="shared" si="909"/>
        <v>0</v>
      </c>
      <c r="EC405" s="78">
        <f t="shared" si="909"/>
        <v>0</v>
      </c>
      <c r="ED405" s="78">
        <f t="shared" si="909"/>
        <v>0</v>
      </c>
      <c r="EE405" s="78">
        <f t="shared" si="909"/>
        <v>0</v>
      </c>
      <c r="EF405" s="78">
        <f t="shared" si="909"/>
        <v>0</v>
      </c>
      <c r="EG405" s="78">
        <f t="shared" si="909"/>
        <v>0</v>
      </c>
      <c r="EH405" s="78">
        <f t="shared" si="909"/>
        <v>0</v>
      </c>
      <c r="EI405" s="78">
        <f t="shared" si="909"/>
        <v>0</v>
      </c>
    </row>
    <row r="406" spans="2:139" hidden="1" outlineLevel="1">
      <c r="B406" s="79" t="s">
        <v>676</v>
      </c>
      <c r="C406" s="211"/>
      <c r="D406" s="78">
        <f t="shared" ref="D406:N406" si="910">IF(IrrCalculationType=170,D72,SUMIF($S$6:$EI$6,D$5,$S406:$EI406))</f>
        <v>0</v>
      </c>
      <c r="E406" s="78">
        <f t="shared" si="910"/>
        <v>0</v>
      </c>
      <c r="F406" s="78">
        <f t="shared" si="910"/>
        <v>0</v>
      </c>
      <c r="G406" s="78">
        <f t="shared" si="910"/>
        <v>0</v>
      </c>
      <c r="H406" s="78">
        <f t="shared" si="910"/>
        <v>0</v>
      </c>
      <c r="I406" s="78">
        <f t="shared" si="910"/>
        <v>0</v>
      </c>
      <c r="J406" s="78">
        <f t="shared" si="910"/>
        <v>0</v>
      </c>
      <c r="K406" s="78">
        <f t="shared" si="910"/>
        <v>0</v>
      </c>
      <c r="L406" s="78">
        <f t="shared" si="910"/>
        <v>0</v>
      </c>
      <c r="M406" s="78">
        <f t="shared" si="910"/>
        <v>0</v>
      </c>
      <c r="N406" s="78">
        <f t="shared" si="910"/>
        <v>0</v>
      </c>
      <c r="O406" s="145">
        <f>SUM(D406:N406)</f>
        <v>0</v>
      </c>
      <c r="R406" s="201"/>
      <c r="S406" s="78">
        <f t="shared" ref="S406:AX406" si="911">S72</f>
        <v>0</v>
      </c>
      <c r="T406" s="78">
        <f t="shared" si="911"/>
        <v>0</v>
      </c>
      <c r="U406" s="78">
        <f t="shared" si="911"/>
        <v>0</v>
      </c>
      <c r="V406" s="78">
        <f t="shared" si="911"/>
        <v>0</v>
      </c>
      <c r="W406" s="78">
        <f t="shared" si="911"/>
        <v>0</v>
      </c>
      <c r="X406" s="78">
        <f t="shared" si="911"/>
        <v>0</v>
      </c>
      <c r="Y406" s="78">
        <f t="shared" si="911"/>
        <v>0</v>
      </c>
      <c r="Z406" s="78">
        <f t="shared" si="911"/>
        <v>0</v>
      </c>
      <c r="AA406" s="78">
        <f t="shared" si="911"/>
        <v>0</v>
      </c>
      <c r="AB406" s="78">
        <f t="shared" si="911"/>
        <v>0</v>
      </c>
      <c r="AC406" s="78">
        <f t="shared" si="911"/>
        <v>0</v>
      </c>
      <c r="AD406" s="78">
        <f t="shared" si="911"/>
        <v>0</v>
      </c>
      <c r="AE406" s="78">
        <f t="shared" si="911"/>
        <v>0</v>
      </c>
      <c r="AF406" s="78">
        <f t="shared" si="911"/>
        <v>0</v>
      </c>
      <c r="AG406" s="78">
        <f t="shared" si="911"/>
        <v>0</v>
      </c>
      <c r="AH406" s="78">
        <f t="shared" si="911"/>
        <v>0</v>
      </c>
      <c r="AI406" s="78">
        <f t="shared" si="911"/>
        <v>0</v>
      </c>
      <c r="AJ406" s="78">
        <f t="shared" si="911"/>
        <v>0</v>
      </c>
      <c r="AK406" s="78">
        <f t="shared" si="911"/>
        <v>0</v>
      </c>
      <c r="AL406" s="78">
        <f t="shared" si="911"/>
        <v>0</v>
      </c>
      <c r="AM406" s="78">
        <f t="shared" si="911"/>
        <v>0</v>
      </c>
      <c r="AN406" s="78">
        <f t="shared" si="911"/>
        <v>0</v>
      </c>
      <c r="AO406" s="78">
        <f t="shared" si="911"/>
        <v>0</v>
      </c>
      <c r="AP406" s="78">
        <f t="shared" si="911"/>
        <v>0</v>
      </c>
      <c r="AQ406" s="78">
        <f t="shared" si="911"/>
        <v>0</v>
      </c>
      <c r="AR406" s="78">
        <f t="shared" si="911"/>
        <v>0</v>
      </c>
      <c r="AS406" s="78">
        <f t="shared" si="911"/>
        <v>0</v>
      </c>
      <c r="AT406" s="78">
        <f t="shared" si="911"/>
        <v>0</v>
      </c>
      <c r="AU406" s="78">
        <f t="shared" si="911"/>
        <v>0</v>
      </c>
      <c r="AV406" s="78">
        <f t="shared" si="911"/>
        <v>0</v>
      </c>
      <c r="AW406" s="78">
        <f t="shared" si="911"/>
        <v>0</v>
      </c>
      <c r="AX406" s="78">
        <f t="shared" si="911"/>
        <v>0</v>
      </c>
      <c r="AY406" s="78">
        <f t="shared" ref="AY406:CD406" si="912">AY72</f>
        <v>0</v>
      </c>
      <c r="AZ406" s="78">
        <f t="shared" si="912"/>
        <v>0</v>
      </c>
      <c r="BA406" s="78">
        <f t="shared" si="912"/>
        <v>0</v>
      </c>
      <c r="BB406" s="78">
        <f t="shared" si="912"/>
        <v>0</v>
      </c>
      <c r="BC406" s="78">
        <f t="shared" si="912"/>
        <v>0</v>
      </c>
      <c r="BD406" s="78">
        <f t="shared" si="912"/>
        <v>0</v>
      </c>
      <c r="BE406" s="78">
        <f t="shared" si="912"/>
        <v>0</v>
      </c>
      <c r="BF406" s="78">
        <f t="shared" si="912"/>
        <v>0</v>
      </c>
      <c r="BG406" s="78">
        <f t="shared" si="912"/>
        <v>0</v>
      </c>
      <c r="BH406" s="78">
        <f t="shared" si="912"/>
        <v>0</v>
      </c>
      <c r="BI406" s="78">
        <f t="shared" si="912"/>
        <v>0</v>
      </c>
      <c r="BJ406" s="78">
        <f t="shared" si="912"/>
        <v>0</v>
      </c>
      <c r="BK406" s="78">
        <f t="shared" si="912"/>
        <v>0</v>
      </c>
      <c r="BL406" s="78">
        <f t="shared" si="912"/>
        <v>0</v>
      </c>
      <c r="BM406" s="78">
        <f t="shared" si="912"/>
        <v>0</v>
      </c>
      <c r="BN406" s="78">
        <f t="shared" si="912"/>
        <v>0</v>
      </c>
      <c r="BO406" s="78">
        <f t="shared" si="912"/>
        <v>0</v>
      </c>
      <c r="BP406" s="78">
        <f t="shared" si="912"/>
        <v>0</v>
      </c>
      <c r="BQ406" s="78">
        <f t="shared" si="912"/>
        <v>0</v>
      </c>
      <c r="BR406" s="78">
        <f t="shared" si="912"/>
        <v>0</v>
      </c>
      <c r="BS406" s="78">
        <f t="shared" si="912"/>
        <v>0</v>
      </c>
      <c r="BT406" s="78">
        <f t="shared" si="912"/>
        <v>0</v>
      </c>
      <c r="BU406" s="78">
        <f t="shared" si="912"/>
        <v>0</v>
      </c>
      <c r="BV406" s="78">
        <f t="shared" si="912"/>
        <v>0</v>
      </c>
      <c r="BW406" s="78">
        <f t="shared" si="912"/>
        <v>0</v>
      </c>
      <c r="BX406" s="78">
        <f t="shared" si="912"/>
        <v>0</v>
      </c>
      <c r="BY406" s="78">
        <f t="shared" si="912"/>
        <v>0</v>
      </c>
      <c r="BZ406" s="78">
        <f t="shared" si="912"/>
        <v>0</v>
      </c>
      <c r="CA406" s="78">
        <f t="shared" si="912"/>
        <v>0</v>
      </c>
      <c r="CB406" s="78">
        <f t="shared" si="912"/>
        <v>0</v>
      </c>
      <c r="CC406" s="78">
        <f t="shared" si="912"/>
        <v>0</v>
      </c>
      <c r="CD406" s="78">
        <f t="shared" si="912"/>
        <v>0</v>
      </c>
      <c r="CE406" s="78">
        <f t="shared" ref="CE406:DJ406" si="913">CE72</f>
        <v>0</v>
      </c>
      <c r="CF406" s="78">
        <f t="shared" si="913"/>
        <v>0</v>
      </c>
      <c r="CG406" s="78">
        <f t="shared" si="913"/>
        <v>0</v>
      </c>
      <c r="CH406" s="78">
        <f t="shared" si="913"/>
        <v>0</v>
      </c>
      <c r="CI406" s="78">
        <f t="shared" si="913"/>
        <v>0</v>
      </c>
      <c r="CJ406" s="78">
        <f t="shared" si="913"/>
        <v>0</v>
      </c>
      <c r="CK406" s="78">
        <f t="shared" si="913"/>
        <v>0</v>
      </c>
      <c r="CL406" s="78">
        <f t="shared" si="913"/>
        <v>0</v>
      </c>
      <c r="CM406" s="78">
        <f t="shared" si="913"/>
        <v>0</v>
      </c>
      <c r="CN406" s="78">
        <f t="shared" si="913"/>
        <v>0</v>
      </c>
      <c r="CO406" s="78">
        <f t="shared" si="913"/>
        <v>0</v>
      </c>
      <c r="CP406" s="78">
        <f t="shared" si="913"/>
        <v>0</v>
      </c>
      <c r="CQ406" s="78">
        <f t="shared" si="913"/>
        <v>0</v>
      </c>
      <c r="CR406" s="78">
        <f t="shared" si="913"/>
        <v>0</v>
      </c>
      <c r="CS406" s="78">
        <f t="shared" si="913"/>
        <v>0</v>
      </c>
      <c r="CT406" s="78">
        <f t="shared" si="913"/>
        <v>0</v>
      </c>
      <c r="CU406" s="78">
        <f t="shared" si="913"/>
        <v>0</v>
      </c>
      <c r="CV406" s="78">
        <f t="shared" si="913"/>
        <v>0</v>
      </c>
      <c r="CW406" s="78">
        <f t="shared" si="913"/>
        <v>0</v>
      </c>
      <c r="CX406" s="78">
        <f t="shared" si="913"/>
        <v>0</v>
      </c>
      <c r="CY406" s="78">
        <f t="shared" si="913"/>
        <v>0</v>
      </c>
      <c r="CZ406" s="78">
        <f t="shared" si="913"/>
        <v>0</v>
      </c>
      <c r="DA406" s="78">
        <f t="shared" si="913"/>
        <v>0</v>
      </c>
      <c r="DB406" s="78">
        <f t="shared" si="913"/>
        <v>0</v>
      </c>
      <c r="DC406" s="78">
        <f t="shared" si="913"/>
        <v>0</v>
      </c>
      <c r="DD406" s="78">
        <f t="shared" si="913"/>
        <v>0</v>
      </c>
      <c r="DE406" s="78">
        <f t="shared" si="913"/>
        <v>0</v>
      </c>
      <c r="DF406" s="78">
        <f t="shared" si="913"/>
        <v>0</v>
      </c>
      <c r="DG406" s="78">
        <f t="shared" si="913"/>
        <v>0</v>
      </c>
      <c r="DH406" s="78">
        <f t="shared" si="913"/>
        <v>0</v>
      </c>
      <c r="DI406" s="78">
        <f t="shared" si="913"/>
        <v>0</v>
      </c>
      <c r="DJ406" s="78">
        <f t="shared" si="913"/>
        <v>0</v>
      </c>
      <c r="DK406" s="78">
        <f t="shared" ref="DK406:EI406" si="914">DK72</f>
        <v>0</v>
      </c>
      <c r="DL406" s="78">
        <f t="shared" si="914"/>
        <v>0</v>
      </c>
      <c r="DM406" s="78">
        <f t="shared" si="914"/>
        <v>0</v>
      </c>
      <c r="DN406" s="78">
        <f t="shared" si="914"/>
        <v>0</v>
      </c>
      <c r="DO406" s="78">
        <f t="shared" si="914"/>
        <v>0</v>
      </c>
      <c r="DP406" s="78">
        <f t="shared" si="914"/>
        <v>0</v>
      </c>
      <c r="DQ406" s="78">
        <f t="shared" si="914"/>
        <v>0</v>
      </c>
      <c r="DR406" s="78">
        <f t="shared" si="914"/>
        <v>0</v>
      </c>
      <c r="DS406" s="78">
        <f t="shared" si="914"/>
        <v>0</v>
      </c>
      <c r="DT406" s="78">
        <f t="shared" si="914"/>
        <v>0</v>
      </c>
      <c r="DU406" s="78">
        <f t="shared" si="914"/>
        <v>0</v>
      </c>
      <c r="DV406" s="78">
        <f t="shared" si="914"/>
        <v>0</v>
      </c>
      <c r="DW406" s="78">
        <f t="shared" si="914"/>
        <v>0</v>
      </c>
      <c r="DX406" s="78">
        <f t="shared" si="914"/>
        <v>0</v>
      </c>
      <c r="DY406" s="78">
        <f t="shared" si="914"/>
        <v>0</v>
      </c>
      <c r="DZ406" s="78">
        <f t="shared" si="914"/>
        <v>0</v>
      </c>
      <c r="EA406" s="78">
        <f t="shared" si="914"/>
        <v>0</v>
      </c>
      <c r="EB406" s="78">
        <f t="shared" si="914"/>
        <v>0</v>
      </c>
      <c r="EC406" s="78">
        <f t="shared" si="914"/>
        <v>0</v>
      </c>
      <c r="ED406" s="78">
        <f t="shared" si="914"/>
        <v>0</v>
      </c>
      <c r="EE406" s="78">
        <f t="shared" si="914"/>
        <v>0</v>
      </c>
      <c r="EF406" s="78">
        <f t="shared" si="914"/>
        <v>0</v>
      </c>
      <c r="EG406" s="78">
        <f t="shared" si="914"/>
        <v>0</v>
      </c>
      <c r="EH406" s="78">
        <f t="shared" si="914"/>
        <v>0</v>
      </c>
      <c r="EI406" s="78">
        <f t="shared" si="914"/>
        <v>0</v>
      </c>
    </row>
    <row r="407" spans="2:139" hidden="1" outlineLevel="1">
      <c r="B407" s="79" t="s">
        <v>677</v>
      </c>
      <c r="C407" s="211"/>
      <c r="D407" s="78">
        <f t="shared" ref="D407:N407" si="915">IF(IrrCalculationType=170,D102,SUMIF($S$6:$EI$6,D$5,$S407:$EI407))</f>
        <v>0</v>
      </c>
      <c r="E407" s="78">
        <f t="shared" si="915"/>
        <v>0</v>
      </c>
      <c r="F407" s="78">
        <f t="shared" si="915"/>
        <v>0</v>
      </c>
      <c r="G407" s="78">
        <f t="shared" si="915"/>
        <v>0</v>
      </c>
      <c r="H407" s="78">
        <f t="shared" si="915"/>
        <v>0</v>
      </c>
      <c r="I407" s="78">
        <f t="shared" si="915"/>
        <v>0</v>
      </c>
      <c r="J407" s="78">
        <f t="shared" si="915"/>
        <v>0</v>
      </c>
      <c r="K407" s="78">
        <f t="shared" si="915"/>
        <v>0</v>
      </c>
      <c r="L407" s="78">
        <f t="shared" si="915"/>
        <v>0</v>
      </c>
      <c r="M407" s="78">
        <f t="shared" si="915"/>
        <v>0</v>
      </c>
      <c r="N407" s="78">
        <f t="shared" si="915"/>
        <v>0</v>
      </c>
      <c r="O407" s="145">
        <f>SUM(D407:N407)</f>
        <v>0</v>
      </c>
      <c r="R407" s="201"/>
      <c r="S407" s="78">
        <f t="shared" ref="S407:AX407" si="916">S102</f>
        <v>0</v>
      </c>
      <c r="T407" s="78">
        <f t="shared" si="916"/>
        <v>0</v>
      </c>
      <c r="U407" s="78">
        <f t="shared" si="916"/>
        <v>0</v>
      </c>
      <c r="V407" s="78">
        <f t="shared" si="916"/>
        <v>0</v>
      </c>
      <c r="W407" s="78">
        <f t="shared" si="916"/>
        <v>0</v>
      </c>
      <c r="X407" s="78">
        <f t="shared" si="916"/>
        <v>0</v>
      </c>
      <c r="Y407" s="78">
        <f t="shared" si="916"/>
        <v>0</v>
      </c>
      <c r="Z407" s="78">
        <f t="shared" si="916"/>
        <v>0</v>
      </c>
      <c r="AA407" s="78">
        <f t="shared" si="916"/>
        <v>0</v>
      </c>
      <c r="AB407" s="78">
        <f t="shared" si="916"/>
        <v>0</v>
      </c>
      <c r="AC407" s="78">
        <f t="shared" si="916"/>
        <v>0</v>
      </c>
      <c r="AD407" s="78">
        <f t="shared" si="916"/>
        <v>0</v>
      </c>
      <c r="AE407" s="78">
        <f t="shared" si="916"/>
        <v>0</v>
      </c>
      <c r="AF407" s="78">
        <f t="shared" si="916"/>
        <v>0</v>
      </c>
      <c r="AG407" s="78">
        <f t="shared" si="916"/>
        <v>0</v>
      </c>
      <c r="AH407" s="78">
        <f t="shared" si="916"/>
        <v>0</v>
      </c>
      <c r="AI407" s="78">
        <f t="shared" si="916"/>
        <v>0</v>
      </c>
      <c r="AJ407" s="78">
        <f t="shared" si="916"/>
        <v>0</v>
      </c>
      <c r="AK407" s="78">
        <f t="shared" si="916"/>
        <v>0</v>
      </c>
      <c r="AL407" s="78">
        <f t="shared" si="916"/>
        <v>0</v>
      </c>
      <c r="AM407" s="78">
        <f t="shared" si="916"/>
        <v>0</v>
      </c>
      <c r="AN407" s="78">
        <f t="shared" si="916"/>
        <v>0</v>
      </c>
      <c r="AO407" s="78">
        <f t="shared" si="916"/>
        <v>0</v>
      </c>
      <c r="AP407" s="78">
        <f t="shared" si="916"/>
        <v>0</v>
      </c>
      <c r="AQ407" s="78">
        <f t="shared" si="916"/>
        <v>0</v>
      </c>
      <c r="AR407" s="78">
        <f t="shared" si="916"/>
        <v>0</v>
      </c>
      <c r="AS407" s="78">
        <f t="shared" si="916"/>
        <v>0</v>
      </c>
      <c r="AT407" s="78">
        <f t="shared" si="916"/>
        <v>0</v>
      </c>
      <c r="AU407" s="78">
        <f t="shared" si="916"/>
        <v>0</v>
      </c>
      <c r="AV407" s="78">
        <f t="shared" si="916"/>
        <v>0</v>
      </c>
      <c r="AW407" s="78">
        <f t="shared" si="916"/>
        <v>0</v>
      </c>
      <c r="AX407" s="78">
        <f t="shared" si="916"/>
        <v>0</v>
      </c>
      <c r="AY407" s="78">
        <f t="shared" ref="AY407:CD407" si="917">AY102</f>
        <v>0</v>
      </c>
      <c r="AZ407" s="78">
        <f t="shared" si="917"/>
        <v>0</v>
      </c>
      <c r="BA407" s="78">
        <f t="shared" si="917"/>
        <v>0</v>
      </c>
      <c r="BB407" s="78">
        <f t="shared" si="917"/>
        <v>0</v>
      </c>
      <c r="BC407" s="78">
        <f t="shared" si="917"/>
        <v>0</v>
      </c>
      <c r="BD407" s="78">
        <f t="shared" si="917"/>
        <v>0</v>
      </c>
      <c r="BE407" s="78">
        <f t="shared" si="917"/>
        <v>0</v>
      </c>
      <c r="BF407" s="78">
        <f t="shared" si="917"/>
        <v>0</v>
      </c>
      <c r="BG407" s="78">
        <f t="shared" si="917"/>
        <v>0</v>
      </c>
      <c r="BH407" s="78">
        <f t="shared" si="917"/>
        <v>0</v>
      </c>
      <c r="BI407" s="78">
        <f t="shared" si="917"/>
        <v>0</v>
      </c>
      <c r="BJ407" s="78">
        <f t="shared" si="917"/>
        <v>0</v>
      </c>
      <c r="BK407" s="78">
        <f t="shared" si="917"/>
        <v>0</v>
      </c>
      <c r="BL407" s="78">
        <f t="shared" si="917"/>
        <v>0</v>
      </c>
      <c r="BM407" s="78">
        <f t="shared" si="917"/>
        <v>0</v>
      </c>
      <c r="BN407" s="78">
        <f t="shared" si="917"/>
        <v>0</v>
      </c>
      <c r="BO407" s="78">
        <f t="shared" si="917"/>
        <v>0</v>
      </c>
      <c r="BP407" s="78">
        <f t="shared" si="917"/>
        <v>0</v>
      </c>
      <c r="BQ407" s="78">
        <f t="shared" si="917"/>
        <v>0</v>
      </c>
      <c r="BR407" s="78">
        <f t="shared" si="917"/>
        <v>0</v>
      </c>
      <c r="BS407" s="78">
        <f t="shared" si="917"/>
        <v>0</v>
      </c>
      <c r="BT407" s="78">
        <f t="shared" si="917"/>
        <v>0</v>
      </c>
      <c r="BU407" s="78">
        <f t="shared" si="917"/>
        <v>0</v>
      </c>
      <c r="BV407" s="78">
        <f t="shared" si="917"/>
        <v>0</v>
      </c>
      <c r="BW407" s="78">
        <f t="shared" si="917"/>
        <v>0</v>
      </c>
      <c r="BX407" s="78">
        <f t="shared" si="917"/>
        <v>0</v>
      </c>
      <c r="BY407" s="78">
        <f t="shared" si="917"/>
        <v>0</v>
      </c>
      <c r="BZ407" s="78">
        <f t="shared" si="917"/>
        <v>0</v>
      </c>
      <c r="CA407" s="78">
        <f t="shared" si="917"/>
        <v>0</v>
      </c>
      <c r="CB407" s="78">
        <f t="shared" si="917"/>
        <v>0</v>
      </c>
      <c r="CC407" s="78">
        <f t="shared" si="917"/>
        <v>0</v>
      </c>
      <c r="CD407" s="78">
        <f t="shared" si="917"/>
        <v>0</v>
      </c>
      <c r="CE407" s="78">
        <f t="shared" ref="CE407:DJ407" si="918">CE102</f>
        <v>0</v>
      </c>
      <c r="CF407" s="78">
        <f t="shared" si="918"/>
        <v>0</v>
      </c>
      <c r="CG407" s="78">
        <f t="shared" si="918"/>
        <v>0</v>
      </c>
      <c r="CH407" s="78">
        <f t="shared" si="918"/>
        <v>0</v>
      </c>
      <c r="CI407" s="78">
        <f t="shared" si="918"/>
        <v>0</v>
      </c>
      <c r="CJ407" s="78">
        <f t="shared" si="918"/>
        <v>0</v>
      </c>
      <c r="CK407" s="78">
        <f t="shared" si="918"/>
        <v>0</v>
      </c>
      <c r="CL407" s="78">
        <f t="shared" si="918"/>
        <v>0</v>
      </c>
      <c r="CM407" s="78">
        <f t="shared" si="918"/>
        <v>0</v>
      </c>
      <c r="CN407" s="78">
        <f t="shared" si="918"/>
        <v>0</v>
      </c>
      <c r="CO407" s="78">
        <f t="shared" si="918"/>
        <v>0</v>
      </c>
      <c r="CP407" s="78">
        <f t="shared" si="918"/>
        <v>0</v>
      </c>
      <c r="CQ407" s="78">
        <f t="shared" si="918"/>
        <v>0</v>
      </c>
      <c r="CR407" s="78">
        <f t="shared" si="918"/>
        <v>0</v>
      </c>
      <c r="CS407" s="78">
        <f t="shared" si="918"/>
        <v>0</v>
      </c>
      <c r="CT407" s="78">
        <f t="shared" si="918"/>
        <v>0</v>
      </c>
      <c r="CU407" s="78">
        <f t="shared" si="918"/>
        <v>0</v>
      </c>
      <c r="CV407" s="78">
        <f t="shared" si="918"/>
        <v>0</v>
      </c>
      <c r="CW407" s="78">
        <f t="shared" si="918"/>
        <v>0</v>
      </c>
      <c r="CX407" s="78">
        <f t="shared" si="918"/>
        <v>0</v>
      </c>
      <c r="CY407" s="78">
        <f t="shared" si="918"/>
        <v>0</v>
      </c>
      <c r="CZ407" s="78">
        <f t="shared" si="918"/>
        <v>0</v>
      </c>
      <c r="DA407" s="78">
        <f t="shared" si="918"/>
        <v>0</v>
      </c>
      <c r="DB407" s="78">
        <f t="shared" si="918"/>
        <v>0</v>
      </c>
      <c r="DC407" s="78">
        <f t="shared" si="918"/>
        <v>0</v>
      </c>
      <c r="DD407" s="78">
        <f t="shared" si="918"/>
        <v>0</v>
      </c>
      <c r="DE407" s="78">
        <f t="shared" si="918"/>
        <v>0</v>
      </c>
      <c r="DF407" s="78">
        <f t="shared" si="918"/>
        <v>0</v>
      </c>
      <c r="DG407" s="78">
        <f t="shared" si="918"/>
        <v>0</v>
      </c>
      <c r="DH407" s="78">
        <f t="shared" si="918"/>
        <v>0</v>
      </c>
      <c r="DI407" s="78">
        <f t="shared" si="918"/>
        <v>0</v>
      </c>
      <c r="DJ407" s="78">
        <f t="shared" si="918"/>
        <v>0</v>
      </c>
      <c r="DK407" s="78">
        <f t="shared" ref="DK407:EI407" si="919">DK102</f>
        <v>0</v>
      </c>
      <c r="DL407" s="78">
        <f t="shared" si="919"/>
        <v>0</v>
      </c>
      <c r="DM407" s="78">
        <f t="shared" si="919"/>
        <v>0</v>
      </c>
      <c r="DN407" s="78">
        <f t="shared" si="919"/>
        <v>0</v>
      </c>
      <c r="DO407" s="78">
        <f t="shared" si="919"/>
        <v>0</v>
      </c>
      <c r="DP407" s="78">
        <f t="shared" si="919"/>
        <v>0</v>
      </c>
      <c r="DQ407" s="78">
        <f t="shared" si="919"/>
        <v>0</v>
      </c>
      <c r="DR407" s="78">
        <f t="shared" si="919"/>
        <v>0</v>
      </c>
      <c r="DS407" s="78">
        <f t="shared" si="919"/>
        <v>0</v>
      </c>
      <c r="DT407" s="78">
        <f t="shared" si="919"/>
        <v>0</v>
      </c>
      <c r="DU407" s="78">
        <f t="shared" si="919"/>
        <v>0</v>
      </c>
      <c r="DV407" s="78">
        <f t="shared" si="919"/>
        <v>0</v>
      </c>
      <c r="DW407" s="78">
        <f t="shared" si="919"/>
        <v>0</v>
      </c>
      <c r="DX407" s="78">
        <f t="shared" si="919"/>
        <v>0</v>
      </c>
      <c r="DY407" s="78">
        <f t="shared" si="919"/>
        <v>0</v>
      </c>
      <c r="DZ407" s="78">
        <f t="shared" si="919"/>
        <v>0</v>
      </c>
      <c r="EA407" s="78">
        <f t="shared" si="919"/>
        <v>0</v>
      </c>
      <c r="EB407" s="78">
        <f t="shared" si="919"/>
        <v>0</v>
      </c>
      <c r="EC407" s="78">
        <f t="shared" si="919"/>
        <v>0</v>
      </c>
      <c r="ED407" s="78">
        <f t="shared" si="919"/>
        <v>0</v>
      </c>
      <c r="EE407" s="78">
        <f t="shared" si="919"/>
        <v>0</v>
      </c>
      <c r="EF407" s="78">
        <f t="shared" si="919"/>
        <v>0</v>
      </c>
      <c r="EG407" s="78">
        <f t="shared" si="919"/>
        <v>0</v>
      </c>
      <c r="EH407" s="78">
        <f t="shared" si="919"/>
        <v>0</v>
      </c>
      <c r="EI407" s="78">
        <f t="shared" si="919"/>
        <v>0</v>
      </c>
    </row>
    <row r="408" spans="2:139" collapsed="1">
      <c r="B408" s="41" t="s">
        <v>678</v>
      </c>
      <c r="C408" s="211"/>
      <c r="D408" s="78">
        <f t="shared" ref="D408:N408" si="920">IF(IrrCalculationType=170,D103,SUMIF($S$6:$EI$6,D$5,$S408:$EI408))</f>
        <v>0</v>
      </c>
      <c r="E408" s="78">
        <f t="shared" si="920"/>
        <v>0</v>
      </c>
      <c r="F408" s="78">
        <f t="shared" si="920"/>
        <v>0</v>
      </c>
      <c r="G408" s="78">
        <f t="shared" si="920"/>
        <v>0</v>
      </c>
      <c r="H408" s="78">
        <f t="shared" si="920"/>
        <v>0</v>
      </c>
      <c r="I408" s="78">
        <f t="shared" si="920"/>
        <v>0</v>
      </c>
      <c r="J408" s="78">
        <f t="shared" si="920"/>
        <v>0</v>
      </c>
      <c r="K408" s="78">
        <f t="shared" si="920"/>
        <v>0</v>
      </c>
      <c r="L408" s="78">
        <f t="shared" si="920"/>
        <v>0</v>
      </c>
      <c r="M408" s="78">
        <f t="shared" si="920"/>
        <v>0</v>
      </c>
      <c r="N408" s="78">
        <f t="shared" si="920"/>
        <v>0</v>
      </c>
      <c r="O408" s="145">
        <f>SUM(D408:N408)</f>
        <v>0</v>
      </c>
      <c r="R408" s="201"/>
      <c r="S408" s="78">
        <f t="shared" ref="S408:AX408" si="921">S103</f>
        <v>0</v>
      </c>
      <c r="T408" s="78">
        <f t="shared" si="921"/>
        <v>0</v>
      </c>
      <c r="U408" s="78">
        <f t="shared" si="921"/>
        <v>0</v>
      </c>
      <c r="V408" s="78">
        <f t="shared" si="921"/>
        <v>0</v>
      </c>
      <c r="W408" s="78">
        <f t="shared" si="921"/>
        <v>0</v>
      </c>
      <c r="X408" s="78">
        <f t="shared" si="921"/>
        <v>0</v>
      </c>
      <c r="Y408" s="78">
        <f t="shared" si="921"/>
        <v>0</v>
      </c>
      <c r="Z408" s="78">
        <f t="shared" si="921"/>
        <v>0</v>
      </c>
      <c r="AA408" s="78">
        <f t="shared" si="921"/>
        <v>0</v>
      </c>
      <c r="AB408" s="78">
        <f t="shared" si="921"/>
        <v>0</v>
      </c>
      <c r="AC408" s="78">
        <f t="shared" si="921"/>
        <v>0</v>
      </c>
      <c r="AD408" s="78">
        <f t="shared" si="921"/>
        <v>0</v>
      </c>
      <c r="AE408" s="78">
        <f t="shared" si="921"/>
        <v>0</v>
      </c>
      <c r="AF408" s="78">
        <f t="shared" si="921"/>
        <v>0</v>
      </c>
      <c r="AG408" s="78">
        <f t="shared" si="921"/>
        <v>0</v>
      </c>
      <c r="AH408" s="78">
        <f t="shared" si="921"/>
        <v>0</v>
      </c>
      <c r="AI408" s="78">
        <f t="shared" si="921"/>
        <v>0</v>
      </c>
      <c r="AJ408" s="78">
        <f t="shared" si="921"/>
        <v>0</v>
      </c>
      <c r="AK408" s="78">
        <f t="shared" si="921"/>
        <v>0</v>
      </c>
      <c r="AL408" s="78">
        <f t="shared" si="921"/>
        <v>0</v>
      </c>
      <c r="AM408" s="78">
        <f t="shared" si="921"/>
        <v>0</v>
      </c>
      <c r="AN408" s="78">
        <f t="shared" si="921"/>
        <v>0</v>
      </c>
      <c r="AO408" s="78">
        <f t="shared" si="921"/>
        <v>0</v>
      </c>
      <c r="AP408" s="78">
        <f t="shared" si="921"/>
        <v>0</v>
      </c>
      <c r="AQ408" s="78">
        <f t="shared" si="921"/>
        <v>0</v>
      </c>
      <c r="AR408" s="78">
        <f t="shared" si="921"/>
        <v>0</v>
      </c>
      <c r="AS408" s="78">
        <f t="shared" si="921"/>
        <v>0</v>
      </c>
      <c r="AT408" s="78">
        <f t="shared" si="921"/>
        <v>0</v>
      </c>
      <c r="AU408" s="78">
        <f t="shared" si="921"/>
        <v>0</v>
      </c>
      <c r="AV408" s="78">
        <f t="shared" si="921"/>
        <v>0</v>
      </c>
      <c r="AW408" s="78">
        <f t="shared" si="921"/>
        <v>0</v>
      </c>
      <c r="AX408" s="78">
        <f t="shared" si="921"/>
        <v>0</v>
      </c>
      <c r="AY408" s="78">
        <f t="shared" ref="AY408:CD408" si="922">AY103</f>
        <v>0</v>
      </c>
      <c r="AZ408" s="78">
        <f t="shared" si="922"/>
        <v>0</v>
      </c>
      <c r="BA408" s="78">
        <f t="shared" si="922"/>
        <v>0</v>
      </c>
      <c r="BB408" s="78">
        <f t="shared" si="922"/>
        <v>0</v>
      </c>
      <c r="BC408" s="78">
        <f t="shared" si="922"/>
        <v>0</v>
      </c>
      <c r="BD408" s="78">
        <f t="shared" si="922"/>
        <v>0</v>
      </c>
      <c r="BE408" s="78">
        <f t="shared" si="922"/>
        <v>0</v>
      </c>
      <c r="BF408" s="78">
        <f t="shared" si="922"/>
        <v>0</v>
      </c>
      <c r="BG408" s="78">
        <f t="shared" si="922"/>
        <v>0</v>
      </c>
      <c r="BH408" s="78">
        <f t="shared" si="922"/>
        <v>0</v>
      </c>
      <c r="BI408" s="78">
        <f t="shared" si="922"/>
        <v>0</v>
      </c>
      <c r="BJ408" s="78">
        <f t="shared" si="922"/>
        <v>0</v>
      </c>
      <c r="BK408" s="78">
        <f t="shared" si="922"/>
        <v>0</v>
      </c>
      <c r="BL408" s="78">
        <f t="shared" si="922"/>
        <v>0</v>
      </c>
      <c r="BM408" s="78">
        <f t="shared" si="922"/>
        <v>0</v>
      </c>
      <c r="BN408" s="78">
        <f t="shared" si="922"/>
        <v>0</v>
      </c>
      <c r="BO408" s="78">
        <f t="shared" si="922"/>
        <v>0</v>
      </c>
      <c r="BP408" s="78">
        <f t="shared" si="922"/>
        <v>0</v>
      </c>
      <c r="BQ408" s="78">
        <f t="shared" si="922"/>
        <v>0</v>
      </c>
      <c r="BR408" s="78">
        <f t="shared" si="922"/>
        <v>0</v>
      </c>
      <c r="BS408" s="78">
        <f t="shared" si="922"/>
        <v>0</v>
      </c>
      <c r="BT408" s="78">
        <f t="shared" si="922"/>
        <v>0</v>
      </c>
      <c r="BU408" s="78">
        <f t="shared" si="922"/>
        <v>0</v>
      </c>
      <c r="BV408" s="78">
        <f t="shared" si="922"/>
        <v>0</v>
      </c>
      <c r="BW408" s="78">
        <f t="shared" si="922"/>
        <v>0</v>
      </c>
      <c r="BX408" s="78">
        <f t="shared" si="922"/>
        <v>0</v>
      </c>
      <c r="BY408" s="78">
        <f t="shared" si="922"/>
        <v>0</v>
      </c>
      <c r="BZ408" s="78">
        <f t="shared" si="922"/>
        <v>0</v>
      </c>
      <c r="CA408" s="78">
        <f t="shared" si="922"/>
        <v>0</v>
      </c>
      <c r="CB408" s="78">
        <f t="shared" si="922"/>
        <v>0</v>
      </c>
      <c r="CC408" s="78">
        <f t="shared" si="922"/>
        <v>0</v>
      </c>
      <c r="CD408" s="78">
        <f t="shared" si="922"/>
        <v>0</v>
      </c>
      <c r="CE408" s="78">
        <f t="shared" ref="CE408:DJ408" si="923">CE103</f>
        <v>0</v>
      </c>
      <c r="CF408" s="78">
        <f t="shared" si="923"/>
        <v>0</v>
      </c>
      <c r="CG408" s="78">
        <f t="shared" si="923"/>
        <v>0</v>
      </c>
      <c r="CH408" s="78">
        <f t="shared" si="923"/>
        <v>0</v>
      </c>
      <c r="CI408" s="78">
        <f t="shared" si="923"/>
        <v>0</v>
      </c>
      <c r="CJ408" s="78">
        <f t="shared" si="923"/>
        <v>0</v>
      </c>
      <c r="CK408" s="78">
        <f t="shared" si="923"/>
        <v>0</v>
      </c>
      <c r="CL408" s="78">
        <f t="shared" si="923"/>
        <v>0</v>
      </c>
      <c r="CM408" s="78">
        <f t="shared" si="923"/>
        <v>0</v>
      </c>
      <c r="CN408" s="78">
        <f t="shared" si="923"/>
        <v>0</v>
      </c>
      <c r="CO408" s="78">
        <f t="shared" si="923"/>
        <v>0</v>
      </c>
      <c r="CP408" s="78">
        <f t="shared" si="923"/>
        <v>0</v>
      </c>
      <c r="CQ408" s="78">
        <f t="shared" si="923"/>
        <v>0</v>
      </c>
      <c r="CR408" s="78">
        <f t="shared" si="923"/>
        <v>0</v>
      </c>
      <c r="CS408" s="78">
        <f t="shared" si="923"/>
        <v>0</v>
      </c>
      <c r="CT408" s="78">
        <f t="shared" si="923"/>
        <v>0</v>
      </c>
      <c r="CU408" s="78">
        <f t="shared" si="923"/>
        <v>0</v>
      </c>
      <c r="CV408" s="78">
        <f t="shared" si="923"/>
        <v>0</v>
      </c>
      <c r="CW408" s="78">
        <f t="shared" si="923"/>
        <v>0</v>
      </c>
      <c r="CX408" s="78">
        <f t="shared" si="923"/>
        <v>0</v>
      </c>
      <c r="CY408" s="78">
        <f t="shared" si="923"/>
        <v>0</v>
      </c>
      <c r="CZ408" s="78">
        <f t="shared" si="923"/>
        <v>0</v>
      </c>
      <c r="DA408" s="78">
        <f t="shared" si="923"/>
        <v>0</v>
      </c>
      <c r="DB408" s="78">
        <f t="shared" si="923"/>
        <v>0</v>
      </c>
      <c r="DC408" s="78">
        <f t="shared" si="923"/>
        <v>0</v>
      </c>
      <c r="DD408" s="78">
        <f t="shared" si="923"/>
        <v>0</v>
      </c>
      <c r="DE408" s="78">
        <f t="shared" si="923"/>
        <v>0</v>
      </c>
      <c r="DF408" s="78">
        <f t="shared" si="923"/>
        <v>0</v>
      </c>
      <c r="DG408" s="78">
        <f t="shared" si="923"/>
        <v>0</v>
      </c>
      <c r="DH408" s="78">
        <f t="shared" si="923"/>
        <v>0</v>
      </c>
      <c r="DI408" s="78">
        <f t="shared" si="923"/>
        <v>0</v>
      </c>
      <c r="DJ408" s="78">
        <f t="shared" si="923"/>
        <v>0</v>
      </c>
      <c r="DK408" s="78">
        <f t="shared" ref="DK408:EI408" si="924">DK103</f>
        <v>0</v>
      </c>
      <c r="DL408" s="78">
        <f t="shared" si="924"/>
        <v>0</v>
      </c>
      <c r="DM408" s="78">
        <f t="shared" si="924"/>
        <v>0</v>
      </c>
      <c r="DN408" s="78">
        <f t="shared" si="924"/>
        <v>0</v>
      </c>
      <c r="DO408" s="78">
        <f t="shared" si="924"/>
        <v>0</v>
      </c>
      <c r="DP408" s="78">
        <f t="shared" si="924"/>
        <v>0</v>
      </c>
      <c r="DQ408" s="78">
        <f t="shared" si="924"/>
        <v>0</v>
      </c>
      <c r="DR408" s="78">
        <f t="shared" si="924"/>
        <v>0</v>
      </c>
      <c r="DS408" s="78">
        <f t="shared" si="924"/>
        <v>0</v>
      </c>
      <c r="DT408" s="78">
        <f t="shared" si="924"/>
        <v>0</v>
      </c>
      <c r="DU408" s="78">
        <f t="shared" si="924"/>
        <v>0</v>
      </c>
      <c r="DV408" s="78">
        <f t="shared" si="924"/>
        <v>0</v>
      </c>
      <c r="DW408" s="78">
        <f t="shared" si="924"/>
        <v>0</v>
      </c>
      <c r="DX408" s="78">
        <f t="shared" si="924"/>
        <v>0</v>
      </c>
      <c r="DY408" s="78">
        <f t="shared" si="924"/>
        <v>0</v>
      </c>
      <c r="DZ408" s="78">
        <f t="shared" si="924"/>
        <v>0</v>
      </c>
      <c r="EA408" s="78">
        <f t="shared" si="924"/>
        <v>0</v>
      </c>
      <c r="EB408" s="78">
        <f t="shared" si="924"/>
        <v>0</v>
      </c>
      <c r="EC408" s="78">
        <f t="shared" si="924"/>
        <v>0</v>
      </c>
      <c r="ED408" s="78">
        <f t="shared" si="924"/>
        <v>0</v>
      </c>
      <c r="EE408" s="78">
        <f t="shared" si="924"/>
        <v>0</v>
      </c>
      <c r="EF408" s="78">
        <f t="shared" si="924"/>
        <v>0</v>
      </c>
      <c r="EG408" s="78">
        <f t="shared" si="924"/>
        <v>0</v>
      </c>
      <c r="EH408" s="78">
        <f t="shared" si="924"/>
        <v>0</v>
      </c>
      <c r="EI408" s="78">
        <f t="shared" si="924"/>
        <v>0</v>
      </c>
    </row>
    <row r="409" spans="2:139">
      <c r="B409" s="198" t="s">
        <v>251</v>
      </c>
      <c r="C409" s="211"/>
      <c r="D409" s="694">
        <f t="shared" ref="D409:N409" si="925">SUBTOTAL(9,D373:D408)</f>
        <v>13009400</v>
      </c>
      <c r="E409" s="694">
        <f t="shared" si="925"/>
        <v>0</v>
      </c>
      <c r="F409" s="694">
        <f t="shared" si="925"/>
        <v>0</v>
      </c>
      <c r="G409" s="694">
        <f t="shared" si="925"/>
        <v>0</v>
      </c>
      <c r="H409" s="694">
        <f t="shared" si="925"/>
        <v>0</v>
      </c>
      <c r="I409" s="694">
        <f t="shared" si="925"/>
        <v>0</v>
      </c>
      <c r="J409" s="694">
        <f t="shared" si="925"/>
        <v>0</v>
      </c>
      <c r="K409" s="694">
        <f t="shared" si="925"/>
        <v>0</v>
      </c>
      <c r="L409" s="694">
        <f t="shared" si="925"/>
        <v>0</v>
      </c>
      <c r="M409" s="694">
        <f t="shared" si="925"/>
        <v>0</v>
      </c>
      <c r="N409" s="694">
        <f t="shared" si="925"/>
        <v>0</v>
      </c>
      <c r="O409" s="713">
        <f>SUM(D409:N409)</f>
        <v>13009400</v>
      </c>
      <c r="R409" s="879"/>
      <c r="S409" s="694">
        <f t="shared" ref="S409:AX409" si="926">SUBTOTAL(9,S373:S408)</f>
        <v>13009400</v>
      </c>
      <c r="T409" s="694">
        <f t="shared" si="926"/>
        <v>0</v>
      </c>
      <c r="U409" s="694">
        <f t="shared" si="926"/>
        <v>0</v>
      </c>
      <c r="V409" s="694">
        <f t="shared" si="926"/>
        <v>0</v>
      </c>
      <c r="W409" s="694">
        <f t="shared" si="926"/>
        <v>0</v>
      </c>
      <c r="X409" s="694">
        <f t="shared" si="926"/>
        <v>0</v>
      </c>
      <c r="Y409" s="694">
        <f t="shared" si="926"/>
        <v>0</v>
      </c>
      <c r="Z409" s="694">
        <f t="shared" si="926"/>
        <v>0</v>
      </c>
      <c r="AA409" s="694">
        <f t="shared" si="926"/>
        <v>0</v>
      </c>
      <c r="AB409" s="694">
        <f t="shared" si="926"/>
        <v>0</v>
      </c>
      <c r="AC409" s="694">
        <f t="shared" si="926"/>
        <v>0</v>
      </c>
      <c r="AD409" s="694">
        <f t="shared" si="926"/>
        <v>0</v>
      </c>
      <c r="AE409" s="694">
        <f t="shared" si="926"/>
        <v>0</v>
      </c>
      <c r="AF409" s="694">
        <f t="shared" si="926"/>
        <v>0</v>
      </c>
      <c r="AG409" s="694">
        <f t="shared" si="926"/>
        <v>0</v>
      </c>
      <c r="AH409" s="694">
        <f t="shared" si="926"/>
        <v>0</v>
      </c>
      <c r="AI409" s="694">
        <f t="shared" si="926"/>
        <v>0</v>
      </c>
      <c r="AJ409" s="694">
        <f t="shared" si="926"/>
        <v>0</v>
      </c>
      <c r="AK409" s="694">
        <f t="shared" si="926"/>
        <v>0</v>
      </c>
      <c r="AL409" s="694">
        <f t="shared" si="926"/>
        <v>0</v>
      </c>
      <c r="AM409" s="694">
        <f t="shared" si="926"/>
        <v>0</v>
      </c>
      <c r="AN409" s="694">
        <f t="shared" si="926"/>
        <v>0</v>
      </c>
      <c r="AO409" s="694">
        <f t="shared" si="926"/>
        <v>0</v>
      </c>
      <c r="AP409" s="694">
        <f t="shared" si="926"/>
        <v>0</v>
      </c>
      <c r="AQ409" s="694">
        <f t="shared" si="926"/>
        <v>0</v>
      </c>
      <c r="AR409" s="694">
        <f t="shared" si="926"/>
        <v>0</v>
      </c>
      <c r="AS409" s="694">
        <f t="shared" si="926"/>
        <v>0</v>
      </c>
      <c r="AT409" s="694">
        <f t="shared" si="926"/>
        <v>0</v>
      </c>
      <c r="AU409" s="694">
        <f t="shared" si="926"/>
        <v>0</v>
      </c>
      <c r="AV409" s="694">
        <f t="shared" si="926"/>
        <v>0</v>
      </c>
      <c r="AW409" s="694">
        <f t="shared" si="926"/>
        <v>0</v>
      </c>
      <c r="AX409" s="694">
        <f t="shared" si="926"/>
        <v>0</v>
      </c>
      <c r="AY409" s="694">
        <f t="shared" ref="AY409:CD409" si="927">SUBTOTAL(9,AY373:AY408)</f>
        <v>0</v>
      </c>
      <c r="AZ409" s="694">
        <f t="shared" si="927"/>
        <v>0</v>
      </c>
      <c r="BA409" s="694">
        <f t="shared" si="927"/>
        <v>0</v>
      </c>
      <c r="BB409" s="694">
        <f t="shared" si="927"/>
        <v>0</v>
      </c>
      <c r="BC409" s="694">
        <f t="shared" si="927"/>
        <v>0</v>
      </c>
      <c r="BD409" s="694">
        <f t="shared" si="927"/>
        <v>0</v>
      </c>
      <c r="BE409" s="694">
        <f t="shared" si="927"/>
        <v>0</v>
      </c>
      <c r="BF409" s="694">
        <f t="shared" si="927"/>
        <v>0</v>
      </c>
      <c r="BG409" s="694">
        <f t="shared" si="927"/>
        <v>0</v>
      </c>
      <c r="BH409" s="694">
        <f t="shared" si="927"/>
        <v>0</v>
      </c>
      <c r="BI409" s="694">
        <f t="shared" si="927"/>
        <v>0</v>
      </c>
      <c r="BJ409" s="694">
        <f t="shared" si="927"/>
        <v>0</v>
      </c>
      <c r="BK409" s="694">
        <f t="shared" si="927"/>
        <v>0</v>
      </c>
      <c r="BL409" s="694">
        <f t="shared" si="927"/>
        <v>0</v>
      </c>
      <c r="BM409" s="694">
        <f t="shared" si="927"/>
        <v>0</v>
      </c>
      <c r="BN409" s="694">
        <f t="shared" si="927"/>
        <v>0</v>
      </c>
      <c r="BO409" s="694">
        <f t="shared" si="927"/>
        <v>0</v>
      </c>
      <c r="BP409" s="694">
        <f t="shared" si="927"/>
        <v>0</v>
      </c>
      <c r="BQ409" s="694">
        <f t="shared" si="927"/>
        <v>0</v>
      </c>
      <c r="BR409" s="694">
        <f t="shared" si="927"/>
        <v>0</v>
      </c>
      <c r="BS409" s="694">
        <f t="shared" si="927"/>
        <v>0</v>
      </c>
      <c r="BT409" s="694">
        <f t="shared" si="927"/>
        <v>0</v>
      </c>
      <c r="BU409" s="694">
        <f t="shared" si="927"/>
        <v>0</v>
      </c>
      <c r="BV409" s="694">
        <f t="shared" si="927"/>
        <v>0</v>
      </c>
      <c r="BW409" s="694">
        <f t="shared" si="927"/>
        <v>0</v>
      </c>
      <c r="BX409" s="694">
        <f t="shared" si="927"/>
        <v>0</v>
      </c>
      <c r="BY409" s="694">
        <f t="shared" si="927"/>
        <v>1.4551915228366852E-11</v>
      </c>
      <c r="BZ409" s="694">
        <f t="shared" si="927"/>
        <v>1.4551915228366852E-11</v>
      </c>
      <c r="CA409" s="694">
        <f t="shared" si="927"/>
        <v>1.4551915228366852E-11</v>
      </c>
      <c r="CB409" s="694">
        <f t="shared" si="927"/>
        <v>1.4551915228366852E-11</v>
      </c>
      <c r="CC409" s="694">
        <f t="shared" si="927"/>
        <v>2.9103830456733704E-11</v>
      </c>
      <c r="CD409" s="694">
        <f t="shared" si="927"/>
        <v>2.9103830456733704E-11</v>
      </c>
      <c r="CE409" s="694">
        <f t="shared" ref="CE409:DJ409" si="928">SUBTOTAL(9,CE373:CE408)</f>
        <v>2.9103830456733704E-11</v>
      </c>
      <c r="CF409" s="694">
        <f t="shared" si="928"/>
        <v>2.9103830456733704E-11</v>
      </c>
      <c r="CG409" s="694">
        <f t="shared" si="928"/>
        <v>2.9103830456733704E-11</v>
      </c>
      <c r="CH409" s="694">
        <f t="shared" si="928"/>
        <v>2.9103830456733704E-11</v>
      </c>
      <c r="CI409" s="694">
        <f t="shared" si="928"/>
        <v>2.9103830456733704E-11</v>
      </c>
      <c r="CJ409" s="694">
        <f t="shared" si="928"/>
        <v>2.9103830456733704E-11</v>
      </c>
      <c r="CK409" s="694">
        <f t="shared" si="928"/>
        <v>2.9103830456733704E-11</v>
      </c>
      <c r="CL409" s="694">
        <f t="shared" si="928"/>
        <v>2.9103830456733704E-11</v>
      </c>
      <c r="CM409" s="694">
        <f t="shared" si="928"/>
        <v>2.9103830456733704E-11</v>
      </c>
      <c r="CN409" s="694">
        <f t="shared" si="928"/>
        <v>2.9103830456733704E-11</v>
      </c>
      <c r="CO409" s="694">
        <f t="shared" si="928"/>
        <v>2.9103830456733704E-11</v>
      </c>
      <c r="CP409" s="694">
        <f t="shared" si="928"/>
        <v>2.9103830456733704E-11</v>
      </c>
      <c r="CQ409" s="694">
        <f t="shared" si="928"/>
        <v>2.9103830456733704E-11</v>
      </c>
      <c r="CR409" s="694">
        <f t="shared" si="928"/>
        <v>2.9103830456733704E-11</v>
      </c>
      <c r="CS409" s="694">
        <f t="shared" si="928"/>
        <v>2.9103830456733704E-11</v>
      </c>
      <c r="CT409" s="694">
        <f t="shared" si="928"/>
        <v>2.9103830456733704E-11</v>
      </c>
      <c r="CU409" s="694">
        <f t="shared" si="928"/>
        <v>2.9103830456733704E-11</v>
      </c>
      <c r="CV409" s="694">
        <f t="shared" si="928"/>
        <v>2.9103830456733704E-11</v>
      </c>
      <c r="CW409" s="694">
        <f t="shared" si="928"/>
        <v>2.9103830456733704E-11</v>
      </c>
      <c r="CX409" s="694">
        <f t="shared" si="928"/>
        <v>2.9103830456733704E-11</v>
      </c>
      <c r="CY409" s="694">
        <f t="shared" si="928"/>
        <v>0</v>
      </c>
      <c r="CZ409" s="694">
        <f t="shared" si="928"/>
        <v>0</v>
      </c>
      <c r="DA409" s="694">
        <f t="shared" si="928"/>
        <v>0</v>
      </c>
      <c r="DB409" s="694">
        <f t="shared" si="928"/>
        <v>0</v>
      </c>
      <c r="DC409" s="694">
        <f t="shared" si="928"/>
        <v>0</v>
      </c>
      <c r="DD409" s="694">
        <f t="shared" si="928"/>
        <v>0</v>
      </c>
      <c r="DE409" s="694">
        <f t="shared" si="928"/>
        <v>0</v>
      </c>
      <c r="DF409" s="694">
        <f t="shared" si="928"/>
        <v>0</v>
      </c>
      <c r="DG409" s="694">
        <f t="shared" si="928"/>
        <v>0</v>
      </c>
      <c r="DH409" s="694">
        <f t="shared" si="928"/>
        <v>0</v>
      </c>
      <c r="DI409" s="694">
        <f t="shared" si="928"/>
        <v>0</v>
      </c>
      <c r="DJ409" s="694">
        <f t="shared" si="928"/>
        <v>0</v>
      </c>
      <c r="DK409" s="694">
        <f t="shared" ref="DK409:EP409" si="929">SUBTOTAL(9,DK373:DK408)</f>
        <v>0</v>
      </c>
      <c r="DL409" s="694">
        <f t="shared" si="929"/>
        <v>0</v>
      </c>
      <c r="DM409" s="694">
        <f t="shared" si="929"/>
        <v>0</v>
      </c>
      <c r="DN409" s="694">
        <f t="shared" si="929"/>
        <v>0</v>
      </c>
      <c r="DO409" s="694">
        <f t="shared" si="929"/>
        <v>0</v>
      </c>
      <c r="DP409" s="694">
        <f t="shared" si="929"/>
        <v>0</v>
      </c>
      <c r="DQ409" s="694">
        <f t="shared" si="929"/>
        <v>0</v>
      </c>
      <c r="DR409" s="694">
        <f t="shared" si="929"/>
        <v>0</v>
      </c>
      <c r="DS409" s="694">
        <f t="shared" si="929"/>
        <v>0</v>
      </c>
      <c r="DT409" s="694">
        <f t="shared" si="929"/>
        <v>0</v>
      </c>
      <c r="DU409" s="694">
        <f t="shared" si="929"/>
        <v>0</v>
      </c>
      <c r="DV409" s="694">
        <f t="shared" si="929"/>
        <v>0</v>
      </c>
      <c r="DW409" s="694">
        <f t="shared" si="929"/>
        <v>0</v>
      </c>
      <c r="DX409" s="694">
        <f t="shared" si="929"/>
        <v>0</v>
      </c>
      <c r="DY409" s="694">
        <f t="shared" si="929"/>
        <v>0</v>
      </c>
      <c r="DZ409" s="694">
        <f t="shared" si="929"/>
        <v>0</v>
      </c>
      <c r="EA409" s="694">
        <f t="shared" si="929"/>
        <v>0</v>
      </c>
      <c r="EB409" s="694">
        <f t="shared" si="929"/>
        <v>0</v>
      </c>
      <c r="EC409" s="694">
        <f t="shared" si="929"/>
        <v>0</v>
      </c>
      <c r="ED409" s="694">
        <f t="shared" si="929"/>
        <v>0</v>
      </c>
      <c r="EE409" s="694">
        <f t="shared" si="929"/>
        <v>0</v>
      </c>
      <c r="EF409" s="694">
        <f t="shared" si="929"/>
        <v>0</v>
      </c>
      <c r="EG409" s="694">
        <f t="shared" si="929"/>
        <v>0</v>
      </c>
      <c r="EH409" s="694">
        <f t="shared" si="929"/>
        <v>0</v>
      </c>
      <c r="EI409" s="694">
        <f t="shared" si="929"/>
        <v>0</v>
      </c>
    </row>
    <row r="410" spans="2:139" s="887" customFormat="1">
      <c r="B410" s="881" t="s">
        <v>679</v>
      </c>
      <c r="C410" s="882"/>
      <c r="D410" s="883">
        <f t="shared" ref="D410:N410" si="930">SUBTOTAL(9,D373:D408)-SUM(D408,D405)</f>
        <v>13009400</v>
      </c>
      <c r="E410" s="883">
        <f t="shared" si="930"/>
        <v>0</v>
      </c>
      <c r="F410" s="883">
        <f t="shared" si="930"/>
        <v>0</v>
      </c>
      <c r="G410" s="883">
        <f t="shared" si="930"/>
        <v>0</v>
      </c>
      <c r="H410" s="883">
        <f t="shared" si="930"/>
        <v>0</v>
      </c>
      <c r="I410" s="883">
        <f t="shared" si="930"/>
        <v>0</v>
      </c>
      <c r="J410" s="883">
        <f t="shared" si="930"/>
        <v>0</v>
      </c>
      <c r="K410" s="883">
        <f t="shared" si="930"/>
        <v>0</v>
      </c>
      <c r="L410" s="883">
        <f t="shared" si="930"/>
        <v>0</v>
      </c>
      <c r="M410" s="883">
        <f t="shared" si="930"/>
        <v>0</v>
      </c>
      <c r="N410" s="883">
        <f t="shared" si="930"/>
        <v>0</v>
      </c>
      <c r="O410" s="884">
        <f>SUM(D410:N410)</f>
        <v>13009400</v>
      </c>
      <c r="P410" s="885"/>
      <c r="Q410" s="885"/>
      <c r="R410" s="885"/>
      <c r="S410" s="883">
        <f t="shared" ref="S410:AX410" si="931">SUBTOTAL(9,S373:S408)-SUM(S408,S405)</f>
        <v>13009400</v>
      </c>
      <c r="T410" s="883">
        <f t="shared" si="931"/>
        <v>0</v>
      </c>
      <c r="U410" s="883">
        <f t="shared" si="931"/>
        <v>0</v>
      </c>
      <c r="V410" s="883">
        <f t="shared" si="931"/>
        <v>0</v>
      </c>
      <c r="W410" s="883">
        <f t="shared" si="931"/>
        <v>0</v>
      </c>
      <c r="X410" s="883">
        <f t="shared" si="931"/>
        <v>0</v>
      </c>
      <c r="Y410" s="883">
        <f t="shared" si="931"/>
        <v>0</v>
      </c>
      <c r="Z410" s="883">
        <f t="shared" si="931"/>
        <v>0</v>
      </c>
      <c r="AA410" s="883">
        <f t="shared" si="931"/>
        <v>0</v>
      </c>
      <c r="AB410" s="883">
        <f t="shared" si="931"/>
        <v>0</v>
      </c>
      <c r="AC410" s="883">
        <f t="shared" si="931"/>
        <v>0</v>
      </c>
      <c r="AD410" s="883">
        <f t="shared" si="931"/>
        <v>0</v>
      </c>
      <c r="AE410" s="883">
        <f t="shared" si="931"/>
        <v>0</v>
      </c>
      <c r="AF410" s="883">
        <f t="shared" si="931"/>
        <v>0</v>
      </c>
      <c r="AG410" s="883">
        <f t="shared" si="931"/>
        <v>0</v>
      </c>
      <c r="AH410" s="883">
        <f t="shared" si="931"/>
        <v>0</v>
      </c>
      <c r="AI410" s="883">
        <f t="shared" si="931"/>
        <v>0</v>
      </c>
      <c r="AJ410" s="883">
        <f t="shared" si="931"/>
        <v>0</v>
      </c>
      <c r="AK410" s="883">
        <f t="shared" si="931"/>
        <v>0</v>
      </c>
      <c r="AL410" s="883">
        <f t="shared" si="931"/>
        <v>0</v>
      </c>
      <c r="AM410" s="883">
        <f t="shared" si="931"/>
        <v>0</v>
      </c>
      <c r="AN410" s="883">
        <f t="shared" si="931"/>
        <v>0</v>
      </c>
      <c r="AO410" s="883">
        <f t="shared" si="931"/>
        <v>0</v>
      </c>
      <c r="AP410" s="883">
        <f t="shared" si="931"/>
        <v>0</v>
      </c>
      <c r="AQ410" s="883">
        <f t="shared" si="931"/>
        <v>0</v>
      </c>
      <c r="AR410" s="883">
        <f t="shared" si="931"/>
        <v>0</v>
      </c>
      <c r="AS410" s="883">
        <f t="shared" si="931"/>
        <v>0</v>
      </c>
      <c r="AT410" s="883">
        <f t="shared" si="931"/>
        <v>0</v>
      </c>
      <c r="AU410" s="883">
        <f t="shared" si="931"/>
        <v>0</v>
      </c>
      <c r="AV410" s="883">
        <f t="shared" si="931"/>
        <v>0</v>
      </c>
      <c r="AW410" s="883">
        <f t="shared" si="931"/>
        <v>0</v>
      </c>
      <c r="AX410" s="883">
        <f t="shared" si="931"/>
        <v>0</v>
      </c>
      <c r="AY410" s="883">
        <f t="shared" ref="AY410:CD410" si="932">SUBTOTAL(9,AY373:AY408)-SUM(AY408,AY405)</f>
        <v>0</v>
      </c>
      <c r="AZ410" s="883">
        <f t="shared" si="932"/>
        <v>0</v>
      </c>
      <c r="BA410" s="883">
        <f t="shared" si="932"/>
        <v>0</v>
      </c>
      <c r="BB410" s="883">
        <f t="shared" si="932"/>
        <v>0</v>
      </c>
      <c r="BC410" s="883">
        <f t="shared" si="932"/>
        <v>0</v>
      </c>
      <c r="BD410" s="883">
        <f t="shared" si="932"/>
        <v>0</v>
      </c>
      <c r="BE410" s="883">
        <f t="shared" si="932"/>
        <v>0</v>
      </c>
      <c r="BF410" s="883">
        <f t="shared" si="932"/>
        <v>0</v>
      </c>
      <c r="BG410" s="883">
        <f t="shared" si="932"/>
        <v>0</v>
      </c>
      <c r="BH410" s="883">
        <f t="shared" si="932"/>
        <v>0</v>
      </c>
      <c r="BI410" s="883">
        <f t="shared" si="932"/>
        <v>0</v>
      </c>
      <c r="BJ410" s="883">
        <f t="shared" si="932"/>
        <v>0</v>
      </c>
      <c r="BK410" s="883">
        <f t="shared" si="932"/>
        <v>0</v>
      </c>
      <c r="BL410" s="883">
        <f t="shared" si="932"/>
        <v>0</v>
      </c>
      <c r="BM410" s="883">
        <f t="shared" si="932"/>
        <v>0</v>
      </c>
      <c r="BN410" s="883">
        <f t="shared" si="932"/>
        <v>0</v>
      </c>
      <c r="BO410" s="883">
        <f t="shared" si="932"/>
        <v>0</v>
      </c>
      <c r="BP410" s="883">
        <f t="shared" si="932"/>
        <v>0</v>
      </c>
      <c r="BQ410" s="883">
        <f t="shared" si="932"/>
        <v>0</v>
      </c>
      <c r="BR410" s="883">
        <f t="shared" si="932"/>
        <v>0</v>
      </c>
      <c r="BS410" s="883">
        <f t="shared" si="932"/>
        <v>0</v>
      </c>
      <c r="BT410" s="883">
        <f t="shared" si="932"/>
        <v>0</v>
      </c>
      <c r="BU410" s="883">
        <f t="shared" si="932"/>
        <v>0</v>
      </c>
      <c r="BV410" s="883">
        <f t="shared" si="932"/>
        <v>0</v>
      </c>
      <c r="BW410" s="883">
        <f t="shared" si="932"/>
        <v>0</v>
      </c>
      <c r="BX410" s="883">
        <f t="shared" si="932"/>
        <v>0</v>
      </c>
      <c r="BY410" s="883">
        <f t="shared" si="932"/>
        <v>1.4551915228366852E-11</v>
      </c>
      <c r="BZ410" s="883">
        <f t="shared" si="932"/>
        <v>1.4551915228366852E-11</v>
      </c>
      <c r="CA410" s="883">
        <f t="shared" si="932"/>
        <v>1.4551915228366852E-11</v>
      </c>
      <c r="CB410" s="883">
        <f t="shared" si="932"/>
        <v>1.4551915228366852E-11</v>
      </c>
      <c r="CC410" s="883">
        <f t="shared" si="932"/>
        <v>2.9103830456733704E-11</v>
      </c>
      <c r="CD410" s="883">
        <f t="shared" si="932"/>
        <v>2.9103830456733704E-11</v>
      </c>
      <c r="CE410" s="883">
        <f t="shared" ref="CE410:DJ410" si="933">SUBTOTAL(9,CE373:CE408)-SUM(CE408,CE405)</f>
        <v>2.9103830456733704E-11</v>
      </c>
      <c r="CF410" s="883">
        <f t="shared" si="933"/>
        <v>2.9103830456733704E-11</v>
      </c>
      <c r="CG410" s="883">
        <f t="shared" si="933"/>
        <v>2.9103830456733704E-11</v>
      </c>
      <c r="CH410" s="883">
        <f t="shared" si="933"/>
        <v>2.9103830456733704E-11</v>
      </c>
      <c r="CI410" s="883">
        <f t="shared" si="933"/>
        <v>2.9103830456733704E-11</v>
      </c>
      <c r="CJ410" s="883">
        <f t="shared" si="933"/>
        <v>2.9103830456733704E-11</v>
      </c>
      <c r="CK410" s="883">
        <f t="shared" si="933"/>
        <v>2.9103830456733704E-11</v>
      </c>
      <c r="CL410" s="883">
        <f t="shared" si="933"/>
        <v>2.9103830456733704E-11</v>
      </c>
      <c r="CM410" s="883">
        <f t="shared" si="933"/>
        <v>2.9103830456733704E-11</v>
      </c>
      <c r="CN410" s="883">
        <f t="shared" si="933"/>
        <v>2.9103830456733704E-11</v>
      </c>
      <c r="CO410" s="883">
        <f t="shared" si="933"/>
        <v>2.9103830456733704E-11</v>
      </c>
      <c r="CP410" s="883">
        <f t="shared" si="933"/>
        <v>2.9103830456733704E-11</v>
      </c>
      <c r="CQ410" s="883">
        <f t="shared" si="933"/>
        <v>2.9103830456733704E-11</v>
      </c>
      <c r="CR410" s="883">
        <f t="shared" si="933"/>
        <v>2.9103830456733704E-11</v>
      </c>
      <c r="CS410" s="883">
        <f t="shared" si="933"/>
        <v>2.9103830456733704E-11</v>
      </c>
      <c r="CT410" s="883">
        <f t="shared" si="933"/>
        <v>2.9103830456733704E-11</v>
      </c>
      <c r="CU410" s="883">
        <f t="shared" si="933"/>
        <v>2.9103830456733704E-11</v>
      </c>
      <c r="CV410" s="883">
        <f t="shared" si="933"/>
        <v>2.9103830456733704E-11</v>
      </c>
      <c r="CW410" s="883">
        <f t="shared" si="933"/>
        <v>2.9103830456733704E-11</v>
      </c>
      <c r="CX410" s="883">
        <f t="shared" si="933"/>
        <v>2.9103830456733704E-11</v>
      </c>
      <c r="CY410" s="883">
        <f t="shared" si="933"/>
        <v>0</v>
      </c>
      <c r="CZ410" s="883">
        <f t="shared" si="933"/>
        <v>0</v>
      </c>
      <c r="DA410" s="883">
        <f t="shared" si="933"/>
        <v>0</v>
      </c>
      <c r="DB410" s="883">
        <f t="shared" si="933"/>
        <v>0</v>
      </c>
      <c r="DC410" s="883">
        <f t="shared" si="933"/>
        <v>0</v>
      </c>
      <c r="DD410" s="883">
        <f t="shared" si="933"/>
        <v>0</v>
      </c>
      <c r="DE410" s="883">
        <f t="shared" si="933"/>
        <v>0</v>
      </c>
      <c r="DF410" s="883">
        <f t="shared" si="933"/>
        <v>0</v>
      </c>
      <c r="DG410" s="883">
        <f t="shared" si="933"/>
        <v>0</v>
      </c>
      <c r="DH410" s="883">
        <f t="shared" si="933"/>
        <v>0</v>
      </c>
      <c r="DI410" s="883">
        <f t="shared" si="933"/>
        <v>0</v>
      </c>
      <c r="DJ410" s="883">
        <f t="shared" si="933"/>
        <v>0</v>
      </c>
      <c r="DK410" s="883">
        <f t="shared" ref="DK410:EI410" si="934">SUBTOTAL(9,DK373:DK408)-SUM(DK408,DK405)</f>
        <v>0</v>
      </c>
      <c r="DL410" s="883">
        <f t="shared" si="934"/>
        <v>0</v>
      </c>
      <c r="DM410" s="883">
        <f t="shared" si="934"/>
        <v>0</v>
      </c>
      <c r="DN410" s="883">
        <f t="shared" si="934"/>
        <v>0</v>
      </c>
      <c r="DO410" s="883">
        <f t="shared" si="934"/>
        <v>0</v>
      </c>
      <c r="DP410" s="883">
        <f t="shared" si="934"/>
        <v>0</v>
      </c>
      <c r="DQ410" s="883">
        <f t="shared" si="934"/>
        <v>0</v>
      </c>
      <c r="DR410" s="883">
        <f t="shared" si="934"/>
        <v>0</v>
      </c>
      <c r="DS410" s="883">
        <f t="shared" si="934"/>
        <v>0</v>
      </c>
      <c r="DT410" s="883">
        <f t="shared" si="934"/>
        <v>0</v>
      </c>
      <c r="DU410" s="883">
        <f t="shared" si="934"/>
        <v>0</v>
      </c>
      <c r="DV410" s="883">
        <f t="shared" si="934"/>
        <v>0</v>
      </c>
      <c r="DW410" s="883">
        <f t="shared" si="934"/>
        <v>0</v>
      </c>
      <c r="DX410" s="883">
        <f t="shared" si="934"/>
        <v>0</v>
      </c>
      <c r="DY410" s="883">
        <f t="shared" si="934"/>
        <v>0</v>
      </c>
      <c r="DZ410" s="883">
        <f t="shared" si="934"/>
        <v>0</v>
      </c>
      <c r="EA410" s="883">
        <f t="shared" si="934"/>
        <v>0</v>
      </c>
      <c r="EB410" s="883">
        <f t="shared" si="934"/>
        <v>0</v>
      </c>
      <c r="EC410" s="883">
        <f t="shared" si="934"/>
        <v>0</v>
      </c>
      <c r="ED410" s="883">
        <f t="shared" si="934"/>
        <v>0</v>
      </c>
      <c r="EE410" s="883">
        <f t="shared" si="934"/>
        <v>0</v>
      </c>
      <c r="EF410" s="883">
        <f t="shared" si="934"/>
        <v>0</v>
      </c>
      <c r="EG410" s="883">
        <f t="shared" si="934"/>
        <v>0</v>
      </c>
      <c r="EH410" s="883">
        <f t="shared" si="934"/>
        <v>0</v>
      </c>
      <c r="EI410" s="883">
        <f t="shared" si="934"/>
        <v>0</v>
      </c>
    </row>
    <row r="411" spans="2:139" s="887" customFormat="1">
      <c r="B411" s="881"/>
      <c r="C411" s="882"/>
      <c r="D411" s="883"/>
      <c r="E411" s="883"/>
      <c r="F411" s="883"/>
      <c r="G411" s="883"/>
      <c r="H411" s="883"/>
      <c r="I411" s="883"/>
      <c r="J411" s="883"/>
      <c r="K411" s="883"/>
      <c r="L411" s="883"/>
      <c r="M411" s="883"/>
      <c r="N411" s="883"/>
      <c r="O411" s="884"/>
      <c r="P411" s="885"/>
      <c r="Q411" s="885"/>
      <c r="R411" s="885"/>
      <c r="S411" s="883"/>
      <c r="T411" s="883"/>
      <c r="U411" s="883"/>
      <c r="V411" s="883"/>
      <c r="W411" s="883"/>
      <c r="X411" s="883"/>
      <c r="Y411" s="883"/>
      <c r="Z411" s="883"/>
      <c r="AA411" s="883"/>
      <c r="AB411" s="883"/>
      <c r="AC411" s="883"/>
      <c r="AD411" s="883"/>
      <c r="AE411" s="883"/>
      <c r="AF411" s="883"/>
      <c r="AG411" s="883"/>
      <c r="AH411" s="883"/>
      <c r="AI411" s="883"/>
      <c r="AJ411" s="883"/>
      <c r="AK411" s="883"/>
      <c r="AL411" s="883"/>
      <c r="AM411" s="883"/>
      <c r="AN411" s="883"/>
      <c r="AO411" s="883"/>
      <c r="AP411" s="883"/>
      <c r="AQ411" s="883"/>
      <c r="AR411" s="883"/>
      <c r="AS411" s="883"/>
      <c r="AT411" s="883"/>
      <c r="AU411" s="883"/>
      <c r="AV411" s="883"/>
      <c r="AW411" s="883"/>
      <c r="AX411" s="883"/>
      <c r="AY411" s="883"/>
      <c r="AZ411" s="883"/>
      <c r="BA411" s="883"/>
      <c r="BB411" s="883"/>
      <c r="BC411" s="883"/>
      <c r="BD411" s="883"/>
      <c r="BE411" s="883"/>
      <c r="BF411" s="883"/>
      <c r="BG411" s="883"/>
      <c r="BH411" s="883"/>
      <c r="BI411" s="883"/>
      <c r="BJ411" s="883"/>
      <c r="BK411" s="883"/>
      <c r="BL411" s="883"/>
      <c r="BM411" s="883"/>
      <c r="BN411" s="883"/>
      <c r="BO411" s="883"/>
      <c r="BP411" s="883"/>
      <c r="BQ411" s="883"/>
      <c r="BR411" s="883"/>
      <c r="BS411" s="883"/>
      <c r="BT411" s="883"/>
      <c r="BU411" s="883"/>
      <c r="BV411" s="883"/>
      <c r="BW411" s="883"/>
      <c r="BX411" s="883"/>
      <c r="BY411" s="883"/>
      <c r="BZ411" s="883"/>
      <c r="CA411" s="883"/>
      <c r="CB411" s="883"/>
      <c r="CC411" s="883"/>
      <c r="CD411" s="883"/>
      <c r="CE411" s="883"/>
      <c r="CF411" s="883"/>
      <c r="CG411" s="883"/>
      <c r="CH411" s="883"/>
      <c r="CI411" s="883"/>
      <c r="CJ411" s="883"/>
      <c r="CK411" s="883"/>
      <c r="CL411" s="883"/>
      <c r="CM411" s="883"/>
      <c r="CN411" s="883"/>
      <c r="CO411" s="883"/>
      <c r="CP411" s="883"/>
      <c r="CQ411" s="883"/>
      <c r="CR411" s="883"/>
      <c r="CS411" s="883"/>
      <c r="CT411" s="883"/>
      <c r="CU411" s="883"/>
      <c r="CV411" s="883"/>
      <c r="CW411" s="883"/>
      <c r="CX411" s="883"/>
      <c r="CY411" s="883"/>
      <c r="CZ411" s="883"/>
      <c r="DA411" s="883"/>
      <c r="DB411" s="883"/>
      <c r="DC411" s="883"/>
      <c r="DD411" s="883"/>
      <c r="DE411" s="883"/>
      <c r="DF411" s="883"/>
      <c r="DG411" s="883"/>
      <c r="DH411" s="883"/>
      <c r="DI411" s="883"/>
      <c r="DJ411" s="883"/>
      <c r="DK411" s="883"/>
      <c r="DL411" s="883"/>
      <c r="DM411" s="883"/>
      <c r="DN411" s="883"/>
      <c r="DO411" s="883"/>
      <c r="DP411" s="883"/>
      <c r="DQ411" s="883"/>
      <c r="DR411" s="883"/>
      <c r="DS411" s="883"/>
      <c r="DT411" s="883"/>
      <c r="DU411" s="883"/>
      <c r="DV411" s="883"/>
      <c r="DW411" s="883"/>
      <c r="DX411" s="883"/>
      <c r="DY411" s="883"/>
      <c r="DZ411" s="883"/>
      <c r="EA411" s="883"/>
      <c r="EB411" s="883"/>
      <c r="EC411" s="883"/>
      <c r="ED411" s="883"/>
      <c r="EE411" s="883"/>
      <c r="EF411" s="883"/>
      <c r="EG411" s="883"/>
      <c r="EH411" s="883"/>
      <c r="EI411" s="883"/>
    </row>
    <row r="412" spans="2:139">
      <c r="O412" s="888"/>
      <c r="S412" s="201"/>
    </row>
    <row r="414" spans="2:139" s="192" customFormat="1" ht="15.75" hidden="1" customHeight="1" outlineLevel="1" collapsed="1">
      <c r="B414" s="1034" t="s">
        <v>680</v>
      </c>
      <c r="C414" s="1018"/>
      <c r="D414" s="1019"/>
      <c r="E414" s="1019"/>
      <c r="F414" s="1019"/>
      <c r="G414" s="1019"/>
      <c r="H414" s="1019"/>
      <c r="I414" s="1019"/>
      <c r="J414" s="1019"/>
      <c r="K414" s="1019"/>
      <c r="L414" s="1019"/>
      <c r="M414" s="1019"/>
      <c r="N414" s="1019"/>
      <c r="O414" s="1019"/>
      <c r="P414"/>
      <c r="Q414" s="1019"/>
      <c r="R414"/>
      <c r="S414" s="1034" t="s">
        <v>681</v>
      </c>
      <c r="T414" s="1020"/>
      <c r="U414" s="1021"/>
      <c r="V414" s="1019"/>
      <c r="W414" s="1019"/>
      <c r="X414" s="1019"/>
      <c r="Y414" s="1019"/>
      <c r="Z414" s="1019"/>
      <c r="AA414" s="1019"/>
      <c r="AB414" s="1019"/>
      <c r="AC414" s="1019"/>
      <c r="AD414" s="1019"/>
      <c r="AE414" s="1019"/>
      <c r="AF414" s="1019"/>
      <c r="AG414" s="1019"/>
      <c r="AH414" s="1019"/>
      <c r="AI414" s="1019"/>
      <c r="AJ414" s="1019"/>
      <c r="AK414" s="1019"/>
      <c r="AL414" s="1019"/>
      <c r="AM414" s="1019"/>
      <c r="AN414" s="1019"/>
      <c r="AO414" s="1019"/>
      <c r="AP414" s="1019"/>
      <c r="AQ414" s="1019"/>
      <c r="AR414" s="1019"/>
      <c r="AS414" s="1019"/>
      <c r="AT414" s="1019"/>
      <c r="AU414" s="1019"/>
      <c r="AV414" s="1019"/>
      <c r="AW414" s="1019"/>
      <c r="AX414" s="1019"/>
      <c r="AY414" s="1019"/>
      <c r="AZ414" s="1019"/>
      <c r="BA414" s="1019"/>
      <c r="BB414" s="1019"/>
      <c r="BC414" s="1019"/>
      <c r="BD414" s="1019"/>
      <c r="BE414" s="1019"/>
      <c r="BF414" s="1019"/>
      <c r="BG414" s="1019"/>
      <c r="BH414" s="1019"/>
      <c r="BI414" s="1019"/>
      <c r="BJ414" s="1019"/>
      <c r="BK414" s="1019"/>
      <c r="BL414" s="1019"/>
      <c r="BM414" s="1019"/>
      <c r="BN414" s="1019"/>
      <c r="BO414" s="1019"/>
      <c r="BP414" s="1019"/>
      <c r="BQ414" s="1019"/>
      <c r="BR414" s="1019"/>
      <c r="BS414" s="1019"/>
      <c r="BT414" s="1019"/>
      <c r="BU414" s="1019"/>
      <c r="BV414" s="1019"/>
      <c r="BW414" s="1019"/>
      <c r="BX414" s="1019"/>
      <c r="BY414" s="1019"/>
      <c r="BZ414" s="1019"/>
      <c r="CA414" s="1019"/>
      <c r="CB414" s="1019"/>
      <c r="CC414" s="1019"/>
      <c r="CD414" s="1019"/>
      <c r="CE414" s="1019"/>
      <c r="CF414" s="1019"/>
      <c r="CG414" s="1019"/>
      <c r="CH414" s="1019"/>
      <c r="CI414" s="1019"/>
      <c r="CJ414" s="1019"/>
      <c r="CK414" s="1019"/>
      <c r="CL414" s="1019"/>
      <c r="CM414" s="1019"/>
      <c r="CN414" s="1019"/>
      <c r="CO414" s="1019"/>
      <c r="CP414" s="1019"/>
      <c r="CQ414" s="1019"/>
      <c r="CR414" s="1019"/>
      <c r="CS414" s="1019"/>
      <c r="CT414" s="1019"/>
      <c r="CU414" s="1019"/>
      <c r="CV414" s="1019"/>
      <c r="CW414" s="1019"/>
      <c r="CX414" s="1019"/>
      <c r="CY414" s="1019"/>
      <c r="CZ414" s="1019"/>
      <c r="DA414" s="1019"/>
      <c r="DB414" s="1019"/>
      <c r="DC414" s="1019"/>
      <c r="DD414" s="1019"/>
      <c r="DE414" s="1019"/>
      <c r="DF414" s="1019"/>
      <c r="DG414" s="1019"/>
      <c r="DH414" s="1019"/>
      <c r="DI414" s="1019"/>
      <c r="DJ414" s="1019"/>
      <c r="DK414" s="1019"/>
      <c r="DL414" s="1019"/>
      <c r="DM414" s="1019"/>
      <c r="DN414" s="1019"/>
      <c r="DO414" s="1019"/>
      <c r="DP414" s="1019"/>
      <c r="DQ414" s="1019"/>
      <c r="DR414" s="1019"/>
      <c r="DS414" s="1019"/>
      <c r="DT414" s="1019"/>
      <c r="DU414" s="1019"/>
      <c r="DV414" s="1019"/>
      <c r="DW414" s="1019"/>
      <c r="DX414" s="1019"/>
      <c r="DY414" s="1019"/>
      <c r="DZ414" s="1019"/>
      <c r="EA414" s="1019"/>
      <c r="EB414" s="1019"/>
      <c r="EC414" s="1019"/>
      <c r="ED414" s="1019"/>
      <c r="EE414" s="1019"/>
      <c r="EF414" s="1019"/>
      <c r="EG414" s="1019"/>
      <c r="EH414" s="1019"/>
      <c r="EI414" s="1019"/>
    </row>
    <row r="415" spans="2:139" hidden="1" outlineLevel="1"/>
    <row r="416" spans="2:139" s="192" customFormat="1" ht="14.25" hidden="1" customHeight="1" outlineLevel="1">
      <c r="B416" s="1043" t="s">
        <v>682</v>
      </c>
      <c r="C416" s="196"/>
      <c r="D416" s="196"/>
      <c r="E416" s="196"/>
      <c r="F416" s="197"/>
      <c r="G416" s="197"/>
      <c r="H416" s="197"/>
      <c r="I416" s="197"/>
      <c r="J416" s="197"/>
      <c r="K416" s="197"/>
      <c r="L416" s="197"/>
      <c r="M416" s="197"/>
      <c r="N416" s="197"/>
      <c r="O416" s="197"/>
      <c r="P416"/>
      <c r="Q416" s="197"/>
      <c r="R416"/>
      <c r="S416" s="840"/>
      <c r="T416" s="197"/>
      <c r="U416" s="197"/>
      <c r="V416" s="197"/>
      <c r="W416" s="197"/>
      <c r="X416" s="197"/>
      <c r="Y416" s="197"/>
      <c r="Z416" s="197"/>
      <c r="AA416" s="197"/>
      <c r="AB416" s="197"/>
      <c r="AC416" s="197"/>
      <c r="AD416" s="197"/>
      <c r="AE416" s="197"/>
      <c r="AF416" s="197"/>
      <c r="AG416" s="197"/>
      <c r="AH416" s="197"/>
      <c r="AI416" s="197"/>
      <c r="AJ416" s="197"/>
      <c r="AK416" s="197"/>
      <c r="AL416" s="197"/>
      <c r="AM416" s="197"/>
      <c r="AN416" s="197"/>
      <c r="AO416" s="197"/>
      <c r="AP416" s="197"/>
      <c r="AQ416" s="197"/>
      <c r="AR416" s="197"/>
      <c r="AS416" s="197"/>
      <c r="AT416" s="197"/>
      <c r="AU416" s="197"/>
      <c r="AV416" s="197"/>
      <c r="AW416" s="197"/>
      <c r="AX416" s="197"/>
      <c r="AY416" s="197"/>
      <c r="AZ416" s="197"/>
      <c r="BA416" s="197"/>
      <c r="BB416" s="197"/>
      <c r="BC416" s="197"/>
      <c r="BD416" s="197"/>
      <c r="BE416" s="197"/>
      <c r="BF416" s="197"/>
      <c r="BG416" s="197"/>
      <c r="BH416" s="197"/>
      <c r="BI416" s="197"/>
      <c r="BJ416" s="197"/>
      <c r="BK416" s="197"/>
      <c r="BL416" s="197"/>
      <c r="BM416" s="197"/>
      <c r="BN416" s="197"/>
      <c r="BO416" s="197"/>
      <c r="BP416" s="197"/>
      <c r="BQ416" s="197"/>
      <c r="BR416" s="197"/>
      <c r="BS416" s="197"/>
      <c r="BT416" s="197"/>
      <c r="BU416" s="197"/>
      <c r="BV416" s="197"/>
      <c r="BW416" s="197"/>
      <c r="BX416" s="197"/>
      <c r="BY416" s="197"/>
      <c r="BZ416" s="197"/>
      <c r="CA416" s="197"/>
      <c r="CB416" s="197"/>
      <c r="CC416" s="197"/>
      <c r="CD416" s="197"/>
      <c r="CE416" s="197"/>
      <c r="CF416" s="197"/>
      <c r="CG416" s="197"/>
      <c r="CH416" s="197"/>
      <c r="CI416" s="197"/>
      <c r="CJ416" s="197"/>
      <c r="CK416" s="197"/>
      <c r="CL416" s="197"/>
      <c r="CM416" s="197"/>
      <c r="CN416" s="197"/>
      <c r="CO416" s="197"/>
      <c r="CP416" s="197"/>
      <c r="CQ416" s="197"/>
      <c r="CR416" s="197"/>
      <c r="CS416" s="197"/>
      <c r="CT416" s="197"/>
      <c r="CU416" s="197"/>
      <c r="CV416" s="197"/>
      <c r="CW416" s="197"/>
      <c r="CX416" s="197"/>
      <c r="CY416" s="197"/>
      <c r="CZ416" s="197"/>
      <c r="DA416" s="197"/>
      <c r="DB416" s="197"/>
      <c r="DC416" s="197"/>
      <c r="DD416" s="197"/>
      <c r="DE416" s="197"/>
      <c r="DF416" s="197"/>
      <c r="DG416" s="197"/>
      <c r="DH416" s="197"/>
      <c r="DI416" s="197"/>
      <c r="DJ416" s="197"/>
      <c r="DK416" s="197"/>
      <c r="DL416" s="197"/>
      <c r="DM416" s="197"/>
      <c r="DN416" s="197"/>
      <c r="DO416" s="197"/>
      <c r="DP416" s="197"/>
      <c r="DQ416" s="197"/>
      <c r="DR416" s="197"/>
      <c r="DS416" s="197"/>
      <c r="DT416" s="197"/>
      <c r="DU416" s="197"/>
      <c r="DV416" s="197"/>
      <c r="DW416" s="197"/>
      <c r="DX416" s="197"/>
      <c r="DY416" s="197"/>
      <c r="DZ416" s="197"/>
      <c r="EA416" s="197"/>
      <c r="EB416" s="197"/>
      <c r="EC416" s="197"/>
      <c r="ED416" s="197"/>
      <c r="EE416" s="197"/>
      <c r="EF416" s="197"/>
      <c r="EG416" s="197"/>
      <c r="EH416" s="197"/>
      <c r="EI416" s="197"/>
    </row>
    <row r="417" spans="2:139" ht="12.75" hidden="1" customHeight="1" outlineLevel="1">
      <c r="B417" s="826" t="s">
        <v>88</v>
      </c>
      <c r="C417" s="27"/>
      <c r="D417" s="78"/>
      <c r="E417" s="78">
        <f t="shared" ref="E417:N418" si="935">SUMIF($S$6:$EI$6,E$5,$S417:$EI417)</f>
        <v>0</v>
      </c>
      <c r="F417" s="78">
        <f t="shared" si="935"/>
        <v>0</v>
      </c>
      <c r="G417" s="78">
        <f t="shared" si="935"/>
        <v>0</v>
      </c>
      <c r="H417" s="78">
        <f t="shared" si="935"/>
        <v>0</v>
      </c>
      <c r="I417" s="78">
        <f t="shared" si="935"/>
        <v>0</v>
      </c>
      <c r="J417" s="78">
        <f t="shared" si="935"/>
        <v>0</v>
      </c>
      <c r="K417" s="78">
        <f t="shared" si="935"/>
        <v>0</v>
      </c>
      <c r="L417" s="78">
        <f t="shared" si="935"/>
        <v>0</v>
      </c>
      <c r="M417" s="78">
        <f t="shared" si="935"/>
        <v>0</v>
      </c>
      <c r="N417" s="78">
        <f t="shared" si="935"/>
        <v>0</v>
      </c>
      <c r="O417" s="145">
        <f>SUM(D417:N417)</f>
        <v>0</v>
      </c>
      <c r="Q417" s="78">
        <f>'Operating Calculations'!O70</f>
        <v>0</v>
      </c>
      <c r="S417" s="78"/>
      <c r="T417" s="78">
        <f>'Operating Calculations'!R70*(T$6&lt;=MAX(YrOfExit,1))</f>
        <v>0</v>
      </c>
      <c r="U417" s="78">
        <f>'Operating Calculations'!S70*(U$6&lt;=MAX(YrOfExit,1))</f>
        <v>0</v>
      </c>
      <c r="V417" s="78">
        <f>'Operating Calculations'!T70*(V$6&lt;=MAX(YrOfExit,1))</f>
        <v>0</v>
      </c>
      <c r="W417" s="78">
        <f>'Operating Calculations'!U70*(W$6&lt;=MAX(YrOfExit,1))</f>
        <v>0</v>
      </c>
      <c r="X417" s="78">
        <f>'Operating Calculations'!V70*(X$6&lt;=MAX(YrOfExit,1))</f>
        <v>0</v>
      </c>
      <c r="Y417" s="78">
        <f>'Operating Calculations'!W70*(Y$6&lt;=MAX(YrOfExit,1))</f>
        <v>0</v>
      </c>
      <c r="Z417" s="78">
        <f>'Operating Calculations'!X70*(Z$6&lt;=MAX(YrOfExit,1))</f>
        <v>0</v>
      </c>
      <c r="AA417" s="78">
        <f>'Operating Calculations'!Y70*(AA$6&lt;=MAX(YrOfExit,1))</f>
        <v>0</v>
      </c>
      <c r="AB417" s="78">
        <f>'Operating Calculations'!Z70*(AB$6&lt;=MAX(YrOfExit,1))</f>
        <v>0</v>
      </c>
      <c r="AC417" s="78">
        <f>'Operating Calculations'!AA70*(AC$6&lt;=MAX(YrOfExit,1))</f>
        <v>0</v>
      </c>
      <c r="AD417" s="78">
        <f>'Operating Calculations'!AB70*(AD$6&lt;=MAX(YrOfExit,1))</f>
        <v>0</v>
      </c>
      <c r="AE417" s="78">
        <f>'Operating Calculations'!AC70*(AE$6&lt;=MAX(YrOfExit,1))</f>
        <v>0</v>
      </c>
      <c r="AF417" s="78">
        <f>'Operating Calculations'!AD70*(AF$6&lt;=MAX(YrOfExit,1))</f>
        <v>0</v>
      </c>
      <c r="AG417" s="78">
        <f>'Operating Calculations'!AE70*(AG$6&lt;=MAX(YrOfExit,1))</f>
        <v>0</v>
      </c>
      <c r="AH417" s="78">
        <f>'Operating Calculations'!AF70*(AH$6&lt;=MAX(YrOfExit,1))</f>
        <v>0</v>
      </c>
      <c r="AI417" s="78">
        <f>'Operating Calculations'!AG70*(AI$6&lt;=MAX(YrOfExit,1))</f>
        <v>0</v>
      </c>
      <c r="AJ417" s="78">
        <f>'Operating Calculations'!AH70*(AJ$6&lt;=MAX(YrOfExit,1))</f>
        <v>0</v>
      </c>
      <c r="AK417" s="78">
        <f>'Operating Calculations'!AI70*(AK$6&lt;=MAX(YrOfExit,1))</f>
        <v>0</v>
      </c>
      <c r="AL417" s="78">
        <f>'Operating Calculations'!AJ70*(AL$6&lt;=MAX(YrOfExit,1))</f>
        <v>0</v>
      </c>
      <c r="AM417" s="78">
        <f>'Operating Calculations'!AK70*(AM$6&lt;=MAX(YrOfExit,1))</f>
        <v>0</v>
      </c>
      <c r="AN417" s="78">
        <f>'Operating Calculations'!AL70*(AN$6&lt;=MAX(YrOfExit,1))</f>
        <v>0</v>
      </c>
      <c r="AO417" s="78">
        <f>'Operating Calculations'!AM70*(AO$6&lt;=MAX(YrOfExit,1))</f>
        <v>0</v>
      </c>
      <c r="AP417" s="78">
        <f>'Operating Calculations'!AN70*(AP$6&lt;=MAX(YrOfExit,1))</f>
        <v>0</v>
      </c>
      <c r="AQ417" s="78">
        <f>'Operating Calculations'!AO70*(AQ$6&lt;=MAX(YrOfExit,1))</f>
        <v>0</v>
      </c>
      <c r="AR417" s="78">
        <f>'Operating Calculations'!AP70*(AR$6&lt;=MAX(YrOfExit,1))</f>
        <v>0</v>
      </c>
      <c r="AS417" s="78">
        <f>'Operating Calculations'!AQ70*(AS$6&lt;=MAX(YrOfExit,1))</f>
        <v>0</v>
      </c>
      <c r="AT417" s="78">
        <f>'Operating Calculations'!AR70*(AT$6&lt;=MAX(YrOfExit,1))</f>
        <v>0</v>
      </c>
      <c r="AU417" s="78">
        <f>'Operating Calculations'!AS70*(AU$6&lt;=MAX(YrOfExit,1))</f>
        <v>0</v>
      </c>
      <c r="AV417" s="78">
        <f>'Operating Calculations'!AT70*(AV$6&lt;=MAX(YrOfExit,1))</f>
        <v>0</v>
      </c>
      <c r="AW417" s="78">
        <f>'Operating Calculations'!AU70*(AW$6&lt;=MAX(YrOfExit,1))</f>
        <v>0</v>
      </c>
      <c r="AX417" s="78">
        <f>'Operating Calculations'!AV70*(AX$6&lt;=MAX(YrOfExit,1))</f>
        <v>0</v>
      </c>
      <c r="AY417" s="78">
        <f>'Operating Calculations'!AW70*(AY$6&lt;=MAX(YrOfExit,1))</f>
        <v>0</v>
      </c>
      <c r="AZ417" s="78">
        <f>'Operating Calculations'!AX70*(AZ$6&lt;=MAX(YrOfExit,1))</f>
        <v>0</v>
      </c>
      <c r="BA417" s="78">
        <f>'Operating Calculations'!AY70*(BA$6&lt;=MAX(YrOfExit,1))</f>
        <v>0</v>
      </c>
      <c r="BB417" s="78">
        <f>'Operating Calculations'!AZ70*(BB$6&lt;=MAX(YrOfExit,1))</f>
        <v>0</v>
      </c>
      <c r="BC417" s="78">
        <f>'Operating Calculations'!BA70*(BC$6&lt;=MAX(YrOfExit,1))</f>
        <v>0</v>
      </c>
      <c r="BD417" s="78">
        <f>'Operating Calculations'!BB70*(BD$6&lt;=MAX(YrOfExit,1))</f>
        <v>0</v>
      </c>
      <c r="BE417" s="78">
        <f>'Operating Calculations'!BC70*(BE$6&lt;=MAX(YrOfExit,1))</f>
        <v>0</v>
      </c>
      <c r="BF417" s="78">
        <f>'Operating Calculations'!BD70*(BF$6&lt;=MAX(YrOfExit,1))</f>
        <v>0</v>
      </c>
      <c r="BG417" s="78">
        <f>'Operating Calculations'!BE70*(BG$6&lt;=MAX(YrOfExit,1))</f>
        <v>0</v>
      </c>
      <c r="BH417" s="78">
        <f>'Operating Calculations'!BF70*(BH$6&lt;=MAX(YrOfExit,1))</f>
        <v>0</v>
      </c>
      <c r="BI417" s="78">
        <f>'Operating Calculations'!BG70*(BI$6&lt;=MAX(YrOfExit,1))</f>
        <v>0</v>
      </c>
      <c r="BJ417" s="78">
        <f>'Operating Calculations'!BH70*(BJ$6&lt;=MAX(YrOfExit,1))</f>
        <v>0</v>
      </c>
      <c r="BK417" s="78">
        <f>'Operating Calculations'!BI70*(BK$6&lt;=MAX(YrOfExit,1))</f>
        <v>0</v>
      </c>
      <c r="BL417" s="78">
        <f>'Operating Calculations'!BJ70*(BL$6&lt;=MAX(YrOfExit,1))</f>
        <v>0</v>
      </c>
      <c r="BM417" s="78">
        <f>'Operating Calculations'!BK70*(BM$6&lt;=MAX(YrOfExit,1))</f>
        <v>0</v>
      </c>
      <c r="BN417" s="78">
        <f>'Operating Calculations'!BL70*(BN$6&lt;=MAX(YrOfExit,1))</f>
        <v>0</v>
      </c>
      <c r="BO417" s="78">
        <f>'Operating Calculations'!BM70*(BO$6&lt;=MAX(YrOfExit,1))</f>
        <v>0</v>
      </c>
      <c r="BP417" s="78">
        <f>'Operating Calculations'!BN70*(BP$6&lt;=MAX(YrOfExit,1))</f>
        <v>0</v>
      </c>
      <c r="BQ417" s="78">
        <f>'Operating Calculations'!BO70*(BQ$6&lt;=MAX(YrOfExit,1))</f>
        <v>0</v>
      </c>
      <c r="BR417" s="78">
        <f>'Operating Calculations'!BP70*(BR$6&lt;=MAX(YrOfExit,1))</f>
        <v>0</v>
      </c>
      <c r="BS417" s="78">
        <f>'Operating Calculations'!BQ70*(BS$6&lt;=MAX(YrOfExit,1))</f>
        <v>0</v>
      </c>
      <c r="BT417" s="78">
        <f>'Operating Calculations'!BR70*(BT$6&lt;=MAX(YrOfExit,1))</f>
        <v>0</v>
      </c>
      <c r="BU417" s="78">
        <f>'Operating Calculations'!BS70*(BU$6&lt;=MAX(YrOfExit,1))</f>
        <v>0</v>
      </c>
      <c r="BV417" s="78">
        <f>'Operating Calculations'!BT70*(BV$6&lt;=MAX(YrOfExit,1))</f>
        <v>0</v>
      </c>
      <c r="BW417" s="78">
        <f>'Operating Calculations'!BU70*(BW$6&lt;=MAX(YrOfExit,1))</f>
        <v>0</v>
      </c>
      <c r="BX417" s="78">
        <f>'Operating Calculations'!BV70*(BX$6&lt;=MAX(YrOfExit,1))</f>
        <v>0</v>
      </c>
      <c r="BY417" s="78">
        <f>'Operating Calculations'!BW70*(BY$6&lt;=MAX(YrOfExit,1))</f>
        <v>0</v>
      </c>
      <c r="BZ417" s="78">
        <f>'Operating Calculations'!BX70*(BZ$6&lt;=MAX(YrOfExit,1))</f>
        <v>0</v>
      </c>
      <c r="CA417" s="78">
        <f>'Operating Calculations'!BY70*(CA$6&lt;=MAX(YrOfExit,1))</f>
        <v>0</v>
      </c>
      <c r="CB417" s="78">
        <f>'Operating Calculations'!BZ70*(CB$6&lt;=MAX(YrOfExit,1))</f>
        <v>0</v>
      </c>
      <c r="CC417" s="78">
        <f>'Operating Calculations'!CA70*(CC$6&lt;=MAX(YrOfExit,1))</f>
        <v>0</v>
      </c>
      <c r="CD417" s="78">
        <f>'Operating Calculations'!CB70*(CD$6&lt;=MAX(YrOfExit,1))</f>
        <v>0</v>
      </c>
      <c r="CE417" s="78">
        <f>'Operating Calculations'!CC70*(CE$6&lt;=MAX(YrOfExit,1))</f>
        <v>0</v>
      </c>
      <c r="CF417" s="78">
        <f>'Operating Calculations'!CD70*(CF$6&lt;=MAX(YrOfExit,1))</f>
        <v>0</v>
      </c>
      <c r="CG417" s="78">
        <f>'Operating Calculations'!CE70*(CG$6&lt;=MAX(YrOfExit,1))</f>
        <v>0</v>
      </c>
      <c r="CH417" s="78">
        <f>'Operating Calculations'!CF70*(CH$6&lt;=MAX(YrOfExit,1))</f>
        <v>0</v>
      </c>
      <c r="CI417" s="78">
        <f>'Operating Calculations'!CG70*(CI$6&lt;=MAX(YrOfExit,1))</f>
        <v>0</v>
      </c>
      <c r="CJ417" s="78">
        <f>'Operating Calculations'!CH70*(CJ$6&lt;=MAX(YrOfExit,1))</f>
        <v>0</v>
      </c>
      <c r="CK417" s="78">
        <f>'Operating Calculations'!CI70*(CK$6&lt;=MAX(YrOfExit,1))</f>
        <v>0</v>
      </c>
      <c r="CL417" s="78">
        <f>'Operating Calculations'!CJ70*(CL$6&lt;=MAX(YrOfExit,1))</f>
        <v>0</v>
      </c>
      <c r="CM417" s="78">
        <f>'Operating Calculations'!CK70*(CM$6&lt;=MAX(YrOfExit,1))</f>
        <v>0</v>
      </c>
      <c r="CN417" s="78">
        <f>'Operating Calculations'!CL70*(CN$6&lt;=MAX(YrOfExit,1))</f>
        <v>0</v>
      </c>
      <c r="CO417" s="78">
        <f>'Operating Calculations'!CM70*(CO$6&lt;=MAX(YrOfExit,1))</f>
        <v>0</v>
      </c>
      <c r="CP417" s="78">
        <f>'Operating Calculations'!CN70*(CP$6&lt;=MAX(YrOfExit,1))</f>
        <v>0</v>
      </c>
      <c r="CQ417" s="78">
        <f>'Operating Calculations'!CO70*(CQ$6&lt;=MAX(YrOfExit,1))</f>
        <v>0</v>
      </c>
      <c r="CR417" s="78">
        <f>'Operating Calculations'!CP70*(CR$6&lt;=MAX(YrOfExit,1))</f>
        <v>0</v>
      </c>
      <c r="CS417" s="78">
        <f>'Operating Calculations'!CQ70*(CS$6&lt;=MAX(YrOfExit,1))</f>
        <v>0</v>
      </c>
      <c r="CT417" s="78">
        <f>'Operating Calculations'!CR70*(CT$6&lt;=MAX(YrOfExit,1))</f>
        <v>0</v>
      </c>
      <c r="CU417" s="78">
        <f>'Operating Calculations'!CS70*(CU$6&lt;=MAX(YrOfExit,1))</f>
        <v>0</v>
      </c>
      <c r="CV417" s="78">
        <f>'Operating Calculations'!CT70*(CV$6&lt;=MAX(YrOfExit,1))</f>
        <v>0</v>
      </c>
      <c r="CW417" s="78">
        <f>'Operating Calculations'!CU70*(CW$6&lt;=MAX(YrOfExit,1))</f>
        <v>0</v>
      </c>
      <c r="CX417" s="78">
        <f>'Operating Calculations'!CV70*(CX$6&lt;=MAX(YrOfExit,1))</f>
        <v>0</v>
      </c>
      <c r="CY417" s="78">
        <f>'Operating Calculations'!CW70*(CY$6&lt;=MAX(YrOfExit,1))</f>
        <v>0</v>
      </c>
      <c r="CZ417" s="78">
        <f>'Operating Calculations'!CX70*(CZ$6&lt;=MAX(YrOfExit,1))</f>
        <v>0</v>
      </c>
      <c r="DA417" s="78">
        <f>'Operating Calculations'!CY70*(DA$6&lt;=MAX(YrOfExit,1))</f>
        <v>0</v>
      </c>
      <c r="DB417" s="78">
        <f>'Operating Calculations'!CZ70*(DB$6&lt;=MAX(YrOfExit,1))</f>
        <v>0</v>
      </c>
      <c r="DC417" s="78">
        <f>'Operating Calculations'!DA70*(DC$6&lt;=MAX(YrOfExit,1))</f>
        <v>0</v>
      </c>
      <c r="DD417" s="78">
        <f>'Operating Calculations'!DB70*(DD$6&lt;=MAX(YrOfExit,1))</f>
        <v>0</v>
      </c>
      <c r="DE417" s="78">
        <f>'Operating Calculations'!DC70*(DE$6&lt;=MAX(YrOfExit,1))</f>
        <v>0</v>
      </c>
      <c r="DF417" s="78">
        <f>'Operating Calculations'!DD70*(DF$6&lt;=MAX(YrOfExit,1))</f>
        <v>0</v>
      </c>
      <c r="DG417" s="78">
        <f>'Operating Calculations'!DE70*(DG$6&lt;=MAX(YrOfExit,1))</f>
        <v>0</v>
      </c>
      <c r="DH417" s="78">
        <f>'Operating Calculations'!DF70*(DH$6&lt;=MAX(YrOfExit,1))</f>
        <v>0</v>
      </c>
      <c r="DI417" s="78">
        <f>'Operating Calculations'!DG70*(DI$6&lt;=MAX(YrOfExit,1))</f>
        <v>0</v>
      </c>
      <c r="DJ417" s="78">
        <f>'Operating Calculations'!DH70*(DJ$6&lt;=MAX(YrOfExit,1))</f>
        <v>0</v>
      </c>
      <c r="DK417" s="78">
        <f>'Operating Calculations'!DI70*(DK$6&lt;=MAX(YrOfExit,1))</f>
        <v>0</v>
      </c>
      <c r="DL417" s="78">
        <f>'Operating Calculations'!DJ70*(DL$6&lt;=MAX(YrOfExit,1))</f>
        <v>0</v>
      </c>
      <c r="DM417" s="78">
        <f>'Operating Calculations'!DK70*(DM$6&lt;=MAX(YrOfExit,1))</f>
        <v>0</v>
      </c>
      <c r="DN417" s="78">
        <f>'Operating Calculations'!DL70*(DN$6&lt;=MAX(YrOfExit,1))</f>
        <v>0</v>
      </c>
      <c r="DO417" s="78">
        <f>'Operating Calculations'!DM70*(DO$6&lt;=MAX(YrOfExit,1))</f>
        <v>0</v>
      </c>
      <c r="DP417" s="78">
        <f>'Operating Calculations'!DN70*(DP$6&lt;=MAX(YrOfExit,1))</f>
        <v>0</v>
      </c>
      <c r="DQ417" s="78">
        <f>'Operating Calculations'!DO70*(DQ$6&lt;=MAX(YrOfExit,1))</f>
        <v>0</v>
      </c>
      <c r="DR417" s="78">
        <f>'Operating Calculations'!DP70*(DR$6&lt;=MAX(YrOfExit,1))</f>
        <v>0</v>
      </c>
      <c r="DS417" s="78">
        <f>'Operating Calculations'!DQ70*(DS$6&lt;=MAX(YrOfExit,1))</f>
        <v>0</v>
      </c>
      <c r="DT417" s="78">
        <f>'Operating Calculations'!DR70*(DT$6&lt;=MAX(YrOfExit,1))</f>
        <v>0</v>
      </c>
      <c r="DU417" s="78">
        <f>'Operating Calculations'!DS70*(DU$6&lt;=MAX(YrOfExit,1))</f>
        <v>0</v>
      </c>
      <c r="DV417" s="78">
        <f>'Operating Calculations'!DT70*(DV$6&lt;=MAX(YrOfExit,1))</f>
        <v>0</v>
      </c>
      <c r="DW417" s="78">
        <f>'Operating Calculations'!DU70*(DW$6&lt;=MAX(YrOfExit,1))</f>
        <v>0</v>
      </c>
      <c r="DX417" s="78">
        <f>'Operating Calculations'!DV70*(DX$6&lt;=MAX(YrOfExit,1))</f>
        <v>0</v>
      </c>
      <c r="DY417" s="78">
        <f>'Operating Calculations'!DW70*(DY$6&lt;=MAX(YrOfExit,1))</f>
        <v>0</v>
      </c>
      <c r="DZ417" s="78">
        <f>'Operating Calculations'!DX70*(DZ$6&lt;=MAX(YrOfExit,1))</f>
        <v>0</v>
      </c>
      <c r="EA417" s="78">
        <f>'Operating Calculations'!DY70*(EA$6&lt;=MAX(YrOfExit,1))</f>
        <v>0</v>
      </c>
      <c r="EB417" s="78">
        <f>'Operating Calculations'!DZ70*(EB$6&lt;=MAX(YrOfExit,1))</f>
        <v>0</v>
      </c>
      <c r="EC417" s="78">
        <f>'Operating Calculations'!EA70*(EC$6&lt;=MAX(YrOfExit,1))</f>
        <v>0</v>
      </c>
      <c r="ED417" s="78">
        <f>'Operating Calculations'!EB70*(ED$6&lt;=MAX(YrOfExit,1))</f>
        <v>0</v>
      </c>
      <c r="EE417" s="78">
        <f>'Operating Calculations'!EC70*(EE$6&lt;=MAX(YrOfExit,1))</f>
        <v>0</v>
      </c>
      <c r="EF417" s="78">
        <f>'Operating Calculations'!ED70*(EF$6&lt;=MAX(YrOfExit,1))</f>
        <v>0</v>
      </c>
      <c r="EG417" s="78">
        <f>'Operating Calculations'!EE70*(EG$6&lt;=MAX(YrOfExit,1))</f>
        <v>0</v>
      </c>
      <c r="EH417" s="78">
        <f>'Operating Calculations'!EF70*(EH$6&lt;=MAX(YrOfExit,1))</f>
        <v>0</v>
      </c>
      <c r="EI417" s="78">
        <f>'Operating Calculations'!EG70*(EI$6&lt;=MAX(YrOfExit,1))</f>
        <v>0</v>
      </c>
    </row>
    <row r="418" spans="2:139" ht="12.75" hidden="1" customHeight="1" outlineLevel="1">
      <c r="B418" s="36" t="s">
        <v>84</v>
      </c>
      <c r="C418" s="27"/>
      <c r="D418" s="78"/>
      <c r="E418" s="78">
        <f t="shared" si="935"/>
        <v>0</v>
      </c>
      <c r="F418" s="78">
        <f t="shared" si="935"/>
        <v>0</v>
      </c>
      <c r="G418" s="78">
        <f t="shared" si="935"/>
        <v>0</v>
      </c>
      <c r="H418" s="78">
        <f t="shared" si="935"/>
        <v>0</v>
      </c>
      <c r="I418" s="78">
        <f t="shared" si="935"/>
        <v>0</v>
      </c>
      <c r="J418" s="78">
        <f t="shared" si="935"/>
        <v>0</v>
      </c>
      <c r="K418" s="78">
        <f t="shared" si="935"/>
        <v>0</v>
      </c>
      <c r="L418" s="78">
        <f t="shared" si="935"/>
        <v>0</v>
      </c>
      <c r="M418" s="78">
        <f t="shared" si="935"/>
        <v>0</v>
      </c>
      <c r="N418" s="78">
        <f t="shared" si="935"/>
        <v>0</v>
      </c>
      <c r="O418" s="145">
        <f>SUM(D418:N418)</f>
        <v>0</v>
      </c>
      <c r="Q418" s="78">
        <f>'Operating Calculations'!O72</f>
        <v>0</v>
      </c>
      <c r="S418" s="78"/>
      <c r="T418" s="78">
        <f>'Operating Calculations'!R72*(T$6&lt;=MAX(YrOfExit,1))</f>
        <v>0</v>
      </c>
      <c r="U418" s="78">
        <f>'Operating Calculations'!S72*(U$6&lt;=MAX(YrOfExit,1))</f>
        <v>0</v>
      </c>
      <c r="V418" s="78">
        <f>'Operating Calculations'!T72*(V$6&lt;=MAX(YrOfExit,1))</f>
        <v>0</v>
      </c>
      <c r="W418" s="78">
        <f>'Operating Calculations'!U72*(W$6&lt;=MAX(YrOfExit,1))</f>
        <v>0</v>
      </c>
      <c r="X418" s="78">
        <f>'Operating Calculations'!V72*(X$6&lt;=MAX(YrOfExit,1))</f>
        <v>0</v>
      </c>
      <c r="Y418" s="78">
        <f>'Operating Calculations'!W72*(Y$6&lt;=MAX(YrOfExit,1))</f>
        <v>0</v>
      </c>
      <c r="Z418" s="78">
        <f>'Operating Calculations'!X72*(Z$6&lt;=MAX(YrOfExit,1))</f>
        <v>0</v>
      </c>
      <c r="AA418" s="78">
        <f>'Operating Calculations'!Y72*(AA$6&lt;=MAX(YrOfExit,1))</f>
        <v>0</v>
      </c>
      <c r="AB418" s="78">
        <f>'Operating Calculations'!Z72*(AB$6&lt;=MAX(YrOfExit,1))</f>
        <v>0</v>
      </c>
      <c r="AC418" s="78">
        <f>'Operating Calculations'!AA72*(AC$6&lt;=MAX(YrOfExit,1))</f>
        <v>0</v>
      </c>
      <c r="AD418" s="78">
        <f>'Operating Calculations'!AB72*(AD$6&lt;=MAX(YrOfExit,1))</f>
        <v>0</v>
      </c>
      <c r="AE418" s="78">
        <f>'Operating Calculations'!AC72*(AE$6&lt;=MAX(YrOfExit,1))</f>
        <v>0</v>
      </c>
      <c r="AF418" s="78">
        <f>'Operating Calculations'!AD72*(AF$6&lt;=MAX(YrOfExit,1))</f>
        <v>0</v>
      </c>
      <c r="AG418" s="78">
        <f>'Operating Calculations'!AE72*(AG$6&lt;=MAX(YrOfExit,1))</f>
        <v>0</v>
      </c>
      <c r="AH418" s="78">
        <f>'Operating Calculations'!AF72*(AH$6&lt;=MAX(YrOfExit,1))</f>
        <v>0</v>
      </c>
      <c r="AI418" s="78">
        <f>'Operating Calculations'!AG72*(AI$6&lt;=MAX(YrOfExit,1))</f>
        <v>0</v>
      </c>
      <c r="AJ418" s="78">
        <f>'Operating Calculations'!AH72*(AJ$6&lt;=MAX(YrOfExit,1))</f>
        <v>0</v>
      </c>
      <c r="AK418" s="78">
        <f>'Operating Calculations'!AI72*(AK$6&lt;=MAX(YrOfExit,1))</f>
        <v>0</v>
      </c>
      <c r="AL418" s="78">
        <f>'Operating Calculations'!AJ72*(AL$6&lt;=MAX(YrOfExit,1))</f>
        <v>0</v>
      </c>
      <c r="AM418" s="78">
        <f>'Operating Calculations'!AK72*(AM$6&lt;=MAX(YrOfExit,1))</f>
        <v>0</v>
      </c>
      <c r="AN418" s="78">
        <f>'Operating Calculations'!AL72*(AN$6&lt;=MAX(YrOfExit,1))</f>
        <v>0</v>
      </c>
      <c r="AO418" s="78">
        <f>'Operating Calculations'!AM72*(AO$6&lt;=MAX(YrOfExit,1))</f>
        <v>0</v>
      </c>
      <c r="AP418" s="78">
        <f>'Operating Calculations'!AN72*(AP$6&lt;=MAX(YrOfExit,1))</f>
        <v>0</v>
      </c>
      <c r="AQ418" s="78">
        <f>'Operating Calculations'!AO72*(AQ$6&lt;=MAX(YrOfExit,1))</f>
        <v>0</v>
      </c>
      <c r="AR418" s="78">
        <f>'Operating Calculations'!AP72*(AR$6&lt;=MAX(YrOfExit,1))</f>
        <v>0</v>
      </c>
      <c r="AS418" s="78">
        <f>'Operating Calculations'!AQ72*(AS$6&lt;=MAX(YrOfExit,1))</f>
        <v>0</v>
      </c>
      <c r="AT418" s="78">
        <f>'Operating Calculations'!AR72*(AT$6&lt;=MAX(YrOfExit,1))</f>
        <v>0</v>
      </c>
      <c r="AU418" s="78">
        <f>'Operating Calculations'!AS72*(AU$6&lt;=MAX(YrOfExit,1))</f>
        <v>0</v>
      </c>
      <c r="AV418" s="78">
        <f>'Operating Calculations'!AT72*(AV$6&lt;=MAX(YrOfExit,1))</f>
        <v>0</v>
      </c>
      <c r="AW418" s="78">
        <f>'Operating Calculations'!AU72*(AW$6&lt;=MAX(YrOfExit,1))</f>
        <v>0</v>
      </c>
      <c r="AX418" s="78">
        <f>'Operating Calculations'!AV72*(AX$6&lt;=MAX(YrOfExit,1))</f>
        <v>0</v>
      </c>
      <c r="AY418" s="78">
        <f>'Operating Calculations'!AW72*(AY$6&lt;=MAX(YrOfExit,1))</f>
        <v>0</v>
      </c>
      <c r="AZ418" s="78">
        <f>'Operating Calculations'!AX72*(AZ$6&lt;=MAX(YrOfExit,1))</f>
        <v>0</v>
      </c>
      <c r="BA418" s="78">
        <f>'Operating Calculations'!AY72*(BA$6&lt;=MAX(YrOfExit,1))</f>
        <v>0</v>
      </c>
      <c r="BB418" s="78">
        <f>'Operating Calculations'!AZ72*(BB$6&lt;=MAX(YrOfExit,1))</f>
        <v>0</v>
      </c>
      <c r="BC418" s="78">
        <f>'Operating Calculations'!BA72*(BC$6&lt;=MAX(YrOfExit,1))</f>
        <v>0</v>
      </c>
      <c r="BD418" s="78">
        <f>'Operating Calculations'!BB72*(BD$6&lt;=MAX(YrOfExit,1))</f>
        <v>0</v>
      </c>
      <c r="BE418" s="78">
        <f>'Operating Calculations'!BC72*(BE$6&lt;=MAX(YrOfExit,1))</f>
        <v>0</v>
      </c>
      <c r="BF418" s="78">
        <f>'Operating Calculations'!BD72*(BF$6&lt;=MAX(YrOfExit,1))</f>
        <v>0</v>
      </c>
      <c r="BG418" s="78">
        <f>'Operating Calculations'!BE72*(BG$6&lt;=MAX(YrOfExit,1))</f>
        <v>0</v>
      </c>
      <c r="BH418" s="78">
        <f>'Operating Calculations'!BF72*(BH$6&lt;=MAX(YrOfExit,1))</f>
        <v>0</v>
      </c>
      <c r="BI418" s="78">
        <f>'Operating Calculations'!BG72*(BI$6&lt;=MAX(YrOfExit,1))</f>
        <v>0</v>
      </c>
      <c r="BJ418" s="78">
        <f>'Operating Calculations'!BH72*(BJ$6&lt;=MAX(YrOfExit,1))</f>
        <v>0</v>
      </c>
      <c r="BK418" s="78">
        <f>'Operating Calculations'!BI72*(BK$6&lt;=MAX(YrOfExit,1))</f>
        <v>0</v>
      </c>
      <c r="BL418" s="78">
        <f>'Operating Calculations'!BJ72*(BL$6&lt;=MAX(YrOfExit,1))</f>
        <v>0</v>
      </c>
      <c r="BM418" s="78">
        <f>'Operating Calculations'!BK72*(BM$6&lt;=MAX(YrOfExit,1))</f>
        <v>0</v>
      </c>
      <c r="BN418" s="78">
        <f>'Operating Calculations'!BL72*(BN$6&lt;=MAX(YrOfExit,1))</f>
        <v>0</v>
      </c>
      <c r="BO418" s="78">
        <f>'Operating Calculations'!BM72*(BO$6&lt;=MAX(YrOfExit,1))</f>
        <v>0</v>
      </c>
      <c r="BP418" s="78">
        <f>'Operating Calculations'!BN72*(BP$6&lt;=MAX(YrOfExit,1))</f>
        <v>0</v>
      </c>
      <c r="BQ418" s="78">
        <f>'Operating Calculations'!BO72*(BQ$6&lt;=MAX(YrOfExit,1))</f>
        <v>0</v>
      </c>
      <c r="BR418" s="78">
        <f>'Operating Calculations'!BP72*(BR$6&lt;=MAX(YrOfExit,1))</f>
        <v>0</v>
      </c>
      <c r="BS418" s="78">
        <f>'Operating Calculations'!BQ72*(BS$6&lt;=MAX(YrOfExit,1))</f>
        <v>0</v>
      </c>
      <c r="BT418" s="78">
        <f>'Operating Calculations'!BR72*(BT$6&lt;=MAX(YrOfExit,1))</f>
        <v>0</v>
      </c>
      <c r="BU418" s="78">
        <f>'Operating Calculations'!BS72*(BU$6&lt;=MAX(YrOfExit,1))</f>
        <v>0</v>
      </c>
      <c r="BV418" s="78">
        <f>'Operating Calculations'!BT72*(BV$6&lt;=MAX(YrOfExit,1))</f>
        <v>0</v>
      </c>
      <c r="BW418" s="78">
        <f>'Operating Calculations'!BU72*(BW$6&lt;=MAX(YrOfExit,1))</f>
        <v>0</v>
      </c>
      <c r="BX418" s="78">
        <f>'Operating Calculations'!BV72*(BX$6&lt;=MAX(YrOfExit,1))</f>
        <v>0</v>
      </c>
      <c r="BY418" s="78">
        <f>'Operating Calculations'!BW72*(BY$6&lt;=MAX(YrOfExit,1))</f>
        <v>0</v>
      </c>
      <c r="BZ418" s="78">
        <f>'Operating Calculations'!BX72*(BZ$6&lt;=MAX(YrOfExit,1))</f>
        <v>0</v>
      </c>
      <c r="CA418" s="78">
        <f>'Operating Calculations'!BY72*(CA$6&lt;=MAX(YrOfExit,1))</f>
        <v>0</v>
      </c>
      <c r="CB418" s="78">
        <f>'Operating Calculations'!BZ72*(CB$6&lt;=MAX(YrOfExit,1))</f>
        <v>0</v>
      </c>
      <c r="CC418" s="78">
        <f>'Operating Calculations'!CA72*(CC$6&lt;=MAX(YrOfExit,1))</f>
        <v>0</v>
      </c>
      <c r="CD418" s="78">
        <f>'Operating Calculations'!CB72*(CD$6&lt;=MAX(YrOfExit,1))</f>
        <v>0</v>
      </c>
      <c r="CE418" s="78">
        <f>'Operating Calculations'!CC72*(CE$6&lt;=MAX(YrOfExit,1))</f>
        <v>0</v>
      </c>
      <c r="CF418" s="78">
        <f>'Operating Calculations'!CD72*(CF$6&lt;=MAX(YrOfExit,1))</f>
        <v>0</v>
      </c>
      <c r="CG418" s="78">
        <f>'Operating Calculations'!CE72*(CG$6&lt;=MAX(YrOfExit,1))</f>
        <v>0</v>
      </c>
      <c r="CH418" s="78">
        <f>'Operating Calculations'!CF72*(CH$6&lt;=MAX(YrOfExit,1))</f>
        <v>0</v>
      </c>
      <c r="CI418" s="78">
        <f>'Operating Calculations'!CG72*(CI$6&lt;=MAX(YrOfExit,1))</f>
        <v>0</v>
      </c>
      <c r="CJ418" s="78">
        <f>'Operating Calculations'!CH72*(CJ$6&lt;=MAX(YrOfExit,1))</f>
        <v>0</v>
      </c>
      <c r="CK418" s="78">
        <f>'Operating Calculations'!CI72*(CK$6&lt;=MAX(YrOfExit,1))</f>
        <v>0</v>
      </c>
      <c r="CL418" s="78">
        <f>'Operating Calculations'!CJ72*(CL$6&lt;=MAX(YrOfExit,1))</f>
        <v>0</v>
      </c>
      <c r="CM418" s="78">
        <f>'Operating Calculations'!CK72*(CM$6&lt;=MAX(YrOfExit,1))</f>
        <v>0</v>
      </c>
      <c r="CN418" s="78">
        <f>'Operating Calculations'!CL72*(CN$6&lt;=MAX(YrOfExit,1))</f>
        <v>0</v>
      </c>
      <c r="CO418" s="78">
        <f>'Operating Calculations'!CM72*(CO$6&lt;=MAX(YrOfExit,1))</f>
        <v>0</v>
      </c>
      <c r="CP418" s="78">
        <f>'Operating Calculations'!CN72*(CP$6&lt;=MAX(YrOfExit,1))</f>
        <v>0</v>
      </c>
      <c r="CQ418" s="78">
        <f>'Operating Calculations'!CO72*(CQ$6&lt;=MAX(YrOfExit,1))</f>
        <v>0</v>
      </c>
      <c r="CR418" s="78">
        <f>'Operating Calculations'!CP72*(CR$6&lt;=MAX(YrOfExit,1))</f>
        <v>0</v>
      </c>
      <c r="CS418" s="78">
        <f>'Operating Calculations'!CQ72*(CS$6&lt;=MAX(YrOfExit,1))</f>
        <v>0</v>
      </c>
      <c r="CT418" s="78">
        <f>'Operating Calculations'!CR72*(CT$6&lt;=MAX(YrOfExit,1))</f>
        <v>0</v>
      </c>
      <c r="CU418" s="78">
        <f>'Operating Calculations'!CS72*(CU$6&lt;=MAX(YrOfExit,1))</f>
        <v>0</v>
      </c>
      <c r="CV418" s="78">
        <f>'Operating Calculations'!CT72*(CV$6&lt;=MAX(YrOfExit,1))</f>
        <v>0</v>
      </c>
      <c r="CW418" s="78">
        <f>'Operating Calculations'!CU72*(CW$6&lt;=MAX(YrOfExit,1))</f>
        <v>0</v>
      </c>
      <c r="CX418" s="78">
        <f>'Operating Calculations'!CV72*(CX$6&lt;=MAX(YrOfExit,1))</f>
        <v>0</v>
      </c>
      <c r="CY418" s="78">
        <f>'Operating Calculations'!CW72*(CY$6&lt;=MAX(YrOfExit,1))</f>
        <v>0</v>
      </c>
      <c r="CZ418" s="78">
        <f>'Operating Calculations'!CX72*(CZ$6&lt;=MAX(YrOfExit,1))</f>
        <v>0</v>
      </c>
      <c r="DA418" s="78">
        <f>'Operating Calculations'!CY72*(DA$6&lt;=MAX(YrOfExit,1))</f>
        <v>0</v>
      </c>
      <c r="DB418" s="78">
        <f>'Operating Calculations'!CZ72*(DB$6&lt;=MAX(YrOfExit,1))</f>
        <v>0</v>
      </c>
      <c r="DC418" s="78">
        <f>'Operating Calculations'!DA72*(DC$6&lt;=MAX(YrOfExit,1))</f>
        <v>0</v>
      </c>
      <c r="DD418" s="78">
        <f>'Operating Calculations'!DB72*(DD$6&lt;=MAX(YrOfExit,1))</f>
        <v>0</v>
      </c>
      <c r="DE418" s="78">
        <f>'Operating Calculations'!DC72*(DE$6&lt;=MAX(YrOfExit,1))</f>
        <v>0</v>
      </c>
      <c r="DF418" s="78">
        <f>'Operating Calculations'!DD72*(DF$6&lt;=MAX(YrOfExit,1))</f>
        <v>0</v>
      </c>
      <c r="DG418" s="78">
        <f>'Operating Calculations'!DE72*(DG$6&lt;=MAX(YrOfExit,1))</f>
        <v>0</v>
      </c>
      <c r="DH418" s="78">
        <f>'Operating Calculations'!DF72*(DH$6&lt;=MAX(YrOfExit,1))</f>
        <v>0</v>
      </c>
      <c r="DI418" s="78">
        <f>'Operating Calculations'!DG72*(DI$6&lt;=MAX(YrOfExit,1))</f>
        <v>0</v>
      </c>
      <c r="DJ418" s="78">
        <f>'Operating Calculations'!DH72*(DJ$6&lt;=MAX(YrOfExit,1))</f>
        <v>0</v>
      </c>
      <c r="DK418" s="78">
        <f>'Operating Calculations'!DI72*(DK$6&lt;=MAX(YrOfExit,1))</f>
        <v>0</v>
      </c>
      <c r="DL418" s="78">
        <f>'Operating Calculations'!DJ72*(DL$6&lt;=MAX(YrOfExit,1))</f>
        <v>0</v>
      </c>
      <c r="DM418" s="78">
        <f>'Operating Calculations'!DK72*(DM$6&lt;=MAX(YrOfExit,1))</f>
        <v>0</v>
      </c>
      <c r="DN418" s="78">
        <f>'Operating Calculations'!DL72*(DN$6&lt;=MAX(YrOfExit,1))</f>
        <v>0</v>
      </c>
      <c r="DO418" s="78">
        <f>'Operating Calculations'!DM72*(DO$6&lt;=MAX(YrOfExit,1))</f>
        <v>0</v>
      </c>
      <c r="DP418" s="78">
        <f>'Operating Calculations'!DN72*(DP$6&lt;=MAX(YrOfExit,1))</f>
        <v>0</v>
      </c>
      <c r="DQ418" s="78">
        <f>'Operating Calculations'!DO72*(DQ$6&lt;=MAX(YrOfExit,1))</f>
        <v>0</v>
      </c>
      <c r="DR418" s="78">
        <f>'Operating Calculations'!DP72*(DR$6&lt;=MAX(YrOfExit,1))</f>
        <v>0</v>
      </c>
      <c r="DS418" s="78">
        <f>'Operating Calculations'!DQ72*(DS$6&lt;=MAX(YrOfExit,1))</f>
        <v>0</v>
      </c>
      <c r="DT418" s="78">
        <f>'Operating Calculations'!DR72*(DT$6&lt;=MAX(YrOfExit,1))</f>
        <v>0</v>
      </c>
      <c r="DU418" s="78">
        <f>'Operating Calculations'!DS72*(DU$6&lt;=MAX(YrOfExit,1))</f>
        <v>0</v>
      </c>
      <c r="DV418" s="78">
        <f>'Operating Calculations'!DT72*(DV$6&lt;=MAX(YrOfExit,1))</f>
        <v>0</v>
      </c>
      <c r="DW418" s="78">
        <f>'Operating Calculations'!DU72*(DW$6&lt;=MAX(YrOfExit,1))</f>
        <v>0</v>
      </c>
      <c r="DX418" s="78">
        <f>'Operating Calculations'!DV72*(DX$6&lt;=MAX(YrOfExit,1))</f>
        <v>0</v>
      </c>
      <c r="DY418" s="78">
        <f>'Operating Calculations'!DW72*(DY$6&lt;=MAX(YrOfExit,1))</f>
        <v>0</v>
      </c>
      <c r="DZ418" s="78">
        <f>'Operating Calculations'!DX72*(DZ$6&lt;=MAX(YrOfExit,1))</f>
        <v>0</v>
      </c>
      <c r="EA418" s="78">
        <f>'Operating Calculations'!DY72*(EA$6&lt;=MAX(YrOfExit,1))</f>
        <v>0</v>
      </c>
      <c r="EB418" s="78">
        <f>'Operating Calculations'!DZ72*(EB$6&lt;=MAX(YrOfExit,1))</f>
        <v>0</v>
      </c>
      <c r="EC418" s="78">
        <f>'Operating Calculations'!EA72*(EC$6&lt;=MAX(YrOfExit,1))</f>
        <v>0</v>
      </c>
      <c r="ED418" s="78">
        <f>'Operating Calculations'!EB72*(ED$6&lt;=MAX(YrOfExit,1))</f>
        <v>0</v>
      </c>
      <c r="EE418" s="78">
        <f>'Operating Calculations'!EC72*(EE$6&lt;=MAX(YrOfExit,1))</f>
        <v>0</v>
      </c>
      <c r="EF418" s="78">
        <f>'Operating Calculations'!ED72*(EF$6&lt;=MAX(YrOfExit,1))</f>
        <v>0</v>
      </c>
      <c r="EG418" s="78">
        <f>'Operating Calculations'!EE72*(EG$6&lt;=MAX(YrOfExit,1))</f>
        <v>0</v>
      </c>
      <c r="EH418" s="78">
        <f>'Operating Calculations'!EF72*(EH$6&lt;=MAX(YrOfExit,1))</f>
        <v>0</v>
      </c>
      <c r="EI418" s="78">
        <f>'Operating Calculations'!EG72*(EI$6&lt;=MAX(YrOfExit,1))</f>
        <v>0</v>
      </c>
    </row>
    <row r="419" spans="2:139" ht="12.75" hidden="1" customHeight="1" outlineLevel="1">
      <c r="B419" s="32"/>
      <c r="C419" s="27"/>
      <c r="D419" s="841"/>
      <c r="E419" s="841"/>
      <c r="F419" s="841"/>
      <c r="G419" s="841"/>
      <c r="H419" s="841"/>
      <c r="I419" s="841"/>
      <c r="J419" s="841"/>
      <c r="K419" s="841"/>
      <c r="L419" s="841"/>
      <c r="M419" s="841"/>
      <c r="N419" s="841"/>
      <c r="O419" s="842"/>
      <c r="Q419" s="78"/>
      <c r="S419" s="841"/>
      <c r="T419" s="841"/>
      <c r="U419" s="841"/>
      <c r="V419" s="841"/>
      <c r="W419" s="841"/>
      <c r="X419" s="841"/>
      <c r="Y419" s="841"/>
      <c r="Z419" s="841"/>
      <c r="AA419" s="841"/>
      <c r="AB419" s="841"/>
      <c r="AC419" s="841"/>
      <c r="AD419" s="841"/>
      <c r="AE419" s="841"/>
      <c r="AF419" s="841"/>
      <c r="AG419" s="841"/>
      <c r="AH419" s="841"/>
      <c r="AI419" s="841"/>
      <c r="AJ419" s="841"/>
      <c r="AK419" s="841"/>
      <c r="AL419" s="841"/>
      <c r="AM419" s="841"/>
      <c r="AN419" s="841"/>
      <c r="AO419" s="841"/>
      <c r="AP419" s="841"/>
      <c r="AQ419" s="841"/>
      <c r="AR419" s="841"/>
      <c r="AS419" s="841"/>
      <c r="AT419" s="841"/>
      <c r="AU419" s="841"/>
      <c r="AV419" s="841"/>
      <c r="AW419" s="841"/>
      <c r="AX419" s="841"/>
      <c r="AY419" s="841"/>
      <c r="AZ419" s="841"/>
      <c r="BA419" s="841"/>
      <c r="BB419" s="841"/>
      <c r="BC419" s="841"/>
      <c r="BD419" s="841"/>
      <c r="BE419" s="841"/>
      <c r="BF419" s="841"/>
      <c r="BG419" s="841"/>
      <c r="BH419" s="841"/>
      <c r="BI419" s="841"/>
      <c r="BJ419" s="841"/>
      <c r="BK419" s="841"/>
      <c r="BL419" s="841"/>
      <c r="BM419" s="841"/>
      <c r="BN419" s="841"/>
      <c r="BO419" s="841"/>
      <c r="BP419" s="841"/>
      <c r="BQ419" s="841"/>
      <c r="BR419" s="841"/>
      <c r="BS419" s="841"/>
      <c r="BT419" s="841"/>
      <c r="BU419" s="841"/>
      <c r="BV419" s="841"/>
      <c r="BW419" s="841"/>
      <c r="BX419" s="841"/>
      <c r="BY419" s="841"/>
      <c r="BZ419" s="841"/>
      <c r="CA419" s="841"/>
      <c r="CB419" s="841"/>
      <c r="CC419" s="841"/>
      <c r="CD419" s="841"/>
      <c r="CE419" s="841"/>
      <c r="CF419" s="841"/>
      <c r="CG419" s="841"/>
      <c r="CH419" s="841"/>
      <c r="CI419" s="841"/>
      <c r="CJ419" s="841"/>
      <c r="CK419" s="841"/>
      <c r="CL419" s="841"/>
      <c r="CM419" s="841"/>
      <c r="CN419" s="841"/>
      <c r="CO419" s="841"/>
      <c r="CP419" s="841"/>
      <c r="CQ419" s="841"/>
      <c r="CR419" s="841"/>
      <c r="CS419" s="841"/>
      <c r="CT419" s="841"/>
      <c r="CU419" s="841"/>
      <c r="CV419" s="841"/>
      <c r="CW419" s="841"/>
      <c r="CX419" s="841"/>
      <c r="CY419" s="841"/>
      <c r="CZ419" s="841"/>
      <c r="DA419" s="841"/>
      <c r="DB419" s="841"/>
      <c r="DC419" s="841"/>
      <c r="DD419" s="841"/>
      <c r="DE419" s="841"/>
      <c r="DF419" s="841"/>
      <c r="DG419" s="841"/>
      <c r="DH419" s="841"/>
      <c r="DI419" s="841"/>
      <c r="DJ419" s="841"/>
      <c r="DK419" s="841"/>
      <c r="DL419" s="841"/>
      <c r="DM419" s="841"/>
      <c r="DN419" s="841"/>
      <c r="DO419" s="841"/>
      <c r="DP419" s="841"/>
      <c r="DQ419" s="841"/>
      <c r="DR419" s="841"/>
      <c r="DS419" s="841"/>
      <c r="DT419" s="841"/>
      <c r="DU419" s="841"/>
      <c r="DV419" s="841"/>
      <c r="DW419" s="841"/>
      <c r="DX419" s="841"/>
      <c r="DY419" s="841"/>
      <c r="DZ419" s="841"/>
      <c r="EA419" s="841"/>
      <c r="EB419" s="841"/>
      <c r="EC419" s="841"/>
      <c r="ED419" s="841"/>
      <c r="EE419" s="841"/>
      <c r="EF419" s="841"/>
      <c r="EG419" s="841"/>
      <c r="EH419" s="841"/>
      <c r="EI419" s="841"/>
    </row>
    <row r="420" spans="2:139" hidden="1" outlineLevel="1" collapsed="1">
      <c r="B420" s="198" t="s">
        <v>683</v>
      </c>
      <c r="C420" s="209"/>
      <c r="D420" s="169"/>
      <c r="E420" s="169">
        <f t="shared" ref="E420:O420" si="936">SUBTOTAL(9,E417:E419)</f>
        <v>0</v>
      </c>
      <c r="F420" s="169">
        <f t="shared" si="936"/>
        <v>0</v>
      </c>
      <c r="G420" s="169">
        <f t="shared" si="936"/>
        <v>0</v>
      </c>
      <c r="H420" s="169">
        <f t="shared" si="936"/>
        <v>0</v>
      </c>
      <c r="I420" s="169">
        <f t="shared" si="936"/>
        <v>0</v>
      </c>
      <c r="J420" s="169">
        <f t="shared" si="936"/>
        <v>0</v>
      </c>
      <c r="K420" s="169">
        <f t="shared" si="936"/>
        <v>0</v>
      </c>
      <c r="L420" s="169">
        <f t="shared" si="936"/>
        <v>0</v>
      </c>
      <c r="M420" s="169">
        <f t="shared" si="936"/>
        <v>0</v>
      </c>
      <c r="N420" s="169">
        <f t="shared" si="936"/>
        <v>0</v>
      </c>
      <c r="O420" s="91">
        <f t="shared" si="936"/>
        <v>0</v>
      </c>
      <c r="Q420" s="694">
        <f>SUBTOTAL(9,Q417:Q418)</f>
        <v>0</v>
      </c>
      <c r="S420" s="169"/>
      <c r="T420" s="694">
        <f t="shared" ref="T420:AY420" si="937">SUBTOTAL(9,T417:T419)</f>
        <v>0</v>
      </c>
      <c r="U420" s="694">
        <f t="shared" si="937"/>
        <v>0</v>
      </c>
      <c r="V420" s="694">
        <f t="shared" si="937"/>
        <v>0</v>
      </c>
      <c r="W420" s="694">
        <f t="shared" si="937"/>
        <v>0</v>
      </c>
      <c r="X420" s="694">
        <f t="shared" si="937"/>
        <v>0</v>
      </c>
      <c r="Y420" s="694">
        <f t="shared" si="937"/>
        <v>0</v>
      </c>
      <c r="Z420" s="694">
        <f t="shared" si="937"/>
        <v>0</v>
      </c>
      <c r="AA420" s="694">
        <f t="shared" si="937"/>
        <v>0</v>
      </c>
      <c r="AB420" s="694">
        <f t="shared" si="937"/>
        <v>0</v>
      </c>
      <c r="AC420" s="694">
        <f t="shared" si="937"/>
        <v>0</v>
      </c>
      <c r="AD420" s="694">
        <f t="shared" si="937"/>
        <v>0</v>
      </c>
      <c r="AE420" s="694">
        <f t="shared" si="937"/>
        <v>0</v>
      </c>
      <c r="AF420" s="694">
        <f t="shared" si="937"/>
        <v>0</v>
      </c>
      <c r="AG420" s="694">
        <f t="shared" si="937"/>
        <v>0</v>
      </c>
      <c r="AH420" s="694">
        <f t="shared" si="937"/>
        <v>0</v>
      </c>
      <c r="AI420" s="694">
        <f t="shared" si="937"/>
        <v>0</v>
      </c>
      <c r="AJ420" s="694">
        <f t="shared" si="937"/>
        <v>0</v>
      </c>
      <c r="AK420" s="694">
        <f t="shared" si="937"/>
        <v>0</v>
      </c>
      <c r="AL420" s="694">
        <f t="shared" si="937"/>
        <v>0</v>
      </c>
      <c r="AM420" s="694">
        <f t="shared" si="937"/>
        <v>0</v>
      </c>
      <c r="AN420" s="694">
        <f t="shared" si="937"/>
        <v>0</v>
      </c>
      <c r="AO420" s="694">
        <f t="shared" si="937"/>
        <v>0</v>
      </c>
      <c r="AP420" s="694">
        <f t="shared" si="937"/>
        <v>0</v>
      </c>
      <c r="AQ420" s="694">
        <f t="shared" si="937"/>
        <v>0</v>
      </c>
      <c r="AR420" s="694">
        <f t="shared" si="937"/>
        <v>0</v>
      </c>
      <c r="AS420" s="694">
        <f t="shared" si="937"/>
        <v>0</v>
      </c>
      <c r="AT420" s="694">
        <f t="shared" si="937"/>
        <v>0</v>
      </c>
      <c r="AU420" s="694">
        <f t="shared" si="937"/>
        <v>0</v>
      </c>
      <c r="AV420" s="694">
        <f t="shared" si="937"/>
        <v>0</v>
      </c>
      <c r="AW420" s="694">
        <f t="shared" si="937"/>
        <v>0</v>
      </c>
      <c r="AX420" s="694">
        <f t="shared" si="937"/>
        <v>0</v>
      </c>
      <c r="AY420" s="694">
        <f t="shared" si="937"/>
        <v>0</v>
      </c>
      <c r="AZ420" s="694">
        <f t="shared" ref="AZ420:CE420" si="938">SUBTOTAL(9,AZ417:AZ419)</f>
        <v>0</v>
      </c>
      <c r="BA420" s="694">
        <f t="shared" si="938"/>
        <v>0</v>
      </c>
      <c r="BB420" s="694">
        <f t="shared" si="938"/>
        <v>0</v>
      </c>
      <c r="BC420" s="694">
        <f t="shared" si="938"/>
        <v>0</v>
      </c>
      <c r="BD420" s="694">
        <f t="shared" si="938"/>
        <v>0</v>
      </c>
      <c r="BE420" s="694">
        <f t="shared" si="938"/>
        <v>0</v>
      </c>
      <c r="BF420" s="694">
        <f t="shared" si="938"/>
        <v>0</v>
      </c>
      <c r="BG420" s="694">
        <f t="shared" si="938"/>
        <v>0</v>
      </c>
      <c r="BH420" s="694">
        <f t="shared" si="938"/>
        <v>0</v>
      </c>
      <c r="BI420" s="694">
        <f t="shared" si="938"/>
        <v>0</v>
      </c>
      <c r="BJ420" s="694">
        <f t="shared" si="938"/>
        <v>0</v>
      </c>
      <c r="BK420" s="694">
        <f t="shared" si="938"/>
        <v>0</v>
      </c>
      <c r="BL420" s="694">
        <f t="shared" si="938"/>
        <v>0</v>
      </c>
      <c r="BM420" s="694">
        <f t="shared" si="938"/>
        <v>0</v>
      </c>
      <c r="BN420" s="694">
        <f t="shared" si="938"/>
        <v>0</v>
      </c>
      <c r="BO420" s="694">
        <f t="shared" si="938"/>
        <v>0</v>
      </c>
      <c r="BP420" s="694">
        <f t="shared" si="938"/>
        <v>0</v>
      </c>
      <c r="BQ420" s="694">
        <f t="shared" si="938"/>
        <v>0</v>
      </c>
      <c r="BR420" s="694">
        <f t="shared" si="938"/>
        <v>0</v>
      </c>
      <c r="BS420" s="694">
        <f t="shared" si="938"/>
        <v>0</v>
      </c>
      <c r="BT420" s="694">
        <f t="shared" si="938"/>
        <v>0</v>
      </c>
      <c r="BU420" s="694">
        <f t="shared" si="938"/>
        <v>0</v>
      </c>
      <c r="BV420" s="694">
        <f t="shared" si="938"/>
        <v>0</v>
      </c>
      <c r="BW420" s="694">
        <f t="shared" si="938"/>
        <v>0</v>
      </c>
      <c r="BX420" s="694">
        <f t="shared" si="938"/>
        <v>0</v>
      </c>
      <c r="BY420" s="694">
        <f t="shared" si="938"/>
        <v>0</v>
      </c>
      <c r="BZ420" s="694">
        <f t="shared" si="938"/>
        <v>0</v>
      </c>
      <c r="CA420" s="694">
        <f t="shared" si="938"/>
        <v>0</v>
      </c>
      <c r="CB420" s="694">
        <f t="shared" si="938"/>
        <v>0</v>
      </c>
      <c r="CC420" s="694">
        <f t="shared" si="938"/>
        <v>0</v>
      </c>
      <c r="CD420" s="694">
        <f t="shared" si="938"/>
        <v>0</v>
      </c>
      <c r="CE420" s="694">
        <f t="shared" si="938"/>
        <v>0</v>
      </c>
      <c r="CF420" s="694">
        <f t="shared" ref="CF420:DK420" si="939">SUBTOTAL(9,CF417:CF419)</f>
        <v>0</v>
      </c>
      <c r="CG420" s="694">
        <f t="shared" si="939"/>
        <v>0</v>
      </c>
      <c r="CH420" s="694">
        <f t="shared" si="939"/>
        <v>0</v>
      </c>
      <c r="CI420" s="694">
        <f t="shared" si="939"/>
        <v>0</v>
      </c>
      <c r="CJ420" s="694">
        <f t="shared" si="939"/>
        <v>0</v>
      </c>
      <c r="CK420" s="694">
        <f t="shared" si="939"/>
        <v>0</v>
      </c>
      <c r="CL420" s="694">
        <f t="shared" si="939"/>
        <v>0</v>
      </c>
      <c r="CM420" s="694">
        <f t="shared" si="939"/>
        <v>0</v>
      </c>
      <c r="CN420" s="694">
        <f t="shared" si="939"/>
        <v>0</v>
      </c>
      <c r="CO420" s="694">
        <f t="shared" si="939"/>
        <v>0</v>
      </c>
      <c r="CP420" s="694">
        <f t="shared" si="939"/>
        <v>0</v>
      </c>
      <c r="CQ420" s="694">
        <f t="shared" si="939"/>
        <v>0</v>
      </c>
      <c r="CR420" s="694">
        <f t="shared" si="939"/>
        <v>0</v>
      </c>
      <c r="CS420" s="694">
        <f t="shared" si="939"/>
        <v>0</v>
      </c>
      <c r="CT420" s="694">
        <f t="shared" si="939"/>
        <v>0</v>
      </c>
      <c r="CU420" s="694">
        <f t="shared" si="939"/>
        <v>0</v>
      </c>
      <c r="CV420" s="694">
        <f t="shared" si="939"/>
        <v>0</v>
      </c>
      <c r="CW420" s="694">
        <f t="shared" si="939"/>
        <v>0</v>
      </c>
      <c r="CX420" s="694">
        <f t="shared" si="939"/>
        <v>0</v>
      </c>
      <c r="CY420" s="694">
        <f t="shared" si="939"/>
        <v>0</v>
      </c>
      <c r="CZ420" s="694">
        <f t="shared" si="939"/>
        <v>0</v>
      </c>
      <c r="DA420" s="694">
        <f t="shared" si="939"/>
        <v>0</v>
      </c>
      <c r="DB420" s="694">
        <f t="shared" si="939"/>
        <v>0</v>
      </c>
      <c r="DC420" s="694">
        <f t="shared" si="939"/>
        <v>0</v>
      </c>
      <c r="DD420" s="694">
        <f t="shared" si="939"/>
        <v>0</v>
      </c>
      <c r="DE420" s="694">
        <f t="shared" si="939"/>
        <v>0</v>
      </c>
      <c r="DF420" s="694">
        <f t="shared" si="939"/>
        <v>0</v>
      </c>
      <c r="DG420" s="694">
        <f t="shared" si="939"/>
        <v>0</v>
      </c>
      <c r="DH420" s="694">
        <f t="shared" si="939"/>
        <v>0</v>
      </c>
      <c r="DI420" s="694">
        <f t="shared" si="939"/>
        <v>0</v>
      </c>
      <c r="DJ420" s="694">
        <f t="shared" si="939"/>
        <v>0</v>
      </c>
      <c r="DK420" s="694">
        <f t="shared" si="939"/>
        <v>0</v>
      </c>
      <c r="DL420" s="694">
        <f t="shared" ref="DL420:EQ420" si="940">SUBTOTAL(9,DL417:DL419)</f>
        <v>0</v>
      </c>
      <c r="DM420" s="694">
        <f t="shared" si="940"/>
        <v>0</v>
      </c>
      <c r="DN420" s="694">
        <f t="shared" si="940"/>
        <v>0</v>
      </c>
      <c r="DO420" s="694">
        <f t="shared" si="940"/>
        <v>0</v>
      </c>
      <c r="DP420" s="694">
        <f t="shared" si="940"/>
        <v>0</v>
      </c>
      <c r="DQ420" s="694">
        <f t="shared" si="940"/>
        <v>0</v>
      </c>
      <c r="DR420" s="694">
        <f t="shared" si="940"/>
        <v>0</v>
      </c>
      <c r="DS420" s="694">
        <f t="shared" si="940"/>
        <v>0</v>
      </c>
      <c r="DT420" s="694">
        <f t="shared" si="940"/>
        <v>0</v>
      </c>
      <c r="DU420" s="694">
        <f t="shared" si="940"/>
        <v>0</v>
      </c>
      <c r="DV420" s="694">
        <f t="shared" si="940"/>
        <v>0</v>
      </c>
      <c r="DW420" s="694">
        <f t="shared" si="940"/>
        <v>0</v>
      </c>
      <c r="DX420" s="694">
        <f t="shared" si="940"/>
        <v>0</v>
      </c>
      <c r="DY420" s="694">
        <f t="shared" si="940"/>
        <v>0</v>
      </c>
      <c r="DZ420" s="694">
        <f t="shared" si="940"/>
        <v>0</v>
      </c>
      <c r="EA420" s="694">
        <f t="shared" si="940"/>
        <v>0</v>
      </c>
      <c r="EB420" s="694">
        <f t="shared" si="940"/>
        <v>0</v>
      </c>
      <c r="EC420" s="694">
        <f t="shared" si="940"/>
        <v>0</v>
      </c>
      <c r="ED420" s="694">
        <f t="shared" si="940"/>
        <v>0</v>
      </c>
      <c r="EE420" s="694">
        <f t="shared" si="940"/>
        <v>0</v>
      </c>
      <c r="EF420" s="694">
        <f t="shared" si="940"/>
        <v>0</v>
      </c>
      <c r="EG420" s="694">
        <f t="shared" si="940"/>
        <v>0</v>
      </c>
      <c r="EH420" s="694">
        <f t="shared" si="940"/>
        <v>0</v>
      </c>
      <c r="EI420" s="694">
        <f t="shared" si="940"/>
        <v>0</v>
      </c>
    </row>
    <row r="421" spans="2:139" hidden="1" outlineLevel="1">
      <c r="B421" s="27"/>
      <c r="C421" s="27"/>
      <c r="D421" s="78"/>
      <c r="E421" s="78"/>
      <c r="F421" s="78"/>
      <c r="G421" s="78"/>
      <c r="H421" s="78"/>
      <c r="I421" s="78"/>
      <c r="J421" s="78"/>
      <c r="K421" s="78"/>
      <c r="L421" s="78"/>
      <c r="M421" s="78"/>
      <c r="N421" s="78"/>
      <c r="O421" s="145"/>
      <c r="Q421" s="169"/>
      <c r="S421" s="78"/>
      <c r="T421" s="78"/>
      <c r="U421" s="78"/>
      <c r="V421" s="78"/>
      <c r="W421" s="78"/>
      <c r="X421" s="78"/>
      <c r="Y421" s="78"/>
      <c r="Z421" s="78"/>
      <c r="AA421" s="78"/>
      <c r="AB421" s="78"/>
      <c r="AC421" s="78"/>
      <c r="AD421" s="78"/>
      <c r="AE421" s="78"/>
      <c r="AF421" s="78"/>
      <c r="AG421" s="78"/>
      <c r="AH421" s="78"/>
      <c r="AI421" s="78"/>
      <c r="AJ421" s="78"/>
      <c r="AK421" s="78"/>
      <c r="AL421" s="78"/>
      <c r="AM421" s="78"/>
      <c r="AN421" s="78"/>
      <c r="AO421" s="78"/>
      <c r="AP421" s="78"/>
      <c r="AQ421" s="78"/>
      <c r="AR421" s="78"/>
      <c r="AS421" s="78"/>
      <c r="AT421" s="78"/>
      <c r="AU421" s="78"/>
      <c r="AV421" s="78"/>
      <c r="AW421" s="78"/>
      <c r="AX421" s="78"/>
      <c r="AY421" s="78"/>
      <c r="AZ421" s="78"/>
      <c r="BA421" s="78"/>
      <c r="BB421" s="78"/>
      <c r="BC421" s="78"/>
      <c r="BD421" s="27"/>
      <c r="BE421" s="27"/>
      <c r="BF421" s="27"/>
      <c r="BG421" s="27"/>
      <c r="BH421" s="27"/>
      <c r="BI421" s="27"/>
      <c r="BJ421" s="27"/>
      <c r="BK421" s="27"/>
      <c r="BL421" s="27"/>
      <c r="BM421" s="27"/>
      <c r="BN421" s="27"/>
      <c r="BO421" s="27"/>
      <c r="BP421" s="27"/>
      <c r="BQ421" s="27"/>
      <c r="BR421" s="27"/>
      <c r="BS421" s="27"/>
      <c r="BT421" s="27"/>
      <c r="BU421" s="27"/>
      <c r="BV421" s="27"/>
      <c r="BW421" s="27"/>
      <c r="BX421" s="27"/>
      <c r="BY421" s="27"/>
      <c r="BZ421" s="27"/>
      <c r="CA421" s="27"/>
      <c r="CB421" s="27"/>
      <c r="CC421" s="27"/>
      <c r="CD421" s="27"/>
      <c r="CE421" s="27"/>
      <c r="CF421" s="27"/>
      <c r="CG421" s="27"/>
      <c r="CH421" s="27"/>
      <c r="CI421" s="27"/>
      <c r="CJ421" s="27"/>
      <c r="CK421" s="27"/>
      <c r="CL421" s="27"/>
      <c r="CM421" s="27"/>
      <c r="CN421" s="27"/>
      <c r="CO421" s="27"/>
      <c r="CP421" s="27"/>
      <c r="CQ421" s="27"/>
      <c r="CR421" s="27"/>
      <c r="CS421" s="27"/>
      <c r="CT421" s="27"/>
      <c r="CU421" s="27"/>
      <c r="CV421" s="27"/>
      <c r="CW421" s="27"/>
      <c r="CX421" s="27"/>
      <c r="CY421" s="27"/>
      <c r="CZ421" s="27"/>
      <c r="DA421" s="27"/>
      <c r="DB421" s="27"/>
      <c r="DC421" s="27"/>
      <c r="DD421" s="27"/>
      <c r="DE421" s="27"/>
      <c r="DF421" s="27"/>
      <c r="DG421" s="27"/>
      <c r="DH421" s="27"/>
      <c r="DI421" s="27"/>
      <c r="DJ421" s="27"/>
      <c r="DK421" s="27"/>
      <c r="DL421" s="27"/>
      <c r="DM421" s="27"/>
      <c r="DN421" s="27"/>
      <c r="DO421" s="27"/>
      <c r="DP421" s="27"/>
      <c r="DQ421" s="27"/>
      <c r="DR421" s="27"/>
      <c r="DS421" s="27"/>
      <c r="DT421" s="27"/>
      <c r="DU421" s="27"/>
      <c r="DV421" s="27"/>
      <c r="DW421" s="27"/>
      <c r="DX421" s="27"/>
      <c r="DY421" s="27"/>
      <c r="DZ421" s="27"/>
      <c r="EA421" s="27"/>
      <c r="EB421" s="27"/>
      <c r="EC421" s="27"/>
      <c r="ED421" s="27"/>
      <c r="EE421" s="27"/>
      <c r="EF421" s="27"/>
      <c r="EG421" s="27"/>
      <c r="EH421" s="27"/>
      <c r="EI421" s="27"/>
    </row>
    <row r="422" spans="2:139" hidden="1" outlineLevel="1"/>
    <row r="423" spans="2:139" hidden="1" outlineLevel="1"/>
    <row r="424" spans="2:139" s="192" customFormat="1" ht="14.25" hidden="1" customHeight="1" outlineLevel="1">
      <c r="B424" s="1043" t="s">
        <v>145</v>
      </c>
      <c r="C424" s="196"/>
      <c r="D424" s="196"/>
      <c r="E424" s="196"/>
      <c r="F424" s="197"/>
      <c r="G424" s="197"/>
      <c r="H424" s="197"/>
      <c r="I424" s="197"/>
      <c r="J424" s="197"/>
      <c r="K424" s="197"/>
      <c r="L424" s="197"/>
      <c r="M424" s="197"/>
      <c r="N424" s="197"/>
      <c r="O424" s="197"/>
      <c r="P424"/>
      <c r="Q424"/>
      <c r="R424"/>
      <c r="S424" s="840"/>
      <c r="T424" s="197"/>
      <c r="U424" s="197"/>
      <c r="V424" s="197"/>
      <c r="W424" s="197"/>
      <c r="X424" s="197"/>
      <c r="Y424" s="197"/>
      <c r="Z424" s="197"/>
      <c r="AA424" s="197"/>
      <c r="AB424" s="197"/>
      <c r="AC424" s="197"/>
      <c r="AD424" s="197"/>
      <c r="AE424" s="197"/>
      <c r="AF424" s="197"/>
      <c r="AG424" s="197"/>
      <c r="AH424" s="197"/>
      <c r="AI424" s="197"/>
      <c r="AJ424" s="197"/>
      <c r="AK424" s="197"/>
      <c r="AL424" s="197"/>
      <c r="AM424" s="197"/>
      <c r="AN424" s="197"/>
      <c r="AO424" s="197"/>
      <c r="AP424" s="197"/>
      <c r="AQ424" s="197"/>
      <c r="AR424" s="197"/>
      <c r="AS424" s="197"/>
      <c r="AT424" s="197"/>
      <c r="AU424" s="197"/>
      <c r="AV424" s="197"/>
      <c r="AW424" s="197"/>
      <c r="AX424" s="197"/>
      <c r="AY424" s="197"/>
      <c r="AZ424" s="197"/>
      <c r="BA424" s="197"/>
      <c r="BB424" s="197"/>
      <c r="BC424" s="197"/>
      <c r="BD424" s="197"/>
      <c r="BE424" s="197"/>
      <c r="BF424" s="197"/>
      <c r="BG424" s="197"/>
      <c r="BH424" s="197"/>
      <c r="BI424" s="197"/>
      <c r="BJ424" s="197"/>
      <c r="BK424" s="197"/>
      <c r="BL424" s="197"/>
      <c r="BM424" s="197"/>
      <c r="BN424" s="197"/>
      <c r="BO424" s="197"/>
      <c r="BP424" s="197"/>
      <c r="BQ424" s="197"/>
      <c r="BR424" s="197"/>
      <c r="BS424" s="197"/>
      <c r="BT424" s="197"/>
      <c r="BU424" s="197"/>
      <c r="BV424" s="197"/>
      <c r="BW424" s="197"/>
      <c r="BX424" s="197"/>
      <c r="BY424" s="197"/>
      <c r="BZ424" s="197"/>
      <c r="CA424" s="197"/>
      <c r="CB424" s="197"/>
      <c r="CC424" s="197"/>
      <c r="CD424" s="197"/>
      <c r="CE424" s="197"/>
      <c r="CF424" s="197"/>
      <c r="CG424" s="197"/>
      <c r="CH424" s="197"/>
      <c r="CI424" s="197"/>
      <c r="CJ424" s="197"/>
      <c r="CK424" s="197"/>
      <c r="CL424" s="197"/>
      <c r="CM424" s="197"/>
      <c r="CN424" s="197"/>
      <c r="CO424" s="197"/>
      <c r="CP424" s="197"/>
      <c r="CQ424" s="197"/>
      <c r="CR424" s="197"/>
      <c r="CS424" s="197"/>
      <c r="CT424" s="197"/>
      <c r="CU424" s="197"/>
      <c r="CV424" s="197"/>
      <c r="CW424" s="197"/>
      <c r="CX424" s="197"/>
      <c r="CY424" s="197"/>
      <c r="CZ424" s="197"/>
      <c r="DA424" s="197"/>
      <c r="DB424" s="197"/>
      <c r="DC424" s="197"/>
      <c r="DD424" s="197"/>
      <c r="DE424" s="197"/>
      <c r="DF424" s="197"/>
      <c r="DG424" s="197"/>
      <c r="DH424" s="197"/>
      <c r="DI424" s="197"/>
      <c r="DJ424" s="197"/>
      <c r="DK424" s="197"/>
      <c r="DL424" s="197"/>
      <c r="DM424" s="197"/>
      <c r="DN424" s="197"/>
      <c r="DO424" s="197"/>
      <c r="DP424" s="197"/>
      <c r="DQ424" s="197"/>
      <c r="DR424" s="197"/>
      <c r="DS424" s="197"/>
      <c r="DT424" s="197"/>
      <c r="DU424" s="197"/>
      <c r="DV424" s="197"/>
      <c r="DW424" s="197"/>
      <c r="DX424" s="197"/>
      <c r="DY424" s="197"/>
      <c r="DZ424" s="197"/>
      <c r="EA424" s="197"/>
      <c r="EB424" s="197"/>
      <c r="EC424" s="197"/>
      <c r="ED424" s="197"/>
      <c r="EE424" s="197"/>
      <c r="EF424" s="197"/>
      <c r="EG424" s="197"/>
      <c r="EH424" s="197"/>
      <c r="EI424" s="197"/>
    </row>
    <row r="425" spans="2:139" ht="12.75" hidden="1" customHeight="1" outlineLevel="1">
      <c r="B425" s="826" t="s">
        <v>684</v>
      </c>
      <c r="C425" s="27"/>
      <c r="D425" s="78">
        <f>IF(D12,O67,)</f>
        <v>0</v>
      </c>
      <c r="E425" s="78">
        <f t="shared" ref="E425:N425" si="941">IF($D$425,,E67)</f>
        <v>0</v>
      </c>
      <c r="F425" s="78">
        <f t="shared" si="941"/>
        <v>0</v>
      </c>
      <c r="G425" s="78">
        <f t="shared" si="941"/>
        <v>0</v>
      </c>
      <c r="H425" s="78">
        <f t="shared" si="941"/>
        <v>0</v>
      </c>
      <c r="I425" s="78">
        <f t="shared" si="941"/>
        <v>0</v>
      </c>
      <c r="J425" s="78">
        <f t="shared" si="941"/>
        <v>0</v>
      </c>
      <c r="K425" s="78">
        <f t="shared" si="941"/>
        <v>0</v>
      </c>
      <c r="L425" s="78">
        <f t="shared" si="941"/>
        <v>0</v>
      </c>
      <c r="M425" s="78">
        <f t="shared" si="941"/>
        <v>0</v>
      </c>
      <c r="N425" s="78">
        <f t="shared" si="941"/>
        <v>0</v>
      </c>
      <c r="O425" s="145">
        <f>SUM(D425:N425)</f>
        <v>0</v>
      </c>
      <c r="S425" s="78">
        <f>D425</f>
        <v>0</v>
      </c>
      <c r="T425" s="78">
        <f t="shared" ref="T425:AY425" si="942">IF($S$425,,T67)</f>
        <v>0</v>
      </c>
      <c r="U425" s="78">
        <f t="shared" si="942"/>
        <v>0</v>
      </c>
      <c r="V425" s="78">
        <f t="shared" si="942"/>
        <v>0</v>
      </c>
      <c r="W425" s="78">
        <f t="shared" si="942"/>
        <v>0</v>
      </c>
      <c r="X425" s="78">
        <f t="shared" si="942"/>
        <v>0</v>
      </c>
      <c r="Y425" s="78">
        <f t="shared" si="942"/>
        <v>0</v>
      </c>
      <c r="Z425" s="78">
        <f t="shared" si="942"/>
        <v>0</v>
      </c>
      <c r="AA425" s="78">
        <f t="shared" si="942"/>
        <v>0</v>
      </c>
      <c r="AB425" s="78">
        <f t="shared" si="942"/>
        <v>0</v>
      </c>
      <c r="AC425" s="78">
        <f t="shared" si="942"/>
        <v>0</v>
      </c>
      <c r="AD425" s="78">
        <f t="shared" si="942"/>
        <v>0</v>
      </c>
      <c r="AE425" s="78">
        <f t="shared" si="942"/>
        <v>0</v>
      </c>
      <c r="AF425" s="78">
        <f t="shared" si="942"/>
        <v>0</v>
      </c>
      <c r="AG425" s="78">
        <f t="shared" si="942"/>
        <v>0</v>
      </c>
      <c r="AH425" s="78">
        <f t="shared" si="942"/>
        <v>0</v>
      </c>
      <c r="AI425" s="78">
        <f t="shared" si="942"/>
        <v>0</v>
      </c>
      <c r="AJ425" s="78">
        <f t="shared" si="942"/>
        <v>0</v>
      </c>
      <c r="AK425" s="78">
        <f t="shared" si="942"/>
        <v>0</v>
      </c>
      <c r="AL425" s="78">
        <f t="shared" si="942"/>
        <v>0</v>
      </c>
      <c r="AM425" s="78">
        <f t="shared" si="942"/>
        <v>0</v>
      </c>
      <c r="AN425" s="78">
        <f t="shared" si="942"/>
        <v>0</v>
      </c>
      <c r="AO425" s="78">
        <f t="shared" si="942"/>
        <v>0</v>
      </c>
      <c r="AP425" s="78">
        <f t="shared" si="942"/>
        <v>0</v>
      </c>
      <c r="AQ425" s="78">
        <f t="shared" si="942"/>
        <v>0</v>
      </c>
      <c r="AR425" s="78">
        <f t="shared" si="942"/>
        <v>0</v>
      </c>
      <c r="AS425" s="78">
        <f t="shared" si="942"/>
        <v>0</v>
      </c>
      <c r="AT425" s="78">
        <f t="shared" si="942"/>
        <v>0</v>
      </c>
      <c r="AU425" s="78">
        <f t="shared" si="942"/>
        <v>0</v>
      </c>
      <c r="AV425" s="78">
        <f t="shared" si="942"/>
        <v>0</v>
      </c>
      <c r="AW425" s="78">
        <f t="shared" si="942"/>
        <v>0</v>
      </c>
      <c r="AX425" s="78">
        <f t="shared" si="942"/>
        <v>0</v>
      </c>
      <c r="AY425" s="78">
        <f t="shared" si="942"/>
        <v>0</v>
      </c>
      <c r="AZ425" s="78">
        <f t="shared" ref="AZ425:CE425" si="943">IF($S$425,,AZ67)</f>
        <v>0</v>
      </c>
      <c r="BA425" s="78">
        <f t="shared" si="943"/>
        <v>0</v>
      </c>
      <c r="BB425" s="78">
        <f t="shared" si="943"/>
        <v>0</v>
      </c>
      <c r="BC425" s="78">
        <f t="shared" si="943"/>
        <v>0</v>
      </c>
      <c r="BD425" s="78">
        <f t="shared" si="943"/>
        <v>0</v>
      </c>
      <c r="BE425" s="78">
        <f t="shared" si="943"/>
        <v>0</v>
      </c>
      <c r="BF425" s="78">
        <f t="shared" si="943"/>
        <v>0</v>
      </c>
      <c r="BG425" s="78">
        <f t="shared" si="943"/>
        <v>0</v>
      </c>
      <c r="BH425" s="78">
        <f t="shared" si="943"/>
        <v>0</v>
      </c>
      <c r="BI425" s="78">
        <f t="shared" si="943"/>
        <v>0</v>
      </c>
      <c r="BJ425" s="78">
        <f t="shared" si="943"/>
        <v>0</v>
      </c>
      <c r="BK425" s="78">
        <f t="shared" si="943"/>
        <v>0</v>
      </c>
      <c r="BL425" s="78">
        <f t="shared" si="943"/>
        <v>0</v>
      </c>
      <c r="BM425" s="78">
        <f t="shared" si="943"/>
        <v>0</v>
      </c>
      <c r="BN425" s="78">
        <f t="shared" si="943"/>
        <v>0</v>
      </c>
      <c r="BO425" s="78">
        <f t="shared" si="943"/>
        <v>0</v>
      </c>
      <c r="BP425" s="78">
        <f t="shared" si="943"/>
        <v>0</v>
      </c>
      <c r="BQ425" s="78">
        <f t="shared" si="943"/>
        <v>0</v>
      </c>
      <c r="BR425" s="78">
        <f t="shared" si="943"/>
        <v>0</v>
      </c>
      <c r="BS425" s="78">
        <f t="shared" si="943"/>
        <v>0</v>
      </c>
      <c r="BT425" s="78">
        <f t="shared" si="943"/>
        <v>0</v>
      </c>
      <c r="BU425" s="78">
        <f t="shared" si="943"/>
        <v>0</v>
      </c>
      <c r="BV425" s="78">
        <f t="shared" si="943"/>
        <v>0</v>
      </c>
      <c r="BW425" s="78">
        <f t="shared" si="943"/>
        <v>0</v>
      </c>
      <c r="BX425" s="78">
        <f t="shared" si="943"/>
        <v>0</v>
      </c>
      <c r="BY425" s="78">
        <f t="shared" si="943"/>
        <v>0</v>
      </c>
      <c r="BZ425" s="78">
        <f t="shared" si="943"/>
        <v>0</v>
      </c>
      <c r="CA425" s="78">
        <f t="shared" si="943"/>
        <v>0</v>
      </c>
      <c r="CB425" s="78">
        <f t="shared" si="943"/>
        <v>0</v>
      </c>
      <c r="CC425" s="78">
        <f t="shared" si="943"/>
        <v>0</v>
      </c>
      <c r="CD425" s="78">
        <f t="shared" si="943"/>
        <v>0</v>
      </c>
      <c r="CE425" s="78">
        <f t="shared" si="943"/>
        <v>0</v>
      </c>
      <c r="CF425" s="78">
        <f t="shared" ref="CF425:DK425" si="944">IF($S$425,,CF67)</f>
        <v>0</v>
      </c>
      <c r="CG425" s="78">
        <f t="shared" si="944"/>
        <v>0</v>
      </c>
      <c r="CH425" s="78">
        <f t="shared" si="944"/>
        <v>0</v>
      </c>
      <c r="CI425" s="78">
        <f t="shared" si="944"/>
        <v>0</v>
      </c>
      <c r="CJ425" s="78">
        <f t="shared" si="944"/>
        <v>0</v>
      </c>
      <c r="CK425" s="78">
        <f t="shared" si="944"/>
        <v>0</v>
      </c>
      <c r="CL425" s="78">
        <f t="shared" si="944"/>
        <v>0</v>
      </c>
      <c r="CM425" s="78">
        <f t="shared" si="944"/>
        <v>0</v>
      </c>
      <c r="CN425" s="78">
        <f t="shared" si="944"/>
        <v>0</v>
      </c>
      <c r="CO425" s="78">
        <f t="shared" si="944"/>
        <v>0</v>
      </c>
      <c r="CP425" s="78">
        <f t="shared" si="944"/>
        <v>0</v>
      </c>
      <c r="CQ425" s="78">
        <f t="shared" si="944"/>
        <v>0</v>
      </c>
      <c r="CR425" s="78">
        <f t="shared" si="944"/>
        <v>0</v>
      </c>
      <c r="CS425" s="78">
        <f t="shared" si="944"/>
        <v>0</v>
      </c>
      <c r="CT425" s="78">
        <f t="shared" si="944"/>
        <v>0</v>
      </c>
      <c r="CU425" s="78">
        <f t="shared" si="944"/>
        <v>0</v>
      </c>
      <c r="CV425" s="78">
        <f t="shared" si="944"/>
        <v>0</v>
      </c>
      <c r="CW425" s="78">
        <f t="shared" si="944"/>
        <v>0</v>
      </c>
      <c r="CX425" s="78">
        <f t="shared" si="944"/>
        <v>0</v>
      </c>
      <c r="CY425" s="78">
        <f t="shared" si="944"/>
        <v>0</v>
      </c>
      <c r="CZ425" s="78">
        <f t="shared" si="944"/>
        <v>0</v>
      </c>
      <c r="DA425" s="78">
        <f t="shared" si="944"/>
        <v>0</v>
      </c>
      <c r="DB425" s="78">
        <f t="shared" si="944"/>
        <v>0</v>
      </c>
      <c r="DC425" s="78">
        <f t="shared" si="944"/>
        <v>0</v>
      </c>
      <c r="DD425" s="78">
        <f t="shared" si="944"/>
        <v>0</v>
      </c>
      <c r="DE425" s="78">
        <f t="shared" si="944"/>
        <v>0</v>
      </c>
      <c r="DF425" s="78">
        <f t="shared" si="944"/>
        <v>0</v>
      </c>
      <c r="DG425" s="78">
        <f t="shared" si="944"/>
        <v>0</v>
      </c>
      <c r="DH425" s="78">
        <f t="shared" si="944"/>
        <v>0</v>
      </c>
      <c r="DI425" s="78">
        <f t="shared" si="944"/>
        <v>0</v>
      </c>
      <c r="DJ425" s="78">
        <f t="shared" si="944"/>
        <v>0</v>
      </c>
      <c r="DK425" s="78">
        <f t="shared" si="944"/>
        <v>0</v>
      </c>
      <c r="DL425" s="78">
        <f t="shared" ref="DL425:EI425" si="945">IF($S$425,,DL67)</f>
        <v>0</v>
      </c>
      <c r="DM425" s="78">
        <f t="shared" si="945"/>
        <v>0</v>
      </c>
      <c r="DN425" s="78">
        <f t="shared" si="945"/>
        <v>0</v>
      </c>
      <c r="DO425" s="78">
        <f t="shared" si="945"/>
        <v>0</v>
      </c>
      <c r="DP425" s="78">
        <f t="shared" si="945"/>
        <v>0</v>
      </c>
      <c r="DQ425" s="78">
        <f t="shared" si="945"/>
        <v>0</v>
      </c>
      <c r="DR425" s="78">
        <f t="shared" si="945"/>
        <v>0</v>
      </c>
      <c r="DS425" s="78">
        <f t="shared" si="945"/>
        <v>0</v>
      </c>
      <c r="DT425" s="78">
        <f t="shared" si="945"/>
        <v>0</v>
      </c>
      <c r="DU425" s="78">
        <f t="shared" si="945"/>
        <v>0</v>
      </c>
      <c r="DV425" s="78">
        <f t="shared" si="945"/>
        <v>0</v>
      </c>
      <c r="DW425" s="78">
        <f t="shared" si="945"/>
        <v>0</v>
      </c>
      <c r="DX425" s="78">
        <f t="shared" si="945"/>
        <v>0</v>
      </c>
      <c r="DY425" s="78">
        <f t="shared" si="945"/>
        <v>0</v>
      </c>
      <c r="DZ425" s="78">
        <f t="shared" si="945"/>
        <v>0</v>
      </c>
      <c r="EA425" s="78">
        <f t="shared" si="945"/>
        <v>0</v>
      </c>
      <c r="EB425" s="78">
        <f t="shared" si="945"/>
        <v>0</v>
      </c>
      <c r="EC425" s="78">
        <f t="shared" si="945"/>
        <v>0</v>
      </c>
      <c r="ED425" s="78">
        <f t="shared" si="945"/>
        <v>0</v>
      </c>
      <c r="EE425" s="78">
        <f t="shared" si="945"/>
        <v>0</v>
      </c>
      <c r="EF425" s="78">
        <f t="shared" si="945"/>
        <v>0</v>
      </c>
      <c r="EG425" s="78">
        <f t="shared" si="945"/>
        <v>0</v>
      </c>
      <c r="EH425" s="78">
        <f t="shared" si="945"/>
        <v>0</v>
      </c>
      <c r="EI425" s="78">
        <f t="shared" si="945"/>
        <v>0</v>
      </c>
    </row>
    <row r="426" spans="2:139" ht="12.75" hidden="1" customHeight="1" outlineLevel="1">
      <c r="B426" s="32"/>
      <c r="C426" s="27"/>
      <c r="D426" s="841"/>
      <c r="E426" s="841"/>
      <c r="F426" s="841"/>
      <c r="G426" s="841"/>
      <c r="H426" s="841"/>
      <c r="I426" s="841"/>
      <c r="J426" s="841"/>
      <c r="K426" s="841"/>
      <c r="L426" s="841"/>
      <c r="M426" s="841"/>
      <c r="N426" s="841"/>
      <c r="O426" s="842"/>
      <c r="S426" s="841"/>
      <c r="T426" s="841"/>
      <c r="U426" s="841"/>
      <c r="V426" s="841"/>
      <c r="W426" s="841"/>
      <c r="X426" s="841"/>
      <c r="Y426" s="841"/>
      <c r="Z426" s="841"/>
      <c r="AA426" s="841"/>
      <c r="AB426" s="841"/>
      <c r="AC426" s="841"/>
      <c r="AD426" s="841"/>
      <c r="AE426" s="841"/>
      <c r="AF426" s="841"/>
      <c r="AG426" s="841"/>
      <c r="AH426" s="841"/>
      <c r="AI426" s="841"/>
      <c r="AJ426" s="841"/>
      <c r="AK426" s="841"/>
      <c r="AL426" s="841"/>
      <c r="AM426" s="841"/>
      <c r="AN426" s="841"/>
      <c r="AO426" s="841"/>
      <c r="AP426" s="841"/>
      <c r="AQ426" s="841"/>
      <c r="AR426" s="841"/>
      <c r="AS426" s="841"/>
      <c r="AT426" s="841"/>
      <c r="AU426" s="841"/>
      <c r="AV426" s="841"/>
      <c r="AW426" s="841"/>
      <c r="AX426" s="841"/>
      <c r="AY426" s="841"/>
      <c r="AZ426" s="841"/>
      <c r="BA426" s="841"/>
      <c r="BB426" s="841"/>
      <c r="BC426" s="841"/>
      <c r="BD426" s="841"/>
      <c r="BE426" s="841"/>
      <c r="BF426" s="841"/>
      <c r="BG426" s="841"/>
      <c r="BH426" s="841"/>
      <c r="BI426" s="841"/>
      <c r="BJ426" s="841"/>
      <c r="BK426" s="841"/>
      <c r="BL426" s="841"/>
      <c r="BM426" s="841"/>
      <c r="BN426" s="841"/>
      <c r="BO426" s="841"/>
      <c r="BP426" s="841"/>
      <c r="BQ426" s="841"/>
      <c r="BR426" s="841"/>
      <c r="BS426" s="841"/>
      <c r="BT426" s="841"/>
      <c r="BU426" s="841"/>
      <c r="BV426" s="841"/>
      <c r="BW426" s="841"/>
      <c r="BX426" s="841"/>
      <c r="BY426" s="841"/>
      <c r="BZ426" s="841"/>
      <c r="CA426" s="841"/>
      <c r="CB426" s="841"/>
      <c r="CC426" s="841"/>
      <c r="CD426" s="841"/>
      <c r="CE426" s="841"/>
      <c r="CF426" s="841"/>
      <c r="CG426" s="841"/>
      <c r="CH426" s="841"/>
      <c r="CI426" s="841"/>
      <c r="CJ426" s="841"/>
      <c r="CK426" s="841"/>
      <c r="CL426" s="841"/>
      <c r="CM426" s="841"/>
      <c r="CN426" s="841"/>
      <c r="CO426" s="841"/>
      <c r="CP426" s="841"/>
      <c r="CQ426" s="841"/>
      <c r="CR426" s="841"/>
      <c r="CS426" s="841"/>
      <c r="CT426" s="841"/>
      <c r="CU426" s="841"/>
      <c r="CV426" s="841"/>
      <c r="CW426" s="841"/>
      <c r="CX426" s="841"/>
      <c r="CY426" s="841"/>
      <c r="CZ426" s="841"/>
      <c r="DA426" s="841"/>
      <c r="DB426" s="841"/>
      <c r="DC426" s="841"/>
      <c r="DD426" s="841"/>
      <c r="DE426" s="841"/>
      <c r="DF426" s="841"/>
      <c r="DG426" s="841"/>
      <c r="DH426" s="841"/>
      <c r="DI426" s="841"/>
      <c r="DJ426" s="841"/>
      <c r="DK426" s="841"/>
      <c r="DL426" s="841"/>
      <c r="DM426" s="841"/>
      <c r="DN426" s="841"/>
      <c r="DO426" s="841"/>
      <c r="DP426" s="841"/>
      <c r="DQ426" s="841"/>
      <c r="DR426" s="841"/>
      <c r="DS426" s="841"/>
      <c r="DT426" s="841"/>
      <c r="DU426" s="841"/>
      <c r="DV426" s="841"/>
      <c r="DW426" s="841"/>
      <c r="DX426" s="841"/>
      <c r="DY426" s="841"/>
      <c r="DZ426" s="841"/>
      <c r="EA426" s="841"/>
      <c r="EB426" s="841"/>
      <c r="EC426" s="841"/>
      <c r="ED426" s="841"/>
      <c r="EE426" s="841"/>
      <c r="EF426" s="841"/>
      <c r="EG426" s="841"/>
      <c r="EH426" s="841"/>
      <c r="EI426" s="841"/>
    </row>
    <row r="427" spans="2:139" hidden="1" outlineLevel="1" collapsed="1">
      <c r="B427" s="198" t="s">
        <v>685</v>
      </c>
      <c r="C427" s="209"/>
      <c r="D427" s="169">
        <f t="shared" ref="D427:O427" si="946">SUBTOTAL(9,D417:D426)</f>
        <v>0</v>
      </c>
      <c r="E427" s="169">
        <f t="shared" si="946"/>
        <v>0</v>
      </c>
      <c r="F427" s="169">
        <f t="shared" si="946"/>
        <v>0</v>
      </c>
      <c r="G427" s="169">
        <f t="shared" si="946"/>
        <v>0</v>
      </c>
      <c r="H427" s="169">
        <f t="shared" si="946"/>
        <v>0</v>
      </c>
      <c r="I427" s="169">
        <f t="shared" si="946"/>
        <v>0</v>
      </c>
      <c r="J427" s="169">
        <f t="shared" si="946"/>
        <v>0</v>
      </c>
      <c r="K427" s="169">
        <f t="shared" si="946"/>
        <v>0</v>
      </c>
      <c r="L427" s="169">
        <f t="shared" si="946"/>
        <v>0</v>
      </c>
      <c r="M427" s="169">
        <f t="shared" si="946"/>
        <v>0</v>
      </c>
      <c r="N427" s="169">
        <f t="shared" si="946"/>
        <v>0</v>
      </c>
      <c r="O427" s="91">
        <f t="shared" si="946"/>
        <v>0</v>
      </c>
      <c r="S427" s="694">
        <f t="shared" ref="S427:AX427" si="947">SUBTOTAL(9,S417:S426)</f>
        <v>0</v>
      </c>
      <c r="T427" s="694">
        <f t="shared" si="947"/>
        <v>0</v>
      </c>
      <c r="U427" s="694">
        <f t="shared" si="947"/>
        <v>0</v>
      </c>
      <c r="V427" s="694">
        <f t="shared" si="947"/>
        <v>0</v>
      </c>
      <c r="W427" s="694">
        <f t="shared" si="947"/>
        <v>0</v>
      </c>
      <c r="X427" s="694">
        <f t="shared" si="947"/>
        <v>0</v>
      </c>
      <c r="Y427" s="694">
        <f t="shared" si="947"/>
        <v>0</v>
      </c>
      <c r="Z427" s="694">
        <f t="shared" si="947"/>
        <v>0</v>
      </c>
      <c r="AA427" s="694">
        <f t="shared" si="947"/>
        <v>0</v>
      </c>
      <c r="AB427" s="694">
        <f t="shared" si="947"/>
        <v>0</v>
      </c>
      <c r="AC427" s="694">
        <f t="shared" si="947"/>
        <v>0</v>
      </c>
      <c r="AD427" s="694">
        <f t="shared" si="947"/>
        <v>0</v>
      </c>
      <c r="AE427" s="694">
        <f t="shared" si="947"/>
        <v>0</v>
      </c>
      <c r="AF427" s="694">
        <f t="shared" si="947"/>
        <v>0</v>
      </c>
      <c r="AG427" s="694">
        <f t="shared" si="947"/>
        <v>0</v>
      </c>
      <c r="AH427" s="694">
        <f t="shared" si="947"/>
        <v>0</v>
      </c>
      <c r="AI427" s="694">
        <f t="shared" si="947"/>
        <v>0</v>
      </c>
      <c r="AJ427" s="694">
        <f t="shared" si="947"/>
        <v>0</v>
      </c>
      <c r="AK427" s="694">
        <f t="shared" si="947"/>
        <v>0</v>
      </c>
      <c r="AL427" s="694">
        <f t="shared" si="947"/>
        <v>0</v>
      </c>
      <c r="AM427" s="694">
        <f t="shared" si="947"/>
        <v>0</v>
      </c>
      <c r="AN427" s="694">
        <f t="shared" si="947"/>
        <v>0</v>
      </c>
      <c r="AO427" s="694">
        <f t="shared" si="947"/>
        <v>0</v>
      </c>
      <c r="AP427" s="694">
        <f t="shared" si="947"/>
        <v>0</v>
      </c>
      <c r="AQ427" s="694">
        <f t="shared" si="947"/>
        <v>0</v>
      </c>
      <c r="AR427" s="694">
        <f t="shared" si="947"/>
        <v>0</v>
      </c>
      <c r="AS427" s="694">
        <f t="shared" si="947"/>
        <v>0</v>
      </c>
      <c r="AT427" s="694">
        <f t="shared" si="947"/>
        <v>0</v>
      </c>
      <c r="AU427" s="694">
        <f t="shared" si="947"/>
        <v>0</v>
      </c>
      <c r="AV427" s="694">
        <f t="shared" si="947"/>
        <v>0</v>
      </c>
      <c r="AW427" s="694">
        <f t="shared" si="947"/>
        <v>0</v>
      </c>
      <c r="AX427" s="694">
        <f t="shared" si="947"/>
        <v>0</v>
      </c>
      <c r="AY427" s="694">
        <f t="shared" ref="AY427:CD427" si="948">SUBTOTAL(9,AY417:AY426)</f>
        <v>0</v>
      </c>
      <c r="AZ427" s="694">
        <f t="shared" si="948"/>
        <v>0</v>
      </c>
      <c r="BA427" s="694">
        <f t="shared" si="948"/>
        <v>0</v>
      </c>
      <c r="BB427" s="694">
        <f t="shared" si="948"/>
        <v>0</v>
      </c>
      <c r="BC427" s="694">
        <f t="shared" si="948"/>
        <v>0</v>
      </c>
      <c r="BD427" s="694">
        <f t="shared" si="948"/>
        <v>0</v>
      </c>
      <c r="BE427" s="694">
        <f t="shared" si="948"/>
        <v>0</v>
      </c>
      <c r="BF427" s="694">
        <f t="shared" si="948"/>
        <v>0</v>
      </c>
      <c r="BG427" s="694">
        <f t="shared" si="948"/>
        <v>0</v>
      </c>
      <c r="BH427" s="694">
        <f t="shared" si="948"/>
        <v>0</v>
      </c>
      <c r="BI427" s="694">
        <f t="shared" si="948"/>
        <v>0</v>
      </c>
      <c r="BJ427" s="694">
        <f t="shared" si="948"/>
        <v>0</v>
      </c>
      <c r="BK427" s="694">
        <f t="shared" si="948"/>
        <v>0</v>
      </c>
      <c r="BL427" s="694">
        <f t="shared" si="948"/>
        <v>0</v>
      </c>
      <c r="BM427" s="694">
        <f t="shared" si="948"/>
        <v>0</v>
      </c>
      <c r="BN427" s="694">
        <f t="shared" si="948"/>
        <v>0</v>
      </c>
      <c r="BO427" s="694">
        <f t="shared" si="948"/>
        <v>0</v>
      </c>
      <c r="BP427" s="694">
        <f t="shared" si="948"/>
        <v>0</v>
      </c>
      <c r="BQ427" s="694">
        <f t="shared" si="948"/>
        <v>0</v>
      </c>
      <c r="BR427" s="694">
        <f t="shared" si="948"/>
        <v>0</v>
      </c>
      <c r="BS427" s="694">
        <f t="shared" si="948"/>
        <v>0</v>
      </c>
      <c r="BT427" s="694">
        <f t="shared" si="948"/>
        <v>0</v>
      </c>
      <c r="BU427" s="694">
        <f t="shared" si="948"/>
        <v>0</v>
      </c>
      <c r="BV427" s="694">
        <f t="shared" si="948"/>
        <v>0</v>
      </c>
      <c r="BW427" s="694">
        <f t="shared" si="948"/>
        <v>0</v>
      </c>
      <c r="BX427" s="694">
        <f t="shared" si="948"/>
        <v>0</v>
      </c>
      <c r="BY427" s="694">
        <f t="shared" si="948"/>
        <v>0</v>
      </c>
      <c r="BZ427" s="694">
        <f t="shared" si="948"/>
        <v>0</v>
      </c>
      <c r="CA427" s="694">
        <f t="shared" si="948"/>
        <v>0</v>
      </c>
      <c r="CB427" s="694">
        <f t="shared" si="948"/>
        <v>0</v>
      </c>
      <c r="CC427" s="694">
        <f t="shared" si="948"/>
        <v>0</v>
      </c>
      <c r="CD427" s="694">
        <f t="shared" si="948"/>
        <v>0</v>
      </c>
      <c r="CE427" s="694">
        <f t="shared" ref="CE427:DJ427" si="949">SUBTOTAL(9,CE417:CE426)</f>
        <v>0</v>
      </c>
      <c r="CF427" s="694">
        <f t="shared" si="949"/>
        <v>0</v>
      </c>
      <c r="CG427" s="694">
        <f t="shared" si="949"/>
        <v>0</v>
      </c>
      <c r="CH427" s="694">
        <f t="shared" si="949"/>
        <v>0</v>
      </c>
      <c r="CI427" s="694">
        <f t="shared" si="949"/>
        <v>0</v>
      </c>
      <c r="CJ427" s="694">
        <f t="shared" si="949"/>
        <v>0</v>
      </c>
      <c r="CK427" s="694">
        <f t="shared" si="949"/>
        <v>0</v>
      </c>
      <c r="CL427" s="694">
        <f t="shared" si="949"/>
        <v>0</v>
      </c>
      <c r="CM427" s="694">
        <f t="shared" si="949"/>
        <v>0</v>
      </c>
      <c r="CN427" s="694">
        <f t="shared" si="949"/>
        <v>0</v>
      </c>
      <c r="CO427" s="694">
        <f t="shared" si="949"/>
        <v>0</v>
      </c>
      <c r="CP427" s="694">
        <f t="shared" si="949"/>
        <v>0</v>
      </c>
      <c r="CQ427" s="694">
        <f t="shared" si="949"/>
        <v>0</v>
      </c>
      <c r="CR427" s="694">
        <f t="shared" si="949"/>
        <v>0</v>
      </c>
      <c r="CS427" s="694">
        <f t="shared" si="949"/>
        <v>0</v>
      </c>
      <c r="CT427" s="694">
        <f t="shared" si="949"/>
        <v>0</v>
      </c>
      <c r="CU427" s="694">
        <f t="shared" si="949"/>
        <v>0</v>
      </c>
      <c r="CV427" s="694">
        <f t="shared" si="949"/>
        <v>0</v>
      </c>
      <c r="CW427" s="694">
        <f t="shared" si="949"/>
        <v>0</v>
      </c>
      <c r="CX427" s="694">
        <f t="shared" si="949"/>
        <v>0</v>
      </c>
      <c r="CY427" s="694">
        <f t="shared" si="949"/>
        <v>0</v>
      </c>
      <c r="CZ427" s="694">
        <f t="shared" si="949"/>
        <v>0</v>
      </c>
      <c r="DA427" s="694">
        <f t="shared" si="949"/>
        <v>0</v>
      </c>
      <c r="DB427" s="694">
        <f t="shared" si="949"/>
        <v>0</v>
      </c>
      <c r="DC427" s="694">
        <f t="shared" si="949"/>
        <v>0</v>
      </c>
      <c r="DD427" s="694">
        <f t="shared" si="949"/>
        <v>0</v>
      </c>
      <c r="DE427" s="694">
        <f t="shared" si="949"/>
        <v>0</v>
      </c>
      <c r="DF427" s="694">
        <f t="shared" si="949"/>
        <v>0</v>
      </c>
      <c r="DG427" s="694">
        <f t="shared" si="949"/>
        <v>0</v>
      </c>
      <c r="DH427" s="694">
        <f t="shared" si="949"/>
        <v>0</v>
      </c>
      <c r="DI427" s="694">
        <f t="shared" si="949"/>
        <v>0</v>
      </c>
      <c r="DJ427" s="694">
        <f t="shared" si="949"/>
        <v>0</v>
      </c>
      <c r="DK427" s="694">
        <f t="shared" ref="DK427:EP427" si="950">SUBTOTAL(9,DK417:DK426)</f>
        <v>0</v>
      </c>
      <c r="DL427" s="694">
        <f t="shared" si="950"/>
        <v>0</v>
      </c>
      <c r="DM427" s="694">
        <f t="shared" si="950"/>
        <v>0</v>
      </c>
      <c r="DN427" s="694">
        <f t="shared" si="950"/>
        <v>0</v>
      </c>
      <c r="DO427" s="694">
        <f t="shared" si="950"/>
        <v>0</v>
      </c>
      <c r="DP427" s="694">
        <f t="shared" si="950"/>
        <v>0</v>
      </c>
      <c r="DQ427" s="694">
        <f t="shared" si="950"/>
        <v>0</v>
      </c>
      <c r="DR427" s="694">
        <f t="shared" si="950"/>
        <v>0</v>
      </c>
      <c r="DS427" s="694">
        <f t="shared" si="950"/>
        <v>0</v>
      </c>
      <c r="DT427" s="694">
        <f t="shared" si="950"/>
        <v>0</v>
      </c>
      <c r="DU427" s="694">
        <f t="shared" si="950"/>
        <v>0</v>
      </c>
      <c r="DV427" s="694">
        <f t="shared" si="950"/>
        <v>0</v>
      </c>
      <c r="DW427" s="694">
        <f t="shared" si="950"/>
        <v>0</v>
      </c>
      <c r="DX427" s="694">
        <f t="shared" si="950"/>
        <v>0</v>
      </c>
      <c r="DY427" s="694">
        <f t="shared" si="950"/>
        <v>0</v>
      </c>
      <c r="DZ427" s="694">
        <f t="shared" si="950"/>
        <v>0</v>
      </c>
      <c r="EA427" s="694">
        <f t="shared" si="950"/>
        <v>0</v>
      </c>
      <c r="EB427" s="694">
        <f t="shared" si="950"/>
        <v>0</v>
      </c>
      <c r="EC427" s="694">
        <f t="shared" si="950"/>
        <v>0</v>
      </c>
      <c r="ED427" s="694">
        <f t="shared" si="950"/>
        <v>0</v>
      </c>
      <c r="EE427" s="694">
        <f t="shared" si="950"/>
        <v>0</v>
      </c>
      <c r="EF427" s="694">
        <f t="shared" si="950"/>
        <v>0</v>
      </c>
      <c r="EG427" s="694">
        <f t="shared" si="950"/>
        <v>0</v>
      </c>
      <c r="EH427" s="694">
        <f t="shared" si="950"/>
        <v>0</v>
      </c>
      <c r="EI427" s="694">
        <f t="shared" si="950"/>
        <v>0</v>
      </c>
    </row>
    <row r="428" spans="2:139" hidden="1" outlineLevel="1">
      <c r="B428" s="27"/>
      <c r="C428" s="27"/>
      <c r="D428" s="78"/>
      <c r="E428" s="78"/>
      <c r="F428" s="78"/>
      <c r="G428" s="78"/>
      <c r="H428" s="78"/>
      <c r="I428" s="78"/>
      <c r="J428" s="78"/>
      <c r="K428" s="78"/>
      <c r="L428" s="78"/>
      <c r="M428" s="78"/>
      <c r="N428" s="78"/>
      <c r="O428" s="145"/>
      <c r="S428" s="78"/>
      <c r="T428" s="78"/>
      <c r="U428" s="78"/>
      <c r="V428" s="78"/>
      <c r="W428" s="78"/>
      <c r="X428" s="78"/>
      <c r="Y428" s="78"/>
      <c r="Z428" s="78"/>
      <c r="AA428" s="78"/>
      <c r="AB428" s="78"/>
      <c r="AC428" s="78"/>
      <c r="AD428" s="78"/>
      <c r="AE428" s="78"/>
      <c r="AF428" s="78"/>
      <c r="AG428" s="78"/>
      <c r="AH428" s="78"/>
      <c r="AI428" s="78"/>
      <c r="AJ428" s="78"/>
      <c r="AK428" s="78"/>
      <c r="AL428" s="78"/>
      <c r="AM428" s="78"/>
      <c r="AN428" s="78"/>
      <c r="AO428" s="78"/>
      <c r="AP428" s="78"/>
      <c r="AQ428" s="78"/>
      <c r="AR428" s="78"/>
      <c r="AS428" s="78"/>
      <c r="AT428" s="78"/>
      <c r="AU428" s="78"/>
      <c r="AV428" s="78"/>
      <c r="AW428" s="78"/>
      <c r="AX428" s="78"/>
      <c r="AY428" s="78"/>
      <c r="AZ428" s="78"/>
      <c r="BA428" s="78"/>
      <c r="BB428" s="78"/>
      <c r="BC428" s="78"/>
      <c r="BD428" s="27"/>
      <c r="BE428" s="27"/>
      <c r="BF428" s="27"/>
      <c r="BG428" s="27"/>
      <c r="BH428" s="27"/>
      <c r="BI428" s="27"/>
      <c r="BJ428" s="27"/>
      <c r="BK428" s="27"/>
      <c r="BL428" s="27"/>
      <c r="BM428" s="27"/>
      <c r="BN428" s="27"/>
      <c r="BO428" s="27"/>
      <c r="BP428" s="27"/>
      <c r="BQ428" s="27"/>
      <c r="BR428" s="27"/>
      <c r="BS428" s="27"/>
      <c r="BT428" s="27"/>
      <c r="BU428" s="27"/>
      <c r="BV428" s="27"/>
      <c r="BW428" s="27"/>
      <c r="BX428" s="27"/>
      <c r="BY428" s="27"/>
      <c r="BZ428" s="27"/>
      <c r="CA428" s="27"/>
      <c r="CB428" s="27"/>
      <c r="CC428" s="27"/>
      <c r="CD428" s="27"/>
      <c r="CE428" s="27"/>
      <c r="CF428" s="27"/>
      <c r="CG428" s="27"/>
      <c r="CH428" s="27"/>
      <c r="CI428" s="27"/>
      <c r="CJ428" s="27"/>
      <c r="CK428" s="27"/>
      <c r="CL428" s="27"/>
      <c r="CM428" s="27"/>
      <c r="CN428" s="27"/>
      <c r="CO428" s="27"/>
      <c r="CP428" s="27"/>
      <c r="CQ428" s="27"/>
      <c r="CR428" s="27"/>
      <c r="CS428" s="27"/>
      <c r="CT428" s="27"/>
      <c r="CU428" s="27"/>
      <c r="CV428" s="27"/>
      <c r="CW428" s="27"/>
      <c r="CX428" s="27"/>
      <c r="CY428" s="27"/>
      <c r="CZ428" s="27"/>
      <c r="DA428" s="27"/>
      <c r="DB428" s="27"/>
      <c r="DC428" s="27"/>
      <c r="DD428" s="27"/>
      <c r="DE428" s="27"/>
      <c r="DF428" s="27"/>
      <c r="DG428" s="27"/>
      <c r="DH428" s="27"/>
      <c r="DI428" s="27"/>
      <c r="DJ428" s="27"/>
      <c r="DK428" s="27"/>
      <c r="DL428" s="27"/>
      <c r="DM428" s="27"/>
      <c r="DN428" s="27"/>
      <c r="DO428" s="27"/>
      <c r="DP428" s="27"/>
      <c r="DQ428" s="27"/>
      <c r="DR428" s="27"/>
      <c r="DS428" s="27"/>
      <c r="DT428" s="27"/>
      <c r="DU428" s="27"/>
      <c r="DV428" s="27"/>
      <c r="DW428" s="27"/>
      <c r="DX428" s="27"/>
      <c r="DY428" s="27"/>
      <c r="DZ428" s="27"/>
      <c r="EA428" s="27"/>
      <c r="EB428" s="27"/>
      <c r="EC428" s="27"/>
      <c r="ED428" s="27"/>
      <c r="EE428" s="27"/>
      <c r="EF428" s="27"/>
      <c r="EG428" s="27"/>
      <c r="EH428" s="27"/>
      <c r="EI428" s="27"/>
    </row>
    <row r="429" spans="2:139" hidden="1" outlineLevel="1"/>
    <row r="430" spans="2:139" hidden="1" outlineLevel="1"/>
    <row r="431" spans="2:139" s="192" customFormat="1" ht="14.25" hidden="1" customHeight="1" outlineLevel="1">
      <c r="B431" s="1043" t="s">
        <v>686</v>
      </c>
      <c r="C431" s="196"/>
      <c r="D431" s="196"/>
      <c r="E431" s="196"/>
      <c r="F431" s="197"/>
      <c r="G431" s="197"/>
      <c r="H431" s="197"/>
      <c r="I431" s="197"/>
      <c r="J431" s="197"/>
      <c r="K431" s="197"/>
      <c r="L431" s="197"/>
      <c r="M431" s="197"/>
      <c r="N431" s="197"/>
      <c r="O431" s="197"/>
      <c r="P431"/>
      <c r="Q431"/>
      <c r="R431"/>
      <c r="S431" s="840"/>
      <c r="T431" s="197"/>
      <c r="U431" s="197"/>
      <c r="V431" s="197"/>
      <c r="W431" s="197"/>
      <c r="X431" s="197"/>
      <c r="Y431" s="197"/>
      <c r="Z431" s="197"/>
      <c r="AA431" s="197"/>
      <c r="AB431" s="197"/>
      <c r="AC431" s="197"/>
      <c r="AD431" s="197"/>
      <c r="AE431" s="197"/>
      <c r="AF431" s="197"/>
      <c r="AG431" s="197"/>
      <c r="AH431" s="197"/>
      <c r="AI431" s="197"/>
      <c r="AJ431" s="197"/>
      <c r="AK431" s="197"/>
      <c r="AL431" s="197"/>
      <c r="AM431" s="197"/>
      <c r="AN431" s="197"/>
      <c r="AO431" s="197"/>
      <c r="AP431" s="197"/>
      <c r="AQ431" s="197"/>
      <c r="AR431" s="197"/>
      <c r="AS431" s="197"/>
      <c r="AT431" s="197"/>
      <c r="AU431" s="197"/>
      <c r="AV431" s="197"/>
      <c r="AW431" s="197"/>
      <c r="AX431" s="197"/>
      <c r="AY431" s="197"/>
      <c r="AZ431" s="197"/>
      <c r="BA431" s="197"/>
      <c r="BB431" s="197"/>
      <c r="BC431" s="197"/>
      <c r="BD431" s="197"/>
      <c r="BE431" s="197"/>
      <c r="BF431" s="197"/>
      <c r="BG431" s="197"/>
      <c r="BH431" s="197"/>
      <c r="BI431" s="197"/>
      <c r="BJ431" s="197"/>
      <c r="BK431" s="197"/>
      <c r="BL431" s="197"/>
      <c r="BM431" s="197"/>
      <c r="BN431" s="197"/>
      <c r="BO431" s="197"/>
      <c r="BP431" s="197"/>
      <c r="BQ431" s="197"/>
      <c r="BR431" s="197"/>
      <c r="BS431" s="197"/>
      <c r="BT431" s="197"/>
      <c r="BU431" s="197"/>
      <c r="BV431" s="197"/>
      <c r="BW431" s="197"/>
      <c r="BX431" s="197"/>
      <c r="BY431" s="197"/>
      <c r="BZ431" s="197"/>
      <c r="CA431" s="197"/>
      <c r="CB431" s="197"/>
      <c r="CC431" s="197"/>
      <c r="CD431" s="197"/>
      <c r="CE431" s="197"/>
      <c r="CF431" s="197"/>
      <c r="CG431" s="197"/>
      <c r="CH431" s="197"/>
      <c r="CI431" s="197"/>
      <c r="CJ431" s="197"/>
      <c r="CK431" s="197"/>
      <c r="CL431" s="197"/>
      <c r="CM431" s="197"/>
      <c r="CN431" s="197"/>
      <c r="CO431" s="197"/>
      <c r="CP431" s="197"/>
      <c r="CQ431" s="197"/>
      <c r="CR431" s="197"/>
      <c r="CS431" s="197"/>
      <c r="CT431" s="197"/>
      <c r="CU431" s="197"/>
      <c r="CV431" s="197"/>
      <c r="CW431" s="197"/>
      <c r="CX431" s="197"/>
      <c r="CY431" s="197"/>
      <c r="CZ431" s="197"/>
      <c r="DA431" s="197"/>
      <c r="DB431" s="197"/>
      <c r="DC431" s="197"/>
      <c r="DD431" s="197"/>
      <c r="DE431" s="197"/>
      <c r="DF431" s="197"/>
      <c r="DG431" s="197"/>
      <c r="DH431" s="197"/>
      <c r="DI431" s="197"/>
      <c r="DJ431" s="197"/>
      <c r="DK431" s="197"/>
      <c r="DL431" s="197"/>
      <c r="DM431" s="197"/>
      <c r="DN431" s="197"/>
      <c r="DO431" s="197"/>
      <c r="DP431" s="197"/>
      <c r="DQ431" s="197"/>
      <c r="DR431" s="197"/>
      <c r="DS431" s="197"/>
      <c r="DT431" s="197"/>
      <c r="DU431" s="197"/>
      <c r="DV431" s="197"/>
      <c r="DW431" s="197"/>
      <c r="DX431" s="197"/>
      <c r="DY431" s="197"/>
      <c r="DZ431" s="197"/>
      <c r="EA431" s="197"/>
      <c r="EB431" s="197"/>
      <c r="EC431" s="197"/>
      <c r="ED431" s="197"/>
      <c r="EE431" s="197"/>
      <c r="EF431" s="197"/>
      <c r="EG431" s="197"/>
      <c r="EH431" s="197"/>
      <c r="EI431" s="197"/>
    </row>
    <row r="432" spans="2:139" ht="12.75" hidden="1" customHeight="1" outlineLevel="1">
      <c r="B432" s="826" t="s">
        <v>175</v>
      </c>
      <c r="C432" s="27"/>
      <c r="D432" s="78"/>
      <c r="E432" s="78">
        <f t="shared" ref="E432:N432" si="951">IF(ExitCapRate,MAX($Q$420/ExitCapRate,),)*(E$5=MAX(YrOfExit,1))</f>
        <v>0</v>
      </c>
      <c r="F432" s="78">
        <f t="shared" si="951"/>
        <v>0</v>
      </c>
      <c r="G432" s="78">
        <f t="shared" si="951"/>
        <v>0</v>
      </c>
      <c r="H432" s="78">
        <f t="shared" si="951"/>
        <v>0</v>
      </c>
      <c r="I432" s="78">
        <f t="shared" si="951"/>
        <v>0</v>
      </c>
      <c r="J432" s="78">
        <f t="shared" si="951"/>
        <v>0</v>
      </c>
      <c r="K432" s="78">
        <f t="shared" si="951"/>
        <v>0</v>
      </c>
      <c r="L432" s="78">
        <f t="shared" si="951"/>
        <v>0</v>
      </c>
      <c r="M432" s="78">
        <f t="shared" si="951"/>
        <v>0</v>
      </c>
      <c r="N432" s="78">
        <f t="shared" si="951"/>
        <v>0</v>
      </c>
      <c r="O432" s="145">
        <f>SUM(D432:N432)</f>
        <v>0</v>
      </c>
      <c r="S432" s="78"/>
      <c r="T432" s="78">
        <f t="shared" ref="T432:AC433" si="952">SUMIF($E$5:$N$5,T$5/12,$E432:$N432)</f>
        <v>0</v>
      </c>
      <c r="U432" s="78">
        <f t="shared" si="952"/>
        <v>0</v>
      </c>
      <c r="V432" s="78">
        <f t="shared" si="952"/>
        <v>0</v>
      </c>
      <c r="W432" s="78">
        <f t="shared" si="952"/>
        <v>0</v>
      </c>
      <c r="X432" s="78">
        <f t="shared" si="952"/>
        <v>0</v>
      </c>
      <c r="Y432" s="78">
        <f t="shared" si="952"/>
        <v>0</v>
      </c>
      <c r="Z432" s="78">
        <f t="shared" si="952"/>
        <v>0</v>
      </c>
      <c r="AA432" s="78">
        <f t="shared" si="952"/>
        <v>0</v>
      </c>
      <c r="AB432" s="78">
        <f t="shared" si="952"/>
        <v>0</v>
      </c>
      <c r="AC432" s="78">
        <f t="shared" si="952"/>
        <v>0</v>
      </c>
      <c r="AD432" s="78">
        <f t="shared" ref="AD432:AM433" si="953">SUMIF($E$5:$N$5,AD$5/12,$E432:$N432)</f>
        <v>0</v>
      </c>
      <c r="AE432" s="78">
        <f t="shared" si="953"/>
        <v>0</v>
      </c>
      <c r="AF432" s="78">
        <f t="shared" si="953"/>
        <v>0</v>
      </c>
      <c r="AG432" s="78">
        <f t="shared" si="953"/>
        <v>0</v>
      </c>
      <c r="AH432" s="78">
        <f t="shared" si="953"/>
        <v>0</v>
      </c>
      <c r="AI432" s="78">
        <f t="shared" si="953"/>
        <v>0</v>
      </c>
      <c r="AJ432" s="78">
        <f t="shared" si="953"/>
        <v>0</v>
      </c>
      <c r="AK432" s="78">
        <f t="shared" si="953"/>
        <v>0</v>
      </c>
      <c r="AL432" s="78">
        <f t="shared" si="953"/>
        <v>0</v>
      </c>
      <c r="AM432" s="78">
        <f t="shared" si="953"/>
        <v>0</v>
      </c>
      <c r="AN432" s="78">
        <f t="shared" ref="AN432:AW433" si="954">SUMIF($E$5:$N$5,AN$5/12,$E432:$N432)</f>
        <v>0</v>
      </c>
      <c r="AO432" s="78">
        <f t="shared" si="954"/>
        <v>0</v>
      </c>
      <c r="AP432" s="78">
        <f t="shared" si="954"/>
        <v>0</v>
      </c>
      <c r="AQ432" s="78">
        <f t="shared" si="954"/>
        <v>0</v>
      </c>
      <c r="AR432" s="78">
        <f t="shared" si="954"/>
        <v>0</v>
      </c>
      <c r="AS432" s="78">
        <f t="shared" si="954"/>
        <v>0</v>
      </c>
      <c r="AT432" s="78">
        <f t="shared" si="954"/>
        <v>0</v>
      </c>
      <c r="AU432" s="78">
        <f t="shared" si="954"/>
        <v>0</v>
      </c>
      <c r="AV432" s="78">
        <f t="shared" si="954"/>
        <v>0</v>
      </c>
      <c r="AW432" s="78">
        <f t="shared" si="954"/>
        <v>0</v>
      </c>
      <c r="AX432" s="78">
        <f t="shared" ref="AX432:BG433" si="955">SUMIF($E$5:$N$5,AX$5/12,$E432:$N432)</f>
        <v>0</v>
      </c>
      <c r="AY432" s="78">
        <f t="shared" si="955"/>
        <v>0</v>
      </c>
      <c r="AZ432" s="78">
        <f t="shared" si="955"/>
        <v>0</v>
      </c>
      <c r="BA432" s="78">
        <f t="shared" si="955"/>
        <v>0</v>
      </c>
      <c r="BB432" s="78">
        <f t="shared" si="955"/>
        <v>0</v>
      </c>
      <c r="BC432" s="78">
        <f t="shared" si="955"/>
        <v>0</v>
      </c>
      <c r="BD432" s="78">
        <f t="shared" si="955"/>
        <v>0</v>
      </c>
      <c r="BE432" s="78">
        <f t="shared" si="955"/>
        <v>0</v>
      </c>
      <c r="BF432" s="78">
        <f t="shared" si="955"/>
        <v>0</v>
      </c>
      <c r="BG432" s="78">
        <f t="shared" si="955"/>
        <v>0</v>
      </c>
      <c r="BH432" s="78">
        <f t="shared" ref="BH432:BQ433" si="956">SUMIF($E$5:$N$5,BH$5/12,$E432:$N432)</f>
        <v>0</v>
      </c>
      <c r="BI432" s="78">
        <f t="shared" si="956"/>
        <v>0</v>
      </c>
      <c r="BJ432" s="78">
        <f t="shared" si="956"/>
        <v>0</v>
      </c>
      <c r="BK432" s="78">
        <f t="shared" si="956"/>
        <v>0</v>
      </c>
      <c r="BL432" s="78">
        <f t="shared" si="956"/>
        <v>0</v>
      </c>
      <c r="BM432" s="78">
        <f t="shared" si="956"/>
        <v>0</v>
      </c>
      <c r="BN432" s="78">
        <f t="shared" si="956"/>
        <v>0</v>
      </c>
      <c r="BO432" s="78">
        <f t="shared" si="956"/>
        <v>0</v>
      </c>
      <c r="BP432" s="78">
        <f t="shared" si="956"/>
        <v>0</v>
      </c>
      <c r="BQ432" s="78">
        <f t="shared" si="956"/>
        <v>0</v>
      </c>
      <c r="BR432" s="78">
        <f t="shared" ref="BR432:CA433" si="957">SUMIF($E$5:$N$5,BR$5/12,$E432:$N432)</f>
        <v>0</v>
      </c>
      <c r="BS432" s="78">
        <f t="shared" si="957"/>
        <v>0</v>
      </c>
      <c r="BT432" s="78">
        <f t="shared" si="957"/>
        <v>0</v>
      </c>
      <c r="BU432" s="78">
        <f t="shared" si="957"/>
        <v>0</v>
      </c>
      <c r="BV432" s="78">
        <f t="shared" si="957"/>
        <v>0</v>
      </c>
      <c r="BW432" s="78">
        <f t="shared" si="957"/>
        <v>0</v>
      </c>
      <c r="BX432" s="78">
        <f t="shared" si="957"/>
        <v>0</v>
      </c>
      <c r="BY432" s="78">
        <f t="shared" si="957"/>
        <v>0</v>
      </c>
      <c r="BZ432" s="78">
        <f t="shared" si="957"/>
        <v>0</v>
      </c>
      <c r="CA432" s="78">
        <f t="shared" si="957"/>
        <v>0</v>
      </c>
      <c r="CB432" s="78">
        <f t="shared" ref="CB432:CK433" si="958">SUMIF($E$5:$N$5,CB$5/12,$E432:$N432)</f>
        <v>0</v>
      </c>
      <c r="CC432" s="78">
        <f t="shared" si="958"/>
        <v>0</v>
      </c>
      <c r="CD432" s="78">
        <f t="shared" si="958"/>
        <v>0</v>
      </c>
      <c r="CE432" s="78">
        <f t="shared" si="958"/>
        <v>0</v>
      </c>
      <c r="CF432" s="78">
        <f t="shared" si="958"/>
        <v>0</v>
      </c>
      <c r="CG432" s="78">
        <f t="shared" si="958"/>
        <v>0</v>
      </c>
      <c r="CH432" s="78">
        <f t="shared" si="958"/>
        <v>0</v>
      </c>
      <c r="CI432" s="78">
        <f t="shared" si="958"/>
        <v>0</v>
      </c>
      <c r="CJ432" s="78">
        <f t="shared" si="958"/>
        <v>0</v>
      </c>
      <c r="CK432" s="78">
        <f t="shared" si="958"/>
        <v>0</v>
      </c>
      <c r="CL432" s="78">
        <f t="shared" ref="CL432:CU433" si="959">SUMIF($E$5:$N$5,CL$5/12,$E432:$N432)</f>
        <v>0</v>
      </c>
      <c r="CM432" s="78">
        <f t="shared" si="959"/>
        <v>0</v>
      </c>
      <c r="CN432" s="78">
        <f t="shared" si="959"/>
        <v>0</v>
      </c>
      <c r="CO432" s="78">
        <f t="shared" si="959"/>
        <v>0</v>
      </c>
      <c r="CP432" s="78">
        <f t="shared" si="959"/>
        <v>0</v>
      </c>
      <c r="CQ432" s="78">
        <f t="shared" si="959"/>
        <v>0</v>
      </c>
      <c r="CR432" s="78">
        <f t="shared" si="959"/>
        <v>0</v>
      </c>
      <c r="CS432" s="78">
        <f t="shared" si="959"/>
        <v>0</v>
      </c>
      <c r="CT432" s="78">
        <f t="shared" si="959"/>
        <v>0</v>
      </c>
      <c r="CU432" s="78">
        <f t="shared" si="959"/>
        <v>0</v>
      </c>
      <c r="CV432" s="78">
        <f t="shared" ref="CV432:DE433" si="960">SUMIF($E$5:$N$5,CV$5/12,$E432:$N432)</f>
        <v>0</v>
      </c>
      <c r="CW432" s="78">
        <f t="shared" si="960"/>
        <v>0</v>
      </c>
      <c r="CX432" s="78">
        <f t="shared" si="960"/>
        <v>0</v>
      </c>
      <c r="CY432" s="78">
        <f t="shared" si="960"/>
        <v>0</v>
      </c>
      <c r="CZ432" s="78">
        <f t="shared" si="960"/>
        <v>0</v>
      </c>
      <c r="DA432" s="78">
        <f t="shared" si="960"/>
        <v>0</v>
      </c>
      <c r="DB432" s="78">
        <f t="shared" si="960"/>
        <v>0</v>
      </c>
      <c r="DC432" s="78">
        <f t="shared" si="960"/>
        <v>0</v>
      </c>
      <c r="DD432" s="78">
        <f t="shared" si="960"/>
        <v>0</v>
      </c>
      <c r="DE432" s="78">
        <f t="shared" si="960"/>
        <v>0</v>
      </c>
      <c r="DF432" s="78">
        <f t="shared" ref="DF432:DO433" si="961">SUMIF($E$5:$N$5,DF$5/12,$E432:$N432)</f>
        <v>0</v>
      </c>
      <c r="DG432" s="78">
        <f t="shared" si="961"/>
        <v>0</v>
      </c>
      <c r="DH432" s="78">
        <f t="shared" si="961"/>
        <v>0</v>
      </c>
      <c r="DI432" s="78">
        <f t="shared" si="961"/>
        <v>0</v>
      </c>
      <c r="DJ432" s="78">
        <f t="shared" si="961"/>
        <v>0</v>
      </c>
      <c r="DK432" s="78">
        <f t="shared" si="961"/>
        <v>0</v>
      </c>
      <c r="DL432" s="78">
        <f t="shared" si="961"/>
        <v>0</v>
      </c>
      <c r="DM432" s="78">
        <f t="shared" si="961"/>
        <v>0</v>
      </c>
      <c r="DN432" s="78">
        <f t="shared" si="961"/>
        <v>0</v>
      </c>
      <c r="DO432" s="78">
        <f t="shared" si="961"/>
        <v>0</v>
      </c>
      <c r="DP432" s="78">
        <f t="shared" ref="DP432:DY433" si="962">SUMIF($E$5:$N$5,DP$5/12,$E432:$N432)</f>
        <v>0</v>
      </c>
      <c r="DQ432" s="78">
        <f t="shared" si="962"/>
        <v>0</v>
      </c>
      <c r="DR432" s="78">
        <f t="shared" si="962"/>
        <v>0</v>
      </c>
      <c r="DS432" s="78">
        <f t="shared" si="962"/>
        <v>0</v>
      </c>
      <c r="DT432" s="78">
        <f t="shared" si="962"/>
        <v>0</v>
      </c>
      <c r="DU432" s="78">
        <f t="shared" si="962"/>
        <v>0</v>
      </c>
      <c r="DV432" s="78">
        <f t="shared" si="962"/>
        <v>0</v>
      </c>
      <c r="DW432" s="78">
        <f t="shared" si="962"/>
        <v>0</v>
      </c>
      <c r="DX432" s="78">
        <f t="shared" si="962"/>
        <v>0</v>
      </c>
      <c r="DY432" s="78">
        <f t="shared" si="962"/>
        <v>0</v>
      </c>
      <c r="DZ432" s="78">
        <f t="shared" ref="DZ432:EI433" si="963">SUMIF($E$5:$N$5,DZ$5/12,$E432:$N432)</f>
        <v>0</v>
      </c>
      <c r="EA432" s="78">
        <f t="shared" si="963"/>
        <v>0</v>
      </c>
      <c r="EB432" s="78">
        <f t="shared" si="963"/>
        <v>0</v>
      </c>
      <c r="EC432" s="78">
        <f t="shared" si="963"/>
        <v>0</v>
      </c>
      <c r="ED432" s="78">
        <f t="shared" si="963"/>
        <v>0</v>
      </c>
      <c r="EE432" s="78">
        <f t="shared" si="963"/>
        <v>0</v>
      </c>
      <c r="EF432" s="78">
        <f t="shared" si="963"/>
        <v>0</v>
      </c>
      <c r="EG432" s="78">
        <f t="shared" si="963"/>
        <v>0</v>
      </c>
      <c r="EH432" s="78">
        <f t="shared" si="963"/>
        <v>0</v>
      </c>
      <c r="EI432" s="78">
        <f t="shared" si="963"/>
        <v>0</v>
      </c>
    </row>
    <row r="433" spans="2:139" ht="12.75" hidden="1" customHeight="1" outlineLevel="1">
      <c r="B433" s="36" t="s">
        <v>176</v>
      </c>
      <c r="C433" s="27"/>
      <c r="D433" s="78"/>
      <c r="E433" s="78">
        <f>-Input!$K$39*E432*(E$5=MAX(YrOfExit,1))</f>
        <v>0</v>
      </c>
      <c r="F433" s="78">
        <f>-Input!$K$39*F432*(F$5=MAX(YrOfExit,1))</f>
        <v>0</v>
      </c>
      <c r="G433" s="78">
        <f>-Input!$K$39*G432*(G$5=MAX(YrOfExit,1))</f>
        <v>0</v>
      </c>
      <c r="H433" s="78">
        <f>-Input!$K$39*H432*(H$5=MAX(YrOfExit,1))</f>
        <v>0</v>
      </c>
      <c r="I433" s="78">
        <f>-Input!$K$39*I432*(I$5=MAX(YrOfExit,1))</f>
        <v>0</v>
      </c>
      <c r="J433" s="78">
        <f>-Input!$K$39*J432*(J$5=MAX(YrOfExit,1))</f>
        <v>0</v>
      </c>
      <c r="K433" s="78">
        <f>-Input!$K$39*K432*(K$5=MAX(YrOfExit,1))</f>
        <v>0</v>
      </c>
      <c r="L433" s="78">
        <f>-Input!$K$39*L432*(L$5=MAX(YrOfExit,1))</f>
        <v>0</v>
      </c>
      <c r="M433" s="78">
        <f>-Input!$K$39*M432*(M$5=MAX(YrOfExit,1))</f>
        <v>0</v>
      </c>
      <c r="N433" s="78">
        <f>-Input!$K$39*N432*(N$5=MAX(YrOfExit,1))</f>
        <v>0</v>
      </c>
      <c r="O433" s="145">
        <f>SUM(D433:N433)</f>
        <v>0</v>
      </c>
      <c r="S433" s="78"/>
      <c r="T433" s="78">
        <f t="shared" si="952"/>
        <v>0</v>
      </c>
      <c r="U433" s="78">
        <f t="shared" si="952"/>
        <v>0</v>
      </c>
      <c r="V433" s="78">
        <f t="shared" si="952"/>
        <v>0</v>
      </c>
      <c r="W433" s="78">
        <f t="shared" si="952"/>
        <v>0</v>
      </c>
      <c r="X433" s="78">
        <f t="shared" si="952"/>
        <v>0</v>
      </c>
      <c r="Y433" s="78">
        <f t="shared" si="952"/>
        <v>0</v>
      </c>
      <c r="Z433" s="78">
        <f t="shared" si="952"/>
        <v>0</v>
      </c>
      <c r="AA433" s="78">
        <f t="shared" si="952"/>
        <v>0</v>
      </c>
      <c r="AB433" s="78">
        <f t="shared" si="952"/>
        <v>0</v>
      </c>
      <c r="AC433" s="78">
        <f t="shared" si="952"/>
        <v>0</v>
      </c>
      <c r="AD433" s="78">
        <f t="shared" si="953"/>
        <v>0</v>
      </c>
      <c r="AE433" s="78">
        <f t="shared" si="953"/>
        <v>0</v>
      </c>
      <c r="AF433" s="78">
        <f t="shared" si="953"/>
        <v>0</v>
      </c>
      <c r="AG433" s="78">
        <f t="shared" si="953"/>
        <v>0</v>
      </c>
      <c r="AH433" s="78">
        <f t="shared" si="953"/>
        <v>0</v>
      </c>
      <c r="AI433" s="78">
        <f t="shared" si="953"/>
        <v>0</v>
      </c>
      <c r="AJ433" s="78">
        <f t="shared" si="953"/>
        <v>0</v>
      </c>
      <c r="AK433" s="78">
        <f t="shared" si="953"/>
        <v>0</v>
      </c>
      <c r="AL433" s="78">
        <f t="shared" si="953"/>
        <v>0</v>
      </c>
      <c r="AM433" s="78">
        <f t="shared" si="953"/>
        <v>0</v>
      </c>
      <c r="AN433" s="78">
        <f t="shared" si="954"/>
        <v>0</v>
      </c>
      <c r="AO433" s="78">
        <f t="shared" si="954"/>
        <v>0</v>
      </c>
      <c r="AP433" s="78">
        <f t="shared" si="954"/>
        <v>0</v>
      </c>
      <c r="AQ433" s="78">
        <f t="shared" si="954"/>
        <v>0</v>
      </c>
      <c r="AR433" s="78">
        <f t="shared" si="954"/>
        <v>0</v>
      </c>
      <c r="AS433" s="78">
        <f t="shared" si="954"/>
        <v>0</v>
      </c>
      <c r="AT433" s="78">
        <f t="shared" si="954"/>
        <v>0</v>
      </c>
      <c r="AU433" s="78">
        <f t="shared" si="954"/>
        <v>0</v>
      </c>
      <c r="AV433" s="78">
        <f t="shared" si="954"/>
        <v>0</v>
      </c>
      <c r="AW433" s="78">
        <f t="shared" si="954"/>
        <v>0</v>
      </c>
      <c r="AX433" s="78">
        <f t="shared" si="955"/>
        <v>0</v>
      </c>
      <c r="AY433" s="78">
        <f t="shared" si="955"/>
        <v>0</v>
      </c>
      <c r="AZ433" s="78">
        <f t="shared" si="955"/>
        <v>0</v>
      </c>
      <c r="BA433" s="78">
        <f t="shared" si="955"/>
        <v>0</v>
      </c>
      <c r="BB433" s="78">
        <f t="shared" si="955"/>
        <v>0</v>
      </c>
      <c r="BC433" s="78">
        <f t="shared" si="955"/>
        <v>0</v>
      </c>
      <c r="BD433" s="78">
        <f t="shared" si="955"/>
        <v>0</v>
      </c>
      <c r="BE433" s="78">
        <f t="shared" si="955"/>
        <v>0</v>
      </c>
      <c r="BF433" s="78">
        <f t="shared" si="955"/>
        <v>0</v>
      </c>
      <c r="BG433" s="78">
        <f t="shared" si="955"/>
        <v>0</v>
      </c>
      <c r="BH433" s="78">
        <f t="shared" si="956"/>
        <v>0</v>
      </c>
      <c r="BI433" s="78">
        <f t="shared" si="956"/>
        <v>0</v>
      </c>
      <c r="BJ433" s="78">
        <f t="shared" si="956"/>
        <v>0</v>
      </c>
      <c r="BK433" s="78">
        <f t="shared" si="956"/>
        <v>0</v>
      </c>
      <c r="BL433" s="78">
        <f t="shared" si="956"/>
        <v>0</v>
      </c>
      <c r="BM433" s="78">
        <f t="shared" si="956"/>
        <v>0</v>
      </c>
      <c r="BN433" s="78">
        <f t="shared" si="956"/>
        <v>0</v>
      </c>
      <c r="BO433" s="78">
        <f t="shared" si="956"/>
        <v>0</v>
      </c>
      <c r="BP433" s="78">
        <f t="shared" si="956"/>
        <v>0</v>
      </c>
      <c r="BQ433" s="78">
        <f t="shared" si="956"/>
        <v>0</v>
      </c>
      <c r="BR433" s="78">
        <f t="shared" si="957"/>
        <v>0</v>
      </c>
      <c r="BS433" s="78">
        <f t="shared" si="957"/>
        <v>0</v>
      </c>
      <c r="BT433" s="78">
        <f t="shared" si="957"/>
        <v>0</v>
      </c>
      <c r="BU433" s="78">
        <f t="shared" si="957"/>
        <v>0</v>
      </c>
      <c r="BV433" s="78">
        <f t="shared" si="957"/>
        <v>0</v>
      </c>
      <c r="BW433" s="78">
        <f t="shared" si="957"/>
        <v>0</v>
      </c>
      <c r="BX433" s="78">
        <f t="shared" si="957"/>
        <v>0</v>
      </c>
      <c r="BY433" s="78">
        <f t="shared" si="957"/>
        <v>0</v>
      </c>
      <c r="BZ433" s="78">
        <f t="shared" si="957"/>
        <v>0</v>
      </c>
      <c r="CA433" s="78">
        <f t="shared" si="957"/>
        <v>0</v>
      </c>
      <c r="CB433" s="78">
        <f t="shared" si="958"/>
        <v>0</v>
      </c>
      <c r="CC433" s="78">
        <f t="shared" si="958"/>
        <v>0</v>
      </c>
      <c r="CD433" s="78">
        <f t="shared" si="958"/>
        <v>0</v>
      </c>
      <c r="CE433" s="78">
        <f t="shared" si="958"/>
        <v>0</v>
      </c>
      <c r="CF433" s="78">
        <f t="shared" si="958"/>
        <v>0</v>
      </c>
      <c r="CG433" s="78">
        <f t="shared" si="958"/>
        <v>0</v>
      </c>
      <c r="CH433" s="78">
        <f t="shared" si="958"/>
        <v>0</v>
      </c>
      <c r="CI433" s="78">
        <f t="shared" si="958"/>
        <v>0</v>
      </c>
      <c r="CJ433" s="78">
        <f t="shared" si="958"/>
        <v>0</v>
      </c>
      <c r="CK433" s="78">
        <f t="shared" si="958"/>
        <v>0</v>
      </c>
      <c r="CL433" s="78">
        <f t="shared" si="959"/>
        <v>0</v>
      </c>
      <c r="CM433" s="78">
        <f t="shared" si="959"/>
        <v>0</v>
      </c>
      <c r="CN433" s="78">
        <f t="shared" si="959"/>
        <v>0</v>
      </c>
      <c r="CO433" s="78">
        <f t="shared" si="959"/>
        <v>0</v>
      </c>
      <c r="CP433" s="78">
        <f t="shared" si="959"/>
        <v>0</v>
      </c>
      <c r="CQ433" s="78">
        <f t="shared" si="959"/>
        <v>0</v>
      </c>
      <c r="CR433" s="78">
        <f t="shared" si="959"/>
        <v>0</v>
      </c>
      <c r="CS433" s="78">
        <f t="shared" si="959"/>
        <v>0</v>
      </c>
      <c r="CT433" s="78">
        <f t="shared" si="959"/>
        <v>0</v>
      </c>
      <c r="CU433" s="78">
        <f t="shared" si="959"/>
        <v>0</v>
      </c>
      <c r="CV433" s="78">
        <f t="shared" si="960"/>
        <v>0</v>
      </c>
      <c r="CW433" s="78">
        <f t="shared" si="960"/>
        <v>0</v>
      </c>
      <c r="CX433" s="78">
        <f t="shared" si="960"/>
        <v>0</v>
      </c>
      <c r="CY433" s="78">
        <f t="shared" si="960"/>
        <v>0</v>
      </c>
      <c r="CZ433" s="78">
        <f t="shared" si="960"/>
        <v>0</v>
      </c>
      <c r="DA433" s="78">
        <f t="shared" si="960"/>
        <v>0</v>
      </c>
      <c r="DB433" s="78">
        <f t="shared" si="960"/>
        <v>0</v>
      </c>
      <c r="DC433" s="78">
        <f t="shared" si="960"/>
        <v>0</v>
      </c>
      <c r="DD433" s="78">
        <f t="shared" si="960"/>
        <v>0</v>
      </c>
      <c r="DE433" s="78">
        <f t="shared" si="960"/>
        <v>0</v>
      </c>
      <c r="DF433" s="78">
        <f t="shared" si="961"/>
        <v>0</v>
      </c>
      <c r="DG433" s="78">
        <f t="shared" si="961"/>
        <v>0</v>
      </c>
      <c r="DH433" s="78">
        <f t="shared" si="961"/>
        <v>0</v>
      </c>
      <c r="DI433" s="78">
        <f t="shared" si="961"/>
        <v>0</v>
      </c>
      <c r="DJ433" s="78">
        <f t="shared" si="961"/>
        <v>0</v>
      </c>
      <c r="DK433" s="78">
        <f t="shared" si="961"/>
        <v>0</v>
      </c>
      <c r="DL433" s="78">
        <f t="shared" si="961"/>
        <v>0</v>
      </c>
      <c r="DM433" s="78">
        <f t="shared" si="961"/>
        <v>0</v>
      </c>
      <c r="DN433" s="78">
        <f t="shared" si="961"/>
        <v>0</v>
      </c>
      <c r="DO433" s="78">
        <f t="shared" si="961"/>
        <v>0</v>
      </c>
      <c r="DP433" s="78">
        <f t="shared" si="962"/>
        <v>0</v>
      </c>
      <c r="DQ433" s="78">
        <f t="shared" si="962"/>
        <v>0</v>
      </c>
      <c r="DR433" s="78">
        <f t="shared" si="962"/>
        <v>0</v>
      </c>
      <c r="DS433" s="78">
        <f t="shared" si="962"/>
        <v>0</v>
      </c>
      <c r="DT433" s="78">
        <f t="shared" si="962"/>
        <v>0</v>
      </c>
      <c r="DU433" s="78">
        <f t="shared" si="962"/>
        <v>0</v>
      </c>
      <c r="DV433" s="78">
        <f t="shared" si="962"/>
        <v>0</v>
      </c>
      <c r="DW433" s="78">
        <f t="shared" si="962"/>
        <v>0</v>
      </c>
      <c r="DX433" s="78">
        <f t="shared" si="962"/>
        <v>0</v>
      </c>
      <c r="DY433" s="78">
        <f t="shared" si="962"/>
        <v>0</v>
      </c>
      <c r="DZ433" s="78">
        <f t="shared" si="963"/>
        <v>0</v>
      </c>
      <c r="EA433" s="78">
        <f t="shared" si="963"/>
        <v>0</v>
      </c>
      <c r="EB433" s="78">
        <f t="shared" si="963"/>
        <v>0</v>
      </c>
      <c r="EC433" s="78">
        <f t="shared" si="963"/>
        <v>0</v>
      </c>
      <c r="ED433" s="78">
        <f t="shared" si="963"/>
        <v>0</v>
      </c>
      <c r="EE433" s="78">
        <f t="shared" si="963"/>
        <v>0</v>
      </c>
      <c r="EF433" s="78">
        <f t="shared" si="963"/>
        <v>0</v>
      </c>
      <c r="EG433" s="78">
        <f t="shared" si="963"/>
        <v>0</v>
      </c>
      <c r="EH433" s="78">
        <f t="shared" si="963"/>
        <v>0</v>
      </c>
      <c r="EI433" s="78">
        <f t="shared" si="963"/>
        <v>0</v>
      </c>
    </row>
    <row r="434" spans="2:139" ht="12.75" hidden="1" customHeight="1" outlineLevel="1">
      <c r="B434" s="32"/>
      <c r="C434" s="27"/>
      <c r="D434" s="841"/>
      <c r="E434" s="841"/>
      <c r="F434" s="841"/>
      <c r="G434" s="841"/>
      <c r="H434" s="841"/>
      <c r="I434" s="841"/>
      <c r="J434" s="841"/>
      <c r="K434" s="841"/>
      <c r="L434" s="841"/>
      <c r="M434" s="841"/>
      <c r="N434" s="841"/>
      <c r="O434" s="842"/>
      <c r="S434" s="841"/>
      <c r="T434" s="841"/>
      <c r="U434" s="841"/>
      <c r="V434" s="841"/>
      <c r="W434" s="841"/>
      <c r="X434" s="841"/>
      <c r="Y434" s="841"/>
      <c r="Z434" s="841"/>
      <c r="AA434" s="841"/>
      <c r="AB434" s="841"/>
      <c r="AC434" s="841"/>
      <c r="AD434" s="841"/>
      <c r="AE434" s="841"/>
      <c r="AF434" s="841"/>
      <c r="AG434" s="841"/>
      <c r="AH434" s="841"/>
      <c r="AI434" s="841"/>
      <c r="AJ434" s="841"/>
      <c r="AK434" s="841"/>
      <c r="AL434" s="841"/>
      <c r="AM434" s="841"/>
      <c r="AN434" s="841"/>
      <c r="AO434" s="841"/>
      <c r="AP434" s="841"/>
      <c r="AQ434" s="841"/>
      <c r="AR434" s="841"/>
      <c r="AS434" s="841"/>
      <c r="AT434" s="841"/>
      <c r="AU434" s="841"/>
      <c r="AV434" s="841"/>
      <c r="AW434" s="841"/>
      <c r="AX434" s="841"/>
      <c r="AY434" s="841"/>
      <c r="AZ434" s="841"/>
      <c r="BA434" s="841"/>
      <c r="BB434" s="841"/>
      <c r="BC434" s="841"/>
      <c r="BD434" s="841"/>
      <c r="BE434" s="841"/>
      <c r="BF434" s="841"/>
      <c r="BG434" s="841"/>
      <c r="BH434" s="841"/>
      <c r="BI434" s="841"/>
      <c r="BJ434" s="841"/>
      <c r="BK434" s="841"/>
      <c r="BL434" s="841"/>
      <c r="BM434" s="841"/>
      <c r="BN434" s="841"/>
      <c r="BO434" s="841"/>
      <c r="BP434" s="841"/>
      <c r="BQ434" s="841"/>
      <c r="BR434" s="841"/>
      <c r="BS434" s="841"/>
      <c r="BT434" s="841"/>
      <c r="BU434" s="841"/>
      <c r="BV434" s="841"/>
      <c r="BW434" s="841"/>
      <c r="BX434" s="841"/>
      <c r="BY434" s="841"/>
      <c r="BZ434" s="841"/>
      <c r="CA434" s="841"/>
      <c r="CB434" s="841"/>
      <c r="CC434" s="841"/>
      <c r="CD434" s="841"/>
      <c r="CE434" s="841"/>
      <c r="CF434" s="841"/>
      <c r="CG434" s="841"/>
      <c r="CH434" s="841"/>
      <c r="CI434" s="841"/>
      <c r="CJ434" s="841"/>
      <c r="CK434" s="841"/>
      <c r="CL434" s="841"/>
      <c r="CM434" s="841"/>
      <c r="CN434" s="841"/>
      <c r="CO434" s="841"/>
      <c r="CP434" s="841"/>
      <c r="CQ434" s="841"/>
      <c r="CR434" s="841"/>
      <c r="CS434" s="841"/>
      <c r="CT434" s="841"/>
      <c r="CU434" s="841"/>
      <c r="CV434" s="841"/>
      <c r="CW434" s="841"/>
      <c r="CX434" s="841"/>
      <c r="CY434" s="841"/>
      <c r="CZ434" s="841"/>
      <c r="DA434" s="841"/>
      <c r="DB434" s="841"/>
      <c r="DC434" s="841"/>
      <c r="DD434" s="841"/>
      <c r="DE434" s="841"/>
      <c r="DF434" s="841"/>
      <c r="DG434" s="841"/>
      <c r="DH434" s="841"/>
      <c r="DI434" s="841"/>
      <c r="DJ434" s="841"/>
      <c r="DK434" s="841"/>
      <c r="DL434" s="841"/>
      <c r="DM434" s="841"/>
      <c r="DN434" s="841"/>
      <c r="DO434" s="841"/>
      <c r="DP434" s="841"/>
      <c r="DQ434" s="841"/>
      <c r="DR434" s="841"/>
      <c r="DS434" s="841"/>
      <c r="DT434" s="841"/>
      <c r="DU434" s="841"/>
      <c r="DV434" s="841"/>
      <c r="DW434" s="841"/>
      <c r="DX434" s="841"/>
      <c r="DY434" s="841"/>
      <c r="DZ434" s="841"/>
      <c r="EA434" s="841"/>
      <c r="EB434" s="841"/>
      <c r="EC434" s="841"/>
      <c r="ED434" s="841"/>
      <c r="EE434" s="841"/>
      <c r="EF434" s="841"/>
      <c r="EG434" s="841"/>
      <c r="EH434" s="841"/>
      <c r="EI434" s="841"/>
    </row>
    <row r="435" spans="2:139" hidden="1" outlineLevel="1" collapsed="1">
      <c r="B435" s="198" t="s">
        <v>687</v>
      </c>
      <c r="C435" s="209"/>
      <c r="D435" s="169"/>
      <c r="E435" s="169">
        <f t="shared" ref="E435:O435" si="964">SUBTOTAL(9,E432:E434)</f>
        <v>0</v>
      </c>
      <c r="F435" s="169">
        <f t="shared" si="964"/>
        <v>0</v>
      </c>
      <c r="G435" s="169">
        <f t="shared" si="964"/>
        <v>0</v>
      </c>
      <c r="H435" s="169">
        <f t="shared" si="964"/>
        <v>0</v>
      </c>
      <c r="I435" s="169">
        <f t="shared" si="964"/>
        <v>0</v>
      </c>
      <c r="J435" s="169">
        <f t="shared" si="964"/>
        <v>0</v>
      </c>
      <c r="K435" s="169">
        <f t="shared" si="964"/>
        <v>0</v>
      </c>
      <c r="L435" s="169">
        <f t="shared" si="964"/>
        <v>0</v>
      </c>
      <c r="M435" s="169">
        <f t="shared" si="964"/>
        <v>0</v>
      </c>
      <c r="N435" s="169">
        <f t="shared" si="964"/>
        <v>0</v>
      </c>
      <c r="O435" s="91">
        <f t="shared" si="964"/>
        <v>0</v>
      </c>
      <c r="S435" s="169"/>
      <c r="T435" s="694">
        <f t="shared" ref="T435:AY435" si="965">SUBTOTAL(9,T432:T434)</f>
        <v>0</v>
      </c>
      <c r="U435" s="694">
        <f t="shared" si="965"/>
        <v>0</v>
      </c>
      <c r="V435" s="694">
        <f t="shared" si="965"/>
        <v>0</v>
      </c>
      <c r="W435" s="694">
        <f t="shared" si="965"/>
        <v>0</v>
      </c>
      <c r="X435" s="694">
        <f t="shared" si="965"/>
        <v>0</v>
      </c>
      <c r="Y435" s="694">
        <f t="shared" si="965"/>
        <v>0</v>
      </c>
      <c r="Z435" s="694">
        <f t="shared" si="965"/>
        <v>0</v>
      </c>
      <c r="AA435" s="694">
        <f t="shared" si="965"/>
        <v>0</v>
      </c>
      <c r="AB435" s="694">
        <f t="shared" si="965"/>
        <v>0</v>
      </c>
      <c r="AC435" s="694">
        <f t="shared" si="965"/>
        <v>0</v>
      </c>
      <c r="AD435" s="694">
        <f t="shared" si="965"/>
        <v>0</v>
      </c>
      <c r="AE435" s="694">
        <f t="shared" si="965"/>
        <v>0</v>
      </c>
      <c r="AF435" s="694">
        <f t="shared" si="965"/>
        <v>0</v>
      </c>
      <c r="AG435" s="694">
        <f t="shared" si="965"/>
        <v>0</v>
      </c>
      <c r="AH435" s="694">
        <f t="shared" si="965"/>
        <v>0</v>
      </c>
      <c r="AI435" s="694">
        <f t="shared" si="965"/>
        <v>0</v>
      </c>
      <c r="AJ435" s="694">
        <f t="shared" si="965"/>
        <v>0</v>
      </c>
      <c r="AK435" s="694">
        <f t="shared" si="965"/>
        <v>0</v>
      </c>
      <c r="AL435" s="694">
        <f t="shared" si="965"/>
        <v>0</v>
      </c>
      <c r="AM435" s="694">
        <f t="shared" si="965"/>
        <v>0</v>
      </c>
      <c r="AN435" s="694">
        <f t="shared" si="965"/>
        <v>0</v>
      </c>
      <c r="AO435" s="694">
        <f t="shared" si="965"/>
        <v>0</v>
      </c>
      <c r="AP435" s="694">
        <f t="shared" si="965"/>
        <v>0</v>
      </c>
      <c r="AQ435" s="694">
        <f t="shared" si="965"/>
        <v>0</v>
      </c>
      <c r="AR435" s="694">
        <f t="shared" si="965"/>
        <v>0</v>
      </c>
      <c r="AS435" s="694">
        <f t="shared" si="965"/>
        <v>0</v>
      </c>
      <c r="AT435" s="694">
        <f t="shared" si="965"/>
        <v>0</v>
      </c>
      <c r="AU435" s="694">
        <f t="shared" si="965"/>
        <v>0</v>
      </c>
      <c r="AV435" s="694">
        <f t="shared" si="965"/>
        <v>0</v>
      </c>
      <c r="AW435" s="694">
        <f t="shared" si="965"/>
        <v>0</v>
      </c>
      <c r="AX435" s="694">
        <f t="shared" si="965"/>
        <v>0</v>
      </c>
      <c r="AY435" s="694">
        <f t="shared" si="965"/>
        <v>0</v>
      </c>
      <c r="AZ435" s="694">
        <f t="shared" ref="AZ435:CE435" si="966">SUBTOTAL(9,AZ432:AZ434)</f>
        <v>0</v>
      </c>
      <c r="BA435" s="694">
        <f t="shared" si="966"/>
        <v>0</v>
      </c>
      <c r="BB435" s="694">
        <f t="shared" si="966"/>
        <v>0</v>
      </c>
      <c r="BC435" s="694">
        <f t="shared" si="966"/>
        <v>0</v>
      </c>
      <c r="BD435" s="694">
        <f t="shared" si="966"/>
        <v>0</v>
      </c>
      <c r="BE435" s="694">
        <f t="shared" si="966"/>
        <v>0</v>
      </c>
      <c r="BF435" s="694">
        <f t="shared" si="966"/>
        <v>0</v>
      </c>
      <c r="BG435" s="694">
        <f t="shared" si="966"/>
        <v>0</v>
      </c>
      <c r="BH435" s="694">
        <f t="shared" si="966"/>
        <v>0</v>
      </c>
      <c r="BI435" s="694">
        <f t="shared" si="966"/>
        <v>0</v>
      </c>
      <c r="BJ435" s="694">
        <f t="shared" si="966"/>
        <v>0</v>
      </c>
      <c r="BK435" s="694">
        <f t="shared" si="966"/>
        <v>0</v>
      </c>
      <c r="BL435" s="694">
        <f t="shared" si="966"/>
        <v>0</v>
      </c>
      <c r="BM435" s="694">
        <f t="shared" si="966"/>
        <v>0</v>
      </c>
      <c r="BN435" s="694">
        <f t="shared" si="966"/>
        <v>0</v>
      </c>
      <c r="BO435" s="694">
        <f t="shared" si="966"/>
        <v>0</v>
      </c>
      <c r="BP435" s="694">
        <f t="shared" si="966"/>
        <v>0</v>
      </c>
      <c r="BQ435" s="694">
        <f t="shared" si="966"/>
        <v>0</v>
      </c>
      <c r="BR435" s="694">
        <f t="shared" si="966"/>
        <v>0</v>
      </c>
      <c r="BS435" s="694">
        <f t="shared" si="966"/>
        <v>0</v>
      </c>
      <c r="BT435" s="694">
        <f t="shared" si="966"/>
        <v>0</v>
      </c>
      <c r="BU435" s="694">
        <f t="shared" si="966"/>
        <v>0</v>
      </c>
      <c r="BV435" s="694">
        <f t="shared" si="966"/>
        <v>0</v>
      </c>
      <c r="BW435" s="694">
        <f t="shared" si="966"/>
        <v>0</v>
      </c>
      <c r="BX435" s="694">
        <f t="shared" si="966"/>
        <v>0</v>
      </c>
      <c r="BY435" s="694">
        <f t="shared" si="966"/>
        <v>0</v>
      </c>
      <c r="BZ435" s="694">
        <f t="shared" si="966"/>
        <v>0</v>
      </c>
      <c r="CA435" s="694">
        <f t="shared" si="966"/>
        <v>0</v>
      </c>
      <c r="CB435" s="694">
        <f t="shared" si="966"/>
        <v>0</v>
      </c>
      <c r="CC435" s="694">
        <f t="shared" si="966"/>
        <v>0</v>
      </c>
      <c r="CD435" s="694">
        <f t="shared" si="966"/>
        <v>0</v>
      </c>
      <c r="CE435" s="694">
        <f t="shared" si="966"/>
        <v>0</v>
      </c>
      <c r="CF435" s="694">
        <f t="shared" ref="CF435:DK435" si="967">SUBTOTAL(9,CF432:CF434)</f>
        <v>0</v>
      </c>
      <c r="CG435" s="694">
        <f t="shared" si="967"/>
        <v>0</v>
      </c>
      <c r="CH435" s="694">
        <f t="shared" si="967"/>
        <v>0</v>
      </c>
      <c r="CI435" s="694">
        <f t="shared" si="967"/>
        <v>0</v>
      </c>
      <c r="CJ435" s="694">
        <f t="shared" si="967"/>
        <v>0</v>
      </c>
      <c r="CK435" s="694">
        <f t="shared" si="967"/>
        <v>0</v>
      </c>
      <c r="CL435" s="694">
        <f t="shared" si="967"/>
        <v>0</v>
      </c>
      <c r="CM435" s="694">
        <f t="shared" si="967"/>
        <v>0</v>
      </c>
      <c r="CN435" s="694">
        <f t="shared" si="967"/>
        <v>0</v>
      </c>
      <c r="CO435" s="694">
        <f t="shared" si="967"/>
        <v>0</v>
      </c>
      <c r="CP435" s="694">
        <f t="shared" si="967"/>
        <v>0</v>
      </c>
      <c r="CQ435" s="694">
        <f t="shared" si="967"/>
        <v>0</v>
      </c>
      <c r="CR435" s="694">
        <f t="shared" si="967"/>
        <v>0</v>
      </c>
      <c r="CS435" s="694">
        <f t="shared" si="967"/>
        <v>0</v>
      </c>
      <c r="CT435" s="694">
        <f t="shared" si="967"/>
        <v>0</v>
      </c>
      <c r="CU435" s="694">
        <f t="shared" si="967"/>
        <v>0</v>
      </c>
      <c r="CV435" s="694">
        <f t="shared" si="967"/>
        <v>0</v>
      </c>
      <c r="CW435" s="694">
        <f t="shared" si="967"/>
        <v>0</v>
      </c>
      <c r="CX435" s="694">
        <f t="shared" si="967"/>
        <v>0</v>
      </c>
      <c r="CY435" s="694">
        <f t="shared" si="967"/>
        <v>0</v>
      </c>
      <c r="CZ435" s="694">
        <f t="shared" si="967"/>
        <v>0</v>
      </c>
      <c r="DA435" s="694">
        <f t="shared" si="967"/>
        <v>0</v>
      </c>
      <c r="DB435" s="694">
        <f t="shared" si="967"/>
        <v>0</v>
      </c>
      <c r="DC435" s="694">
        <f t="shared" si="967"/>
        <v>0</v>
      </c>
      <c r="DD435" s="694">
        <f t="shared" si="967"/>
        <v>0</v>
      </c>
      <c r="DE435" s="694">
        <f t="shared" si="967"/>
        <v>0</v>
      </c>
      <c r="DF435" s="694">
        <f t="shared" si="967"/>
        <v>0</v>
      </c>
      <c r="DG435" s="694">
        <f t="shared" si="967"/>
        <v>0</v>
      </c>
      <c r="DH435" s="694">
        <f t="shared" si="967"/>
        <v>0</v>
      </c>
      <c r="DI435" s="694">
        <f t="shared" si="967"/>
        <v>0</v>
      </c>
      <c r="DJ435" s="694">
        <f t="shared" si="967"/>
        <v>0</v>
      </c>
      <c r="DK435" s="694">
        <f t="shared" si="967"/>
        <v>0</v>
      </c>
      <c r="DL435" s="694">
        <f t="shared" ref="DL435:EQ435" si="968">SUBTOTAL(9,DL432:DL434)</f>
        <v>0</v>
      </c>
      <c r="DM435" s="694">
        <f t="shared" si="968"/>
        <v>0</v>
      </c>
      <c r="DN435" s="694">
        <f t="shared" si="968"/>
        <v>0</v>
      </c>
      <c r="DO435" s="694">
        <f t="shared" si="968"/>
        <v>0</v>
      </c>
      <c r="DP435" s="694">
        <f t="shared" si="968"/>
        <v>0</v>
      </c>
      <c r="DQ435" s="694">
        <f t="shared" si="968"/>
        <v>0</v>
      </c>
      <c r="DR435" s="694">
        <f t="shared" si="968"/>
        <v>0</v>
      </c>
      <c r="DS435" s="694">
        <f t="shared" si="968"/>
        <v>0</v>
      </c>
      <c r="DT435" s="694">
        <f t="shared" si="968"/>
        <v>0</v>
      </c>
      <c r="DU435" s="694">
        <f t="shared" si="968"/>
        <v>0</v>
      </c>
      <c r="DV435" s="694">
        <f t="shared" si="968"/>
        <v>0</v>
      </c>
      <c r="DW435" s="694">
        <f t="shared" si="968"/>
        <v>0</v>
      </c>
      <c r="DX435" s="694">
        <f t="shared" si="968"/>
        <v>0</v>
      </c>
      <c r="DY435" s="694">
        <f t="shared" si="968"/>
        <v>0</v>
      </c>
      <c r="DZ435" s="694">
        <f t="shared" si="968"/>
        <v>0</v>
      </c>
      <c r="EA435" s="694">
        <f t="shared" si="968"/>
        <v>0</v>
      </c>
      <c r="EB435" s="694">
        <f t="shared" si="968"/>
        <v>0</v>
      </c>
      <c r="EC435" s="694">
        <f t="shared" si="968"/>
        <v>0</v>
      </c>
      <c r="ED435" s="694">
        <f t="shared" si="968"/>
        <v>0</v>
      </c>
      <c r="EE435" s="694">
        <f t="shared" si="968"/>
        <v>0</v>
      </c>
      <c r="EF435" s="694">
        <f t="shared" si="968"/>
        <v>0</v>
      </c>
      <c r="EG435" s="694">
        <f t="shared" si="968"/>
        <v>0</v>
      </c>
      <c r="EH435" s="694">
        <f t="shared" si="968"/>
        <v>0</v>
      </c>
      <c r="EI435" s="694">
        <f t="shared" si="968"/>
        <v>0</v>
      </c>
    </row>
    <row r="436" spans="2:139" hidden="1" outlineLevel="1">
      <c r="B436" s="27"/>
      <c r="C436" s="27"/>
      <c r="D436" s="78"/>
      <c r="E436" s="78"/>
      <c r="F436" s="78"/>
      <c r="G436" s="78"/>
      <c r="H436" s="78"/>
      <c r="I436" s="78"/>
      <c r="J436" s="78"/>
      <c r="K436" s="78"/>
      <c r="L436" s="78"/>
      <c r="M436" s="78"/>
      <c r="N436" s="78"/>
      <c r="O436" s="145"/>
      <c r="S436" s="78"/>
      <c r="T436" s="78"/>
      <c r="U436" s="78"/>
      <c r="V436" s="78"/>
      <c r="W436" s="78"/>
      <c r="X436" s="78"/>
      <c r="Y436" s="78"/>
      <c r="Z436" s="78"/>
      <c r="AA436" s="78"/>
      <c r="AB436" s="78"/>
      <c r="AC436" s="78"/>
      <c r="AD436" s="78"/>
      <c r="AE436" s="78"/>
      <c r="AF436" s="78"/>
      <c r="AG436" s="78"/>
      <c r="AH436" s="78"/>
      <c r="AI436" s="78"/>
      <c r="AJ436" s="78"/>
      <c r="AK436" s="78"/>
      <c r="AL436" s="78"/>
      <c r="AM436" s="78"/>
      <c r="AN436" s="78"/>
      <c r="AO436" s="78"/>
      <c r="AP436" s="78"/>
      <c r="AQ436" s="78"/>
      <c r="AR436" s="78"/>
      <c r="AS436" s="78"/>
      <c r="AT436" s="78"/>
      <c r="AU436" s="78"/>
      <c r="AV436" s="78"/>
      <c r="AW436" s="78"/>
      <c r="AX436" s="78"/>
      <c r="AY436" s="78"/>
      <c r="AZ436" s="78"/>
      <c r="BA436" s="78"/>
      <c r="BB436" s="78"/>
      <c r="BC436" s="78"/>
      <c r="BD436" s="27"/>
      <c r="BE436" s="27"/>
      <c r="BF436" s="27"/>
      <c r="BG436" s="27"/>
      <c r="BH436" s="27"/>
      <c r="BI436" s="27"/>
      <c r="BJ436" s="27"/>
      <c r="BK436" s="27"/>
      <c r="BL436" s="27"/>
      <c r="BM436" s="27"/>
      <c r="BN436" s="27"/>
      <c r="BO436" s="27"/>
      <c r="BP436" s="27"/>
      <c r="BQ436" s="27"/>
      <c r="BR436" s="27"/>
      <c r="BS436" s="27"/>
      <c r="BT436" s="27"/>
      <c r="BU436" s="27"/>
      <c r="BV436" s="27"/>
      <c r="BW436" s="27"/>
      <c r="BX436" s="27"/>
      <c r="BY436" s="27"/>
      <c r="BZ436" s="27"/>
      <c r="CA436" s="27"/>
      <c r="CB436" s="27"/>
      <c r="CC436" s="27"/>
      <c r="CD436" s="27"/>
      <c r="CE436" s="27"/>
      <c r="CF436" s="27"/>
      <c r="CG436" s="27"/>
      <c r="CH436" s="27"/>
      <c r="CI436" s="27"/>
      <c r="CJ436" s="27"/>
      <c r="CK436" s="27"/>
      <c r="CL436" s="27"/>
      <c r="CM436" s="27"/>
      <c r="CN436" s="27"/>
      <c r="CO436" s="27"/>
      <c r="CP436" s="27"/>
      <c r="CQ436" s="27"/>
      <c r="CR436" s="27"/>
      <c r="CS436" s="27"/>
      <c r="CT436" s="27"/>
      <c r="CU436" s="27"/>
      <c r="CV436" s="27"/>
      <c r="CW436" s="27"/>
      <c r="CX436" s="27"/>
      <c r="CY436" s="27"/>
      <c r="CZ436" s="27"/>
      <c r="DA436" s="27"/>
      <c r="DB436" s="27"/>
      <c r="DC436" s="27"/>
      <c r="DD436" s="27"/>
      <c r="DE436" s="27"/>
      <c r="DF436" s="27"/>
      <c r="DG436" s="27"/>
      <c r="DH436" s="27"/>
      <c r="DI436" s="27"/>
      <c r="DJ436" s="27"/>
      <c r="DK436" s="27"/>
      <c r="DL436" s="27"/>
      <c r="DM436" s="27"/>
      <c r="DN436" s="27"/>
      <c r="DO436" s="27"/>
      <c r="DP436" s="27"/>
      <c r="DQ436" s="27"/>
      <c r="DR436" s="27"/>
      <c r="DS436" s="27"/>
      <c r="DT436" s="27"/>
      <c r="DU436" s="27"/>
      <c r="DV436" s="27"/>
      <c r="DW436" s="27"/>
      <c r="DX436" s="27"/>
      <c r="DY436" s="27"/>
      <c r="DZ436" s="27"/>
      <c r="EA436" s="27"/>
      <c r="EB436" s="27"/>
      <c r="EC436" s="27"/>
      <c r="ED436" s="27"/>
      <c r="EE436" s="27"/>
      <c r="EF436" s="27"/>
      <c r="EG436" s="27"/>
      <c r="EH436" s="27"/>
      <c r="EI436" s="27"/>
    </row>
    <row r="437" spans="2:139" hidden="1" outlineLevel="1"/>
    <row r="438" spans="2:139" s="192" customFormat="1" ht="14.25" hidden="1" customHeight="1" outlineLevel="1">
      <c r="B438" s="1044" t="s">
        <v>688</v>
      </c>
      <c r="C438" s="212" t="str">
        <f>IFERROR(IF(IrrCalculationType=170,IRR(D438:N438,0.01),(1+IRR(S438:EI438,0.01))^12-1),"n/a")</f>
        <v>n/a</v>
      </c>
      <c r="D438" s="204">
        <f t="shared" ref="D438:O438" si="969">SUBTOTAL(9,D417:D435)</f>
        <v>0</v>
      </c>
      <c r="E438" s="204">
        <f t="shared" si="969"/>
        <v>0</v>
      </c>
      <c r="F438" s="204">
        <f t="shared" si="969"/>
        <v>0</v>
      </c>
      <c r="G438" s="204">
        <f t="shared" si="969"/>
        <v>0</v>
      </c>
      <c r="H438" s="204">
        <f t="shared" si="969"/>
        <v>0</v>
      </c>
      <c r="I438" s="204">
        <f t="shared" si="969"/>
        <v>0</v>
      </c>
      <c r="J438" s="204">
        <f t="shared" si="969"/>
        <v>0</v>
      </c>
      <c r="K438" s="204">
        <f t="shared" si="969"/>
        <v>0</v>
      </c>
      <c r="L438" s="204">
        <f t="shared" si="969"/>
        <v>0</v>
      </c>
      <c r="M438" s="204">
        <f t="shared" si="969"/>
        <v>0</v>
      </c>
      <c r="N438" s="204">
        <f t="shared" si="969"/>
        <v>0</v>
      </c>
      <c r="O438" s="204">
        <f t="shared" si="969"/>
        <v>0</v>
      </c>
      <c r="P438"/>
      <c r="Q438"/>
      <c r="R438"/>
      <c r="S438" s="204">
        <f t="shared" ref="S438:AX438" si="970">SUBTOTAL(9,S417:S435)</f>
        <v>0</v>
      </c>
      <c r="T438" s="204">
        <f t="shared" si="970"/>
        <v>0</v>
      </c>
      <c r="U438" s="204">
        <f t="shared" si="970"/>
        <v>0</v>
      </c>
      <c r="V438" s="204">
        <f t="shared" si="970"/>
        <v>0</v>
      </c>
      <c r="W438" s="204">
        <f t="shared" si="970"/>
        <v>0</v>
      </c>
      <c r="X438" s="204">
        <f t="shared" si="970"/>
        <v>0</v>
      </c>
      <c r="Y438" s="204">
        <f t="shared" si="970"/>
        <v>0</v>
      </c>
      <c r="Z438" s="204">
        <f t="shared" si="970"/>
        <v>0</v>
      </c>
      <c r="AA438" s="204">
        <f t="shared" si="970"/>
        <v>0</v>
      </c>
      <c r="AB438" s="204">
        <f t="shared" si="970"/>
        <v>0</v>
      </c>
      <c r="AC438" s="204">
        <f t="shared" si="970"/>
        <v>0</v>
      </c>
      <c r="AD438" s="204">
        <f t="shared" si="970"/>
        <v>0</v>
      </c>
      <c r="AE438" s="204">
        <f t="shared" si="970"/>
        <v>0</v>
      </c>
      <c r="AF438" s="204">
        <f t="shared" si="970"/>
        <v>0</v>
      </c>
      <c r="AG438" s="204">
        <f t="shared" si="970"/>
        <v>0</v>
      </c>
      <c r="AH438" s="204">
        <f t="shared" si="970"/>
        <v>0</v>
      </c>
      <c r="AI438" s="204">
        <f t="shared" si="970"/>
        <v>0</v>
      </c>
      <c r="AJ438" s="204">
        <f t="shared" si="970"/>
        <v>0</v>
      </c>
      <c r="AK438" s="204">
        <f t="shared" si="970"/>
        <v>0</v>
      </c>
      <c r="AL438" s="204">
        <f t="shared" si="970"/>
        <v>0</v>
      </c>
      <c r="AM438" s="204">
        <f t="shared" si="970"/>
        <v>0</v>
      </c>
      <c r="AN438" s="204">
        <f t="shared" si="970"/>
        <v>0</v>
      </c>
      <c r="AO438" s="204">
        <f t="shared" si="970"/>
        <v>0</v>
      </c>
      <c r="AP438" s="204">
        <f t="shared" si="970"/>
        <v>0</v>
      </c>
      <c r="AQ438" s="204">
        <f t="shared" si="970"/>
        <v>0</v>
      </c>
      <c r="AR438" s="204">
        <f t="shared" si="970"/>
        <v>0</v>
      </c>
      <c r="AS438" s="204">
        <f t="shared" si="970"/>
        <v>0</v>
      </c>
      <c r="AT438" s="204">
        <f t="shared" si="970"/>
        <v>0</v>
      </c>
      <c r="AU438" s="204">
        <f t="shared" si="970"/>
        <v>0</v>
      </c>
      <c r="AV438" s="204">
        <f t="shared" si="970"/>
        <v>0</v>
      </c>
      <c r="AW438" s="204">
        <f t="shared" si="970"/>
        <v>0</v>
      </c>
      <c r="AX438" s="204">
        <f t="shared" si="970"/>
        <v>0</v>
      </c>
      <c r="AY438" s="204">
        <f t="shared" ref="AY438:CD438" si="971">SUBTOTAL(9,AY417:AY435)</f>
        <v>0</v>
      </c>
      <c r="AZ438" s="204">
        <f t="shared" si="971"/>
        <v>0</v>
      </c>
      <c r="BA438" s="204">
        <f t="shared" si="971"/>
        <v>0</v>
      </c>
      <c r="BB438" s="204">
        <f t="shared" si="971"/>
        <v>0</v>
      </c>
      <c r="BC438" s="204">
        <f t="shared" si="971"/>
        <v>0</v>
      </c>
      <c r="BD438" s="204">
        <f t="shared" si="971"/>
        <v>0</v>
      </c>
      <c r="BE438" s="204">
        <f t="shared" si="971"/>
        <v>0</v>
      </c>
      <c r="BF438" s="204">
        <f t="shared" si="971"/>
        <v>0</v>
      </c>
      <c r="BG438" s="204">
        <f t="shared" si="971"/>
        <v>0</v>
      </c>
      <c r="BH438" s="204">
        <f t="shared" si="971"/>
        <v>0</v>
      </c>
      <c r="BI438" s="204">
        <f t="shared" si="971"/>
        <v>0</v>
      </c>
      <c r="BJ438" s="204">
        <f t="shared" si="971"/>
        <v>0</v>
      </c>
      <c r="BK438" s="204">
        <f t="shared" si="971"/>
        <v>0</v>
      </c>
      <c r="BL438" s="204">
        <f t="shared" si="971"/>
        <v>0</v>
      </c>
      <c r="BM438" s="204">
        <f t="shared" si="971"/>
        <v>0</v>
      </c>
      <c r="BN438" s="204">
        <f t="shared" si="971"/>
        <v>0</v>
      </c>
      <c r="BO438" s="204">
        <f t="shared" si="971"/>
        <v>0</v>
      </c>
      <c r="BP438" s="204">
        <f t="shared" si="971"/>
        <v>0</v>
      </c>
      <c r="BQ438" s="204">
        <f t="shared" si="971"/>
        <v>0</v>
      </c>
      <c r="BR438" s="204">
        <f t="shared" si="971"/>
        <v>0</v>
      </c>
      <c r="BS438" s="204">
        <f t="shared" si="971"/>
        <v>0</v>
      </c>
      <c r="BT438" s="204">
        <f t="shared" si="971"/>
        <v>0</v>
      </c>
      <c r="BU438" s="204">
        <f t="shared" si="971"/>
        <v>0</v>
      </c>
      <c r="BV438" s="204">
        <f t="shared" si="971"/>
        <v>0</v>
      </c>
      <c r="BW438" s="204">
        <f t="shared" si="971"/>
        <v>0</v>
      </c>
      <c r="BX438" s="204">
        <f t="shared" si="971"/>
        <v>0</v>
      </c>
      <c r="BY438" s="204">
        <f t="shared" si="971"/>
        <v>0</v>
      </c>
      <c r="BZ438" s="204">
        <f t="shared" si="971"/>
        <v>0</v>
      </c>
      <c r="CA438" s="204">
        <f t="shared" si="971"/>
        <v>0</v>
      </c>
      <c r="CB438" s="204">
        <f t="shared" si="971"/>
        <v>0</v>
      </c>
      <c r="CC438" s="204">
        <f t="shared" si="971"/>
        <v>0</v>
      </c>
      <c r="CD438" s="204">
        <f t="shared" si="971"/>
        <v>0</v>
      </c>
      <c r="CE438" s="204">
        <f t="shared" ref="CE438:DJ438" si="972">SUBTOTAL(9,CE417:CE435)</f>
        <v>0</v>
      </c>
      <c r="CF438" s="204">
        <f t="shared" si="972"/>
        <v>0</v>
      </c>
      <c r="CG438" s="204">
        <f t="shared" si="972"/>
        <v>0</v>
      </c>
      <c r="CH438" s="204">
        <f t="shared" si="972"/>
        <v>0</v>
      </c>
      <c r="CI438" s="204">
        <f t="shared" si="972"/>
        <v>0</v>
      </c>
      <c r="CJ438" s="204">
        <f t="shared" si="972"/>
        <v>0</v>
      </c>
      <c r="CK438" s="204">
        <f t="shared" si="972"/>
        <v>0</v>
      </c>
      <c r="CL438" s="204">
        <f t="shared" si="972"/>
        <v>0</v>
      </c>
      <c r="CM438" s="204">
        <f t="shared" si="972"/>
        <v>0</v>
      </c>
      <c r="CN438" s="204">
        <f t="shared" si="972"/>
        <v>0</v>
      </c>
      <c r="CO438" s="204">
        <f t="shared" si="972"/>
        <v>0</v>
      </c>
      <c r="CP438" s="204">
        <f t="shared" si="972"/>
        <v>0</v>
      </c>
      <c r="CQ438" s="204">
        <f t="shared" si="972"/>
        <v>0</v>
      </c>
      <c r="CR438" s="204">
        <f t="shared" si="972"/>
        <v>0</v>
      </c>
      <c r="CS438" s="204">
        <f t="shared" si="972"/>
        <v>0</v>
      </c>
      <c r="CT438" s="204">
        <f t="shared" si="972"/>
        <v>0</v>
      </c>
      <c r="CU438" s="204">
        <f t="shared" si="972"/>
        <v>0</v>
      </c>
      <c r="CV438" s="204">
        <f t="shared" si="972"/>
        <v>0</v>
      </c>
      <c r="CW438" s="204">
        <f t="shared" si="972"/>
        <v>0</v>
      </c>
      <c r="CX438" s="204">
        <f t="shared" si="972"/>
        <v>0</v>
      </c>
      <c r="CY438" s="204">
        <f t="shared" si="972"/>
        <v>0</v>
      </c>
      <c r="CZ438" s="204">
        <f t="shared" si="972"/>
        <v>0</v>
      </c>
      <c r="DA438" s="204">
        <f t="shared" si="972"/>
        <v>0</v>
      </c>
      <c r="DB438" s="204">
        <f t="shared" si="972"/>
        <v>0</v>
      </c>
      <c r="DC438" s="204">
        <f t="shared" si="972"/>
        <v>0</v>
      </c>
      <c r="DD438" s="204">
        <f t="shared" si="972"/>
        <v>0</v>
      </c>
      <c r="DE438" s="204">
        <f t="shared" si="972"/>
        <v>0</v>
      </c>
      <c r="DF438" s="204">
        <f t="shared" si="972"/>
        <v>0</v>
      </c>
      <c r="DG438" s="204">
        <f t="shared" si="972"/>
        <v>0</v>
      </c>
      <c r="DH438" s="204">
        <f t="shared" si="972"/>
        <v>0</v>
      </c>
      <c r="DI438" s="204">
        <f t="shared" si="972"/>
        <v>0</v>
      </c>
      <c r="DJ438" s="204">
        <f t="shared" si="972"/>
        <v>0</v>
      </c>
      <c r="DK438" s="204">
        <f t="shared" ref="DK438:EI438" si="973">SUBTOTAL(9,DK417:DK435)</f>
        <v>0</v>
      </c>
      <c r="DL438" s="204">
        <f t="shared" si="973"/>
        <v>0</v>
      </c>
      <c r="DM438" s="204">
        <f t="shared" si="973"/>
        <v>0</v>
      </c>
      <c r="DN438" s="204">
        <f t="shared" si="973"/>
        <v>0</v>
      </c>
      <c r="DO438" s="204">
        <f t="shared" si="973"/>
        <v>0</v>
      </c>
      <c r="DP438" s="204">
        <f t="shared" si="973"/>
        <v>0</v>
      </c>
      <c r="DQ438" s="204">
        <f t="shared" si="973"/>
        <v>0</v>
      </c>
      <c r="DR438" s="204">
        <f t="shared" si="973"/>
        <v>0</v>
      </c>
      <c r="DS438" s="204">
        <f t="shared" si="973"/>
        <v>0</v>
      </c>
      <c r="DT438" s="204">
        <f t="shared" si="973"/>
        <v>0</v>
      </c>
      <c r="DU438" s="204">
        <f t="shared" si="973"/>
        <v>0</v>
      </c>
      <c r="DV438" s="204">
        <f t="shared" si="973"/>
        <v>0</v>
      </c>
      <c r="DW438" s="204">
        <f t="shared" si="973"/>
        <v>0</v>
      </c>
      <c r="DX438" s="204">
        <f t="shared" si="973"/>
        <v>0</v>
      </c>
      <c r="DY438" s="204">
        <f t="shared" si="973"/>
        <v>0</v>
      </c>
      <c r="DZ438" s="204">
        <f t="shared" si="973"/>
        <v>0</v>
      </c>
      <c r="EA438" s="204">
        <f t="shared" si="973"/>
        <v>0</v>
      </c>
      <c r="EB438" s="204">
        <f t="shared" si="973"/>
        <v>0</v>
      </c>
      <c r="EC438" s="204">
        <f t="shared" si="973"/>
        <v>0</v>
      </c>
      <c r="ED438" s="204">
        <f t="shared" si="973"/>
        <v>0</v>
      </c>
      <c r="EE438" s="204">
        <f t="shared" si="973"/>
        <v>0</v>
      </c>
      <c r="EF438" s="204">
        <f t="shared" si="973"/>
        <v>0</v>
      </c>
      <c r="EG438" s="204">
        <f t="shared" si="973"/>
        <v>0</v>
      </c>
      <c r="EH438" s="204">
        <f t="shared" si="973"/>
        <v>0</v>
      </c>
      <c r="EI438" s="204">
        <f t="shared" si="973"/>
        <v>0</v>
      </c>
    </row>
    <row r="439" spans="2:139" hidden="1" outlineLevel="1"/>
    <row r="440" spans="2:139" hidden="1" outlineLevel="1"/>
    <row r="441" spans="2:139" s="192" customFormat="1" ht="14.25" hidden="1" customHeight="1" outlineLevel="1">
      <c r="B441" s="1043" t="s">
        <v>586</v>
      </c>
      <c r="C441" s="196"/>
      <c r="D441" s="196"/>
      <c r="E441" s="196"/>
      <c r="F441" s="197"/>
      <c r="G441" s="197"/>
      <c r="H441" s="197"/>
      <c r="I441" s="197"/>
      <c r="J441" s="197"/>
      <c r="K441" s="197"/>
      <c r="L441" s="197"/>
      <c r="M441" s="197"/>
      <c r="N441" s="197"/>
      <c r="O441" s="197"/>
      <c r="P441"/>
      <c r="Q441"/>
      <c r="R441"/>
      <c r="S441" s="197"/>
      <c r="T441" s="197"/>
      <c r="U441" s="197"/>
      <c r="V441" s="197"/>
      <c r="W441" s="197"/>
      <c r="X441" s="197"/>
      <c r="Y441" s="197"/>
      <c r="Z441" s="197"/>
      <c r="AA441" s="197"/>
      <c r="AB441" s="197"/>
      <c r="AC441" s="197"/>
      <c r="AD441" s="197"/>
      <c r="AE441" s="197"/>
      <c r="AF441" s="197"/>
      <c r="AG441" s="197"/>
      <c r="AH441" s="197"/>
      <c r="AI441" s="197"/>
      <c r="AJ441" s="197"/>
      <c r="AK441" s="197"/>
      <c r="AL441" s="197"/>
      <c r="AM441" s="197"/>
      <c r="AN441" s="197"/>
      <c r="AO441" s="197"/>
      <c r="AP441" s="197"/>
      <c r="AQ441" s="197"/>
      <c r="AR441" s="197"/>
      <c r="AS441" s="197"/>
      <c r="AT441" s="197"/>
      <c r="AU441" s="197"/>
      <c r="AV441" s="197"/>
      <c r="AW441" s="197"/>
      <c r="AX441" s="197"/>
      <c r="AY441" s="197"/>
      <c r="AZ441" s="197"/>
      <c r="BA441" s="197"/>
      <c r="BB441" s="197"/>
      <c r="BC441" s="197"/>
      <c r="BD441" s="197"/>
      <c r="BE441" s="197"/>
      <c r="BF441" s="197"/>
      <c r="BG441" s="197"/>
      <c r="BH441" s="197"/>
      <c r="BI441" s="197"/>
      <c r="BJ441" s="197"/>
      <c r="BK441" s="197"/>
      <c r="BL441" s="197"/>
      <c r="BM441" s="197"/>
      <c r="BN441" s="197"/>
      <c r="BO441" s="197"/>
      <c r="BP441" s="197"/>
      <c r="BQ441" s="197"/>
      <c r="BR441" s="197"/>
      <c r="BS441" s="197"/>
      <c r="BT441" s="197"/>
      <c r="BU441" s="197"/>
      <c r="BV441" s="197"/>
      <c r="BW441" s="197"/>
      <c r="BX441" s="197"/>
      <c r="BY441" s="197"/>
      <c r="BZ441" s="197"/>
      <c r="CA441" s="197"/>
      <c r="CB441" s="197"/>
      <c r="CC441" s="197"/>
      <c r="CD441" s="197"/>
      <c r="CE441" s="197"/>
      <c r="CF441" s="197"/>
      <c r="CG441" s="197"/>
      <c r="CH441" s="197"/>
      <c r="CI441" s="197"/>
      <c r="CJ441" s="197"/>
      <c r="CK441" s="197"/>
      <c r="CL441" s="197"/>
      <c r="CM441" s="197"/>
      <c r="CN441" s="197"/>
      <c r="CO441" s="197"/>
      <c r="CP441" s="197"/>
      <c r="CQ441" s="197"/>
      <c r="CR441" s="197"/>
      <c r="CS441" s="197"/>
      <c r="CT441" s="197"/>
      <c r="CU441" s="197"/>
      <c r="CV441" s="197"/>
      <c r="CW441" s="197"/>
      <c r="CX441" s="197"/>
      <c r="CY441" s="197"/>
      <c r="CZ441" s="197"/>
      <c r="DA441" s="197"/>
      <c r="DB441" s="197"/>
      <c r="DC441" s="197"/>
      <c r="DD441" s="197"/>
      <c r="DE441" s="197"/>
      <c r="DF441" s="197"/>
      <c r="DG441" s="197"/>
      <c r="DH441" s="197"/>
      <c r="DI441" s="197"/>
      <c r="DJ441" s="197"/>
      <c r="DK441" s="197"/>
      <c r="DL441" s="197"/>
      <c r="DM441" s="197"/>
      <c r="DN441" s="197"/>
      <c r="DO441" s="197"/>
      <c r="DP441" s="197"/>
      <c r="DQ441" s="197"/>
      <c r="DR441" s="197"/>
      <c r="DS441" s="197"/>
      <c r="DT441" s="197"/>
      <c r="DU441" s="197"/>
      <c r="DV441" s="197"/>
      <c r="DW441" s="197"/>
      <c r="DX441" s="197"/>
      <c r="DY441" s="197"/>
      <c r="DZ441" s="197"/>
      <c r="EA441" s="197"/>
      <c r="EB441" s="197"/>
      <c r="EC441" s="197"/>
      <c r="ED441" s="197"/>
      <c r="EE441" s="197"/>
      <c r="EF441" s="197"/>
      <c r="EG441" s="197"/>
      <c r="EH441" s="197"/>
      <c r="EI441" s="197"/>
    </row>
    <row r="442" spans="2:139" ht="12.75" hidden="1" customHeight="1" outlineLevel="1">
      <c r="B442" s="41" t="s">
        <v>78</v>
      </c>
      <c r="C442" s="212">
        <f>IF(AverageRenovCost,SUMPRODUCT((PostRenovationMarketRent-StartingMarketRents)*12,Input!Q78:Q79)/SUMPRODUCT(RenovationCost,Input!Q78:Q79),)</f>
        <v>0</v>
      </c>
      <c r="D442" s="78"/>
      <c r="E442" s="78"/>
      <c r="F442" s="78"/>
      <c r="G442" s="78"/>
      <c r="H442" s="78"/>
      <c r="I442" s="78"/>
      <c r="J442" s="78"/>
      <c r="K442" s="78"/>
      <c r="L442" s="78"/>
      <c r="M442" s="78"/>
      <c r="N442" s="78"/>
      <c r="O442" s="145"/>
      <c r="Q442" s="850"/>
      <c r="S442" s="78"/>
      <c r="T442" s="78"/>
      <c r="U442" s="78"/>
      <c r="V442" s="78"/>
      <c r="W442" s="78"/>
      <c r="X442" s="78"/>
      <c r="Y442" s="78"/>
      <c r="Z442" s="78"/>
      <c r="AA442" s="78"/>
      <c r="AB442" s="78"/>
      <c r="AC442" s="78"/>
      <c r="AD442" s="78"/>
      <c r="AE442" s="78"/>
      <c r="AF442" s="78"/>
      <c r="AG442" s="78"/>
      <c r="AH442" s="78"/>
      <c r="AI442" s="78"/>
      <c r="AJ442" s="78"/>
      <c r="AK442" s="78"/>
      <c r="AL442" s="78"/>
      <c r="AM442" s="78"/>
      <c r="AN442" s="78"/>
      <c r="AO442" s="78"/>
      <c r="AP442" s="78"/>
      <c r="AQ442" s="78"/>
      <c r="AR442" s="78"/>
      <c r="AS442" s="78"/>
      <c r="AT442" s="78"/>
      <c r="AU442" s="78"/>
      <c r="AV442" s="78"/>
      <c r="AW442" s="78"/>
      <c r="AX442" s="78"/>
      <c r="AY442" s="78"/>
      <c r="AZ442" s="78"/>
      <c r="BA442" s="78"/>
      <c r="BB442" s="78"/>
      <c r="BC442" s="78"/>
      <c r="BD442" s="78"/>
      <c r="BE442" s="78"/>
      <c r="BF442" s="78"/>
      <c r="BG442" s="78"/>
      <c r="BH442" s="78"/>
      <c r="BI442" s="78"/>
      <c r="BJ442" s="78"/>
      <c r="BK442" s="78"/>
      <c r="BL442" s="78"/>
      <c r="BM442" s="78"/>
      <c r="BN442" s="78"/>
      <c r="BO442" s="78"/>
      <c r="BP442" s="78"/>
      <c r="BQ442" s="78"/>
      <c r="BR442" s="78"/>
      <c r="BS442" s="78"/>
      <c r="BT442" s="78"/>
      <c r="BU442" s="78"/>
      <c r="BV442" s="78"/>
      <c r="BW442" s="78"/>
      <c r="BX442" s="78"/>
      <c r="BY442" s="78"/>
      <c r="BZ442" s="78"/>
      <c r="CA442" s="78"/>
      <c r="CB442" s="78"/>
      <c r="CC442" s="78"/>
      <c r="CD442" s="78"/>
      <c r="CE442" s="78"/>
      <c r="CF442" s="78"/>
      <c r="CG442" s="78"/>
      <c r="CH442" s="78"/>
      <c r="CI442" s="78"/>
      <c r="CJ442" s="78"/>
      <c r="CK442" s="78"/>
      <c r="CL442" s="78"/>
      <c r="CM442" s="78"/>
      <c r="CN442" s="78"/>
      <c r="CO442" s="78"/>
      <c r="CP442" s="78"/>
      <c r="CQ442" s="78"/>
      <c r="CR442" s="78"/>
      <c r="CS442" s="78"/>
      <c r="CT442" s="78"/>
      <c r="CU442" s="78"/>
      <c r="CV442" s="78"/>
      <c r="CW442" s="78"/>
      <c r="CX442" s="78"/>
      <c r="CY442" s="78"/>
      <c r="CZ442" s="78"/>
      <c r="DA442" s="78"/>
      <c r="DB442" s="78"/>
      <c r="DC442" s="78"/>
      <c r="DD442" s="78"/>
      <c r="DE442" s="78"/>
      <c r="DF442" s="78"/>
      <c r="DG442" s="78"/>
      <c r="DH442" s="78"/>
      <c r="DI442" s="78"/>
      <c r="DJ442" s="78"/>
      <c r="DK442" s="78"/>
      <c r="DL442" s="78"/>
      <c r="DM442" s="78"/>
      <c r="DN442" s="78"/>
      <c r="DO442" s="78"/>
      <c r="DP442" s="78"/>
      <c r="DQ442" s="78"/>
      <c r="DR442" s="78"/>
      <c r="DS442" s="78"/>
      <c r="DT442" s="78"/>
      <c r="DU442" s="78"/>
      <c r="DV442" s="78"/>
      <c r="DW442" s="78"/>
      <c r="DX442" s="78"/>
      <c r="DY442" s="78"/>
      <c r="DZ442" s="78"/>
      <c r="EA442" s="78"/>
      <c r="EB442" s="78"/>
      <c r="EC442" s="78"/>
      <c r="ED442" s="78"/>
      <c r="EE442" s="78"/>
      <c r="EF442" s="78"/>
      <c r="EG442" s="78"/>
      <c r="EH442" s="78"/>
      <c r="EI442" s="78"/>
    </row>
    <row r="443" spans="2:139" ht="12.75" hidden="1" customHeight="1" outlineLevel="1">
      <c r="B443" s="41" t="s">
        <v>689</v>
      </c>
      <c r="C443" s="211"/>
      <c r="D443" s="78">
        <f t="shared" ref="D443:N443" si="974">IF(IrrCalculationType=170,C443-D425,SUMIF($S$5:$EI$5,D$5*12,$S$443:$EI$443))*(D$5&lt;=MAX(YrOfExit,1))</f>
        <v>0</v>
      </c>
      <c r="E443" s="78">
        <f t="shared" si="974"/>
        <v>0</v>
      </c>
      <c r="F443" s="78">
        <f t="shared" si="974"/>
        <v>0</v>
      </c>
      <c r="G443" s="78">
        <f t="shared" si="974"/>
        <v>0</v>
      </c>
      <c r="H443" s="78">
        <f t="shared" si="974"/>
        <v>0</v>
      </c>
      <c r="I443" s="78">
        <f t="shared" si="974"/>
        <v>0</v>
      </c>
      <c r="J443" s="78">
        <f t="shared" si="974"/>
        <v>0</v>
      </c>
      <c r="K443" s="78">
        <f t="shared" si="974"/>
        <v>0</v>
      </c>
      <c r="L443" s="78">
        <f t="shared" si="974"/>
        <v>0</v>
      </c>
      <c r="M443" s="78">
        <f t="shared" si="974"/>
        <v>0</v>
      </c>
      <c r="N443" s="78">
        <f t="shared" si="974"/>
        <v>0</v>
      </c>
      <c r="O443" s="145">
        <f>SUMIF($D$5:$N$5,MAX(YrOfExit,1),$D$443:$N$443)</f>
        <v>0</v>
      </c>
      <c r="P443" s="851"/>
      <c r="R443" s="851"/>
      <c r="S443" s="78">
        <f t="shared" ref="S443:AX443" si="975">(R443-S425)*(S$6&lt;=MAX(YrOfExit,1))</f>
        <v>0</v>
      </c>
      <c r="T443" s="78">
        <f t="shared" si="975"/>
        <v>0</v>
      </c>
      <c r="U443" s="78">
        <f t="shared" si="975"/>
        <v>0</v>
      </c>
      <c r="V443" s="78">
        <f t="shared" si="975"/>
        <v>0</v>
      </c>
      <c r="W443" s="78">
        <f t="shared" si="975"/>
        <v>0</v>
      </c>
      <c r="X443" s="78">
        <f t="shared" si="975"/>
        <v>0</v>
      </c>
      <c r="Y443" s="78">
        <f t="shared" si="975"/>
        <v>0</v>
      </c>
      <c r="Z443" s="78">
        <f t="shared" si="975"/>
        <v>0</v>
      </c>
      <c r="AA443" s="78">
        <f t="shared" si="975"/>
        <v>0</v>
      </c>
      <c r="AB443" s="78">
        <f t="shared" si="975"/>
        <v>0</v>
      </c>
      <c r="AC443" s="78">
        <f t="shared" si="975"/>
        <v>0</v>
      </c>
      <c r="AD443" s="78">
        <f t="shared" si="975"/>
        <v>0</v>
      </c>
      <c r="AE443" s="78">
        <f t="shared" si="975"/>
        <v>0</v>
      </c>
      <c r="AF443" s="78">
        <f t="shared" si="975"/>
        <v>0</v>
      </c>
      <c r="AG443" s="78">
        <f t="shared" si="975"/>
        <v>0</v>
      </c>
      <c r="AH443" s="78">
        <f t="shared" si="975"/>
        <v>0</v>
      </c>
      <c r="AI443" s="78">
        <f t="shared" si="975"/>
        <v>0</v>
      </c>
      <c r="AJ443" s="78">
        <f t="shared" si="975"/>
        <v>0</v>
      </c>
      <c r="AK443" s="78">
        <f t="shared" si="975"/>
        <v>0</v>
      </c>
      <c r="AL443" s="78">
        <f t="shared" si="975"/>
        <v>0</v>
      </c>
      <c r="AM443" s="78">
        <f t="shared" si="975"/>
        <v>0</v>
      </c>
      <c r="AN443" s="78">
        <f t="shared" si="975"/>
        <v>0</v>
      </c>
      <c r="AO443" s="78">
        <f t="shared" si="975"/>
        <v>0</v>
      </c>
      <c r="AP443" s="78">
        <f t="shared" si="975"/>
        <v>0</v>
      </c>
      <c r="AQ443" s="78">
        <f t="shared" si="975"/>
        <v>0</v>
      </c>
      <c r="AR443" s="78">
        <f t="shared" si="975"/>
        <v>0</v>
      </c>
      <c r="AS443" s="78">
        <f t="shared" si="975"/>
        <v>0</v>
      </c>
      <c r="AT443" s="78">
        <f t="shared" si="975"/>
        <v>0</v>
      </c>
      <c r="AU443" s="78">
        <f t="shared" si="975"/>
        <v>0</v>
      </c>
      <c r="AV443" s="78">
        <f t="shared" si="975"/>
        <v>0</v>
      </c>
      <c r="AW443" s="78">
        <f t="shared" si="975"/>
        <v>0</v>
      </c>
      <c r="AX443" s="78">
        <f t="shared" si="975"/>
        <v>0</v>
      </c>
      <c r="AY443" s="78">
        <f t="shared" ref="AY443:CD443" si="976">(AX443-AY425)*(AY$6&lt;=MAX(YrOfExit,1))</f>
        <v>0</v>
      </c>
      <c r="AZ443" s="78">
        <f t="shared" si="976"/>
        <v>0</v>
      </c>
      <c r="BA443" s="78">
        <f t="shared" si="976"/>
        <v>0</v>
      </c>
      <c r="BB443" s="78">
        <f t="shared" si="976"/>
        <v>0</v>
      </c>
      <c r="BC443" s="78">
        <f t="shared" si="976"/>
        <v>0</v>
      </c>
      <c r="BD443" s="78">
        <f t="shared" si="976"/>
        <v>0</v>
      </c>
      <c r="BE443" s="78">
        <f t="shared" si="976"/>
        <v>0</v>
      </c>
      <c r="BF443" s="78">
        <f t="shared" si="976"/>
        <v>0</v>
      </c>
      <c r="BG443" s="78">
        <f t="shared" si="976"/>
        <v>0</v>
      </c>
      <c r="BH443" s="78">
        <f t="shared" si="976"/>
        <v>0</v>
      </c>
      <c r="BI443" s="78">
        <f t="shared" si="976"/>
        <v>0</v>
      </c>
      <c r="BJ443" s="78">
        <f t="shared" si="976"/>
        <v>0</v>
      </c>
      <c r="BK443" s="78">
        <f t="shared" si="976"/>
        <v>0</v>
      </c>
      <c r="BL443" s="78">
        <f t="shared" si="976"/>
        <v>0</v>
      </c>
      <c r="BM443" s="78">
        <f t="shared" si="976"/>
        <v>0</v>
      </c>
      <c r="BN443" s="78">
        <f t="shared" si="976"/>
        <v>0</v>
      </c>
      <c r="BO443" s="78">
        <f t="shared" si="976"/>
        <v>0</v>
      </c>
      <c r="BP443" s="78">
        <f t="shared" si="976"/>
        <v>0</v>
      </c>
      <c r="BQ443" s="78">
        <f t="shared" si="976"/>
        <v>0</v>
      </c>
      <c r="BR443" s="78">
        <f t="shared" si="976"/>
        <v>0</v>
      </c>
      <c r="BS443" s="78">
        <f t="shared" si="976"/>
        <v>0</v>
      </c>
      <c r="BT443" s="78">
        <f t="shared" si="976"/>
        <v>0</v>
      </c>
      <c r="BU443" s="78">
        <f t="shared" si="976"/>
        <v>0</v>
      </c>
      <c r="BV443" s="78">
        <f t="shared" si="976"/>
        <v>0</v>
      </c>
      <c r="BW443" s="78">
        <f t="shared" si="976"/>
        <v>0</v>
      </c>
      <c r="BX443" s="78">
        <f t="shared" si="976"/>
        <v>0</v>
      </c>
      <c r="BY443" s="78">
        <f t="shared" si="976"/>
        <v>0</v>
      </c>
      <c r="BZ443" s="78">
        <f t="shared" si="976"/>
        <v>0</v>
      </c>
      <c r="CA443" s="78">
        <f t="shared" si="976"/>
        <v>0</v>
      </c>
      <c r="CB443" s="78">
        <f t="shared" si="976"/>
        <v>0</v>
      </c>
      <c r="CC443" s="78">
        <f t="shared" si="976"/>
        <v>0</v>
      </c>
      <c r="CD443" s="78">
        <f t="shared" si="976"/>
        <v>0</v>
      </c>
      <c r="CE443" s="78">
        <f t="shared" ref="CE443:DJ443" si="977">(CD443-CE425)*(CE$6&lt;=MAX(YrOfExit,1))</f>
        <v>0</v>
      </c>
      <c r="CF443" s="78">
        <f t="shared" si="977"/>
        <v>0</v>
      </c>
      <c r="CG443" s="78">
        <f t="shared" si="977"/>
        <v>0</v>
      </c>
      <c r="CH443" s="78">
        <f t="shared" si="977"/>
        <v>0</v>
      </c>
      <c r="CI443" s="78">
        <f t="shared" si="977"/>
        <v>0</v>
      </c>
      <c r="CJ443" s="78">
        <f t="shared" si="977"/>
        <v>0</v>
      </c>
      <c r="CK443" s="78">
        <f t="shared" si="977"/>
        <v>0</v>
      </c>
      <c r="CL443" s="78">
        <f t="shared" si="977"/>
        <v>0</v>
      </c>
      <c r="CM443" s="78">
        <f t="shared" si="977"/>
        <v>0</v>
      </c>
      <c r="CN443" s="78">
        <f t="shared" si="977"/>
        <v>0</v>
      </c>
      <c r="CO443" s="78">
        <f t="shared" si="977"/>
        <v>0</v>
      </c>
      <c r="CP443" s="78">
        <f t="shared" si="977"/>
        <v>0</v>
      </c>
      <c r="CQ443" s="78">
        <f t="shared" si="977"/>
        <v>0</v>
      </c>
      <c r="CR443" s="78">
        <f t="shared" si="977"/>
        <v>0</v>
      </c>
      <c r="CS443" s="78">
        <f t="shared" si="977"/>
        <v>0</v>
      </c>
      <c r="CT443" s="78">
        <f t="shared" si="977"/>
        <v>0</v>
      </c>
      <c r="CU443" s="78">
        <f t="shared" si="977"/>
        <v>0</v>
      </c>
      <c r="CV443" s="78">
        <f t="shared" si="977"/>
        <v>0</v>
      </c>
      <c r="CW443" s="78">
        <f t="shared" si="977"/>
        <v>0</v>
      </c>
      <c r="CX443" s="78">
        <f t="shared" si="977"/>
        <v>0</v>
      </c>
      <c r="CY443" s="78">
        <f t="shared" si="977"/>
        <v>0</v>
      </c>
      <c r="CZ443" s="78">
        <f t="shared" si="977"/>
        <v>0</v>
      </c>
      <c r="DA443" s="78">
        <f t="shared" si="977"/>
        <v>0</v>
      </c>
      <c r="DB443" s="78">
        <f t="shared" si="977"/>
        <v>0</v>
      </c>
      <c r="DC443" s="78">
        <f t="shared" si="977"/>
        <v>0</v>
      </c>
      <c r="DD443" s="78">
        <f t="shared" si="977"/>
        <v>0</v>
      </c>
      <c r="DE443" s="78">
        <f t="shared" si="977"/>
        <v>0</v>
      </c>
      <c r="DF443" s="78">
        <f t="shared" si="977"/>
        <v>0</v>
      </c>
      <c r="DG443" s="78">
        <f t="shared" si="977"/>
        <v>0</v>
      </c>
      <c r="DH443" s="78">
        <f t="shared" si="977"/>
        <v>0</v>
      </c>
      <c r="DI443" s="78">
        <f t="shared" si="977"/>
        <v>0</v>
      </c>
      <c r="DJ443" s="78">
        <f t="shared" si="977"/>
        <v>0</v>
      </c>
      <c r="DK443" s="78">
        <f t="shared" ref="DK443:EI443" si="978">(DJ443-DK425)*(DK$6&lt;=MAX(YrOfExit,1))</f>
        <v>0</v>
      </c>
      <c r="DL443" s="78">
        <f t="shared" si="978"/>
        <v>0</v>
      </c>
      <c r="DM443" s="78">
        <f t="shared" si="978"/>
        <v>0</v>
      </c>
      <c r="DN443" s="78">
        <f t="shared" si="978"/>
        <v>0</v>
      </c>
      <c r="DO443" s="78">
        <f t="shared" si="978"/>
        <v>0</v>
      </c>
      <c r="DP443" s="78">
        <f t="shared" si="978"/>
        <v>0</v>
      </c>
      <c r="DQ443" s="78">
        <f t="shared" si="978"/>
        <v>0</v>
      </c>
      <c r="DR443" s="78">
        <f t="shared" si="978"/>
        <v>0</v>
      </c>
      <c r="DS443" s="78">
        <f t="shared" si="978"/>
        <v>0</v>
      </c>
      <c r="DT443" s="78">
        <f t="shared" si="978"/>
        <v>0</v>
      </c>
      <c r="DU443" s="78">
        <f t="shared" si="978"/>
        <v>0</v>
      </c>
      <c r="DV443" s="78">
        <f t="shared" si="978"/>
        <v>0</v>
      </c>
      <c r="DW443" s="78">
        <f t="shared" si="978"/>
        <v>0</v>
      </c>
      <c r="DX443" s="78">
        <f t="shared" si="978"/>
        <v>0</v>
      </c>
      <c r="DY443" s="78">
        <f t="shared" si="978"/>
        <v>0</v>
      </c>
      <c r="DZ443" s="78">
        <f t="shared" si="978"/>
        <v>0</v>
      </c>
      <c r="EA443" s="78">
        <f t="shared" si="978"/>
        <v>0</v>
      </c>
      <c r="EB443" s="78">
        <f t="shared" si="978"/>
        <v>0</v>
      </c>
      <c r="EC443" s="78">
        <f t="shared" si="978"/>
        <v>0</v>
      </c>
      <c r="ED443" s="78">
        <f t="shared" si="978"/>
        <v>0</v>
      </c>
      <c r="EE443" s="78">
        <f t="shared" si="978"/>
        <v>0</v>
      </c>
      <c r="EF443" s="78">
        <f t="shared" si="978"/>
        <v>0</v>
      </c>
      <c r="EG443" s="78">
        <f t="shared" si="978"/>
        <v>0</v>
      </c>
      <c r="EH443" s="78">
        <f t="shared" si="978"/>
        <v>0</v>
      </c>
      <c r="EI443" s="78">
        <f t="shared" si="978"/>
        <v>0</v>
      </c>
    </row>
    <row r="444" spans="2:139" ht="12.75" hidden="1" customHeight="1" outlineLevel="1">
      <c r="B444" s="41" t="s">
        <v>690</v>
      </c>
      <c r="C444" s="211"/>
      <c r="D444" s="78"/>
      <c r="E444" s="44">
        <f t="shared" ref="E444:N444" si="979">IF(AND(E420&gt;0,E443&gt;0),E420/AVERAGEIF($S$6:$EI$6,E$5,$S$443:$EI$443),)</f>
        <v>0</v>
      </c>
      <c r="F444" s="44">
        <f t="shared" si="979"/>
        <v>0</v>
      </c>
      <c r="G444" s="44">
        <f t="shared" si="979"/>
        <v>0</v>
      </c>
      <c r="H444" s="44">
        <f t="shared" si="979"/>
        <v>0</v>
      </c>
      <c r="I444" s="44">
        <f t="shared" si="979"/>
        <v>0</v>
      </c>
      <c r="J444" s="44">
        <f t="shared" si="979"/>
        <v>0</v>
      </c>
      <c r="K444" s="44">
        <f t="shared" si="979"/>
        <v>0</v>
      </c>
      <c r="L444" s="44">
        <f t="shared" si="979"/>
        <v>0</v>
      </c>
      <c r="M444" s="44">
        <f t="shared" si="979"/>
        <v>0</v>
      </c>
      <c r="N444" s="44">
        <f t="shared" si="979"/>
        <v>0</v>
      </c>
      <c r="O444" s="158">
        <f>IFERROR(AVERAGEIF(CFYears,"&lt;="&amp;MAX(YrOfExit,1),$E444:$N444),)</f>
        <v>0</v>
      </c>
      <c r="Q444" s="849"/>
      <c r="S444" s="78"/>
      <c r="T444" s="44"/>
      <c r="U444" s="44"/>
      <c r="V444" s="44"/>
      <c r="W444" s="44"/>
      <c r="X444" s="44"/>
      <c r="Y444" s="44"/>
      <c r="Z444" s="44"/>
      <c r="AA444" s="44"/>
      <c r="AB444" s="44"/>
      <c r="AC444" s="44"/>
      <c r="AD444" s="44"/>
      <c r="AE444" s="44"/>
      <c r="AF444" s="44"/>
      <c r="AG444" s="44"/>
      <c r="AH444" s="44"/>
      <c r="AI444" s="44"/>
      <c r="AJ444" s="44"/>
      <c r="AK444" s="44"/>
      <c r="AL444" s="44"/>
      <c r="AM444" s="44"/>
      <c r="AN444" s="44"/>
      <c r="AO444" s="44"/>
      <c r="AP444" s="44"/>
      <c r="AQ444" s="44"/>
      <c r="AR444" s="44"/>
      <c r="AS444" s="44"/>
      <c r="AT444" s="44"/>
      <c r="AU444" s="44"/>
      <c r="AV444" s="44"/>
      <c r="AW444" s="44"/>
      <c r="AX444" s="44"/>
      <c r="AY444" s="44"/>
      <c r="AZ444" s="44"/>
      <c r="BA444" s="44"/>
      <c r="BB444" s="44"/>
      <c r="BC444" s="44"/>
      <c r="BD444" s="44"/>
      <c r="BE444" s="44"/>
      <c r="BF444" s="44"/>
      <c r="BG444" s="44"/>
      <c r="BH444" s="44"/>
      <c r="BI444" s="44"/>
      <c r="BJ444" s="44"/>
      <c r="BK444" s="44"/>
      <c r="BL444" s="44"/>
      <c r="BM444" s="44"/>
      <c r="BN444" s="44"/>
      <c r="BO444" s="44"/>
      <c r="BP444" s="44"/>
      <c r="BQ444" s="44"/>
      <c r="BR444" s="44"/>
      <c r="BS444" s="44"/>
      <c r="BT444" s="44"/>
      <c r="BU444" s="44"/>
      <c r="BV444" s="44"/>
      <c r="BW444" s="44"/>
      <c r="BX444" s="44"/>
      <c r="BY444" s="44"/>
      <c r="BZ444" s="44"/>
      <c r="CA444" s="44"/>
      <c r="CB444" s="44"/>
      <c r="CC444" s="44"/>
      <c r="CD444" s="44"/>
      <c r="CE444" s="44"/>
      <c r="CF444" s="44"/>
      <c r="CG444" s="44"/>
      <c r="CH444" s="44"/>
      <c r="CI444" s="44"/>
      <c r="CJ444" s="44"/>
      <c r="CK444" s="44"/>
      <c r="CL444" s="44"/>
      <c r="CM444" s="44"/>
      <c r="CN444" s="44"/>
      <c r="CO444" s="44"/>
      <c r="CP444" s="44"/>
      <c r="CQ444" s="44"/>
      <c r="CR444" s="44"/>
      <c r="CS444" s="44"/>
      <c r="CT444" s="44"/>
      <c r="CU444" s="44"/>
      <c r="CV444" s="44"/>
      <c r="CW444" s="44"/>
      <c r="CX444" s="44"/>
      <c r="CY444" s="44"/>
      <c r="CZ444" s="44"/>
      <c r="DA444" s="44"/>
      <c r="DB444" s="44"/>
      <c r="DC444" s="44"/>
      <c r="DD444" s="44"/>
      <c r="DE444" s="44"/>
      <c r="DF444" s="44"/>
      <c r="DG444" s="44"/>
      <c r="DH444" s="44"/>
      <c r="DI444" s="44"/>
      <c r="DJ444" s="44"/>
      <c r="DK444" s="44"/>
      <c r="DL444" s="44"/>
      <c r="DM444" s="44"/>
      <c r="DN444" s="44"/>
      <c r="DO444" s="44"/>
      <c r="DP444" s="44"/>
      <c r="DQ444" s="44"/>
      <c r="DR444" s="44"/>
      <c r="DS444" s="44"/>
      <c r="DT444" s="44"/>
      <c r="DU444" s="44"/>
      <c r="DV444" s="44"/>
      <c r="DW444" s="44"/>
      <c r="DX444" s="44"/>
      <c r="DY444" s="44"/>
      <c r="DZ444" s="44"/>
      <c r="EA444" s="44"/>
      <c r="EB444" s="44"/>
      <c r="EC444" s="44"/>
      <c r="ED444" s="44"/>
      <c r="EE444" s="44"/>
      <c r="EF444" s="44"/>
      <c r="EG444" s="44"/>
      <c r="EH444" s="44"/>
      <c r="EI444" s="44"/>
    </row>
    <row r="445" spans="2:139" ht="12.75" hidden="1" customHeight="1" outlineLevel="1">
      <c r="B445" s="41"/>
      <c r="C445" s="211"/>
      <c r="D445" s="78"/>
      <c r="E445" s="78"/>
      <c r="F445" s="78"/>
      <c r="G445" s="78"/>
      <c r="H445" s="78"/>
      <c r="I445" s="78"/>
      <c r="J445" s="78"/>
      <c r="K445" s="78"/>
      <c r="L445" s="78"/>
      <c r="M445" s="78"/>
      <c r="N445" s="78"/>
      <c r="O445" s="145"/>
      <c r="S445" s="78"/>
      <c r="T445" s="78"/>
      <c r="U445" s="78"/>
      <c r="V445" s="78"/>
      <c r="W445" s="78"/>
      <c r="X445" s="78"/>
      <c r="Y445" s="78"/>
      <c r="Z445" s="78"/>
      <c r="AA445" s="78"/>
      <c r="AB445" s="78"/>
      <c r="AC445" s="78"/>
      <c r="AD445" s="78"/>
      <c r="AE445" s="78"/>
      <c r="AF445" s="78"/>
      <c r="AG445" s="78"/>
      <c r="AH445" s="78"/>
      <c r="AI445" s="78"/>
      <c r="AJ445" s="78"/>
      <c r="AK445" s="78"/>
      <c r="AL445" s="78"/>
      <c r="AM445" s="78"/>
      <c r="AN445" s="78"/>
      <c r="AO445" s="78"/>
      <c r="AP445" s="78"/>
      <c r="AQ445" s="78"/>
      <c r="AR445" s="78"/>
      <c r="AS445" s="78"/>
      <c r="AT445" s="78"/>
      <c r="AU445" s="78"/>
      <c r="AV445" s="78"/>
      <c r="AW445" s="78"/>
      <c r="AX445" s="78"/>
      <c r="AY445" s="78"/>
      <c r="AZ445" s="78"/>
      <c r="BA445" s="78"/>
      <c r="BB445" s="78"/>
      <c r="BC445" s="78"/>
      <c r="BD445" s="78"/>
      <c r="BE445" s="78"/>
      <c r="BF445" s="78"/>
      <c r="BG445" s="78"/>
      <c r="BH445" s="78"/>
      <c r="BI445" s="78"/>
      <c r="BJ445" s="78"/>
      <c r="BK445" s="78"/>
      <c r="BL445" s="78"/>
      <c r="BM445" s="78"/>
      <c r="BN445" s="78"/>
      <c r="BO445" s="78"/>
      <c r="BP445" s="78"/>
      <c r="BQ445" s="78"/>
      <c r="BR445" s="78"/>
      <c r="BS445" s="78"/>
      <c r="BT445" s="78"/>
      <c r="BU445" s="78"/>
      <c r="BV445" s="78"/>
      <c r="BW445" s="78"/>
      <c r="BX445" s="78"/>
      <c r="BY445" s="78"/>
      <c r="BZ445" s="78"/>
      <c r="CA445" s="78"/>
      <c r="CB445" s="78"/>
      <c r="CC445" s="78"/>
      <c r="CD445" s="78"/>
      <c r="CE445" s="78"/>
      <c r="CF445" s="78"/>
      <c r="CG445" s="78"/>
      <c r="CH445" s="78"/>
      <c r="CI445" s="78"/>
      <c r="CJ445" s="78"/>
      <c r="CK445" s="78"/>
      <c r="CL445" s="78"/>
      <c r="CM445" s="78"/>
      <c r="CN445" s="78"/>
      <c r="CO445" s="78"/>
      <c r="CP445" s="78"/>
      <c r="CQ445" s="78"/>
      <c r="CR445" s="78"/>
      <c r="CS445" s="78"/>
      <c r="CT445" s="78"/>
      <c r="CU445" s="78"/>
      <c r="CV445" s="78"/>
      <c r="CW445" s="78"/>
      <c r="CX445" s="78"/>
      <c r="CY445" s="78"/>
      <c r="CZ445" s="78"/>
      <c r="DA445" s="78"/>
      <c r="DB445" s="78"/>
      <c r="DC445" s="78"/>
      <c r="DD445" s="78"/>
      <c r="DE445" s="78"/>
      <c r="DF445" s="78"/>
      <c r="DG445" s="78"/>
      <c r="DH445" s="78"/>
      <c r="DI445" s="78"/>
      <c r="DJ445" s="78"/>
      <c r="DK445" s="78"/>
      <c r="DL445" s="78"/>
      <c r="DM445" s="78"/>
      <c r="DN445" s="78"/>
      <c r="DO445" s="78"/>
      <c r="DP445" s="78"/>
      <c r="DQ445" s="78"/>
      <c r="DR445" s="78"/>
      <c r="DS445" s="78"/>
      <c r="DT445" s="78"/>
      <c r="DU445" s="78"/>
      <c r="DV445" s="78"/>
      <c r="DW445" s="78"/>
      <c r="DX445" s="78"/>
      <c r="DY445" s="78"/>
      <c r="DZ445" s="78"/>
      <c r="EA445" s="78"/>
      <c r="EB445" s="78"/>
      <c r="EC445" s="78"/>
      <c r="ED445" s="78"/>
      <c r="EE445" s="78"/>
      <c r="EF445" s="78"/>
      <c r="EG445" s="78"/>
      <c r="EH445" s="78"/>
      <c r="EI445" s="78"/>
    </row>
    <row r="446" spans="2:139" collapsed="1"/>
  </sheetData>
  <pageMargins left="0.43" right="0.43" top="0.68" bottom="0.46" header="0.27" footer="0.31"/>
  <pageSetup scale="74" orientation="portrait" r:id="rId1"/>
  <headerFooter scaleWithDoc="0">
    <oddHeader>&amp;C&amp;"+,Regular"&amp;9&amp;KFF0000STRICTLY CONFIDENTIAL&amp;R&amp;G</oddHeader>
    <oddFooter>&amp;L&amp;8&amp;F&amp;C&amp;8Page &amp;P of &amp;N&amp;R&amp;8&amp;D  &amp;T</oddFooter>
  </headerFooter>
  <rowBreaks count="1" manualBreakCount="1">
    <brk id="65" min="1" max="14" man="1"/>
  </rowBreaks>
  <legacyDrawing r:id="rId2"/>
  <legacyDrawingHF r:id="rId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BECE88-3F2A-47AD-A08D-5233ED3B70BF}">
  <sheetPr codeName="CalcWaterfall"/>
  <dimension ref="A1"/>
  <sheetViews>
    <sheetView showGridLines="0" zoomScale="90" zoomScaleNormal="90" zoomScaleSheetLayoutView="100" workbookViewId="0">
      <pane xSplit="1" ySplit="6" topLeftCell="B7" activePane="bottomRight" state="frozen"/>
      <selection activeCell="J26" sqref="J26"/>
      <selection pane="topRight" activeCell="J26" sqref="J26"/>
      <selection pane="bottomLeft" activeCell="J26" sqref="J26"/>
      <selection pane="bottomRight" activeCell="B2" sqref="B2"/>
    </sheetView>
  </sheetViews>
  <sheetFormatPr defaultColWidth="9.140625" defaultRowHeight="12.75"/>
  <sheetData/>
  <pageMargins left="0.4" right="0.4" top="0.65" bottom="0.46" header="0.25" footer="0.31"/>
  <pageSetup scale="65" orientation="portrait" r:id="rId1"/>
  <headerFooter scaleWithDoc="0">
    <oddHeader>&amp;C&amp;"+,Regular"&amp;9&amp;KFF0000STRICTLY CONFIDENTIAL&amp;R&amp;G</oddHeader>
    <oddFooter>&amp;L&amp;8&amp;F&amp;C&amp;8Page &amp;P of &amp;N&amp;R&amp;8&amp;D  &amp;T</oddFooter>
  </headerFooter>
  <legacyDrawingHF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92FD07-6044-4FDB-8A6F-E9E18A361393}">
  <sheetPr codeName="ValidateGeneral"/>
  <dimension ref="A1:DJ202"/>
  <sheetViews>
    <sheetView topLeftCell="A47" workbookViewId="0">
      <selection activeCell="A81" sqref="A81"/>
    </sheetView>
  </sheetViews>
  <sheetFormatPr defaultColWidth="9.140625" defaultRowHeight="12.75" outlineLevelCol="1"/>
  <cols>
    <col min="1" max="2" width="9.140625" customWidth="1"/>
    <col min="3" max="3" width="7.7109375" customWidth="1"/>
    <col min="4" max="4" width="35.5703125" customWidth="1" outlineLevel="1"/>
    <col min="5" max="5" width="9.140625" customWidth="1" outlineLevel="1"/>
    <col min="6" max="6" width="32" customWidth="1" outlineLevel="1"/>
    <col min="7" max="7" width="5.85546875" customWidth="1" outlineLevel="1"/>
    <col min="8" max="8" width="15.42578125" customWidth="1" outlineLevel="1"/>
    <col min="9" max="9" width="11.85546875" customWidth="1" outlineLevel="1"/>
    <col min="10" max="10" width="9.140625" customWidth="1" outlineLevel="1"/>
    <col min="11" max="11" width="29.140625" customWidth="1" outlineLevel="1"/>
    <col min="12" max="16" width="21.7109375" customWidth="1" outlineLevel="1"/>
    <col min="17" max="17" width="18.5703125" customWidth="1" outlineLevel="1"/>
    <col min="18" max="18" width="16.85546875" customWidth="1" outlineLevel="1"/>
    <col min="19" max="19" width="17.42578125" customWidth="1" outlineLevel="1"/>
    <col min="20" max="20" width="17.28515625" customWidth="1" outlineLevel="1"/>
    <col min="21" max="21" width="15.5703125" customWidth="1" outlineLevel="1"/>
    <col min="22" max="22" width="16.42578125" customWidth="1" outlineLevel="1"/>
    <col min="23" max="23" width="13.5703125" customWidth="1" outlineLevel="1"/>
    <col min="24" max="24" width="11.5703125" customWidth="1" outlineLevel="1"/>
    <col min="25" max="25" width="17" customWidth="1" outlineLevel="1"/>
    <col min="26" max="27" width="13.42578125" customWidth="1" outlineLevel="1"/>
    <col min="28" max="28" width="17.7109375" customWidth="1" outlineLevel="1"/>
    <col min="29" max="29" width="10.140625" customWidth="1" outlineLevel="1"/>
    <col min="30" max="30" width="9.140625" customWidth="1" outlineLevel="1"/>
    <col min="31" max="31" width="7.7109375" customWidth="1" outlineLevel="1"/>
    <col min="32" max="32" width="12.85546875" customWidth="1" outlineLevel="1"/>
    <col min="33" max="33" width="16" customWidth="1"/>
    <col min="34" max="34" width="26.7109375" customWidth="1" outlineLevel="1"/>
    <col min="35" max="35" width="10.140625" customWidth="1" outlineLevel="1"/>
    <col min="36" max="36" width="9.140625" customWidth="1" outlineLevel="1"/>
    <col min="37" max="37" width="20.140625" customWidth="1" outlineLevel="1"/>
    <col min="38" max="50" width="9.140625" customWidth="1" outlineLevel="1"/>
    <col min="51" max="51" width="20.140625" customWidth="1" outlineLevel="1"/>
    <col min="52" max="52" width="9.140625" customWidth="1" outlineLevel="1"/>
    <col min="53" max="53" width="20.140625" customWidth="1" outlineLevel="1"/>
    <col min="54" max="54" width="9.140625" customWidth="1" outlineLevel="1"/>
    <col min="55" max="55" width="16.85546875" customWidth="1" outlineLevel="1"/>
    <col min="56" max="56" width="11.7109375" customWidth="1" outlineLevel="1"/>
    <col min="57" max="57" width="27.42578125" customWidth="1" outlineLevel="1"/>
    <col min="58" max="58" width="17.28515625" customWidth="1" outlineLevel="1"/>
    <col min="59" max="59" width="26" customWidth="1" outlineLevel="1"/>
    <col min="60" max="70" width="9.140625" customWidth="1" outlineLevel="1"/>
    <col min="71" max="71" width="8.28515625" customWidth="1" outlineLevel="1"/>
    <col min="72" max="72" width="7.7109375" customWidth="1" outlineLevel="1"/>
    <col min="73" max="73" width="9.140625" customWidth="1" outlineLevel="1"/>
    <col min="74" max="74" width="4.85546875" customWidth="1" outlineLevel="1"/>
    <col min="75" max="107" width="9.140625" customWidth="1" outlineLevel="1"/>
    <col min="108" max="108" width="8.85546875" customWidth="1"/>
    <col min="110" max="110" width="13.42578125" customWidth="1"/>
    <col min="114" max="114" width="11" customWidth="1"/>
  </cols>
  <sheetData>
    <row r="1" spans="1:114" ht="63.75">
      <c r="A1" s="889" t="s">
        <v>691</v>
      </c>
      <c r="C1" s="890" t="s">
        <v>692</v>
      </c>
      <c r="AG1" s="890" t="s">
        <v>693</v>
      </c>
      <c r="DD1" s="890" t="s">
        <v>694</v>
      </c>
      <c r="DF1" s="969" t="s">
        <v>1029</v>
      </c>
      <c r="DJ1" s="969" t="s">
        <v>1031</v>
      </c>
    </row>
    <row r="2" spans="1:114">
      <c r="A2" s="891">
        <v>80</v>
      </c>
      <c r="C2" s="892"/>
      <c r="AG2" s="892"/>
      <c r="CJ2" s="163" t="s">
        <v>695</v>
      </c>
      <c r="CK2" s="163"/>
      <c r="CL2" s="163"/>
      <c r="CM2" s="163"/>
      <c r="CN2" s="163"/>
      <c r="CO2" s="163"/>
      <c r="CP2" s="163"/>
      <c r="CQ2" s="163"/>
      <c r="CR2" s="163"/>
      <c r="CS2" s="163"/>
      <c r="CT2" s="163"/>
      <c r="CU2" s="163"/>
      <c r="CV2" s="163"/>
      <c r="CW2" s="163"/>
      <c r="CX2" s="163"/>
      <c r="CY2" s="163"/>
      <c r="CZ2" s="163"/>
      <c r="DA2" s="163"/>
      <c r="DB2" s="163"/>
      <c r="DD2" s="892"/>
      <c r="DF2" t="s">
        <v>1030</v>
      </c>
      <c r="DG2" t="str">
        <f>IFERROR(_xlfn.UNIQUE(DF2:DF2),"Error")</f>
        <v>redIQ</v>
      </c>
      <c r="DH2" t="b">
        <f>DG2=DF2</f>
        <v>1</v>
      </c>
    </row>
    <row r="3" spans="1:114">
      <c r="A3" s="893" t="s">
        <v>1066</v>
      </c>
      <c r="C3" s="892"/>
      <c r="D3" s="202" t="s">
        <v>696</v>
      </c>
      <c r="H3" s="202"/>
      <c r="I3" s="202" t="s">
        <v>123</v>
      </c>
      <c r="J3" s="202"/>
      <c r="K3" s="202"/>
      <c r="L3" s="202"/>
      <c r="M3" s="202"/>
      <c r="N3" s="202"/>
      <c r="O3" s="202"/>
      <c r="P3" s="202"/>
      <c r="Q3" s="202"/>
      <c r="R3" s="202"/>
      <c r="S3" s="202"/>
      <c r="T3" s="202"/>
      <c r="U3" s="202"/>
      <c r="AG3" s="892"/>
      <c r="AI3" s="202"/>
      <c r="AJ3" s="202"/>
      <c r="AQ3" s="894" t="s">
        <v>697</v>
      </c>
      <c r="AR3" s="894"/>
      <c r="AS3" s="894"/>
      <c r="AT3" s="894"/>
      <c r="CJ3" s="163" t="s">
        <v>698</v>
      </c>
      <c r="CK3" s="163"/>
      <c r="CL3" s="163"/>
      <c r="CM3" s="163"/>
      <c r="CN3" s="163"/>
      <c r="CO3" s="163"/>
      <c r="CP3" s="163"/>
      <c r="CQ3" s="163"/>
      <c r="CR3" s="163"/>
      <c r="CS3" s="163"/>
      <c r="CT3" s="163"/>
      <c r="CU3" s="163"/>
      <c r="CW3" s="163" t="s">
        <v>699</v>
      </c>
      <c r="CX3" s="163"/>
      <c r="CY3" s="163"/>
      <c r="CZ3" s="163"/>
      <c r="DA3" s="163"/>
      <c r="DB3" s="163"/>
      <c r="DD3" s="892"/>
    </row>
    <row r="4" spans="1:114" ht="13.5">
      <c r="A4" s="895" t="s">
        <v>1067</v>
      </c>
      <c r="C4" s="892"/>
      <c r="D4" s="896" t="s">
        <v>700</v>
      </c>
      <c r="E4" s="896" t="s">
        <v>701</v>
      </c>
      <c r="F4" s="896" t="s">
        <v>702</v>
      </c>
      <c r="G4" s="896"/>
      <c r="H4" s="896" t="s">
        <v>703</v>
      </c>
      <c r="I4" s="896" t="s">
        <v>362</v>
      </c>
      <c r="J4" s="896" t="s">
        <v>363</v>
      </c>
      <c r="K4" s="896" t="s">
        <v>23</v>
      </c>
      <c r="L4" s="896" t="s">
        <v>704</v>
      </c>
      <c r="M4" s="896" t="s">
        <v>705</v>
      </c>
      <c r="N4" s="896" t="s">
        <v>706</v>
      </c>
      <c r="O4" s="896" t="s">
        <v>707</v>
      </c>
      <c r="P4" s="896" t="s">
        <v>708</v>
      </c>
      <c r="Q4" s="896" t="s">
        <v>709</v>
      </c>
      <c r="R4" s="896" t="s">
        <v>710</v>
      </c>
      <c r="S4" s="896" t="s">
        <v>711</v>
      </c>
      <c r="T4" s="896" t="s">
        <v>712</v>
      </c>
      <c r="U4" s="896" t="s">
        <v>713</v>
      </c>
      <c r="V4" s="896" t="s">
        <v>714</v>
      </c>
      <c r="W4" s="896" t="s">
        <v>466</v>
      </c>
      <c r="X4" s="896" t="s">
        <v>715</v>
      </c>
      <c r="Y4" s="896" t="s">
        <v>716</v>
      </c>
      <c r="Z4" s="896" t="s">
        <v>717</v>
      </c>
      <c r="AA4" s="896" t="s">
        <v>718</v>
      </c>
      <c r="AB4" s="896" t="s">
        <v>719</v>
      </c>
      <c r="AC4" s="896" t="s">
        <v>720</v>
      </c>
      <c r="AD4" s="896" t="s">
        <v>721</v>
      </c>
      <c r="AE4" s="896" t="s">
        <v>722</v>
      </c>
      <c r="AF4" s="897" t="s">
        <v>335</v>
      </c>
      <c r="AG4" s="892"/>
      <c r="AH4" s="896" t="s">
        <v>723</v>
      </c>
      <c r="AI4" s="896" t="s">
        <v>724</v>
      </c>
      <c r="AJ4" s="896" t="s">
        <v>725</v>
      </c>
      <c r="AK4" s="898" t="s">
        <v>726</v>
      </c>
      <c r="AL4" s="898"/>
      <c r="AM4" s="898"/>
      <c r="AN4" s="898"/>
      <c r="AO4" s="896" t="s">
        <v>727</v>
      </c>
      <c r="AP4" s="896" t="s">
        <v>728</v>
      </c>
      <c r="AQ4" s="896" t="s">
        <v>729</v>
      </c>
      <c r="AR4" s="896" t="s">
        <v>730</v>
      </c>
      <c r="AS4" s="896" t="s">
        <v>731</v>
      </c>
      <c r="AT4" s="896" t="s">
        <v>732</v>
      </c>
      <c r="AU4" s="896" t="s">
        <v>733</v>
      </c>
      <c r="AV4" s="896"/>
      <c r="AW4" s="896" t="s">
        <v>734</v>
      </c>
      <c r="AX4" s="896"/>
      <c r="AY4" s="202" t="s">
        <v>735</v>
      </c>
      <c r="AZ4" s="202" t="s">
        <v>736</v>
      </c>
      <c r="BA4" s="202" t="s">
        <v>737</v>
      </c>
      <c r="BB4" s="202" t="s">
        <v>738</v>
      </c>
      <c r="BC4" s="899" t="s">
        <v>739</v>
      </c>
      <c r="BD4" s="899"/>
      <c r="BE4" s="899"/>
      <c r="BF4" s="896" t="s">
        <v>740</v>
      </c>
      <c r="BG4" s="896"/>
      <c r="BH4" t="s">
        <v>741</v>
      </c>
      <c r="CI4" t="s">
        <v>742</v>
      </c>
      <c r="CJ4" s="900">
        <v>45627</v>
      </c>
      <c r="CK4" s="900">
        <v>45658</v>
      </c>
      <c r="CL4" s="900">
        <v>45689</v>
      </c>
      <c r="CM4" s="900">
        <v>45717</v>
      </c>
      <c r="CN4" s="900">
        <v>45748</v>
      </c>
      <c r="CO4" s="900">
        <v>45778</v>
      </c>
      <c r="CP4" s="900">
        <v>45809</v>
      </c>
      <c r="CQ4" s="900">
        <v>45839</v>
      </c>
      <c r="CR4" s="900">
        <v>45870</v>
      </c>
      <c r="CS4" s="900">
        <v>45901</v>
      </c>
      <c r="CT4" s="900">
        <v>45931</v>
      </c>
      <c r="CU4" s="900">
        <v>45962</v>
      </c>
      <c r="CW4" s="900"/>
      <c r="CX4" s="900"/>
      <c r="CY4" s="900"/>
      <c r="CZ4" s="900"/>
      <c r="DA4" s="900"/>
      <c r="DB4" s="901"/>
      <c r="DC4" t="s">
        <v>743</v>
      </c>
      <c r="DD4" s="892"/>
    </row>
    <row r="5" spans="1:114">
      <c r="A5" s="895">
        <v>46671</v>
      </c>
      <c r="C5" s="892"/>
      <c r="D5" t="s">
        <v>744</v>
      </c>
      <c r="E5" s="902">
        <v>10</v>
      </c>
      <c r="F5" t="str">
        <f>Input!I32</f>
        <v>Sales Price</v>
      </c>
      <c r="H5" t="s">
        <v>414</v>
      </c>
      <c r="I5" t="s">
        <v>369</v>
      </c>
      <c r="J5" t="s">
        <v>370</v>
      </c>
      <c r="K5" t="s">
        <v>338</v>
      </c>
      <c r="L5" t="s">
        <v>385</v>
      </c>
      <c r="M5" t="s">
        <v>385</v>
      </c>
      <c r="N5" t="str">
        <f>Input!B129</f>
        <v>Repair &amp; Maintenance</v>
      </c>
      <c r="O5" t="str">
        <f t="shared" ref="O5:O22" si="0">N5</f>
        <v>Repair &amp; Maintenance</v>
      </c>
      <c r="P5" t="str">
        <f>Input!V129</f>
        <v>Repair &amp; Maintenance</v>
      </c>
      <c r="Q5" t="s">
        <v>385</v>
      </c>
      <c r="R5" t="str">
        <f t="shared" ref="R5:R22" si="1">P5</f>
        <v>Repair &amp; Maintenance</v>
      </c>
      <c r="S5" t="s">
        <v>350</v>
      </c>
      <c r="T5" t="s">
        <v>745</v>
      </c>
      <c r="U5" t="s">
        <v>279</v>
      </c>
      <c r="V5" t="s">
        <v>277</v>
      </c>
      <c r="W5" t="s">
        <v>467</v>
      </c>
      <c r="X5" t="s">
        <v>467</v>
      </c>
      <c r="Y5" t="s">
        <v>746</v>
      </c>
      <c r="Z5" t="s">
        <v>747</v>
      </c>
      <c r="AA5" t="s">
        <v>89</v>
      </c>
      <c r="AB5" t="s">
        <v>748</v>
      </c>
      <c r="AC5" t="s">
        <v>749</v>
      </c>
      <c r="AD5" t="s">
        <v>386</v>
      </c>
      <c r="AE5" t="s">
        <v>343</v>
      </c>
      <c r="AF5" t="s">
        <v>51</v>
      </c>
      <c r="AG5" s="892"/>
      <c r="AH5" s="901">
        <f>IF(AnalysisStartDate="",,EOMONTH(AnalysisStartDate,IF(DAY(AnalysisStartDate)=1,-1,0)))</f>
        <v>46112</v>
      </c>
      <c r="AI5" s="903">
        <f>IF('Adjustments &amp; Notes'!O12&lt;&gt;"",1,0)</f>
        <v>0</v>
      </c>
      <c r="AJ5" t="str">
        <f>IFERROR(INDEX('Adjustments &amp; Notes'!$O$12:$O$66,MATCH(ROW()-ROW($AJ$4),$AI$5:$AI$55,),),"")</f>
        <v/>
      </c>
      <c r="AK5" s="190">
        <f>IF(Input!E195&lt;&gt;"",COLUMN(Input!D195)-COLUMN(Input!D195)+1,COLUMN(Input!M195)-COLUMN(Input!D195)+2)</f>
        <v>11</v>
      </c>
      <c r="AL5" s="190">
        <f>IF(Input!I195&lt;&gt;"",COLUMN(Input!H195)-COLUMN(Input!D195)+1,COLUMN(Input!M195)-COLUMN(Input!D195)+2)</f>
        <v>11</v>
      </c>
      <c r="AM5" s="190">
        <f>IF(Input!K195&lt;&gt;"",COLUMN(Input!J195)-COLUMN(Input!D195)+1,COLUMN(Input!M195)-COLUMN(Input!D195)+2)</f>
        <v>11</v>
      </c>
      <c r="AN5" s="190">
        <f>IF(Input!M195&lt;&gt;"",COLUMN(Input!L195)-COLUMN(Input!D195)+1,COLUMN(Input!M195)-COLUMN(Input!D195)+2)</f>
        <v>11</v>
      </c>
      <c r="AO5" t="s">
        <v>326</v>
      </c>
      <c r="AP5" s="195">
        <v>0</v>
      </c>
      <c r="AQ5" s="195">
        <f>SUMPRODUCT((FPBeds&lt;&gt;"")*(FloorPlanNames&lt;&gt;"")*(FPIsRenovated&lt;&gt;"")*(FPBeds=$AP5)*FPOccupiedUnits)</f>
        <v>0</v>
      </c>
      <c r="AR5" s="195">
        <f>SUMPRODUCT((FPBeds&lt;&gt;"")*(FloorPlanNames&lt;&gt;"")*(FPIsRenovated="")*(FPBeds=$AP5)*FPOccupiedUnits)</f>
        <v>0</v>
      </c>
      <c r="AS5" s="195">
        <f>SUMPRODUCT((FPBeds&lt;&gt;"")*(FloorPlanNames&lt;&gt;"")*(FPIsRenovated&lt;&gt;"")*(FPBeds=$AP5)*FPOccupiedUnits*FPUnitSize)</f>
        <v>0</v>
      </c>
      <c r="AT5" s="195">
        <f>SUMPRODUCT((FPBeds&lt;&gt;"")*(FloorPlanNames&lt;&gt;"")*(FPIsRenovated="")*(FPBeds=$AP5)*FPOccupiedUnits*FPUnitSize)</f>
        <v>0</v>
      </c>
      <c r="AU5" s="195" t="str">
        <f>AO5</f>
        <v>Studio</v>
      </c>
      <c r="AV5" s="195" t="e">
        <f>IF('Summary '!H34,'Summary '!H34,NA())</f>
        <v>#N/A</v>
      </c>
      <c r="AW5" s="195" t="s">
        <v>322</v>
      </c>
      <c r="AX5" s="195" t="e">
        <f>IF('Summary '!N8,'Summary '!N8,NA())</f>
        <v>#N/A</v>
      </c>
      <c r="AY5" s="195" t="s">
        <v>16</v>
      </c>
      <c r="AZ5" t="str">
        <f>IF(PurchasePrice," "&amp;TEXT(PurchasePrice,"$#,###")&amp;"  "," ")</f>
        <v xml:space="preserve"> $13,009,400  </v>
      </c>
      <c r="BA5" t="s">
        <v>750</v>
      </c>
      <c r="BB5" t="str">
        <f>IFERROR(" "&amp;TEXT(RenovationROI,"0.00%"),)&amp;"  "</f>
        <v xml:space="preserve"> 0.00%  </v>
      </c>
      <c r="BC5" s="904">
        <f>IFERROR("Year Ending in "&amp;TEXT(LARGE(AnnualHistoricalDates,1),"mmm-yy"),-1)</f>
        <v>-1</v>
      </c>
      <c r="BD5" s="78"/>
      <c r="BE5" s="905"/>
      <c r="BF5" t="b">
        <f>COUNTIF('Commercial CF'!$D$18:$EE$20,"&lt;0")+COUNTIF('Commercial CF'!$D$18:$EE$20,"&gt;0")+COUNTIF('Select Historicals'!$O$26:$AF$26,"&gt;0")&gt;0</f>
        <v>0</v>
      </c>
      <c r="BG5" t="s">
        <v>751</v>
      </c>
      <c r="CJ5" s="901"/>
      <c r="CK5" s="901"/>
      <c r="CL5" s="901"/>
      <c r="CM5" s="901"/>
      <c r="CN5" s="901"/>
      <c r="CO5" s="901"/>
      <c r="CP5" s="901"/>
      <c r="CQ5" s="901"/>
      <c r="CR5" s="901"/>
      <c r="CS5" s="901"/>
      <c r="CT5" s="901"/>
      <c r="CU5" s="901"/>
      <c r="CW5" s="901"/>
      <c r="CX5" s="901"/>
      <c r="CY5" s="901"/>
      <c r="CZ5" s="901"/>
      <c r="DA5" s="901"/>
      <c r="DB5" s="901"/>
      <c r="DD5" s="892"/>
    </row>
    <row r="6" spans="1:114">
      <c r="A6" s="895">
        <v>2392</v>
      </c>
      <c r="C6" s="892"/>
      <c r="D6" t="s">
        <v>744</v>
      </c>
      <c r="E6" s="902">
        <v>11</v>
      </c>
      <c r="F6" t="str">
        <f>Input!I33</f>
        <v>Exit Cap Rate</v>
      </c>
      <c r="H6" t="s">
        <v>752</v>
      </c>
      <c r="I6" t="s">
        <v>748</v>
      </c>
      <c r="J6" t="s">
        <v>753</v>
      </c>
      <c r="K6" t="s">
        <v>754</v>
      </c>
      <c r="L6" t="s">
        <v>387</v>
      </c>
      <c r="M6" t="s">
        <v>387</v>
      </c>
      <c r="N6" t="str">
        <f>Input!B130</f>
        <v>Contract Services</v>
      </c>
      <c r="O6" t="str">
        <f t="shared" si="0"/>
        <v>Contract Services</v>
      </c>
      <c r="P6" t="str">
        <f>Input!V130</f>
        <v>Contract Services</v>
      </c>
      <c r="Q6" t="s">
        <v>387</v>
      </c>
      <c r="R6" t="str">
        <f t="shared" si="1"/>
        <v>Contract Services</v>
      </c>
      <c r="S6" t="s">
        <v>755</v>
      </c>
      <c r="T6" t="s">
        <v>303</v>
      </c>
      <c r="U6" t="s">
        <v>756</v>
      </c>
      <c r="V6" t="s">
        <v>757</v>
      </c>
      <c r="W6" t="s">
        <v>758</v>
      </c>
      <c r="X6" t="s">
        <v>759</v>
      </c>
      <c r="Y6" t="s">
        <v>760</v>
      </c>
      <c r="Z6" t="s">
        <v>53</v>
      </c>
      <c r="AB6" t="s">
        <v>761</v>
      </c>
      <c r="AC6" t="s">
        <v>762</v>
      </c>
      <c r="AD6" t="s">
        <v>763</v>
      </c>
      <c r="AE6" t="s">
        <v>53</v>
      </c>
      <c r="AG6" s="892"/>
      <c r="AI6" s="903">
        <f>IF('Adjustments &amp; Notes'!O13&lt;&gt;"",1+AI5,AI5)</f>
        <v>0</v>
      </c>
      <c r="AJ6" t="str">
        <f>IFERROR(INDEX('Adjustments &amp; Notes'!$O$12:$O$66,MATCH(ROW()-ROW($AJ$4),$AI$5:$AI$55,),),"")</f>
        <v/>
      </c>
      <c r="AK6">
        <v>11</v>
      </c>
      <c r="AL6">
        <v>6</v>
      </c>
      <c r="AM6">
        <v>8</v>
      </c>
      <c r="AN6">
        <v>10</v>
      </c>
      <c r="AO6" t="s">
        <v>327</v>
      </c>
      <c r="AP6" s="195">
        <v>1</v>
      </c>
      <c r="AQ6" s="195">
        <f>SUMPRODUCT((FPBeds&lt;&gt;"")*(FloorPlanNames&lt;&gt;"")*(FPIsRenovated&lt;&gt;"")*(FPBeds=$AP6)*FPOccupiedUnits)</f>
        <v>0</v>
      </c>
      <c r="AR6" s="195">
        <f>SUMPRODUCT((FPBeds&lt;&gt;"")*(FloorPlanNames&lt;&gt;"")*(FPIsRenovated="")*(FPBeds=$AP6)*FPOccupiedUnits)</f>
        <v>0</v>
      </c>
      <c r="AS6" s="195">
        <f>SUMPRODUCT((FPBeds&lt;&gt;"")*(FloorPlanNames&lt;&gt;"")*(FPIsRenovated&lt;&gt;"")*(FPBeds=$AP6)*FPOccupiedUnits*FPUnitSize)</f>
        <v>0</v>
      </c>
      <c r="AT6" s="195">
        <f>SUMPRODUCT((FPBeds&lt;&gt;"")*(FloorPlanNames&lt;&gt;"")*(FPIsRenovated="")*(FPBeds=$AP6)*FPOccupiedUnits*FPUnitSize)</f>
        <v>0</v>
      </c>
      <c r="AU6" s="195" t="str">
        <f>AO6</f>
        <v>1 Bedroom</v>
      </c>
      <c r="AV6" s="195" t="e">
        <f>IF('Summary '!H35,'Summary '!H35,NA())</f>
        <v>#N/A</v>
      </c>
      <c r="AW6" s="195" t="s">
        <v>26</v>
      </c>
      <c r="AX6" s="195" t="e">
        <f>IF('Summary '!N9,'Summary '!N9,NA())</f>
        <v>#N/A</v>
      </c>
      <c r="AY6" s="195" t="s">
        <v>764</v>
      </c>
      <c r="AZ6" t="str">
        <f>IF(PurchasePrice," "&amp;TEXT(PurchasePrice/TotalDealUnits,"$#,###")&amp;"  ","  ")</f>
        <v xml:space="preserve"> $162,618  </v>
      </c>
      <c r="BA6" t="s">
        <v>765</v>
      </c>
      <c r="BB6" t="str">
        <f>" "&amp;TEXT(RenovationIRR,"0.00%")&amp;"  "</f>
        <v xml:space="preserve"> n/a  </v>
      </c>
      <c r="BC6" s="904">
        <f>IFERROR("Year Ending in "&amp;TEXT(LARGE(AnnualHistoricalDates,2),"mmm-yy"),-1)</f>
        <v>-1</v>
      </c>
      <c r="BD6" s="78"/>
      <c r="BE6" s="905"/>
      <c r="BF6" t="b">
        <v>0</v>
      </c>
      <c r="BG6" t="s">
        <v>766</v>
      </c>
      <c r="BH6" s="906">
        <v>31</v>
      </c>
      <c r="BI6" s="907">
        <v>59</v>
      </c>
      <c r="BJ6" s="907">
        <v>91</v>
      </c>
      <c r="BK6" s="907">
        <v>121</v>
      </c>
      <c r="BL6" s="907">
        <v>152</v>
      </c>
      <c r="BM6" s="907">
        <v>182</v>
      </c>
      <c r="BN6" s="907">
        <v>213</v>
      </c>
      <c r="BO6" s="907">
        <v>244</v>
      </c>
      <c r="BP6" s="907">
        <v>274</v>
      </c>
      <c r="BQ6" s="907">
        <v>305</v>
      </c>
      <c r="BR6" s="907">
        <v>335</v>
      </c>
      <c r="BS6" s="907">
        <v>366</v>
      </c>
      <c r="BT6" s="908" t="s">
        <v>767</v>
      </c>
      <c r="BU6" s="909" t="s">
        <v>28</v>
      </c>
      <c r="CI6" t="s">
        <v>768</v>
      </c>
      <c r="CJ6">
        <v>119620</v>
      </c>
      <c r="CK6">
        <v>119620</v>
      </c>
      <c r="CL6">
        <v>121320</v>
      </c>
      <c r="CM6">
        <v>121320</v>
      </c>
      <c r="CN6">
        <v>127620</v>
      </c>
      <c r="CO6">
        <v>127620</v>
      </c>
      <c r="CP6">
        <v>117920</v>
      </c>
      <c r="CQ6">
        <v>117920</v>
      </c>
      <c r="CR6">
        <v>109920</v>
      </c>
      <c r="CS6">
        <v>124220</v>
      </c>
      <c r="CT6">
        <v>124662</v>
      </c>
      <c r="CU6">
        <v>124662</v>
      </c>
      <c r="DC6" t="s">
        <v>769</v>
      </c>
      <c r="DD6" s="892"/>
    </row>
    <row r="7" spans="1:114">
      <c r="A7" s="895">
        <v>2014</v>
      </c>
      <c r="C7" s="892"/>
      <c r="D7" t="s">
        <v>770</v>
      </c>
      <c r="E7" s="902">
        <v>20</v>
      </c>
      <c r="F7" t="str">
        <f>Input!E35</f>
        <v>%</v>
      </c>
      <c r="I7" t="s">
        <v>771</v>
      </c>
      <c r="J7" t="s">
        <v>33</v>
      </c>
      <c r="K7" t="s">
        <v>772</v>
      </c>
      <c r="L7" t="s">
        <v>388</v>
      </c>
      <c r="M7" t="s">
        <v>388</v>
      </c>
      <c r="N7" t="str">
        <f>Input!B131</f>
        <v>Security</v>
      </c>
      <c r="O7" t="str">
        <f t="shared" si="0"/>
        <v>Security</v>
      </c>
      <c r="P7" t="str">
        <f>Input!V131</f>
        <v>Security</v>
      </c>
      <c r="Q7" t="s">
        <v>388</v>
      </c>
      <c r="R7" t="str">
        <f t="shared" si="1"/>
        <v>Security</v>
      </c>
      <c r="V7" t="s">
        <v>773</v>
      </c>
      <c r="X7" t="s">
        <v>33</v>
      </c>
      <c r="Y7" t="s">
        <v>774</v>
      </c>
      <c r="AB7" t="s">
        <v>369</v>
      </c>
      <c r="AC7" t="s">
        <v>28</v>
      </c>
      <c r="AG7" s="892"/>
      <c r="AI7" s="903">
        <f>IF('Adjustments &amp; Notes'!O14&lt;&gt;"",1+AI6,AI6)</f>
        <v>0</v>
      </c>
      <c r="AJ7" t="str">
        <f>IFERROR(INDEX('Adjustments &amp; Notes'!$O$12:$O$66,MATCH(ROW()-ROW($AJ$4),$AI$5:$AI$55,),),"")</f>
        <v/>
      </c>
      <c r="AO7" t="s">
        <v>328</v>
      </c>
      <c r="AP7" s="195">
        <v>2</v>
      </c>
      <c r="AQ7" s="195">
        <f>SUMPRODUCT((FPBeds&lt;&gt;"")*(FloorPlanNames&lt;&gt;"")*(FPIsRenovated&lt;&gt;"")*(FPBeds=$AP7)*FPOccupiedUnits)</f>
        <v>0</v>
      </c>
      <c r="AR7" s="195">
        <f>SUMPRODUCT((FPBeds&lt;&gt;"")*(FloorPlanNames&lt;&gt;"")*(FPIsRenovated="")*(FPBeds=$AP7)*FPOccupiedUnits)</f>
        <v>55</v>
      </c>
      <c r="AS7" s="195">
        <f>SUMPRODUCT((FPBeds&lt;&gt;"")*(FloorPlanNames&lt;&gt;"")*(FPIsRenovated&lt;&gt;"")*(FPBeds=$AP7)*FPOccupiedUnits*FPUnitSize)</f>
        <v>0</v>
      </c>
      <c r="AT7" s="195">
        <f>SUMPRODUCT((FPBeds&lt;&gt;"")*(FloorPlanNames&lt;&gt;"")*(FPIsRenovated="")*(FPBeds=$AP7)*FPOccupiedUnits*FPUnitSize)</f>
        <v>70015</v>
      </c>
      <c r="AU7" s="195" t="str">
        <f>AO7</f>
        <v>2 Bedroom</v>
      </c>
      <c r="AV7" s="195" t="e">
        <f>IF('Summary '!H36,'Summary '!H36,NA())</f>
        <v>#N/A</v>
      </c>
      <c r="AW7" s="195" t="s">
        <v>27</v>
      </c>
      <c r="AX7" s="195" t="e">
        <f>IF('Summary '!N10,'Summary '!N10,NA())</f>
        <v>#N/A</v>
      </c>
      <c r="AY7" s="195" t="s">
        <v>775</v>
      </c>
      <c r="AZ7" t="str">
        <f>IF('CF Calculations'!O402+IF(IsPartnership,'CF Calculations'!#REF!,)," "&amp;TEXT('CF Calculations'!O402+IF(IsPartnership,'CF Calculations'!#REF!,),"$#,###")&amp;"  ","  ")</f>
        <v xml:space="preserve"> $13,009,400  </v>
      </c>
      <c r="BA7" t="s">
        <v>776</v>
      </c>
      <c r="BB7" t="str">
        <f>IF('CF Calculations'!O425," "&amp;TEXT(-'CF Calculations'!O425,"$#,###")&amp;"  ","  ")</f>
        <v xml:space="preserve">  </v>
      </c>
      <c r="BC7" s="904">
        <f>IFERROR("Year Ending in "&amp;TEXT(LARGE(AnnualHistoricalDates,3),"mmm-yy"),-1)</f>
        <v>-1</v>
      </c>
      <c r="BD7" s="78"/>
      <c r="BE7" s="905"/>
      <c r="BF7" s="90" t="b">
        <v>0</v>
      </c>
      <c r="BG7" t="s">
        <v>777</v>
      </c>
      <c r="BH7" s="910"/>
      <c r="BU7" s="911"/>
      <c r="CI7" t="s">
        <v>778</v>
      </c>
      <c r="CJ7">
        <v>3622</v>
      </c>
      <c r="CK7">
        <v>3106</v>
      </c>
      <c r="CL7">
        <v>-1577</v>
      </c>
      <c r="CM7">
        <v>3403</v>
      </c>
      <c r="CN7">
        <v>-5067</v>
      </c>
      <c r="CO7">
        <v>-4563</v>
      </c>
      <c r="CP7">
        <v>5141</v>
      </c>
      <c r="CQ7">
        <v>4022</v>
      </c>
      <c r="CR7">
        <v>10063</v>
      </c>
      <c r="CS7">
        <v>-3422</v>
      </c>
      <c r="CT7">
        <v>-4353</v>
      </c>
      <c r="CU7">
        <v>-5484</v>
      </c>
      <c r="DC7" t="s">
        <v>779</v>
      </c>
      <c r="DD7" s="892"/>
    </row>
    <row r="8" spans="1:114">
      <c r="A8" s="895"/>
      <c r="C8" s="892"/>
      <c r="D8" t="s">
        <v>770</v>
      </c>
      <c r="E8" s="902">
        <v>21</v>
      </c>
      <c r="F8" t="str">
        <f>Input!G35</f>
        <v>$ Amount</v>
      </c>
      <c r="L8" t="s">
        <v>396</v>
      </c>
      <c r="M8" t="s">
        <v>389</v>
      </c>
      <c r="N8" t="str">
        <f>Input!B132</f>
        <v>Landscaping / Grounds</v>
      </c>
      <c r="O8" t="str">
        <f t="shared" si="0"/>
        <v>Landscaping / Grounds</v>
      </c>
      <c r="P8" t="str">
        <f>Input!V132</f>
        <v>Landscaping / Grounds</v>
      </c>
      <c r="Q8" t="s">
        <v>389</v>
      </c>
      <c r="R8" t="str">
        <f t="shared" si="1"/>
        <v>Landscaping / Grounds</v>
      </c>
      <c r="V8" t="str">
        <f>"Cap Rate (Historical)¹"</f>
        <v>Cap Rate (Historical)¹</v>
      </c>
      <c r="Y8" t="s">
        <v>780</v>
      </c>
      <c r="AB8" t="s">
        <v>781</v>
      </c>
      <c r="AC8" t="s">
        <v>782</v>
      </c>
      <c r="AG8" s="892"/>
      <c r="AI8" s="903">
        <f>IF('Adjustments &amp; Notes'!O15&lt;&gt;"",1+AI7,AI7)</f>
        <v>0</v>
      </c>
      <c r="AJ8" t="str">
        <f>IFERROR(INDEX('Adjustments &amp; Notes'!$O$12:$O$66,MATCH(ROW()-ROW($AJ$4),$AI$5:$AI$55,),),"")</f>
        <v/>
      </c>
      <c r="AO8" t="s">
        <v>329</v>
      </c>
      <c r="AP8" s="195">
        <v>3</v>
      </c>
      <c r="AQ8" s="195">
        <f>SUMPRODUCT((FPBeds&lt;&gt;"")*(FloorPlanNames&lt;&gt;"")*(FPIsRenovated&lt;&gt;"")*(FPBeds=$AP8)*FPOccupiedUnits)</f>
        <v>0</v>
      </c>
      <c r="AR8" s="195">
        <f>SUMPRODUCT((FPBeds&lt;&gt;"")*(FloorPlanNames&lt;&gt;"")*(FPIsRenovated="")*(FPBeds=$AP8)*FPOccupiedUnits)</f>
        <v>17</v>
      </c>
      <c r="AS8" s="195">
        <f>SUMPRODUCT((FPBeds&lt;&gt;"")*(FloorPlanNames&lt;&gt;"")*(FPIsRenovated&lt;&gt;"")*(FPBeds=$AP8)*FPOccupiedUnits*FPUnitSize)</f>
        <v>0</v>
      </c>
      <c r="AT8" s="195">
        <f>SUMPRODUCT((FPBeds&lt;&gt;"")*(FloorPlanNames&lt;&gt;"")*(FPIsRenovated="")*(FPBeds=$AP8)*FPOccupiedUnits*FPUnitSize)</f>
        <v>27795</v>
      </c>
      <c r="AU8" s="195" t="str">
        <f>AO8</f>
        <v>3 Bedroom</v>
      </c>
      <c r="AV8" s="195" t="e">
        <f>IF('Summary '!H37,'Summary '!H37,NA())</f>
        <v>#N/A</v>
      </c>
      <c r="AW8" s="195"/>
      <c r="AX8" s="195"/>
      <c r="AY8" s="195" t="s">
        <v>282</v>
      </c>
      <c r="AZ8" t="str">
        <f>IF(SalesPrice," "&amp;TEXT(SalesPrice,"$#,###")&amp;"  ","  ")</f>
        <v xml:space="preserve"> $24,605,672  </v>
      </c>
      <c r="BA8" t="s">
        <v>783</v>
      </c>
      <c r="BB8" t="str">
        <f>IF(AverageRenovCost," "&amp;TEXT(AverageRenovCost,"$#,###")&amp;"  ","  ")</f>
        <v xml:space="preserve">  </v>
      </c>
      <c r="BC8" s="904">
        <f>IFERROR("Year Ending in "&amp;TEXT(LARGE(AnnualHistoricalDates,4),"mmm-yy"),-1)</f>
        <v>-1</v>
      </c>
      <c r="BD8" s="78"/>
      <c r="BE8" s="905"/>
      <c r="BF8" t="b">
        <v>1</v>
      </c>
      <c r="BG8" t="s">
        <v>784</v>
      </c>
      <c r="BH8" s="912"/>
      <c r="BI8" s="894"/>
      <c r="BJ8" s="894"/>
      <c r="BK8" s="894"/>
      <c r="BL8" s="894"/>
      <c r="BM8" s="894"/>
      <c r="BN8" s="894"/>
      <c r="BO8" s="894"/>
      <c r="BP8" s="894"/>
      <c r="BQ8" s="894"/>
      <c r="BR8" s="894"/>
      <c r="BS8" s="894"/>
      <c r="BT8" s="894"/>
      <c r="BU8" s="913" t="b">
        <f>SUMIF(INDEX(NewLeaseExpirationTable,,1),"&gt;="&amp;LatestRRDateStamp)&gt;0</f>
        <v>1</v>
      </c>
      <c r="DD8" s="892"/>
    </row>
    <row r="9" spans="1:114">
      <c r="A9" s="895"/>
      <c r="C9" s="892"/>
      <c r="D9" t="s">
        <v>770</v>
      </c>
      <c r="E9" s="902">
        <v>22</v>
      </c>
      <c r="F9" t="s">
        <v>785</v>
      </c>
      <c r="L9" t="s">
        <v>389</v>
      </c>
      <c r="M9" t="s">
        <v>390</v>
      </c>
      <c r="N9" t="str">
        <f>Input!B133</f>
        <v>Personnel</v>
      </c>
      <c r="O9" t="str">
        <f t="shared" si="0"/>
        <v>Personnel</v>
      </c>
      <c r="P9" t="str">
        <f>Input!V133</f>
        <v>Personnel</v>
      </c>
      <c r="Q9" t="s">
        <v>390</v>
      </c>
      <c r="R9" t="str">
        <f t="shared" si="1"/>
        <v>Personnel</v>
      </c>
      <c r="V9" t="s">
        <v>786</v>
      </c>
      <c r="Y9" t="s">
        <v>787</v>
      </c>
      <c r="AB9" t="s">
        <v>788</v>
      </c>
      <c r="AC9" t="s">
        <v>789</v>
      </c>
      <c r="AG9" s="892"/>
      <c r="AI9" s="903">
        <f>IF('Adjustments &amp; Notes'!O16&lt;&gt;"",1+AI8,AI8)</f>
        <v>0</v>
      </c>
      <c r="AJ9" t="str">
        <f>IFERROR(INDEX('Adjustments &amp; Notes'!$O$12:$O$66,MATCH(ROW()-ROW($AJ$4),$AI$5:$AI$55,),),"")</f>
        <v/>
      </c>
      <c r="AO9" t="s">
        <v>330</v>
      </c>
      <c r="AP9" s="195" t="s">
        <v>790</v>
      </c>
      <c r="AQ9" s="195">
        <f>SUMPRODUCT((FPBeds&lt;&gt;"")*(FloorPlanNames&lt;&gt;"")*(FPIsRenovated&lt;&gt;"")*(FPBeds&gt;$AP8)*FPOccupiedUnits)</f>
        <v>0</v>
      </c>
      <c r="AR9" s="195">
        <f>SUMPRODUCT((FPBeds&lt;&gt;"")*(FloorPlanNames&lt;&gt;"")*(FPIsRenovated="")*(FPBeds&gt;$AP8)*FPOccupiedUnits)</f>
        <v>0</v>
      </c>
      <c r="AS9" s="195">
        <f>SUMPRODUCT((FPBeds&lt;&gt;"")*(FloorPlanNames&lt;&gt;"")*(FPIsRenovated&lt;&gt;"")*(FPBeds&gt;$AP8)*FPOccupiedUnits*FPUnitSize)</f>
        <v>0</v>
      </c>
      <c r="AT9" s="195">
        <f>SUMPRODUCT((FPBeds&lt;&gt;"")*(FloorPlanNames&lt;&gt;"")*(FPIsRenovated="")*(FPBeds&gt;$AP8)*FPOccupiedUnits*FPUnitSize)</f>
        <v>0</v>
      </c>
      <c r="AU9" s="195" t="str">
        <f>AO9</f>
        <v>4+ Bedroom</v>
      </c>
      <c r="AV9" s="195" t="e">
        <f>IF('Summary '!H38,'Summary '!H38,NA())</f>
        <v>#N/A</v>
      </c>
      <c r="AW9" s="195"/>
      <c r="AX9" s="195"/>
      <c r="AY9" s="195" t="s">
        <v>791</v>
      </c>
      <c r="AZ9" t="str">
        <f>IF(SalesPrice," "&amp;TEXT(SalesPrice/TotalDealUnits,"$#,###")&amp;"  ","  ")</f>
        <v xml:space="preserve"> $307,571  </v>
      </c>
      <c r="BA9" t="s">
        <v>792</v>
      </c>
      <c r="BB9" t="str">
        <f>IF('CF Calculations'!O432," "&amp;TEXT('CF Calculations'!O432,"$#,###")&amp;"  ","  ")</f>
        <v xml:space="preserve">  </v>
      </c>
      <c r="BC9" s="904">
        <f>IFERROR("Year Ending in "&amp;TEXT(LARGE(AnnualHistoricalDates,5),"mmm-yy"),-1)</f>
        <v>-1</v>
      </c>
      <c r="BD9" s="78"/>
      <c r="BE9" s="905"/>
      <c r="BF9" t="b">
        <f>OR(SUM(RenovationCost),SUM(RenovationBumps),Input!Q81)</f>
        <v>0</v>
      </c>
      <c r="BG9" t="s">
        <v>793</v>
      </c>
      <c r="DD9" s="892"/>
    </row>
    <row r="10" spans="1:114">
      <c r="A10" s="895"/>
      <c r="C10" s="892"/>
      <c r="D10" t="s">
        <v>794</v>
      </c>
      <c r="E10" s="902">
        <v>30</v>
      </c>
      <c r="F10" t="s">
        <v>795</v>
      </c>
      <c r="L10" t="s">
        <v>390</v>
      </c>
      <c r="M10" t="s">
        <v>391</v>
      </c>
      <c r="N10" t="str">
        <f>Input!B134</f>
        <v>Marketing / Advertising</v>
      </c>
      <c r="O10" t="str">
        <f t="shared" si="0"/>
        <v>Marketing / Advertising</v>
      </c>
      <c r="P10" t="str">
        <f>Input!V134</f>
        <v>Marketing / Advertising</v>
      </c>
      <c r="Q10" t="s">
        <v>391</v>
      </c>
      <c r="R10" t="str">
        <f t="shared" si="1"/>
        <v>Marketing / Advertising</v>
      </c>
      <c r="Y10" t="s">
        <v>796</v>
      </c>
      <c r="AG10" s="892"/>
      <c r="AI10" s="903">
        <f>IF('Adjustments &amp; Notes'!O17&lt;&gt;"",1+AI9,AI9)</f>
        <v>0</v>
      </c>
      <c r="AJ10" t="str">
        <f>IFERROR(INDEX('Adjustments &amp; Notes'!$O$12:$O$66,MATCH(ROW()-ROW($AJ$4),$AI$5:$AI$55,),),"")</f>
        <v/>
      </c>
      <c r="AY10" s="195" t="s">
        <v>797</v>
      </c>
      <c r="AZ10" t="str">
        <f>IF(OR(NOT(InPlaceNOI),NOT(PurchasePrice),NOT(IsHistoricalComponent))," n/a "," "&amp;TEXT(InPlaceNOI/PurchasePrice,"0.00%")&amp;"  ")</f>
        <v xml:space="preserve"> 5.50%  </v>
      </c>
      <c r="BA10" t="s">
        <v>798</v>
      </c>
      <c r="BB10" t="str">
        <f>IFERROR(" "&amp;TEXT('CF Calculations'!O432/(SalesPrice-'CF Calculations'!O432),"0.00%"),)&amp;"  "</f>
        <v xml:space="preserve"> 0.00%  </v>
      </c>
      <c r="BF10" t="b">
        <f>AND(AssumLoanTerm&lt;&gt;"",AssumRemainTerm&lt;&gt;"",AssumRemainTerm&lt;=AssumLoanTerm)</f>
        <v>0</v>
      </c>
      <c r="BG10" t="s">
        <v>799</v>
      </c>
      <c r="CI10" t="s">
        <v>800</v>
      </c>
      <c r="CJ10">
        <v>-19046</v>
      </c>
      <c r="CK10">
        <v>-18517</v>
      </c>
      <c r="CL10">
        <v>-14135</v>
      </c>
      <c r="CM10">
        <v>-12454</v>
      </c>
      <c r="CN10">
        <v>-10863</v>
      </c>
      <c r="CO10">
        <v>-12154</v>
      </c>
      <c r="CP10">
        <v>-12664</v>
      </c>
      <c r="CQ10">
        <v>-16170</v>
      </c>
      <c r="CR10">
        <v>-16173</v>
      </c>
      <c r="CS10">
        <v>-11719</v>
      </c>
      <c r="CT10">
        <v>-13121</v>
      </c>
      <c r="CU10">
        <v>-11556</v>
      </c>
      <c r="DC10" t="s">
        <v>801</v>
      </c>
      <c r="DD10" s="892"/>
    </row>
    <row r="11" spans="1:114" ht="13.5">
      <c r="A11" s="895" t="s">
        <v>1068</v>
      </c>
      <c r="C11" s="892"/>
      <c r="D11" t="s">
        <v>794</v>
      </c>
      <c r="E11" s="902">
        <v>31</v>
      </c>
      <c r="F11" t="s">
        <v>802</v>
      </c>
      <c r="L11" t="s">
        <v>391</v>
      </c>
      <c r="M11" t="s">
        <v>394</v>
      </c>
      <c r="N11" t="str">
        <f>Input!B135</f>
        <v>Leasing Commissions</v>
      </c>
      <c r="O11" t="str">
        <f t="shared" si="0"/>
        <v>Leasing Commissions</v>
      </c>
      <c r="P11" t="str">
        <f>Input!V135</f>
        <v>Personnel / Marketing</v>
      </c>
      <c r="Q11" t="s">
        <v>392</v>
      </c>
      <c r="R11" t="str">
        <f t="shared" si="1"/>
        <v>Personnel / Marketing</v>
      </c>
      <c r="V11" s="27" t="s">
        <v>803</v>
      </c>
      <c r="Y11" t="s">
        <v>804</v>
      </c>
      <c r="AB11" t="str">
        <f>INDEX(ExpUnitTypeId,MATCH(OpexUnitSelection,ExpUnitType,),)</f>
        <v>/ unit</v>
      </c>
      <c r="AG11" s="892"/>
      <c r="AI11" s="903">
        <f>IF('Adjustments &amp; Notes'!O18&lt;&gt;"",1+AI10,AI10)</f>
        <v>0</v>
      </c>
      <c r="AJ11" t="str">
        <f>IFERROR(INDEX('Adjustments &amp; Notes'!$O$12:$O$66,MATCH(ROW()-ROW($AJ$4),$AI$5:$AI$55,),),"")</f>
        <v/>
      </c>
      <c r="AY11" s="195" t="s">
        <v>805</v>
      </c>
      <c r="AZ11" t="str">
        <f>IF('CF Calculations'!E112," "&amp;TEXT('CF Calculations'!E112,"0.00%")&amp;"  ","  ")</f>
        <v xml:space="preserve"> 7.79%  </v>
      </c>
      <c r="BA11" t="s">
        <v>79</v>
      </c>
      <c r="BB11" t="str">
        <f>IFERROR(" "&amp;TEXT(Renovations!N9,"#,###")&amp;" months",)&amp;"  "</f>
        <v xml:space="preserve">  months  </v>
      </c>
      <c r="BC11" s="899" t="s">
        <v>806</v>
      </c>
      <c r="BD11" s="899"/>
      <c r="BE11" s="899"/>
      <c r="BF11" s="914" t="b">
        <v>0</v>
      </c>
      <c r="BG11" s="914" t="s">
        <v>807</v>
      </c>
      <c r="CI11" t="s">
        <v>808</v>
      </c>
      <c r="CJ11">
        <v>-15051</v>
      </c>
      <c r="CK11">
        <v>-2680</v>
      </c>
      <c r="CL11">
        <v>-5564</v>
      </c>
      <c r="CM11">
        <v>-9268</v>
      </c>
      <c r="CN11">
        <v>-4272</v>
      </c>
      <c r="CO11">
        <v>-3573</v>
      </c>
      <c r="CP11">
        <v>6759</v>
      </c>
      <c r="CQ11">
        <v>-1175</v>
      </c>
      <c r="CR11">
        <v>-363</v>
      </c>
      <c r="CS11">
        <v>-2224</v>
      </c>
      <c r="CT11">
        <v>-1850</v>
      </c>
      <c r="CU11">
        <v>-381</v>
      </c>
      <c r="DC11" t="s">
        <v>809</v>
      </c>
      <c r="DD11" s="892"/>
    </row>
    <row r="12" spans="1:114">
      <c r="A12" s="895"/>
      <c r="C12" s="892"/>
      <c r="D12" t="s">
        <v>794</v>
      </c>
      <c r="E12" s="902">
        <v>32</v>
      </c>
      <c r="F12" t="s">
        <v>810</v>
      </c>
      <c r="L12" t="s">
        <v>395</v>
      </c>
      <c r="M12" t="s">
        <v>396</v>
      </c>
      <c r="N12" t="str">
        <f>Input!B136</f>
        <v>Administrative Expenses</v>
      </c>
      <c r="O12" t="str">
        <f t="shared" si="0"/>
        <v>Administrative Expenses</v>
      </c>
      <c r="P12" t="str">
        <f>Input!V136</f>
        <v>Administrative</v>
      </c>
      <c r="Q12" t="s">
        <v>394</v>
      </c>
      <c r="R12" t="str">
        <f t="shared" si="1"/>
        <v>Administrative</v>
      </c>
      <c r="Y12" t="s">
        <v>811</v>
      </c>
      <c r="AG12" s="892"/>
      <c r="AI12" s="903">
        <f>IF('Adjustments &amp; Notes'!O19&lt;&gt;"",1+AI11,AI11)</f>
        <v>0</v>
      </c>
      <c r="AJ12" t="str">
        <f>IFERROR(INDEX('Adjustments &amp; Notes'!$O$12:$O$66,MATCH(ROW()-ROW($AJ$4),$AI$5:$AI$55,),),"")</f>
        <v/>
      </c>
      <c r="AY12" s="195" t="s">
        <v>812</v>
      </c>
      <c r="AZ12" t="str">
        <f>" "&amp;TEXT(ProFormaCashOnCash,"0.00%")&amp;"  "</f>
        <v xml:space="preserve"> 7.79%  </v>
      </c>
      <c r="BA12" t="s">
        <v>81</v>
      </c>
      <c r="BB12" t="str">
        <f>IFERROR(" "&amp;TEXT(Renovations!N10,"#,###")&amp;" units",)&amp;"  "</f>
        <v xml:space="preserve">  units  </v>
      </c>
      <c r="BC12" s="78" t="str">
        <f>IF('Select Historicals'!$D$10="","",IF(ISNUMBER('Select Historicals'!$D$9),"Δ T"&amp;'Select Historicals'!$D$9,"Δ YE "&amp;'Select Historicals'!$D$10))</f>
        <v>Δ T12</v>
      </c>
      <c r="BD12" s="27"/>
      <c r="BE12" s="27"/>
      <c r="BF12" s="915" t="b">
        <f>AND(AssumLoan1Term&lt;&gt;"",AssumLoan1Term&lt;&gt;0,Assum1RemainTerm&lt;&gt;"",Assum1RemainTerm&lt;=AssumLoan1Term)</f>
        <v>0</v>
      </c>
      <c r="BG12" s="914" t="s">
        <v>813</v>
      </c>
      <c r="BH12" t="s">
        <v>741</v>
      </c>
      <c r="CI12" t="s">
        <v>814</v>
      </c>
      <c r="CP12">
        <v>-160</v>
      </c>
      <c r="CQ12">
        <v>-799</v>
      </c>
      <c r="CR12">
        <v>-800</v>
      </c>
      <c r="CS12">
        <v>-799</v>
      </c>
      <c r="CT12">
        <v>-799</v>
      </c>
      <c r="CU12">
        <v>-799</v>
      </c>
      <c r="DC12" t="s">
        <v>815</v>
      </c>
      <c r="DD12" s="892"/>
    </row>
    <row r="13" spans="1:114">
      <c r="A13" s="895" t="s">
        <v>1069</v>
      </c>
      <c r="C13" s="892"/>
      <c r="D13" t="s">
        <v>816</v>
      </c>
      <c r="E13" s="902">
        <v>40</v>
      </c>
      <c r="F13" t="s">
        <v>817</v>
      </c>
      <c r="L13" t="s">
        <v>398</v>
      </c>
      <c r="M13" t="s">
        <v>397</v>
      </c>
      <c r="N13" t="str">
        <f>Input!B137</f>
        <v>Turnover / Make-Ready</v>
      </c>
      <c r="O13" t="str">
        <f t="shared" si="0"/>
        <v>Turnover / Make-Ready</v>
      </c>
      <c r="P13" t="str">
        <f>Input!V137</f>
        <v>Turnover / Make-Ready</v>
      </c>
      <c r="Q13" t="s">
        <v>396</v>
      </c>
      <c r="R13" t="str">
        <f t="shared" si="1"/>
        <v>Turnover / Make-Ready</v>
      </c>
      <c r="Y13" t="s">
        <v>818</v>
      </c>
      <c r="AG13" s="892"/>
      <c r="AI13" s="903">
        <f>IF('Adjustments &amp; Notes'!O20&lt;&gt;"",1+AI12,AI12)</f>
        <v>0</v>
      </c>
      <c r="AJ13" t="str">
        <f>IFERROR(INDEX('Adjustments &amp; Notes'!$O$12:$O$66,MATCH(ROW()-ROW($AJ$4),$AI$5:$AI$55,),),"")</f>
        <v/>
      </c>
      <c r="AK13" s="916">
        <f>MAX(AL17:AQ17)</f>
        <v>0</v>
      </c>
      <c r="AL13" s="917">
        <v>1</v>
      </c>
      <c r="AM13" s="917">
        <v>2</v>
      </c>
      <c r="AN13" s="917">
        <v>3</v>
      </c>
      <c r="AO13" s="917">
        <v>4</v>
      </c>
      <c r="AP13" s="917">
        <v>5</v>
      </c>
      <c r="AQ13" s="917">
        <v>6</v>
      </c>
      <c r="AY13" s="195" t="str">
        <f>"Post-Renov. C-o-C "&amp;IF(PostRenovationYr=1,"","(Yr "&amp;PostRenovationYr&amp;")")</f>
        <v xml:space="preserve">Post-Renov. C-o-C </v>
      </c>
      <c r="AZ13" t="str">
        <f>" "&amp;IF(PostRenovationYr=1,"n/a",TEXT(Input!Q251,"0.00%"))&amp;"  "</f>
        <v xml:space="preserve"> n/a  </v>
      </c>
      <c r="BA13" t="str">
        <f>"Renov. Yield ("&amp;YrOfExit&amp;"-Yr Avg.)"</f>
        <v>Renov. Yield (7-Yr Avg.)</v>
      </c>
      <c r="BB13" t="str">
        <f>IFERROR(" "&amp;TEXT('CF Calculations'!O444,"0.00%"),)&amp;"  "</f>
        <v xml:space="preserve"> 0.00%  </v>
      </c>
      <c r="BC13" s="78" t="str">
        <f>IF('Select Historicals'!$F$10="","",IF(ISNUMBER('Select Historicals'!$F$9),"Δ T"&amp;'Select Historicals'!$F$9,"Δ YE "&amp;'Select Historicals'!$F$10))</f>
        <v>Δ T9</v>
      </c>
      <c r="BD13" s="27"/>
      <c r="BE13" s="78"/>
      <c r="BF13" s="915" t="b">
        <f>AND(AssumLoan2Term&lt;&gt;"",Assum2RemainTerm&lt;&gt;"",Assum2RemainTerm&lt;=AssumLoan2Term)</f>
        <v>0</v>
      </c>
      <c r="BG13" s="914" t="s">
        <v>819</v>
      </c>
      <c r="CI13" t="s">
        <v>820</v>
      </c>
      <c r="CJ13">
        <v>-13310</v>
      </c>
      <c r="CK13">
        <v>-9119</v>
      </c>
      <c r="CL13">
        <v>-4783</v>
      </c>
      <c r="CM13">
        <v>-654</v>
      </c>
      <c r="CN13">
        <v>-2413</v>
      </c>
      <c r="CO13">
        <v>-225</v>
      </c>
      <c r="CP13">
        <v>-36748</v>
      </c>
      <c r="CQ13">
        <v>-23095</v>
      </c>
      <c r="CR13">
        <v>-9686</v>
      </c>
      <c r="CS13">
        <v>-37402</v>
      </c>
      <c r="CT13">
        <v>-235</v>
      </c>
      <c r="DC13" t="s">
        <v>821</v>
      </c>
      <c r="DD13" s="892"/>
    </row>
    <row r="14" spans="1:114">
      <c r="A14" s="895" t="s">
        <v>1070</v>
      </c>
      <c r="C14" s="892"/>
      <c r="D14" t="s">
        <v>816</v>
      </c>
      <c r="E14" s="902">
        <v>41</v>
      </c>
      <c r="F14" t="s">
        <v>822</v>
      </c>
      <c r="L14" t="s">
        <v>402</v>
      </c>
      <c r="M14" t="s">
        <v>399</v>
      </c>
      <c r="N14" t="str">
        <f>Input!B138</f>
        <v>Electricity</v>
      </c>
      <c r="O14" t="str">
        <f t="shared" si="0"/>
        <v>Electricity</v>
      </c>
      <c r="P14" t="str">
        <f>Input!V138</f>
        <v>Utilities</v>
      </c>
      <c r="Q14" t="s">
        <v>397</v>
      </c>
      <c r="R14" t="str">
        <f t="shared" si="1"/>
        <v>Utilities</v>
      </c>
      <c r="Y14" t="s">
        <v>823</v>
      </c>
      <c r="AG14" s="892"/>
      <c r="AI14" s="903">
        <f>IF('Adjustments &amp; Notes'!O21&lt;&gt;"",1+AI13,AI13)</f>
        <v>0</v>
      </c>
      <c r="AJ14" t="str">
        <f>IFERROR(INDEX('Adjustments &amp; Notes'!$O$12:$O$66,MATCH(ROW()-ROW($AJ$4),$AI$5:$AI$55,),),"")</f>
        <v/>
      </c>
      <c r="AK14" s="914"/>
      <c r="AL14" s="918" t="s">
        <v>824</v>
      </c>
      <c r="AM14" s="918" t="s">
        <v>825</v>
      </c>
      <c r="AN14" s="918" t="s">
        <v>826</v>
      </c>
      <c r="AO14" s="919" t="s">
        <v>228</v>
      </c>
      <c r="AP14" s="918" t="s">
        <v>438</v>
      </c>
      <c r="AQ14" s="918" t="s">
        <v>439</v>
      </c>
      <c r="AY14" s="195" t="str">
        <f>"Cash on Cash ("&amp;YrOfExit&amp;"-Yr Avg.)"</f>
        <v>Cash on Cash (7-Yr Avg.)</v>
      </c>
      <c r="AZ14" t="str">
        <f>" "&amp;TEXT('CF Calculations'!O123,"0.00%")&amp;"  "</f>
        <v xml:space="preserve"> 8.94%  </v>
      </c>
      <c r="BA14" t="s">
        <v>827</v>
      </c>
      <c r="BB14" t="str">
        <f>IFERROR(" "&amp;TEXT(LTVAllCosts,"0.00%"),)&amp;"  "</f>
        <v xml:space="preserve"> 0.00%  </v>
      </c>
      <c r="BC14" s="78" t="str">
        <f>IF('Select Historicals'!$H$10="","",IF(ISNUMBER('Select Historicals'!$H$9),"Δ T"&amp;'Select Historicals'!$H$9,"Δ YE "&amp;TEXT('Select Historicals'!$H$10,"m/yy")))</f>
        <v>Δ T6</v>
      </c>
      <c r="BD14" s="27"/>
      <c r="BE14" s="78"/>
      <c r="BF14" s="915" t="b">
        <f>AND(AssumLoan3Term&lt;&gt;"",Assum3RemainTerm&lt;&gt;"",Assum3RemainTerm&lt;=AssumLoan3Term)</f>
        <v>0</v>
      </c>
      <c r="BG14" s="914" t="s">
        <v>828</v>
      </c>
      <c r="BH14" s="906">
        <v>31</v>
      </c>
      <c r="BI14" s="907">
        <v>59</v>
      </c>
      <c r="BJ14" s="907">
        <v>91</v>
      </c>
      <c r="BK14" s="907">
        <v>121</v>
      </c>
      <c r="BL14" s="907">
        <v>152</v>
      </c>
      <c r="BM14" s="907">
        <v>182</v>
      </c>
      <c r="BN14" s="907">
        <v>213</v>
      </c>
      <c r="BO14" s="907">
        <v>244</v>
      </c>
      <c r="BP14" s="907">
        <v>274</v>
      </c>
      <c r="BQ14" s="907">
        <v>305</v>
      </c>
      <c r="BR14" s="907">
        <v>335</v>
      </c>
      <c r="BS14" s="907">
        <v>366</v>
      </c>
      <c r="BT14" s="908" t="s">
        <v>767</v>
      </c>
      <c r="BU14" s="909" t="s">
        <v>28</v>
      </c>
      <c r="DD14" s="892"/>
    </row>
    <row r="15" spans="1:114">
      <c r="A15" s="920" t="s">
        <v>1071</v>
      </c>
      <c r="C15" s="892"/>
      <c r="D15" t="s">
        <v>829</v>
      </c>
      <c r="E15" s="902">
        <v>50</v>
      </c>
      <c r="F15" t="str">
        <f>Annually</f>
        <v>Annually at the end of each year</v>
      </c>
      <c r="L15" t="s">
        <v>403</v>
      </c>
      <c r="M15" t="s">
        <v>400</v>
      </c>
      <c r="N15" t="str">
        <f>Input!B139</f>
        <v>Fuel (Gas &amp; Oil)</v>
      </c>
      <c r="O15" t="str">
        <f t="shared" si="0"/>
        <v>Fuel (Gas &amp; Oil)</v>
      </c>
      <c r="P15" t="str">
        <f>Input!V139</f>
        <v>Utilities</v>
      </c>
      <c r="Q15" t="s">
        <v>399</v>
      </c>
      <c r="R15" t="str">
        <f t="shared" si="1"/>
        <v>Utilities</v>
      </c>
      <c r="Y15" t="s">
        <v>830</v>
      </c>
      <c r="AG15" s="892"/>
      <c r="AI15" s="903">
        <f>IF('Adjustments &amp; Notes'!O22&lt;&gt;"",1+AI14,AI14)</f>
        <v>0</v>
      </c>
      <c r="AJ15" t="str">
        <f>IFERROR(INDEX('Adjustments &amp; Notes'!$O$12:$O$66,MATCH(ROW()-ROW($AJ$4),$AI$5:$AI$55,),),"")</f>
        <v/>
      </c>
      <c r="AK15" s="921" t="s">
        <v>831</v>
      </c>
      <c r="AL15" s="917" t="s">
        <v>832</v>
      </c>
      <c r="AM15" s="917" t="s">
        <v>833</v>
      </c>
      <c r="AN15" s="917" t="s">
        <v>834</v>
      </c>
      <c r="AO15" s="974" t="str">
        <f t="array" ref="AO15">IFERROR(IF(AND(AO21=BRIDGELOANAMOUNT,BRIDGELOANAMOUNT&gt;0),"Bridge",IF(AND(AO21=REFILOANAMOUNT,REFILOANAMOUNT&gt;0),"Refinance","Loan 1")),"Loan 1")</f>
        <v>Loan 1</v>
      </c>
      <c r="AP15" s="974" t="str">
        <f t="array" ref="AP15">IFERROR(IF(AND(AP21=BRIDGELOANAMOUNT,BRIDGELOANAMOUNT&gt;0),"Bridge",IF(AND(AP21=REFILOANAMOUNT,REFILOANAMOUNT&gt;0),"Refinance","Loan 2")),"Loan 2")</f>
        <v>Loan 2</v>
      </c>
      <c r="AQ15" s="974" t="str">
        <f t="array" ref="AQ15">IFERROR(IF(AND(AQ21=BRIDGELOANAMOUNT,BRIDGELOANAMOUNT&gt;0),"Bridge",IF(AND(AQ21=REFILOANAMOUNT,REFILOANAMOUNT&gt;0),"Refinance","Loan 3")),"Loan 3")</f>
        <v>Loan 3</v>
      </c>
      <c r="AY15" s="195" t="s">
        <v>835</v>
      </c>
      <c r="AZ15" t="str">
        <f>IFERROR(" "&amp;TEXT(IF(ExitValBasis=Forward,SUMIF(CFYears,YrOfExit,AnnualNOI)/SalesPrice,IF(ExitCapRate="","",ExitCapRate)),"0.00%")&amp;" "," n/a ")</f>
        <v xml:space="preserve"> 5.31% </v>
      </c>
      <c r="BC15" s="78" t="str">
        <f>IF('Select Historicals'!$J$10="","",IF(ISNUMBER('Select Historicals'!$J$9),"Δ T"&amp;'Select Historicals'!$J$9,"Δ YE "&amp;'Select Historicals'!$J$10))</f>
        <v>Δ T3</v>
      </c>
      <c r="BD15" s="27"/>
      <c r="BE15" s="78"/>
      <c r="BF15" t="b">
        <f>AND(Loan1OrigMnth&lt;&gt;"",Loan1OrigMnth&lt;=YrOfExit*12)</f>
        <v>0</v>
      </c>
      <c r="BG15" t="s">
        <v>836</v>
      </c>
      <c r="BH15" s="910"/>
      <c r="BU15" s="911"/>
      <c r="DD15" s="892"/>
    </row>
    <row r="16" spans="1:114">
      <c r="A16" s="922">
        <v>133</v>
      </c>
      <c r="C16" s="892"/>
      <c r="D16" t="s">
        <v>829</v>
      </c>
      <c r="E16" s="902">
        <v>51</v>
      </c>
      <c r="F16" t="str">
        <f>MnthlyUniform</f>
        <v>Monthly - uniform % of annual rate</v>
      </c>
      <c r="L16" t="s">
        <v>405</v>
      </c>
      <c r="M16" t="s">
        <v>401</v>
      </c>
      <c r="N16" t="str">
        <f>Input!B140</f>
        <v>Water &amp; Sewer</v>
      </c>
      <c r="O16" t="str">
        <f t="shared" si="0"/>
        <v>Water &amp; Sewer</v>
      </c>
      <c r="P16" t="str">
        <f>Input!V140</f>
        <v>Utilities</v>
      </c>
      <c r="Q16" t="s">
        <v>400</v>
      </c>
      <c r="R16" t="str">
        <f t="shared" si="1"/>
        <v>Utilities</v>
      </c>
      <c r="Y16" t="s">
        <v>1061</v>
      </c>
      <c r="AG16" s="892"/>
      <c r="AI16" s="903">
        <f>IF('Adjustments &amp; Notes'!O23&lt;&gt;"",1+AI15,AI15)</f>
        <v>0</v>
      </c>
      <c r="AJ16" t="str">
        <f>IFERROR(INDEX('Adjustments &amp; Notes'!$O$12:$O$66,MATCH(ROW()-ROW($AJ$4),$AI$5:$AI$55,),),"")</f>
        <v/>
      </c>
      <c r="AK16" s="921" t="s">
        <v>838</v>
      </c>
      <c r="AL16" s="914" t="b">
        <f>HasAssumableDebt1</f>
        <v>0</v>
      </c>
      <c r="AM16" s="914" t="b">
        <f>HasAssumableDebt2</f>
        <v>0</v>
      </c>
      <c r="AN16" s="914" t="b">
        <f>HasAssumableDebt3</f>
        <v>0</v>
      </c>
      <c r="AO16" s="914" t="b">
        <f>HasLoan1</f>
        <v>0</v>
      </c>
      <c r="AP16" s="914" t="b">
        <f>HasLoan2</f>
        <v>0</v>
      </c>
      <c r="AQ16" s="914" t="b">
        <f>HasLoan3</f>
        <v>0</v>
      </c>
      <c r="AY16" s="195" t="s">
        <v>839</v>
      </c>
      <c r="AZ16" t="str">
        <f>IFERROR(" "&amp;TEXT(IF(ExitValBasis=Forward,IF(ExitCapRate="","",ExitCapRate),SUMIF('Property CF'!D5:N5,YrOfExit+1,'Property CF'!D55:N55)/SalesPrice),"0.00%")&amp;" "," n/a ")</f>
        <v xml:space="preserve"> 5.50% </v>
      </c>
      <c r="BC16" s="78" t="str">
        <f>IF('Select Historicals'!$L$10="","",IF(ISNUMBER('Select Historicals'!$L$9),"Δ T"&amp;'Select Historicals'!$L$9,"Δ YE "&amp;'Select Historicals'!$L$10))</f>
        <v>Δ T1</v>
      </c>
      <c r="BD16" s="27"/>
      <c r="BE16" s="78"/>
      <c r="BF16" t="b">
        <f>AND(Loan2OrigMnth&lt;&gt;"",Loan2OrigMnth&lt;=YrOfExit*12)</f>
        <v>0</v>
      </c>
      <c r="BG16" t="s">
        <v>840</v>
      </c>
      <c r="BH16" s="912"/>
      <c r="BI16" s="894"/>
      <c r="BJ16" s="894"/>
      <c r="BK16" s="894"/>
      <c r="BL16" s="894"/>
      <c r="BM16" s="894"/>
      <c r="BN16" s="894"/>
      <c r="BO16" s="894"/>
      <c r="BP16" s="894"/>
      <c r="BQ16" s="894"/>
      <c r="BR16" s="894"/>
      <c r="BS16" s="894"/>
      <c r="BT16" s="894"/>
      <c r="BU16" s="913" t="b">
        <f>SUMIF(INDEX(OldLeaseExpirationTable,,1),"&gt;="&amp;RentRollDateStamp)&gt;0</f>
        <v>0</v>
      </c>
      <c r="CI16" t="s">
        <v>841</v>
      </c>
      <c r="DC16" t="s">
        <v>842</v>
      </c>
      <c r="DD16" s="892"/>
    </row>
    <row r="17" spans="1:108">
      <c r="A17" s="895"/>
      <c r="C17" s="892"/>
      <c r="D17" t="s">
        <v>829</v>
      </c>
      <c r="E17" s="902">
        <v>52</v>
      </c>
      <c r="F17" t="str">
        <f>UserDefined</f>
        <v>User-defined monthly inputs</v>
      </c>
      <c r="L17" t="s">
        <v>406</v>
      </c>
      <c r="M17" t="s">
        <v>402</v>
      </c>
      <c r="N17" t="str">
        <f>Input!B141</f>
        <v>Other Utilities</v>
      </c>
      <c r="O17" t="str">
        <f t="shared" si="0"/>
        <v>Other Utilities</v>
      </c>
      <c r="P17" t="str">
        <f>Input!V141</f>
        <v>Utilities</v>
      </c>
      <c r="Q17" t="s">
        <v>401</v>
      </c>
      <c r="R17" t="str">
        <f t="shared" si="1"/>
        <v>Utilities</v>
      </c>
      <c r="Y17" t="s">
        <v>1062</v>
      </c>
      <c r="AG17" s="892"/>
      <c r="AI17" s="903">
        <f>IF('Adjustments &amp; Notes'!O24&lt;&gt;"",1+AI16,AI16)</f>
        <v>0</v>
      </c>
      <c r="AJ17" t="str">
        <f>IFERROR(INDEX('Adjustments &amp; Notes'!$O$12:$O$66,MATCH(ROW()-ROW($AJ$4),$AI$5:$AI$55,),),"")</f>
        <v/>
      </c>
      <c r="AK17" s="921" t="s">
        <v>843</v>
      </c>
      <c r="AL17" s="917" t="str">
        <f>IF(AL16,COUNTIF($AL$16:AL16,TRUE),"")</f>
        <v/>
      </c>
      <c r="AM17" s="917" t="str">
        <f>IF(AM16,COUNTIF($AL$16:AM16,TRUE),"")</f>
        <v/>
      </c>
      <c r="AN17" s="917" t="str">
        <f>IF(AN16,COUNTIF($AL$16:AN16,TRUE),"")</f>
        <v/>
      </c>
      <c r="AO17" s="917" t="str">
        <f>IF(AO16,COUNTIF($AL$16:AO16,TRUE),"")</f>
        <v/>
      </c>
      <c r="AP17" s="917" t="str">
        <f>IF(AP16,COUNTIF($AL$16:AP16,TRUE),"")</f>
        <v/>
      </c>
      <c r="AQ17" s="917" t="str">
        <f>IF(AQ16,COUNTIF($AL$16:AQ16,TRUE),"")</f>
        <v/>
      </c>
      <c r="AY17" s="195" t="s">
        <v>208</v>
      </c>
      <c r="AZ17" t="str">
        <f>IF(UnLeveredIRR="n/a","  "," "&amp;TEXT(UnLeveredIRR,"0.00%")&amp;"  ")</f>
        <v xml:space="preserve"> 16.42%  </v>
      </c>
      <c r="BC17" s="78" t="s">
        <v>113</v>
      </c>
      <c r="BD17" s="27"/>
      <c r="BE17" s="78"/>
      <c r="BF17" t="b">
        <f>AND(Loan3OrigMnth&lt;&gt;"",Loan3OrigMnth&lt;=YrOfExit*12)</f>
        <v>0</v>
      </c>
      <c r="BG17" t="s">
        <v>844</v>
      </c>
      <c r="CI17" t="s">
        <v>845</v>
      </c>
      <c r="DC17" t="s">
        <v>846</v>
      </c>
      <c r="DD17" s="892"/>
    </row>
    <row r="18" spans="1:108">
      <c r="A18" s="923" t="b">
        <v>0</v>
      </c>
      <c r="C18" s="892"/>
      <c r="D18" t="s">
        <v>847</v>
      </c>
      <c r="E18" s="902">
        <v>60</v>
      </c>
      <c r="F18" t="str">
        <f>InputDetailIsAnnually</f>
        <v>Annually</v>
      </c>
      <c r="L18" t="s">
        <v>848</v>
      </c>
      <c r="M18" t="s">
        <v>403</v>
      </c>
      <c r="N18" t="str">
        <f>Input!B142</f>
        <v>Insurance</v>
      </c>
      <c r="O18" t="str">
        <f t="shared" si="0"/>
        <v>Insurance</v>
      </c>
      <c r="P18" t="str">
        <f>Input!V142</f>
        <v>Insurance</v>
      </c>
      <c r="Q18" t="s">
        <v>402</v>
      </c>
      <c r="R18" t="str">
        <f t="shared" si="1"/>
        <v>Insurance</v>
      </c>
      <c r="Y18" t="s">
        <v>837</v>
      </c>
      <c r="AG18" s="892"/>
      <c r="AI18" s="903">
        <f>IF('Adjustments &amp; Notes'!O25&lt;&gt;"",1+AI17,AI17)</f>
        <v>0</v>
      </c>
      <c r="AJ18" t="str">
        <f>IFERROR(INDEX('Adjustments &amp; Notes'!$O$12:$O$66,MATCH(ROW()-ROW($AJ$4),$AI$5:$AI$55,),),"")</f>
        <v/>
      </c>
      <c r="AK18" s="914"/>
      <c r="AL18" s="914"/>
      <c r="AM18" s="914"/>
      <c r="AN18" s="914"/>
      <c r="AO18" s="914"/>
      <c r="AP18" s="914"/>
      <c r="AQ18" s="914"/>
      <c r="AY18" s="195" t="s">
        <v>849</v>
      </c>
      <c r="AZ18" t="str">
        <f>IF(LeveredIRR="n/a","  "," "&amp;TEXT(LeveredIRR,"0.00%")&amp;"  ")</f>
        <v xml:space="preserve"> 16.42%  </v>
      </c>
      <c r="BG18" t="s">
        <v>850</v>
      </c>
      <c r="CI18" t="s">
        <v>851</v>
      </c>
      <c r="CJ18">
        <v>7665</v>
      </c>
      <c r="CK18">
        <v>7607</v>
      </c>
      <c r="CL18">
        <v>7704</v>
      </c>
      <c r="CM18">
        <v>7853</v>
      </c>
      <c r="CN18">
        <v>7952</v>
      </c>
      <c r="CO18">
        <v>7880</v>
      </c>
      <c r="CP18">
        <v>7837</v>
      </c>
      <c r="CQ18">
        <v>7613</v>
      </c>
      <c r="CR18">
        <v>7595</v>
      </c>
      <c r="CS18">
        <v>7918</v>
      </c>
      <c r="CT18">
        <v>7910</v>
      </c>
      <c r="CU18">
        <v>8020</v>
      </c>
      <c r="DC18" t="s">
        <v>852</v>
      </c>
      <c r="DD18" s="892"/>
    </row>
    <row r="19" spans="1:108">
      <c r="A19" s="923" t="b">
        <v>1</v>
      </c>
      <c r="C19" s="892"/>
      <c r="D19" t="s">
        <v>847</v>
      </c>
      <c r="E19" s="902">
        <v>61</v>
      </c>
      <c r="F19" t="str">
        <f>InputDetailIsMonthly</f>
        <v>Monthly</v>
      </c>
      <c r="M19" t="s">
        <v>404</v>
      </c>
      <c r="N19" t="str">
        <f>Input!B143</f>
        <v>Real Estate Taxes</v>
      </c>
      <c r="O19" t="str">
        <f t="shared" si="0"/>
        <v>Real Estate Taxes</v>
      </c>
      <c r="P19" t="str">
        <f>Input!V143</f>
        <v>Real Estate Taxes</v>
      </c>
      <c r="Q19" t="s">
        <v>403</v>
      </c>
      <c r="R19" t="str">
        <f t="shared" si="1"/>
        <v>Real Estate Taxes</v>
      </c>
      <c r="AG19" s="892"/>
      <c r="AI19" s="903">
        <f>IF('Adjustments &amp; Notes'!O30&lt;&gt;"",1+AI18,AI18)</f>
        <v>0</v>
      </c>
      <c r="AJ19" t="str">
        <f>IFERROR(INDEX('Adjustments &amp; Notes'!$O$12:$O$66,MATCH(ROW()-ROW($AJ$4),$AI$5:$AI$55,),),"")</f>
        <v/>
      </c>
      <c r="AK19" s="924" t="s">
        <v>41</v>
      </c>
      <c r="AL19" s="914"/>
      <c r="AM19" s="914"/>
      <c r="AN19" s="914"/>
      <c r="AO19" s="914"/>
      <c r="AP19" s="914"/>
      <c r="AQ19" s="914"/>
      <c r="AY19" s="195" t="s">
        <v>853</v>
      </c>
      <c r="AZ19" t="str">
        <f>IF('CF Calculations'!$O$122," "&amp;TEXT('CF Calculations'!$O$108/'CF Calculations'!$O$122+1,"0.00x")&amp;"  ","  ")</f>
        <v xml:space="preserve"> 2.52x  </v>
      </c>
      <c r="BF19" t="b">
        <v>0</v>
      </c>
      <c r="BG19" t="s">
        <v>854</v>
      </c>
      <c r="CI19" t="s">
        <v>855</v>
      </c>
      <c r="CJ19">
        <v>6239</v>
      </c>
      <c r="CK19">
        <v>3715</v>
      </c>
      <c r="CL19">
        <v>4225</v>
      </c>
      <c r="CM19">
        <v>5465</v>
      </c>
      <c r="CN19">
        <v>7668</v>
      </c>
      <c r="CO19">
        <v>6185</v>
      </c>
      <c r="CP19">
        <v>21057</v>
      </c>
      <c r="CQ19">
        <v>13196</v>
      </c>
      <c r="CR19">
        <v>12346</v>
      </c>
      <c r="CS19">
        <v>12187</v>
      </c>
      <c r="CT19">
        <v>6547</v>
      </c>
      <c r="CU19">
        <v>4066</v>
      </c>
      <c r="DC19" t="s">
        <v>856</v>
      </c>
      <c r="DD19" s="892"/>
    </row>
    <row r="20" spans="1:108">
      <c r="A20" s="920" t="b">
        <f>UpfrontFunding=SelectionIsYes</f>
        <v>0</v>
      </c>
      <c r="C20" s="892"/>
      <c r="D20" t="s">
        <v>857</v>
      </c>
      <c r="E20" s="902">
        <v>70</v>
      </c>
      <c r="F20" t="str">
        <f>Input!G199</f>
        <v>Loan to Value (%)</v>
      </c>
      <c r="M20" t="s">
        <v>405</v>
      </c>
      <c r="N20" t="str">
        <f>Input!B144</f>
        <v>Other Property Taxes</v>
      </c>
      <c r="O20" t="str">
        <f t="shared" si="0"/>
        <v>Other Property Taxes</v>
      </c>
      <c r="P20" t="str">
        <f>Input!V144</f>
        <v>Real Estate Taxes</v>
      </c>
      <c r="Q20" t="s">
        <v>404</v>
      </c>
      <c r="R20" t="str">
        <f t="shared" si="1"/>
        <v>Real Estate Taxes</v>
      </c>
      <c r="AG20" s="892"/>
      <c r="AI20" s="903">
        <f>IF('Adjustments &amp; Notes'!O31&lt;&gt;"",1+AI19,AI19)</f>
        <v>0</v>
      </c>
      <c r="AJ20" t="str">
        <f>IFERROR(INDEX('Adjustments &amp; Notes'!$O$12:$O$66,MATCH(ROW()-ROW($AJ$4),$AI$5:$AI$55,),),"")</f>
        <v/>
      </c>
      <c r="AK20" s="921" t="s">
        <v>42</v>
      </c>
      <c r="AL20" s="925">
        <f>Assum1CurrBal/PurchasePrice</f>
        <v>0</v>
      </c>
      <c r="AM20" s="925">
        <f>Assum2CurrBal/PurchasePrice</f>
        <v>0</v>
      </c>
      <c r="AN20" s="925">
        <f>Assum3CurrBal/PurchasePrice</f>
        <v>0</v>
      </c>
      <c r="AO20" s="975">
        <f t="array" ref="AO20">IFERROR(IF(AND(AO21=REFILOANAMOUNT,REFILOANAMOUNT&gt;0),$AL$42,IF(AND(AO21=BRIDGELOANAMOUNT,BRIDGELOANAMOUNT&lt;&gt;0),$AP$35,Loan1Amount/PurchasePrice)),Loan1Amount/PurchasePrice)</f>
        <v>0</v>
      </c>
      <c r="AP20" s="975">
        <f t="array" ref="AP20">IFERROR(IF(AND(AP21=REFILOANAMOUNT,REFILOANAMOUNT&gt;0),$AL$42,IF(AND(AP21=BRIDGELOANAMOUNT,BRIDGELOANAMOUNT&lt;&gt;0),$AP$35,Loan2Amount/PurchasePrice)),Loan2Amount/PurchasePrice)</f>
        <v>0</v>
      </c>
      <c r="AQ20" s="975">
        <f t="array" ref="AQ20">IFERROR(IF(AND(AQ21=REFILOANAMOUNT,REFILOANAMOUNT&gt;0),$AL$42,IF(AND(AQ21=BRIDGELOANAMOUNT,BRIDGELOANAMOUNT&lt;&gt;0),$AP$35,Loan3Amount/PurchasePrice)),Loan3Amount/PurchasePrice)</f>
        <v>0</v>
      </c>
      <c r="AY20" s="195" t="e">
        <f>PartnershipEntity2&amp;" IRR"</f>
        <v>#REF!</v>
      </c>
      <c r="AZ20" t="e">
        <f>IF(SponsorIRR="n/a","  "," "&amp;TEXT(SponsorIRR,"0.00%")&amp;"  ")</f>
        <v>#REF!</v>
      </c>
      <c r="BF20">
        <f>MAX(AssumRemainTerm,Loan1OrigMnth+Loan1Term,Loan2OrigMnth+Loan2Term,Loan3OrigMnth+Loan3Term)</f>
        <v>0</v>
      </c>
      <c r="BG20" t="s">
        <v>858</v>
      </c>
      <c r="CI20" t="s">
        <v>859</v>
      </c>
      <c r="DC20" t="s">
        <v>860</v>
      </c>
      <c r="DD20" s="892"/>
    </row>
    <row r="21" spans="1:108">
      <c r="A21" s="922">
        <f>IF(ExitValBasis=Forward,E46,E47)</f>
        <v>180</v>
      </c>
      <c r="C21" s="892"/>
      <c r="D21" t="s">
        <v>857</v>
      </c>
      <c r="E21" s="902">
        <v>71</v>
      </c>
      <c r="F21" t="str">
        <f>Input!G201</f>
        <v>Amount ($)</v>
      </c>
      <c r="M21" t="s">
        <v>406</v>
      </c>
      <c r="N21" t="str">
        <f>Input!B145</f>
        <v>Property Management Fee</v>
      </c>
      <c r="O21" t="str">
        <f t="shared" si="0"/>
        <v>Property Management Fee</v>
      </c>
      <c r="P21" t="str">
        <f>Input!V145</f>
        <v>Property Management Fee</v>
      </c>
      <c r="Q21" t="s">
        <v>405</v>
      </c>
      <c r="R21" t="str">
        <f t="shared" si="1"/>
        <v>Property Management Fee</v>
      </c>
      <c r="AG21" s="892"/>
      <c r="AI21" s="903">
        <f>IF('Adjustments &amp; Notes'!O32&lt;&gt;"",1+AI20,AI20)</f>
        <v>0</v>
      </c>
      <c r="AJ21" t="str">
        <f>IFERROR(INDEX('Adjustments &amp; Notes'!$O$12:$O$66,MATCH(ROW()-ROW($AJ$4),$AI$5:$AI$55,),),"")</f>
        <v/>
      </c>
      <c r="AK21" s="921" t="s">
        <v>43</v>
      </c>
      <c r="AL21" s="926">
        <f>IF(HasAssumableDebt1,Assum1CurrBal,)</f>
        <v>0</v>
      </c>
      <c r="AM21" s="926">
        <f>IF(HasAssumableDebt2,Assum2CurrBal,)</f>
        <v>0</v>
      </c>
      <c r="AN21" s="926">
        <f>IF(HasAssumableDebt3,Assum3CurrBal,)</f>
        <v>0</v>
      </c>
      <c r="AO21" s="926">
        <f>Loan1Amount</f>
        <v>0</v>
      </c>
      <c r="AP21" s="926">
        <f>Loan2Amount</f>
        <v>0</v>
      </c>
      <c r="AQ21" s="926">
        <f>Loan3Amount</f>
        <v>0</v>
      </c>
      <c r="AY21" s="195" t="e">
        <f>PartnershipEntity2&amp;" Equity Mult."</f>
        <v>#REF!</v>
      </c>
      <c r="AZ21" t="e">
        <f>IF((LeveredFundingReq+'CF Calculations'!#REF!)*Input!#REF!," "&amp;TEXT('CF Calculations'!#REF!/((LeveredFundingReq+'CF Calculations'!#REF!)*Input!#REF!)+1,"0.00x")&amp;"  ","  ")</f>
        <v>#REF!</v>
      </c>
      <c r="BF21">
        <f>NOT(AND(RevenueInpMethodType=32,OR(RevenueInpMethodTypeOld="",RevenueInpMethodTypeOld=32)))*NOT(AND(RevenueInpMethodType&lt;&gt;30,RentRollDateStamp&lt;&gt;"",LatestRRDateStamp&lt;&gt;"",RentRollDateStamp=LatestRRDateStamp,COUNTIF(SameRRFloorPlans,FALSE)=0,AND(RevenueInpMethodTypeOld=30,COUNTIF(SameRRFloorPlansOld,FALSE)=0)))*NOT(AND(RevenueInpMethodTypeOverride=32,RevenueInpMethodType=32,LatestRRDateStamp=RentRollDateStamp,RevenueInpMethodTypeOld=31))*NOT(AND(RevenueInpMethodTypeOverride=31,RevenueInpMethodType=31,LatestRRDateStamp=RentRollDateStamp,OR(RevenueInpMethodTypeOld="",RevenueInpMethodTypeOld=31)))*COUNTA(FloorPlansFromRR)*IsRentRollInput</f>
        <v>2</v>
      </c>
      <c r="BG21" t="s">
        <v>861</v>
      </c>
      <c r="DD21" s="892"/>
    </row>
    <row r="22" spans="1:108">
      <c r="A22" s="895">
        <v>11</v>
      </c>
      <c r="C22" s="892"/>
      <c r="D22" t="s">
        <v>862</v>
      </c>
      <c r="E22" s="902">
        <v>80</v>
      </c>
      <c r="F22" t="str">
        <f>Grown</f>
        <v>Grown at inflation</v>
      </c>
      <c r="N22" t="str">
        <f>Input!B146</f>
        <v>Other Operating Expenses</v>
      </c>
      <c r="O22" t="str">
        <f t="shared" si="0"/>
        <v>Other Operating Expenses</v>
      </c>
      <c r="P22" t="str">
        <f>Input!V146</f>
        <v>Other Operating Expenses</v>
      </c>
      <c r="Q22" t="s">
        <v>406</v>
      </c>
      <c r="R22" t="str">
        <f t="shared" si="1"/>
        <v>Other Operating Expenses</v>
      </c>
      <c r="AG22" s="892"/>
      <c r="AI22" s="903">
        <f>IF('Adjustments &amp; Notes'!O33&lt;&gt;"",1+AI21,AI21)</f>
        <v>0</v>
      </c>
      <c r="AJ22" t="str">
        <f>IFERROR(INDEX('Adjustments &amp; Notes'!$O$12:$O$66,MATCH(ROW()-ROW($AJ$4),$AI$5:$AI$55,),),"")</f>
        <v/>
      </c>
      <c r="AK22" s="921"/>
      <c r="AL22" s="914"/>
      <c r="AM22" s="914"/>
      <c r="AN22" s="914"/>
      <c r="AO22" s="914"/>
      <c r="AP22" s="914"/>
      <c r="AQ22" s="914"/>
      <c r="AY22" s="195" t="s">
        <v>863</v>
      </c>
      <c r="AZ22" t="e">
        <f>IF(PartnershipIRR="n/a","  "," "&amp;TEXT(PartnershipIRR,"0.00%")&amp;"  ")</f>
        <v>#REF!</v>
      </c>
      <c r="BF22">
        <f>IF(IsRentRollInput,31,30)</f>
        <v>31</v>
      </c>
      <c r="BG22" t="s">
        <v>864</v>
      </c>
      <c r="DD22" s="892"/>
    </row>
    <row r="23" spans="1:108">
      <c r="A23" s="920"/>
      <c r="C23" s="892"/>
      <c r="D23" t="s">
        <v>862</v>
      </c>
      <c r="E23" s="902">
        <v>81</v>
      </c>
      <c r="F23" t="str">
        <f>S6</f>
        <v>Not grown at inflation</v>
      </c>
      <c r="N23" t="str">
        <f>Input!B147</f>
        <v>Customizable 1</v>
      </c>
      <c r="O23" t="str">
        <f>Input!V147</f>
        <v>Other Operating Expenses</v>
      </c>
      <c r="P23" t="str">
        <f>INDEX($P$5:$P$22,MATCH(O23,$N$5:$N$22,),)</f>
        <v>Other Operating Expenses</v>
      </c>
      <c r="Q23" t="s">
        <v>848</v>
      </c>
      <c r="R23" t="s">
        <v>848</v>
      </c>
      <c r="AG23" s="892"/>
      <c r="AI23" s="903">
        <f>IF('Adjustments &amp; Notes'!O34&lt;&gt;"",1+AI22,AI22)</f>
        <v>0</v>
      </c>
      <c r="AJ23" t="str">
        <f>IFERROR(INDEX('Adjustments &amp; Notes'!$O$12:$O$66,MATCH(ROW()-ROW($AJ$4),$AI$5:$AI$55,),),"")</f>
        <v/>
      </c>
      <c r="AK23" s="924" t="s">
        <v>44</v>
      </c>
      <c r="AL23" s="914"/>
      <c r="AM23" s="914"/>
      <c r="AN23" s="914"/>
      <c r="AO23" s="914"/>
      <c r="AP23" s="914"/>
      <c r="AQ23" s="914"/>
      <c r="AY23" s="195" t="s">
        <v>865</v>
      </c>
      <c r="AZ23" t="e">
        <f>IF((LeveredFundingReq+'CF Calculations'!#REF!)," "&amp;TEXT('CF Calculations'!#REF!/(LeveredFundingReq+'CF Calculations'!#REF!)+1,"0.00x")&amp;"  ","  ")</f>
        <v>#REF!</v>
      </c>
      <c r="BF23" t="b">
        <v>0</v>
      </c>
      <c r="BG23" t="s">
        <v>866</v>
      </c>
      <c r="DD23" s="892"/>
    </row>
    <row r="24" spans="1:108">
      <c r="A24" s="922">
        <f>IF(IsRentRollInput,IF(AND(RevenueInpMethodTypeOld=32,COUNTIF(SameRRFloorPlansOld,FALSE)=0,NumberOfUnitFloorPlans=OldNumberOfFlPls,COUNTIF(SameRRFloorPlans,FALSE)=0,NumberOfUnitFloorPlans=NumberOfFlPlInRR,RentRollDateStamp&lt;&gt;"",LatestRRDateStamp&lt;&gt;"",RentRollDateStamp=LatestRRDateStamp),32,IF(AND(RevenueInpMethodTypeOld&lt;&gt;30,COUNTIF(SameRRFloorPlansOld,FALSE)=0,NumberOfUnitFloorPlans=OldNumberOfFlPls),31,30)),30)</f>
        <v>30</v>
      </c>
      <c r="C24" s="892"/>
      <c r="D24" t="s">
        <v>867</v>
      </c>
      <c r="E24" s="902">
        <v>90</v>
      </c>
      <c r="F24" t="s">
        <v>868</v>
      </c>
      <c r="N24" t="str">
        <f>Input!B148</f>
        <v>Customizable 2</v>
      </c>
      <c r="O24" t="str">
        <f>Input!V148</f>
        <v>Other Operating Expenses</v>
      </c>
      <c r="P24" t="str">
        <f>INDEX($P$5:$P$22,MATCH(O24,$N$5:$N$22,),)</f>
        <v>Other Operating Expenses</v>
      </c>
      <c r="AG24" s="892"/>
      <c r="AI24" s="903">
        <f>IF('Adjustments &amp; Notes'!O35&lt;&gt;"",1+AI23,AI23)</f>
        <v>0</v>
      </c>
      <c r="AJ24" t="str">
        <f>IFERROR(INDEX('Adjustments &amp; Notes'!$O$12:$O$66,MATCH(ROW()-ROW($AJ$4),$AI$5:$AI$55,),),"")</f>
        <v/>
      </c>
      <c r="AK24" s="921" t="s">
        <v>45</v>
      </c>
      <c r="AL24" s="927">
        <f>IF(HasAssumableDebt1,AnalysisStartDate,)</f>
        <v>0</v>
      </c>
      <c r="AM24" s="927">
        <f>IF(HasAssumableDebt2,AnalysisStartDate,)</f>
        <v>0</v>
      </c>
      <c r="AN24" s="927">
        <f>IF(HasAssumableDebt3,AnalysisStartDate,)</f>
        <v>0</v>
      </c>
      <c r="AO24" s="927">
        <f>Loan1OrigDate</f>
        <v>0</v>
      </c>
      <c r="AP24" s="927">
        <f>Input!K194</f>
        <v>0</v>
      </c>
      <c r="AQ24" s="927">
        <f>Input!M194</f>
        <v>0</v>
      </c>
      <c r="BF24" t="b">
        <v>1</v>
      </c>
      <c r="BG24" t="s">
        <v>869</v>
      </c>
      <c r="DD24" s="892"/>
    </row>
    <row r="25" spans="1:108">
      <c r="A25" s="928" t="b">
        <v>1</v>
      </c>
      <c r="C25" s="892"/>
      <c r="D25" t="s">
        <v>867</v>
      </c>
      <c r="E25" s="902">
        <v>91</v>
      </c>
      <c r="F25" t="s">
        <v>870</v>
      </c>
      <c r="AG25" s="892"/>
      <c r="AI25" s="903">
        <f>IF('Adjustments &amp; Notes'!O36&lt;&gt;"",1+AI24,AI24)</f>
        <v>0</v>
      </c>
      <c r="AJ25" t="str">
        <f>IFERROR(INDEX('Adjustments &amp; Notes'!$O$12:$O$66,MATCH(ROW()-ROW($AJ$4),$AI$5:$AI$55,),),"")</f>
        <v/>
      </c>
      <c r="AK25" s="921" t="s">
        <v>46</v>
      </c>
      <c r="AL25" s="929">
        <f>Assum1RemainTerm</f>
        <v>0</v>
      </c>
      <c r="AM25" s="929">
        <f>Assum2RemainTerm</f>
        <v>0</v>
      </c>
      <c r="AN25" s="929">
        <f>Assum3RemainTerm</f>
        <v>0</v>
      </c>
      <c r="AO25" s="929">
        <f>Loan1Term</f>
        <v>0</v>
      </c>
      <c r="AP25" s="929">
        <f>Loan2Term</f>
        <v>0</v>
      </c>
      <c r="AQ25" s="929">
        <f>Loan3Term</f>
        <v>0</v>
      </c>
      <c r="BG25" t="s">
        <v>871</v>
      </c>
      <c r="DD25" s="892"/>
    </row>
    <row r="26" spans="1:108">
      <c r="A26" s="930">
        <v>45991</v>
      </c>
      <c r="C26" s="892"/>
      <c r="D26" t="s">
        <v>872</v>
      </c>
      <c r="E26" s="902">
        <v>100</v>
      </c>
      <c r="F26" t="s">
        <v>873</v>
      </c>
      <c r="AG26" s="892"/>
      <c r="AI26" s="903">
        <f>IF('Adjustments &amp; Notes'!O37&lt;&gt;"",1+AI25,AI25)</f>
        <v>0</v>
      </c>
      <c r="AJ26" t="str">
        <f>IFERROR(INDEX('Adjustments &amp; Notes'!$O$12:$O$66,MATCH(ROW()-ROW($AJ$4),$AI$5:$AI$55,),),"")</f>
        <v/>
      </c>
      <c r="AK26" s="921" t="s">
        <v>47</v>
      </c>
      <c r="AL26" s="917" t="str">
        <f>Assum1IntType</f>
        <v>Fixed</v>
      </c>
      <c r="AM26" s="917" t="str">
        <f>Assum2IntType</f>
        <v>Fixed</v>
      </c>
      <c r="AN26" s="917" t="str">
        <f>Assum3IntType</f>
        <v>Fixed</v>
      </c>
      <c r="AO26" s="917" t="str">
        <f>Loan1IntType</f>
        <v>Fixed</v>
      </c>
      <c r="AP26" s="917" t="str">
        <f>Loan2IntType</f>
        <v>Fixed</v>
      </c>
      <c r="AQ26" s="917" t="str">
        <f>Loan3IntType</f>
        <v>Fixed</v>
      </c>
      <c r="BF26">
        <f>IF(DB92,1,IF(AND(DB92=0,SUM(DB93:DB122)),2,))*(COUNTA(CJ4:DA4)&gt;0)</f>
        <v>0</v>
      </c>
      <c r="BG26" t="s">
        <v>874</v>
      </c>
      <c r="DD26" s="892"/>
    </row>
    <row r="27" spans="1:108">
      <c r="A27" s="930">
        <v>45991</v>
      </c>
      <c r="C27" s="892"/>
      <c r="D27" t="s">
        <v>872</v>
      </c>
      <c r="E27" s="902">
        <v>101</v>
      </c>
      <c r="F27" t="s">
        <v>875</v>
      </c>
      <c r="AG27" s="892"/>
      <c r="AI27" s="903">
        <f>IF('Adjustments &amp; Notes'!O38&lt;&gt;"",1+AI26,AI26)</f>
        <v>0</v>
      </c>
      <c r="AJ27" t="str">
        <f>IFERROR(INDEX('Adjustments &amp; Notes'!$O$12:$O$66,MATCH(ROW()-ROW($AJ$4),$AI$5:$AI$55,),),"")</f>
        <v/>
      </c>
      <c r="AK27" s="921" t="s">
        <v>48</v>
      </c>
      <c r="AL27" s="931">
        <f>Assum1IntRate</f>
        <v>0</v>
      </c>
      <c r="AM27" s="931">
        <f>Assum2IntRate</f>
        <v>0</v>
      </c>
      <c r="AN27" s="931">
        <f>Assum3IntRate</f>
        <v>0</v>
      </c>
      <c r="AO27" s="931">
        <f>Loan1IntRate</f>
        <v>0</v>
      </c>
      <c r="AP27" s="931">
        <f>Loan2IntRate</f>
        <v>0</v>
      </c>
      <c r="AQ27" s="931">
        <f>Loan3IntRate</f>
        <v>0</v>
      </c>
      <c r="BG27" t="s">
        <v>876</v>
      </c>
      <c r="DD27" s="892"/>
    </row>
    <row r="28" spans="1:108">
      <c r="A28" s="928" t="b">
        <f>COUNTIF('Operating Calculations'!$A$45:$A$46,TRUE)&gt;0</f>
        <v>0</v>
      </c>
      <c r="C28" s="892"/>
      <c r="D28" t="s">
        <v>877</v>
      </c>
      <c r="E28" s="902">
        <v>110</v>
      </c>
      <c r="F28" t="s">
        <v>878</v>
      </c>
      <c r="AG28" s="892"/>
      <c r="AI28" s="903">
        <f>IF('Adjustments &amp; Notes'!O39&lt;&gt;"",1+AI27,AI27)</f>
        <v>0</v>
      </c>
      <c r="AJ28" t="str">
        <f>IFERROR(INDEX('Adjustments &amp; Notes'!$O$12:$O$66,MATCH(ROW()-ROW($AJ$4),$AI$5:$AI$55,),),"")</f>
        <v/>
      </c>
      <c r="AK28" s="921" t="s">
        <v>49</v>
      </c>
      <c r="AL28" s="929">
        <f>Assume1IOPer</f>
        <v>0</v>
      </c>
      <c r="AM28" s="929">
        <f>Assume2IOPer</f>
        <v>0</v>
      </c>
      <c r="AN28" s="929">
        <f>Assume3IOPer</f>
        <v>0</v>
      </c>
      <c r="AO28" s="929">
        <f>Loan1IOPer</f>
        <v>0</v>
      </c>
      <c r="AP28" s="929">
        <f>Loan2IOPer</f>
        <v>0</v>
      </c>
      <c r="AQ28" s="929">
        <f>Loan3IOPer</f>
        <v>0</v>
      </c>
      <c r="BF28" t="b">
        <v>0</v>
      </c>
      <c r="BG28" t="s">
        <v>879</v>
      </c>
      <c r="CI28" t="s">
        <v>880</v>
      </c>
      <c r="CJ28">
        <v>1138</v>
      </c>
      <c r="CK28">
        <v>140</v>
      </c>
      <c r="CL28">
        <v>25313</v>
      </c>
      <c r="CM28">
        <v>813</v>
      </c>
      <c r="CN28">
        <v>6293</v>
      </c>
      <c r="CO28">
        <v>3270</v>
      </c>
      <c r="CP28">
        <v>3369</v>
      </c>
      <c r="CQ28">
        <v>7244</v>
      </c>
      <c r="CR28">
        <v>14569</v>
      </c>
      <c r="CS28">
        <v>10963</v>
      </c>
      <c r="CT28">
        <v>12589</v>
      </c>
      <c r="CU28">
        <v>4577</v>
      </c>
      <c r="DC28" t="s">
        <v>881</v>
      </c>
      <c r="DD28" s="892"/>
    </row>
    <row r="29" spans="1:108">
      <c r="A29" s="928" t="b">
        <f>AND(SUM(LeaseExpirationSchedule)&gt;0,RRDateForExpirationTable&gt;0)</f>
        <v>1</v>
      </c>
      <c r="C29" s="892"/>
      <c r="D29" t="s">
        <v>877</v>
      </c>
      <c r="E29" s="902">
        <v>111</v>
      </c>
      <c r="F29" t="s">
        <v>882</v>
      </c>
      <c r="AG29" s="892"/>
      <c r="AI29" s="903">
        <f>IF('Adjustments &amp; Notes'!O40&lt;&gt;"",1+AI28,AI28)</f>
        <v>0</v>
      </c>
      <c r="AJ29" t="str">
        <f>IFERROR(INDEX('Adjustments &amp; Notes'!$O$12:$O$66,MATCH(ROW()-ROW($AJ$4),$AI$5:$AI$55,),),"")</f>
        <v/>
      </c>
      <c r="AK29" s="921" t="s">
        <v>50</v>
      </c>
      <c r="AL29" s="932">
        <f>Assum1AmortPer</f>
        <v>0</v>
      </c>
      <c r="AM29" s="932">
        <f>Assum2AmortPer</f>
        <v>0</v>
      </c>
      <c r="AN29" s="932">
        <f>Assum3AmortPer</f>
        <v>0</v>
      </c>
      <c r="AO29" s="932">
        <f>Loan1AmortPer</f>
        <v>0</v>
      </c>
      <c r="AP29" s="932">
        <f>Loan2AmortPer</f>
        <v>0</v>
      </c>
      <c r="AQ29" s="932">
        <f>Loan3AmortPer</f>
        <v>0</v>
      </c>
      <c r="BF29">
        <f>SUMPRODUCT(MAX(('CF Calculations'!E67:N67&lt;0)*CFYears))+1</f>
        <v>1</v>
      </c>
      <c r="BG29" t="s">
        <v>883</v>
      </c>
      <c r="CI29" t="s">
        <v>884</v>
      </c>
      <c r="DC29" t="s">
        <v>885</v>
      </c>
      <c r="DD29" s="892"/>
    </row>
    <row r="30" spans="1:108">
      <c r="A30" s="928">
        <v>51</v>
      </c>
      <c r="C30" s="892"/>
      <c r="D30" t="s">
        <v>877</v>
      </c>
      <c r="E30" s="902">
        <v>112</v>
      </c>
      <c r="F30" t="s">
        <v>886</v>
      </c>
      <c r="AG30" s="892"/>
      <c r="AI30" s="903">
        <f>IF('Adjustments &amp; Notes'!O41&lt;&gt;"",1+AI29,AI29)</f>
        <v>0</v>
      </c>
      <c r="AJ30" t="str">
        <f>IFERROR(INDEX('Adjustments &amp; Notes'!$O$12:$O$66,MATCH(ROW()-ROW($AJ$4),$AI$5:$AI$55,),),"")</f>
        <v/>
      </c>
      <c r="AK30" s="970"/>
      <c r="BF30">
        <f>IFERROR(SUMPRODUCT(--(ROUND(Input!Q249:Q253,4)&lt;&gt;ROUND(Input!T249:T253,4)))+(ROUND(PurchasePriceSensitivityInput,)&lt;&gt;ROUND(PurchasePrice,)),)</f>
        <v>5</v>
      </c>
      <c r="BG30" t="s">
        <v>887</v>
      </c>
      <c r="CI30" t="s">
        <v>888</v>
      </c>
      <c r="DC30" t="s">
        <v>889</v>
      </c>
      <c r="DD30" s="892"/>
    </row>
    <row r="31" spans="1:108">
      <c r="A31" s="928">
        <v>50</v>
      </c>
      <c r="C31" s="892"/>
      <c r="D31" t="s">
        <v>890</v>
      </c>
      <c r="E31" s="902">
        <v>120</v>
      </c>
      <c r="F31" t="str">
        <f>H5</f>
        <v>As Revenue</v>
      </c>
      <c r="AG31" s="892"/>
      <c r="AI31" s="903">
        <f>IF('Adjustments &amp; Notes'!O42&lt;&gt;"",1+AI30,AI30)</f>
        <v>0</v>
      </c>
      <c r="AJ31" t="str">
        <f>IFERROR(INDEX('Adjustments &amp; Notes'!$O$12:$O$66,MATCH(ROW()-ROW($AJ$4),$AI$5:$AI$55,),),"")</f>
        <v/>
      </c>
      <c r="AK31" s="970"/>
      <c r="BF31" t="b">
        <v>0</v>
      </c>
      <c r="BG31" t="s">
        <v>891</v>
      </c>
      <c r="CI31" t="s">
        <v>892</v>
      </c>
      <c r="CJ31">
        <v>2250</v>
      </c>
      <c r="CK31">
        <v>2250</v>
      </c>
      <c r="CL31">
        <v>-270</v>
      </c>
      <c r="CM31">
        <v>2000</v>
      </c>
      <c r="CP31">
        <v>2044</v>
      </c>
      <c r="CQ31">
        <v>2000</v>
      </c>
      <c r="CS31">
        <v>2000</v>
      </c>
      <c r="CT31">
        <v>2000</v>
      </c>
      <c r="CU31">
        <v>2000</v>
      </c>
      <c r="DC31" t="s">
        <v>893</v>
      </c>
      <c r="DD31" s="892"/>
    </row>
    <row r="32" spans="1:108">
      <c r="A32" s="895">
        <v>60</v>
      </c>
      <c r="C32" s="892"/>
      <c r="D32" t="s">
        <v>890</v>
      </c>
      <c r="E32" s="902">
        <v>121</v>
      </c>
      <c r="F32" t="str">
        <f>H6</f>
        <v>As Contra Expense</v>
      </c>
      <c r="AG32" s="892"/>
      <c r="AI32" s="903">
        <f>IF('Adjustments &amp; Notes'!O43&lt;&gt;"",1+AI31,AI31)</f>
        <v>0</v>
      </c>
      <c r="AJ32" t="str">
        <f>IFERROR(INDEX('Adjustments &amp; Notes'!$O$12:$O$66,MATCH(ROW()-ROW($AJ$4),$AI$5:$AI$55,),),"")</f>
        <v/>
      </c>
      <c r="AK32" s="970"/>
      <c r="BG32" t="s">
        <v>894</v>
      </c>
      <c r="CI32" t="s">
        <v>895</v>
      </c>
      <c r="CJ32">
        <v>7574</v>
      </c>
      <c r="CK32">
        <v>9391</v>
      </c>
      <c r="CL32">
        <v>3653</v>
      </c>
      <c r="CM32">
        <v>3975</v>
      </c>
      <c r="CN32">
        <v>2472</v>
      </c>
      <c r="CO32">
        <v>13319</v>
      </c>
      <c r="CP32">
        <v>6380</v>
      </c>
      <c r="CQ32">
        <v>4095</v>
      </c>
      <c r="CR32">
        <v>5334</v>
      </c>
      <c r="CS32">
        <v>9223</v>
      </c>
      <c r="CT32">
        <v>9597</v>
      </c>
      <c r="CU32">
        <v>3711</v>
      </c>
      <c r="DC32" t="s">
        <v>896</v>
      </c>
      <c r="DD32" s="892"/>
    </row>
    <row r="33" spans="1:108">
      <c r="A33" s="920">
        <f>IF(RenovCostsInfl=F22,E22,E23)</f>
        <v>80</v>
      </c>
      <c r="C33" s="892"/>
      <c r="D33" t="s">
        <v>897</v>
      </c>
      <c r="E33" s="902">
        <v>130</v>
      </c>
      <c r="F33" t="str">
        <f>PurchasePriceInput</f>
        <v>Total Price</v>
      </c>
      <c r="AG33" s="892"/>
      <c r="AI33" s="903">
        <f>IF('Adjustments &amp; Notes'!O44&lt;&gt;"",1+AI32,AI32)</f>
        <v>0</v>
      </c>
      <c r="AJ33" t="str">
        <f>IFERROR(INDEX('Adjustments &amp; Notes'!$O$12:$O$66,MATCH(ROW()-ROW($AJ$4),$AI$5:$AI$55,),),"")</f>
        <v/>
      </c>
      <c r="AK33" s="977" t="s">
        <v>1032</v>
      </c>
      <c r="AL33" s="981">
        <f>MAX(,IFERROR('Adjustments &amp; Notes'!$J$66/PurchasePrice,0))</f>
        <v>7.7923329182826365E-2</v>
      </c>
      <c r="AN33" s="977" t="s">
        <v>1043</v>
      </c>
      <c r="AO33" s="908"/>
      <c r="AP33" s="989">
        <f t="array" aca="1" ref="AP33" ca="1">IFERROR(TotalCostForBridgeLTC,"n/a")</f>
        <v>13009400</v>
      </c>
      <c r="AQ33" s="908"/>
      <c r="AR33" s="908"/>
      <c r="AS33" s="908"/>
      <c r="AT33" s="909"/>
      <c r="BF33" t="s">
        <v>898</v>
      </c>
      <c r="BG33" t="s">
        <v>899</v>
      </c>
      <c r="CI33" t="s">
        <v>900</v>
      </c>
      <c r="CJ33">
        <v>1958</v>
      </c>
      <c r="CK33">
        <v>5449</v>
      </c>
      <c r="CL33">
        <v>2296</v>
      </c>
      <c r="CM33">
        <v>2663</v>
      </c>
      <c r="CN33">
        <v>2159</v>
      </c>
      <c r="CO33">
        <v>135</v>
      </c>
      <c r="CP33">
        <v>964</v>
      </c>
      <c r="CR33">
        <v>194</v>
      </c>
      <c r="CS33">
        <v>-3192</v>
      </c>
      <c r="CT33">
        <v>825</v>
      </c>
      <c r="DC33" t="s">
        <v>901</v>
      </c>
      <c r="DD33" s="892"/>
    </row>
    <row r="34" spans="1:108">
      <c r="A34" s="922">
        <v>112</v>
      </c>
      <c r="C34" s="892"/>
      <c r="D34" t="s">
        <v>897</v>
      </c>
      <c r="E34" s="902">
        <v>131</v>
      </c>
      <c r="F34" t="str">
        <f>PricePerUnit</f>
        <v>Price per Unit</v>
      </c>
      <c r="AG34" s="892"/>
      <c r="AI34" s="903">
        <f>IF('Adjustments &amp; Notes'!O45&lt;&gt;"",1+AI33,AI33)</f>
        <v>0</v>
      </c>
      <c r="AJ34" t="str">
        <f>IFERROR(INDEX('Adjustments &amp; Notes'!$O$12:$O$66,MATCH(ROW()-ROW($AJ$4),$AI$5:$AI$55,),),"")</f>
        <v/>
      </c>
      <c r="AK34" s="979" t="s">
        <v>204</v>
      </c>
      <c r="AL34" s="982">
        <f>ExitCapRate</f>
        <v>5.5E-2</v>
      </c>
      <c r="AN34" s="979" t="s">
        <v>1044</v>
      </c>
      <c r="AP34" s="990" t="str">
        <f t="array" ref="AP34">IFERROR(BRIDGELOANAMOUNT,"n/a")</f>
        <v>n/a</v>
      </c>
      <c r="AT34" s="911"/>
      <c r="BF34" s="914">
        <v>3</v>
      </c>
      <c r="BG34" s="914" t="s">
        <v>902</v>
      </c>
      <c r="CI34" t="s">
        <v>903</v>
      </c>
      <c r="DC34" t="s">
        <v>904</v>
      </c>
      <c r="DD34" s="892"/>
    </row>
    <row r="35" spans="1:108">
      <c r="A35" s="895" t="b">
        <v>0</v>
      </c>
      <c r="C35" s="892"/>
      <c r="D35" t="s">
        <v>897</v>
      </c>
      <c r="E35" s="902">
        <v>132</v>
      </c>
      <c r="F35" t="str">
        <f>CappedPrFrmaNOI</f>
        <v>Cap Rate (Proforma)¹</v>
      </c>
      <c r="AG35" s="892"/>
      <c r="AI35" s="903">
        <f>IF('Adjustments &amp; Notes'!O46&lt;&gt;"",1+AI34,AI34)</f>
        <v>0</v>
      </c>
      <c r="AJ35" t="str">
        <f>IFERROR(INDEX('Adjustments &amp; Notes'!$O$12:$O$66,MATCH(ROW()-ROW($AJ$4),$AI$5:$AI$55,),),"")</f>
        <v/>
      </c>
      <c r="AK35" s="979" t="s">
        <v>1033</v>
      </c>
      <c r="AL35" s="983">
        <f>YrOfExit*12</f>
        <v>84</v>
      </c>
      <c r="AN35" s="979" t="s">
        <v>1045</v>
      </c>
      <c r="AP35" s="990" t="str">
        <f>IF(OR(AP34="n/a",AP34=0),"n/a",TEXT(Loan1Amount/PurchasePrice,"0%")&amp;" ("&amp;TEXT(AP34/AP33,"0%")&amp;" LTC)")</f>
        <v>n/a</v>
      </c>
      <c r="AT35" s="911"/>
      <c r="BF35" s="914">
        <v>3</v>
      </c>
      <c r="BG35" s="914" t="s">
        <v>905</v>
      </c>
      <c r="CI35" t="s">
        <v>906</v>
      </c>
      <c r="CJ35">
        <v>8891</v>
      </c>
      <c r="CK35">
        <v>1651</v>
      </c>
      <c r="CL35">
        <v>3856</v>
      </c>
      <c r="CM35">
        <v>3018</v>
      </c>
      <c r="CN35">
        <v>1708</v>
      </c>
      <c r="CO35">
        <v>1806</v>
      </c>
      <c r="CP35">
        <v>2157</v>
      </c>
      <c r="CQ35">
        <v>1335</v>
      </c>
      <c r="CR35">
        <v>3103</v>
      </c>
      <c r="CS35">
        <v>1941</v>
      </c>
      <c r="CT35">
        <v>4687</v>
      </c>
      <c r="CU35">
        <v>966</v>
      </c>
      <c r="DC35" t="s">
        <v>907</v>
      </c>
      <c r="DD35" s="892"/>
    </row>
    <row r="36" spans="1:108">
      <c r="A36" s="895"/>
      <c r="C36" s="892"/>
      <c r="D36" t="s">
        <v>897</v>
      </c>
      <c r="E36" s="902">
        <v>133</v>
      </c>
      <c r="F36" t="str">
        <f>CappedInPLaceNOI</f>
        <v>Cap Rate (Historical)¹</v>
      </c>
      <c r="AG36" s="892"/>
      <c r="AI36" s="903">
        <f>IF('Adjustments &amp; Notes'!O47&lt;&gt;"",1+AI35,AI35)</f>
        <v>0</v>
      </c>
      <c r="AJ36" t="str">
        <f>IFERROR(INDEX('Adjustments &amp; Notes'!$O$12:$O$66,MATCH(ROW()-ROW($AJ$4),$AI$5:$AI$55,),),"")</f>
        <v/>
      </c>
      <c r="AK36" s="979" t="s">
        <v>1034</v>
      </c>
      <c r="AL36" s="982">
        <f>AL34-AL33</f>
        <v>-2.2923329182826364E-2</v>
      </c>
      <c r="AN36" s="979"/>
      <c r="AR36" s="991" t="s">
        <v>1051</v>
      </c>
      <c r="AS36" s="991" t="s">
        <v>1052</v>
      </c>
      <c r="AT36" s="911"/>
      <c r="BF36" s="914">
        <v>3</v>
      </c>
      <c r="BG36" s="914" t="s">
        <v>908</v>
      </c>
      <c r="CI36" t="s">
        <v>909</v>
      </c>
      <c r="DC36" t="s">
        <v>910</v>
      </c>
      <c r="DD36" s="892"/>
    </row>
    <row r="37" spans="1:108">
      <c r="A37" s="895">
        <f>IF(ReimbMethodInput=F31,E31,E32)</f>
        <v>120</v>
      </c>
      <c r="C37" s="892"/>
      <c r="D37" t="s">
        <v>897</v>
      </c>
      <c r="E37" s="902">
        <v>134</v>
      </c>
      <c r="F37" t="str">
        <f>TargetIRR</f>
        <v>Target Leveraged IRR</v>
      </c>
      <c r="AG37" s="892"/>
      <c r="AI37" s="903">
        <f>IF('Adjustments &amp; Notes'!O48&lt;&gt;"",1+AI36,AI36)</f>
        <v>0</v>
      </c>
      <c r="AJ37" t="str">
        <f>IFERROR(INDEX('Adjustments &amp; Notes'!$O$12:$O$66,MATCH(ROW()-ROW($AJ$4),$AI$5:$AI$55,),),"")</f>
        <v/>
      </c>
      <c r="AK37" s="984" t="s">
        <v>1035</v>
      </c>
      <c r="AL37" s="985">
        <f>IFERROR(AL36/AL35,)</f>
        <v>-2.7289677598602816E-4</v>
      </c>
      <c r="AN37" s="979" t="s">
        <v>16</v>
      </c>
      <c r="AP37" s="992">
        <f>PurchasePrice</f>
        <v>13009400</v>
      </c>
      <c r="AR37" s="992">
        <f>AP37</f>
        <v>13009400</v>
      </c>
      <c r="AT37" s="911"/>
      <c r="BF37" s="914">
        <v>10</v>
      </c>
      <c r="BG37" s="914" t="s">
        <v>911</v>
      </c>
      <c r="CI37" t="s">
        <v>912</v>
      </c>
      <c r="CJ37">
        <v>1676</v>
      </c>
      <c r="CK37">
        <v>2049</v>
      </c>
      <c r="CL37">
        <v>2368</v>
      </c>
      <c r="CM37">
        <v>2410</v>
      </c>
      <c r="CN37">
        <v>2377</v>
      </c>
      <c r="CO37">
        <v>1798</v>
      </c>
      <c r="CP37">
        <v>1354</v>
      </c>
      <c r="CQ37">
        <v>1824</v>
      </c>
      <c r="CR37">
        <v>2675</v>
      </c>
      <c r="CS37">
        <v>3241</v>
      </c>
      <c r="CT37">
        <v>4758</v>
      </c>
      <c r="CU37">
        <v>417</v>
      </c>
      <c r="DC37" t="s">
        <v>913</v>
      </c>
      <c r="DD37" s="892"/>
    </row>
    <row r="38" spans="1:108">
      <c r="A38" s="895" t="b">
        <v>0</v>
      </c>
      <c r="C38" s="892"/>
      <c r="D38" t="s">
        <v>914</v>
      </c>
      <c r="E38" s="902">
        <v>140</v>
      </c>
      <c r="F38" t="str">
        <f>Input!B233</f>
        <v>Purchase Price Increments ($)</v>
      </c>
      <c r="AG38" s="892"/>
      <c r="AI38" s="903">
        <f>IF('Adjustments &amp; Notes'!O49&lt;&gt;"",1+AI37,AI37)</f>
        <v>0</v>
      </c>
      <c r="AJ38" t="str">
        <f>IFERROR(INDEX('Adjustments &amp; Notes'!$O$12:$O$66,MATCH(ROW()-ROW($AJ$4),$AI$5:$AI$55,),),"")</f>
        <v/>
      </c>
      <c r="AK38" s="970"/>
      <c r="AN38" s="979" t="s">
        <v>1046</v>
      </c>
      <c r="AP38" s="992">
        <f>-'CF Calculations'!$O$71</f>
        <v>0</v>
      </c>
      <c r="AQ38" s="990">
        <f ca="1">OFFSET(Loan3OrigMnth,19,2)</f>
        <v>0</v>
      </c>
      <c r="AR38" s="992">
        <f ca="1">IF(AQ38="Include",AP38,)</f>
        <v>0</v>
      </c>
      <c r="AS38" s="990">
        <f ca="1">COUNTIF(AQ39:AQ42,"Include")</f>
        <v>0</v>
      </c>
      <c r="AT38" s="911" t="str">
        <f ca="1">IF(AND(AQ38="Include",AS38&gt;0),AN38&amp;", ",IF(OR(AQ38&lt;&gt;"Include",AR38=0),"",AN38))</f>
        <v/>
      </c>
      <c r="BF38" t="b">
        <v>1</v>
      </c>
      <c r="BG38" s="914" t="s">
        <v>1063</v>
      </c>
      <c r="CI38" t="s">
        <v>915</v>
      </c>
      <c r="DC38" t="s">
        <v>916</v>
      </c>
      <c r="DD38" s="892"/>
    </row>
    <row r="39" spans="1:108">
      <c r="A39" s="895">
        <v>101</v>
      </c>
      <c r="C39" s="892"/>
      <c r="D39" t="s">
        <v>914</v>
      </c>
      <c r="E39" s="902">
        <v>141</v>
      </c>
      <c r="F39" t="str">
        <f>Input!B234</f>
        <v>Purchase Price Increments (%)</v>
      </c>
      <c r="AG39" s="892"/>
      <c r="AI39" s="903">
        <f>IF('Adjustments &amp; Notes'!O50&lt;&gt;"",1+AI38,AI38)</f>
        <v>0</v>
      </c>
      <c r="AJ39" t="str">
        <f>IFERROR(INDEX('Adjustments &amp; Notes'!$O$12:$O$66,MATCH(ROW()-ROW($AJ$4),$AI$5:$AI$55,),),"")</f>
        <v/>
      </c>
      <c r="AK39" s="977" t="s">
        <v>1036</v>
      </c>
      <c r="AL39" s="981" t="str">
        <f t="array" ref="AL39">IFERROR(IF(FUTUREVALUEATREFI=0,"n/a",ROUND(REFILOANAMOUNT/FUTUREVALUEATREFI,2)),"n/a")</f>
        <v>n/a</v>
      </c>
      <c r="AN39" s="979" t="s">
        <v>416</v>
      </c>
      <c r="AP39" s="992">
        <f>-'CF Calculations'!$O$11</f>
        <v>0</v>
      </c>
      <c r="AQ39" s="990">
        <f ca="1">OFFSET(Loan3OrigMnth,20,2)</f>
        <v>0</v>
      </c>
      <c r="AR39" s="992">
        <f ca="1">IF(AQ39="Include",AP39,)</f>
        <v>0</v>
      </c>
      <c r="AS39" s="990">
        <f ca="1">COUNTIF(AQ40:AQ42,"Include")</f>
        <v>0</v>
      </c>
      <c r="AT39" s="911" t="str">
        <f ca="1">IF(AND(AQ39="Include",AS39&gt;0),AN39&amp;", ",IF(OR(AQ39&lt;&gt;"Include",AR39=0),"",AN39))</f>
        <v/>
      </c>
      <c r="CI39" t="s">
        <v>917</v>
      </c>
      <c r="DC39" t="s">
        <v>918</v>
      </c>
      <c r="DD39" s="892"/>
    </row>
    <row r="40" spans="1:108">
      <c r="A40" s="933"/>
      <c r="C40" s="892"/>
      <c r="D40" t="s">
        <v>919</v>
      </c>
      <c r="E40" s="902">
        <v>150</v>
      </c>
      <c r="F40" t="str">
        <f>FixedInterest</f>
        <v>Fixed</v>
      </c>
      <c r="AG40" s="892"/>
      <c r="AI40" s="903">
        <f>IF('Adjustments &amp; Notes'!O51&lt;&gt;"",1+AI39,AI39)</f>
        <v>0</v>
      </c>
      <c r="AJ40" t="str">
        <f>IFERROR(INDEX('Adjustments &amp; Notes'!$O$12:$O$66,MATCH(ROW()-ROW($AJ$4),$AI$5:$AI$55,),),"")</f>
        <v/>
      </c>
      <c r="AK40" s="979" t="s">
        <v>1037</v>
      </c>
      <c r="AL40" s="986" t="str">
        <f t="array" aca="1" ref="AL40" ca="1">IFERROR(IF(REFILOANAMOUNT=0,"n/a",IF(REFILOANAMOUNT=OFFSET(Loan3OrigMnth,10,4),"LTV",IF(REFILOANAMOUNT=OFFSET(Loan3OrigMnth,11,4),"DSCR","DY"))),"n/a")</f>
        <v>n/a</v>
      </c>
      <c r="AN40" s="979" t="s">
        <v>1047</v>
      </c>
      <c r="AP40" s="992">
        <f ca="1">-OFFSET(CalcLeveredCF25_SHT,-4,13)</f>
        <v>0</v>
      </c>
      <c r="AQ40" s="990">
        <f ca="1">OFFSET(Loan3OrigMnth,24,2)</f>
        <v>0</v>
      </c>
      <c r="AR40" s="992">
        <f ca="1">IF(AQ40="Include",AP40,)</f>
        <v>0</v>
      </c>
      <c r="AS40" s="990">
        <f ca="1">COUNTIF(AQ41:AQ42,"Include")</f>
        <v>0</v>
      </c>
      <c r="AT40" s="911" t="str">
        <f ca="1">IF(AND(AQ40="Include",AS40&gt;0),AN40&amp;", ",IF(OR(AQ40&lt;&gt;"Include",AR40=0),"",AN40))</f>
        <v/>
      </c>
      <c r="CI40" t="s">
        <v>920</v>
      </c>
      <c r="CJ40">
        <v>6376</v>
      </c>
      <c r="CK40">
        <v>6376</v>
      </c>
      <c r="CL40">
        <v>-7396</v>
      </c>
      <c r="CM40">
        <v>5632</v>
      </c>
      <c r="CN40">
        <v>6408</v>
      </c>
      <c r="CO40">
        <v>5632</v>
      </c>
      <c r="CP40">
        <v>5167</v>
      </c>
      <c r="CQ40">
        <v>6518</v>
      </c>
      <c r="CR40">
        <v>4923</v>
      </c>
      <c r="CS40">
        <v>6168</v>
      </c>
      <c r="CT40">
        <v>9155</v>
      </c>
      <c r="CU40">
        <v>6083</v>
      </c>
      <c r="DC40" t="s">
        <v>921</v>
      </c>
      <c r="DD40" s="892"/>
    </row>
    <row r="41" spans="1:108">
      <c r="A41" s="895" t="b">
        <v>0</v>
      </c>
      <c r="C41" s="892"/>
      <c r="D41" t="s">
        <v>919</v>
      </c>
      <c r="E41" s="902">
        <v>151</v>
      </c>
      <c r="F41" t="str">
        <f>W6</f>
        <v>Floating</v>
      </c>
      <c r="AG41" s="892"/>
      <c r="AI41" s="903">
        <f>IF('Adjustments &amp; Notes'!O52&lt;&gt;"",1+AI40,AI40)</f>
        <v>0</v>
      </c>
      <c r="AJ41" t="str">
        <f>IFERROR(INDEX('Adjustments &amp; Notes'!$O$12:$O$66,MATCH(ROW()-ROW($AJ$4),$AI$5:$AI$55,),),"")</f>
        <v/>
      </c>
      <c r="AK41" s="979" t="s">
        <v>1038</v>
      </c>
      <c r="AL41" s="987" t="str">
        <f ca="1">IF(AL40="n/a","n/a",IF(AL40="LTV",TEXT(OFFSET(Loan3OrigMnth,5,4),"0.00%"),IF(AL40="DSCR",TEXT(OFFSET(Loan3OrigMnth,6,4),"0.00x"),TEXT(OFFSET(Loan3OrigMnth,9,4),"0.00%"))))</f>
        <v>n/a</v>
      </c>
      <c r="AN41" s="979" t="s">
        <v>1048</v>
      </c>
      <c r="AP41" s="992">
        <f>-'CF Calculations'!$O$100-CapitalExpenditures</f>
        <v>0</v>
      </c>
      <c r="AQ41" s="990">
        <f ca="1">OFFSET(Loan3OrigMnth,21,2)</f>
        <v>0</v>
      </c>
      <c r="AR41" s="992">
        <f ca="1">IF(AQ41="Include",AP41,)</f>
        <v>0</v>
      </c>
      <c r="AS41" s="990">
        <f ca="1">COUNTIF(AQ42,"Include")*(AR42&lt;&gt;0)</f>
        <v>0</v>
      </c>
      <c r="AT41" s="911" t="str">
        <f ca="1">IF(AND(AQ41="Include",AS41&gt;0),AN41&amp;", ",IF(OR(AQ41&lt;&gt;"Include",AR41=0),"",AN41))</f>
        <v/>
      </c>
      <c r="CI41" t="s">
        <v>922</v>
      </c>
      <c r="CJ41">
        <v>4463</v>
      </c>
      <c r="CK41">
        <v>12017</v>
      </c>
      <c r="CL41">
        <v>-23079</v>
      </c>
      <c r="CM41">
        <v>5239</v>
      </c>
      <c r="CN41">
        <v>5238</v>
      </c>
      <c r="CO41">
        <v>906</v>
      </c>
      <c r="CP41">
        <v>5238</v>
      </c>
      <c r="CQ41">
        <v>5238</v>
      </c>
      <c r="CR41">
        <v>5238</v>
      </c>
      <c r="CS41">
        <v>5239</v>
      </c>
      <c r="CT41">
        <v>5238</v>
      </c>
      <c r="CU41">
        <v>10959</v>
      </c>
      <c r="DC41" t="s">
        <v>923</v>
      </c>
      <c r="DD41" s="892"/>
    </row>
    <row r="42" spans="1:108">
      <c r="A42" s="895">
        <f>IF(ReserveInflationMethod=F22,E22,E23)</f>
        <v>80</v>
      </c>
      <c r="C42" s="892"/>
      <c r="D42" t="s">
        <v>715</v>
      </c>
      <c r="E42" s="902">
        <v>160</v>
      </c>
      <c r="F42" t="str">
        <f>FixedPmt</f>
        <v>Fixed</v>
      </c>
      <c r="AG42" s="892"/>
      <c r="AI42" s="903">
        <f>IF('Adjustments &amp; Notes'!O53&lt;&gt;"",1+AI41,AI41)</f>
        <v>0</v>
      </c>
      <c r="AK42" s="984" t="s">
        <v>1039</v>
      </c>
      <c r="AL42" s="988" t="str">
        <f>IF(AL39="n/a","n/a",TEXT(AL39,"0%")&amp;" FV ("&amp;IF(AL40="LTV",TEXT(AL41,"0%")&amp;" LTV)",IF(AL40="DY",TEXT(AL41,"0.0%")&amp;" DY)",TEXT(AL41,"0.00x")&amp;" DSCR)")))</f>
        <v>n/a</v>
      </c>
      <c r="AN42" s="984" t="s">
        <v>1049</v>
      </c>
      <c r="AO42" s="894"/>
      <c r="AP42" s="972">
        <f>IF(IsPartnership,-'CF Calculations'!#REF!+-'CF Calculations'!#REF!+-'CF Calculations'!#REF!,0)</f>
        <v>0</v>
      </c>
      <c r="AQ42" s="971">
        <f ca="1">OFFSET(Loan3OrigMnth,22,2)</f>
        <v>0</v>
      </c>
      <c r="AR42" s="972">
        <f ca="1">IF(AQ42="Include",AP42,)</f>
        <v>0</v>
      </c>
      <c r="AS42" s="971">
        <v>0</v>
      </c>
      <c r="AT42" s="913" t="str">
        <f ca="1">IF(AND(AQ42="Include",AS42&gt;0),AN42&amp;", ",IF(OR(AQ42&lt;&gt;"Include",AR42=0),"",AN42))</f>
        <v/>
      </c>
      <c r="CI42" t="s">
        <v>924</v>
      </c>
      <c r="CJ42">
        <v>45809</v>
      </c>
      <c r="CL42">
        <v>13686</v>
      </c>
      <c r="CM42">
        <v>13685</v>
      </c>
      <c r="CN42">
        <v>13686</v>
      </c>
      <c r="CO42">
        <v>13686</v>
      </c>
      <c r="CP42">
        <v>13686</v>
      </c>
      <c r="CQ42">
        <v>13686</v>
      </c>
      <c r="CR42">
        <v>13686</v>
      </c>
      <c r="CS42">
        <v>13685</v>
      </c>
      <c r="CT42">
        <v>13686</v>
      </c>
      <c r="CU42">
        <v>13686</v>
      </c>
      <c r="DC42" t="s">
        <v>925</v>
      </c>
      <c r="DD42" s="892"/>
    </row>
    <row r="43" spans="1:108">
      <c r="A43" s="895">
        <f>IF(ReversionReserveInflMethod=F22,E22,E23)</f>
        <v>80</v>
      </c>
      <c r="C43" s="892"/>
      <c r="D43" t="s">
        <v>715</v>
      </c>
      <c r="E43" s="902">
        <v>161</v>
      </c>
      <c r="F43" t="str">
        <f>VariablePmt</f>
        <v>Variable</v>
      </c>
      <c r="AG43" s="892"/>
      <c r="AI43" s="903">
        <f>IF('Adjustments &amp; Notes'!O54&lt;&gt;"",1+AI42,AI42)</f>
        <v>0</v>
      </c>
      <c r="AN43" s="993" t="s">
        <v>1050</v>
      </c>
      <c r="AP43" s="994">
        <f ca="1">SUM(AP37:AP42)</f>
        <v>13009400</v>
      </c>
      <c r="AR43" s="973">
        <f ca="1">SUM(AR37:AR42)</f>
        <v>13009400</v>
      </c>
      <c r="AT43" s="911"/>
      <c r="CI43" t="s">
        <v>926</v>
      </c>
      <c r="DC43" t="s">
        <v>927</v>
      </c>
      <c r="DD43" s="892"/>
    </row>
    <row r="44" spans="1:108">
      <c r="A44" s="920">
        <v>60</v>
      </c>
      <c r="C44" s="892"/>
      <c r="D44" t="s">
        <v>928</v>
      </c>
      <c r="E44" s="902">
        <v>170</v>
      </c>
      <c r="F44" t="str">
        <f>Z5</f>
        <v>Annual</v>
      </c>
      <c r="AG44" s="892"/>
      <c r="AI44" s="903">
        <f>IF('Adjustments &amp; Notes'!O55&lt;&gt;"",1+AI43,AI43)</f>
        <v>0</v>
      </c>
      <c r="AN44" s="910"/>
      <c r="AT44" s="911"/>
      <c r="CI44" t="s">
        <v>929</v>
      </c>
      <c r="CJ44">
        <v>3141</v>
      </c>
      <c r="CK44">
        <v>3631</v>
      </c>
      <c r="CL44">
        <v>3752</v>
      </c>
      <c r="CM44">
        <v>4049</v>
      </c>
      <c r="CN44">
        <v>4222</v>
      </c>
      <c r="CO44">
        <v>4241</v>
      </c>
      <c r="CP44">
        <v>3820</v>
      </c>
      <c r="CQ44">
        <v>3553</v>
      </c>
      <c r="CR44">
        <v>3951</v>
      </c>
      <c r="CS44">
        <v>3107</v>
      </c>
      <c r="CT44">
        <v>4157</v>
      </c>
      <c r="CU44">
        <v>4148</v>
      </c>
      <c r="DC44" t="s">
        <v>930</v>
      </c>
      <c r="DD44" s="892"/>
    </row>
    <row r="45" spans="1:108">
      <c r="A45" s="934" t="b">
        <f>NOT(OR(AssumAmortPer=0,AssumLoanTerm&lt;=AssumeIOPer,AssumAmortPer&lt;(AssumLoanTerm-AssumeIOPer)/12))</f>
        <v>0</v>
      </c>
      <c r="C45" s="892"/>
      <c r="D45" t="s">
        <v>928</v>
      </c>
      <c r="E45" s="902">
        <v>171</v>
      </c>
      <c r="F45" t="str">
        <f>Z6</f>
        <v>Monthly</v>
      </c>
      <c r="AG45" s="892"/>
      <c r="AI45" s="903">
        <f>IF('Adjustments &amp; Notes'!O56&lt;&gt;"",1+AI44,AI44)</f>
        <v>0</v>
      </c>
      <c r="AN45" s="984" t="str">
        <f t="array" ref="AN45">IFERROR(IF(BRIDGELOANAMOUNT=0,"","Costs Included in LTC Calc for Bridge Sizing: Purchase Price, "&amp;AT38&amp;AT39&amp;AT40&amp;AT41&amp;AT42),"n/a")</f>
        <v>n/a</v>
      </c>
      <c r="AO45" s="894"/>
      <c r="AP45" s="894"/>
      <c r="AQ45" s="894"/>
      <c r="AR45" s="894"/>
      <c r="AS45" s="894"/>
      <c r="AT45" s="913"/>
      <c r="CI45" t="s">
        <v>931</v>
      </c>
      <c r="DC45" t="s">
        <v>932</v>
      </c>
      <c r="DD45" s="892"/>
    </row>
    <row r="46" spans="1:108">
      <c r="A46" s="928">
        <v>150</v>
      </c>
      <c r="C46" s="892"/>
      <c r="D46" t="s">
        <v>933</v>
      </c>
      <c r="E46" s="902">
        <v>180</v>
      </c>
      <c r="F46" t="str">
        <f>Forward</f>
        <v>Forward 12 mo. NOI¹</v>
      </c>
      <c r="AG46" s="892"/>
      <c r="AI46" s="903">
        <f>IF('Adjustments &amp; Notes'!O57&lt;&gt;"",1+AI45,AI45)</f>
        <v>0</v>
      </c>
      <c r="CI46" t="s">
        <v>934</v>
      </c>
      <c r="DC46" t="s">
        <v>935</v>
      </c>
      <c r="DD46" s="892"/>
    </row>
    <row r="47" spans="1:108">
      <c r="A47" s="920">
        <v>160</v>
      </c>
      <c r="C47" s="892"/>
      <c r="D47" t="s">
        <v>933</v>
      </c>
      <c r="E47" s="902">
        <v>181</v>
      </c>
      <c r="F47" t="str">
        <f>U6</f>
        <v>Trailing 12 mo. NOI¹</v>
      </c>
      <c r="AG47" s="892"/>
      <c r="AI47" s="903">
        <f>IF('Adjustments &amp; Notes'!O58&lt;&gt;"",1+AI46,AI46)</f>
        <v>0</v>
      </c>
      <c r="AK47" s="977" t="s">
        <v>1040</v>
      </c>
      <c r="AL47" s="978" t="b">
        <v>1</v>
      </c>
      <c r="AM47" s="908"/>
      <c r="AN47" s="908"/>
      <c r="AO47" s="908"/>
      <c r="AP47" s="909"/>
      <c r="CJ47" s="163" t="s">
        <v>936</v>
      </c>
      <c r="CK47" s="163"/>
      <c r="CL47" s="163"/>
      <c r="CM47" s="163"/>
      <c r="CN47" s="163"/>
      <c r="CO47" s="163"/>
      <c r="CP47" s="163"/>
      <c r="CQ47" s="163"/>
      <c r="CR47" s="163"/>
      <c r="CS47" s="163"/>
      <c r="CT47" s="163"/>
      <c r="CU47" s="163"/>
      <c r="CW47" s="163"/>
      <c r="CX47" s="163"/>
      <c r="CY47" s="163"/>
      <c r="CZ47" s="163"/>
      <c r="DA47" s="163"/>
      <c r="DB47" s="163"/>
      <c r="DC47" s="163"/>
      <c r="DD47" s="892"/>
    </row>
    <row r="48" spans="1:108">
      <c r="A48" s="935" t="b">
        <f>NOT(OR(Assum1AmortPer=0,AssumLoan1Term&lt;=Assume1IOPer,Assum1AmortPer&lt;(AssumLoan1Term-Assume1IOPer)/12))</f>
        <v>0</v>
      </c>
      <c r="C48" s="892"/>
      <c r="D48" t="s">
        <v>937</v>
      </c>
      <c r="E48" s="902">
        <v>190</v>
      </c>
      <c r="F48" t="str">
        <f>Input!B228</f>
        <v>Market Rent Increments ($)</v>
      </c>
      <c r="AG48" s="892"/>
      <c r="AI48" s="903">
        <f>IF('Adjustments &amp; Notes'!O59&lt;&gt;"",1+AI47,AI47)</f>
        <v>0</v>
      </c>
      <c r="AK48" s="979" t="s">
        <v>1041</v>
      </c>
      <c r="AL48" s="980">
        <f>IF(rxbtnShowModel=TRUE,1,0)</f>
        <v>1</v>
      </c>
      <c r="AP48" s="911"/>
      <c r="CJ48" s="936" t="s">
        <v>698</v>
      </c>
      <c r="CK48" s="936"/>
      <c r="CL48" s="936"/>
      <c r="CM48" s="936"/>
      <c r="CN48" s="936"/>
      <c r="CO48" s="936"/>
      <c r="CP48" s="936"/>
      <c r="CQ48" s="936"/>
      <c r="CR48" s="936"/>
      <c r="CS48" s="936"/>
      <c r="CT48" s="936"/>
      <c r="CU48" s="936"/>
      <c r="CW48" s="936" t="s">
        <v>699</v>
      </c>
      <c r="CX48" s="936"/>
      <c r="CY48" s="936"/>
      <c r="CZ48" s="936"/>
      <c r="DA48" s="936"/>
      <c r="DB48" s="163"/>
      <c r="DD48" s="892"/>
    </row>
    <row r="49" spans="1:108">
      <c r="A49" s="937">
        <v>150</v>
      </c>
      <c r="C49" s="892"/>
      <c r="D49" t="s">
        <v>937</v>
      </c>
      <c r="E49" s="902">
        <v>191</v>
      </c>
      <c r="F49" t="str">
        <f>Input!B229</f>
        <v>Market Rent Increments (%)</v>
      </c>
      <c r="AG49" s="892"/>
      <c r="AI49" s="903">
        <f>IF('Adjustments &amp; Notes'!O60&lt;&gt;"",1+AI48,AI48)</f>
        <v>0</v>
      </c>
      <c r="AK49" s="979" t="s">
        <v>1042</v>
      </c>
      <c r="AL49" s="980">
        <f>SUMIF($AL$51:$AL$58,TRUE,$AK$51:$AK$58)</f>
        <v>1</v>
      </c>
      <c r="AP49" s="911"/>
      <c r="CI49" t="s">
        <v>938</v>
      </c>
      <c r="CJ49" s="938">
        <v>45627</v>
      </c>
      <c r="CK49" s="938">
        <v>45658</v>
      </c>
      <c r="CL49" s="938">
        <v>45689</v>
      </c>
      <c r="CM49" s="938">
        <v>45717</v>
      </c>
      <c r="CN49" s="938">
        <v>45748</v>
      </c>
      <c r="CO49" s="938">
        <v>45778</v>
      </c>
      <c r="CP49" s="938">
        <v>45809</v>
      </c>
      <c r="CQ49" s="938">
        <v>45839</v>
      </c>
      <c r="CR49" s="938">
        <v>45870</v>
      </c>
      <c r="CS49" s="938">
        <v>45901</v>
      </c>
      <c r="CT49" s="938">
        <v>45931</v>
      </c>
      <c r="CU49" s="938">
        <v>45962</v>
      </c>
      <c r="CW49" s="938"/>
      <c r="CX49" s="938"/>
      <c r="CY49" s="938"/>
      <c r="CZ49" s="938"/>
      <c r="DA49" s="938"/>
      <c r="DB49" s="901"/>
      <c r="DC49" s="901" t="s">
        <v>939</v>
      </c>
      <c r="DD49" s="892"/>
    </row>
    <row r="50" spans="1:108">
      <c r="A50" s="939">
        <v>160</v>
      </c>
      <c r="C50" s="892"/>
      <c r="D50" t="s">
        <v>940</v>
      </c>
      <c r="E50" s="902">
        <v>200</v>
      </c>
      <c r="F50" t="s">
        <v>849</v>
      </c>
      <c r="AG50" s="892"/>
      <c r="AI50" s="903">
        <f>IF('Adjustments &amp; Notes'!O61&lt;&gt;"",1+AI49,AI49)</f>
        <v>0</v>
      </c>
      <c r="AK50" s="979"/>
      <c r="AP50" s="911"/>
      <c r="CJ50" s="901"/>
      <c r="CK50" s="901"/>
      <c r="CL50" s="901"/>
      <c r="CM50" s="901"/>
      <c r="CN50" s="901"/>
      <c r="CO50" s="901"/>
      <c r="CP50" s="901"/>
      <c r="CQ50" s="901"/>
      <c r="CR50" s="901"/>
      <c r="CS50" s="901"/>
      <c r="CT50" s="901"/>
      <c r="CU50" s="901"/>
      <c r="CW50" s="901"/>
      <c r="CX50" s="901"/>
      <c r="CY50" s="901"/>
      <c r="CZ50" s="901"/>
      <c r="DA50" s="901"/>
      <c r="DB50" s="901"/>
      <c r="DC50" s="901"/>
      <c r="DD50" s="892"/>
    </row>
    <row r="51" spans="1:108">
      <c r="A51" s="935" t="b">
        <f>NOT(OR(Assum2AmortPer=0,AssumLoan2Term&lt;=Assume2IOPer,Assum2AmortPer&lt;(AssumLoan2Term-Assume2IOPer)/12))</f>
        <v>0</v>
      </c>
      <c r="C51" s="892"/>
      <c r="D51" t="s">
        <v>940</v>
      </c>
      <c r="E51" s="902">
        <v>201</v>
      </c>
      <c r="F51" t="s">
        <v>863</v>
      </c>
      <c r="AG51" s="892"/>
      <c r="AI51" s="903">
        <f>IF('Adjustments &amp; Notes'!O62&lt;&gt;"",1+AI50,AI50)</f>
        <v>0</v>
      </c>
      <c r="AK51" s="910">
        <v>1</v>
      </c>
      <c r="AL51" t="b">
        <f t="array" ref="AL51">IF(AND(IFERROR(BRIDGELOANAMOUNT,0)=0,IFERROR(REFILOANAMOUNT,0)=0),TRUE,FALSE)</f>
        <v>1</v>
      </c>
      <c r="AM51" t="s">
        <v>1053</v>
      </c>
      <c r="AP51" s="911"/>
      <c r="CI51" t="s">
        <v>941</v>
      </c>
      <c r="CJ51">
        <v>119620</v>
      </c>
      <c r="CK51">
        <v>119620</v>
      </c>
      <c r="CL51">
        <v>121320</v>
      </c>
      <c r="CM51">
        <v>121320</v>
      </c>
      <c r="CN51">
        <v>127620</v>
      </c>
      <c r="CO51">
        <v>127620</v>
      </c>
      <c r="CP51">
        <v>117920</v>
      </c>
      <c r="CQ51">
        <v>117920</v>
      </c>
      <c r="CR51">
        <v>109920</v>
      </c>
      <c r="CS51">
        <v>124220</v>
      </c>
      <c r="CT51">
        <v>124662</v>
      </c>
      <c r="CU51">
        <v>124662</v>
      </c>
      <c r="DC51" t="s">
        <v>942</v>
      </c>
      <c r="DD51" s="892"/>
    </row>
    <row r="52" spans="1:108">
      <c r="A52" s="937">
        <v>150</v>
      </c>
      <c r="C52" s="892"/>
      <c r="D52" t="s">
        <v>943</v>
      </c>
      <c r="E52" s="902">
        <v>210</v>
      </c>
      <c r="F52" t="s">
        <v>90</v>
      </c>
      <c r="AG52" s="892"/>
      <c r="AI52" s="903">
        <f>IF('Adjustments &amp; Notes'!O63&lt;&gt;"",1+AI51,AI51)</f>
        <v>0</v>
      </c>
      <c r="AK52" s="910">
        <v>2</v>
      </c>
      <c r="AL52" t="b">
        <f t="array" ref="AL52">IF(OR(Loan1OrigMnth="",Loan1Amount="",Loan1Amount=0,Loan1Amount=IFERROR(BRIDGELOANAMOUNT,-1),IFERROR(BRIDGELOANAMOUNT,-1)&gt;0)*(AND(IFERROR(BRIDGELOANAMOUNT,-1)&gt;0,IFERROR(REFILOANAMOUNT,-1)=0)),TRUE,FALSE)</f>
        <v>0</v>
      </c>
      <c r="AM52" t="s">
        <v>1054</v>
      </c>
      <c r="AP52" s="911"/>
      <c r="CI52" t="s">
        <v>944</v>
      </c>
      <c r="CJ52">
        <v>3622</v>
      </c>
      <c r="CK52">
        <v>3106</v>
      </c>
      <c r="CL52">
        <v>-1577</v>
      </c>
      <c r="CM52">
        <v>3403</v>
      </c>
      <c r="CN52">
        <v>-5067</v>
      </c>
      <c r="CO52">
        <v>-4563</v>
      </c>
      <c r="CP52">
        <v>5141</v>
      </c>
      <c r="CQ52">
        <v>4022</v>
      </c>
      <c r="CR52">
        <v>10063</v>
      </c>
      <c r="CS52">
        <v>-3422</v>
      </c>
      <c r="CT52">
        <v>-4353</v>
      </c>
      <c r="CU52">
        <v>-5484</v>
      </c>
      <c r="DC52" t="s">
        <v>945</v>
      </c>
      <c r="DD52" s="892"/>
    </row>
    <row r="53" spans="1:108">
      <c r="A53" s="939">
        <v>160</v>
      </c>
      <c r="C53" s="892"/>
      <c r="D53" t="s">
        <v>943</v>
      </c>
      <c r="E53" s="902">
        <v>211</v>
      </c>
      <c r="F53" t="s">
        <v>89</v>
      </c>
      <c r="AG53" s="892"/>
      <c r="AI53" s="903">
        <f>IF('Adjustments &amp; Notes'!O64&lt;&gt;"",1+AI52,AI52)</f>
        <v>0</v>
      </c>
      <c r="AK53" s="910">
        <v>3</v>
      </c>
      <c r="AL53" t="b">
        <f t="array" ref="AL53">IF((AND(IFERROR(BRIDGELOANAMOUNT,-1)&gt;0,IFERROR(REFILOANAMOUNT,-1)&gt;0)*OR(IFERROR(BRIDGELOANAMOUNT,-1)=Loan1Amount,Loan1Amount="",Loan1Amount=0)*OR(IFERROR(REFILOANAMOUNT,-1)=Loan2Amount,Loan2Amount="",Loan2Amount=0)),TRUE,FALSE)</f>
        <v>0</v>
      </c>
      <c r="AM53" t="s">
        <v>1055</v>
      </c>
      <c r="AP53" s="911"/>
      <c r="DD53" s="892"/>
    </row>
    <row r="54" spans="1:108">
      <c r="A54" s="935" t="b">
        <f>NOT(OR(Assum3AmortPer=0,AssumLoan3Term&lt;=Assume3IOPer,Assum3AmortPer&lt;(AssumLoan3Term-Assume3IOPer)/12))</f>
        <v>0</v>
      </c>
      <c r="C54" s="892"/>
      <c r="E54" s="902">
        <v>220</v>
      </c>
      <c r="AG54" s="892"/>
      <c r="AI54" s="903">
        <f>IF('Adjustments &amp; Notes'!O65&lt;&gt;"",1+AI53,AI53)</f>
        <v>0</v>
      </c>
      <c r="AK54" s="910">
        <v>4</v>
      </c>
      <c r="AL54" t="b">
        <f t="array" ref="AL54">IF((AND(IFERROR(BRIDGELOANAMOUNT,-1)&gt;0,IFERROR(REFILOANAMOUNT,-1)&gt;0,Loan2Amount&lt;&gt;IFERROR(REFILOANAMOUNT,-1),Loan2Amount&gt;0)*OR(Loan3Amount=IFERROR(REFILOANAMOUNT,-1),Loan3Amount="",Loan3Amount=0)),TRUE,FALSE)</f>
        <v>0</v>
      </c>
      <c r="AM54" t="s">
        <v>1056</v>
      </c>
      <c r="AP54" s="911"/>
      <c r="DD54" s="892"/>
    </row>
    <row r="55" spans="1:108">
      <c r="A55" s="937">
        <v>150</v>
      </c>
      <c r="C55" s="892"/>
      <c r="AG55" s="892"/>
      <c r="AI55" s="903">
        <f>IF('Adjustments &amp; Notes'!O66&lt;&gt;"",1+AI54,AI54)</f>
        <v>0</v>
      </c>
      <c r="AK55" s="910">
        <v>5</v>
      </c>
      <c r="AL55" t="b">
        <f t="array" ref="AL55">IF((OR(AND(IFERROR(BRIDGELOANAMOUNT,-1)&gt;0,Loan2Amount&gt;0,Loan3Amount&gt;0,Loan2Amount&lt;&gt;IFERROR(REFILOANAMOUNT,-1),Loan3Amount&lt;&gt;IFERROR(REFILOANAMOUNT,-1),OR(IFERROR(BRIDGELOANAMOUNT,-1)=Loan1Amount,Loan1Amount=0,Loan1Amount="",Loan1Amount&gt;0)),AND(IFERROR(BRIDGELOANAMOUNT,-1)=0,Loan1Amount&gt;0,Loan2Amount&gt;0,Loan3Amount&gt;0,Loan1Amount&lt;&gt;IFERROR(REFILOANAMOUNT,-1),Loan2Amount&lt;&gt;IFERROR(REFILOANAMOUNT,-1),Loan3Amount&lt;&gt;IFERROR(REFILOANAMOUNT,-1)))),TRUE,FALSE)</f>
        <v>0</v>
      </c>
      <c r="AM55" t="s">
        <v>1057</v>
      </c>
      <c r="AP55" s="911"/>
      <c r="CI55" t="s">
        <v>946</v>
      </c>
      <c r="CJ55">
        <v>-19046</v>
      </c>
      <c r="CK55">
        <v>-18517</v>
      </c>
      <c r="CL55">
        <v>-14135</v>
      </c>
      <c r="CM55">
        <v>-12454</v>
      </c>
      <c r="CN55">
        <v>-10863</v>
      </c>
      <c r="CO55">
        <v>-12154</v>
      </c>
      <c r="CP55">
        <v>-12664</v>
      </c>
      <c r="CQ55">
        <v>-16170</v>
      </c>
      <c r="CR55">
        <v>-16173</v>
      </c>
      <c r="CS55">
        <v>-11719</v>
      </c>
      <c r="CT55">
        <v>-13121</v>
      </c>
      <c r="CU55">
        <v>-11556</v>
      </c>
      <c r="DC55" t="s">
        <v>947</v>
      </c>
      <c r="DD55" s="892"/>
    </row>
    <row r="56" spans="1:108">
      <c r="A56" s="937">
        <v>160</v>
      </c>
      <c r="C56" s="892"/>
      <c r="AG56" s="892"/>
      <c r="AI56" s="600"/>
      <c r="AK56" s="910">
        <v>6</v>
      </c>
      <c r="AL56" t="b">
        <f t="array" ref="AL56">IF(AND(IFERROR(BRIDGELOANAMOUNT,-1)=0,IFERROR(REFILOANAMOUNT,-1)&gt;0,OR(IFERROR(REFILOANAMOUNT,-1)=Loan1Amount,Loan1Amount=0,Loan1Amount="",AND(AND(Loan2Amount=0,Loan2Amount="",AND(Loan2Amount&gt;0,Loan2Amount&lt;&gt;IFERROR(REFILOANAMOUNT,-1))),AND(Loan3Amount=0,Loan3Amount="",AND(Loan3Amount&gt;0,Loan3Amount&lt;&gt;IFERROR(REFILOANAMOUNT,-1)))))),TRUE,FALSE)</f>
        <v>0</v>
      </c>
      <c r="AM56" t="s">
        <v>1058</v>
      </c>
      <c r="AP56" s="911"/>
      <c r="CI56" t="s">
        <v>948</v>
      </c>
      <c r="CJ56">
        <v>-15051</v>
      </c>
      <c r="CK56">
        <v>-2680</v>
      </c>
      <c r="CL56">
        <v>-5564</v>
      </c>
      <c r="CM56">
        <v>-9268</v>
      </c>
      <c r="CN56">
        <v>-4272</v>
      </c>
      <c r="CO56">
        <v>-3573</v>
      </c>
      <c r="CP56">
        <v>6759</v>
      </c>
      <c r="CQ56">
        <v>-1175</v>
      </c>
      <c r="CR56">
        <v>-363</v>
      </c>
      <c r="CS56">
        <v>-2224</v>
      </c>
      <c r="CT56">
        <v>-1850</v>
      </c>
      <c r="CU56">
        <v>-381</v>
      </c>
      <c r="DC56" t="s">
        <v>949</v>
      </c>
      <c r="DD56" s="892"/>
    </row>
    <row r="57" spans="1:108">
      <c r="A57" s="922"/>
      <c r="C57" s="892"/>
      <c r="AG57" s="892"/>
      <c r="AK57" s="910">
        <v>7</v>
      </c>
      <c r="AL57" t="b">
        <f t="array" ref="AL57">IF(AND(AL56&lt;&gt;TRUE,IFERROR(BRIDGELOANAMOUNT,-1)=0,IFERROR(REFILOANAMOUNT,-1)&gt;0,OR(IFERROR(REFILOANAMOUNT,-1)=Loan2Amount,Loan2Amount=0,Loan2Amount="",AND(AND(Loan1Amount=0,Loan1Amount="",AND(Loan1Amount&gt;0,Loan1Amount&lt;&gt;IFERROR(REFILOANAMOUNT,-1))),AND(Loan3Amount=0,Loan3Amount="",AND(Loan3Amount&gt;0,Loan3Amount&lt;&gt;IFERROR(REFILOANAMOUNT,-1)))))),TRUE,FALSE)</f>
        <v>0</v>
      </c>
      <c r="AM57" t="s">
        <v>1059</v>
      </c>
      <c r="AP57" s="911"/>
      <c r="CI57" t="s">
        <v>950</v>
      </c>
      <c r="CP57">
        <v>-160</v>
      </c>
      <c r="CQ57">
        <v>-799</v>
      </c>
      <c r="CR57">
        <v>-800</v>
      </c>
      <c r="CS57">
        <v>-799</v>
      </c>
      <c r="CT57">
        <v>-799</v>
      </c>
      <c r="CU57">
        <v>-799</v>
      </c>
      <c r="DC57" t="s">
        <v>951</v>
      </c>
      <c r="DD57" s="892"/>
    </row>
    <row r="58" spans="1:108">
      <c r="A58" s="933" t="b">
        <f>NOT(OR(Loan1AmortPer=0,Loan1Term&lt;=Loan1IOPer,Loan1AmortPer&lt;(Loan1Term-Loan1IOPer)/12))</f>
        <v>0</v>
      </c>
      <c r="C58" s="892"/>
      <c r="AG58" s="892"/>
      <c r="AK58" s="912">
        <v>8</v>
      </c>
      <c r="AL58" s="894" t="b">
        <f t="array" ref="AL58">IF(AND(AND(AL56&lt;&gt;TRUE,AL57&lt;&gt;TRUE),IFERROR(BRIDGELOANAMOUNT,-1)=0,IFERROR(REFILOANAMOUNT,-1)&gt;0,OR(IFERROR(REFILOANAMOUNT,-1)=Loan3Amount,Loan3Amount=0,Loan3Amount="",AND(AND(Loan1Amount=0,Loan1Amount="",AND(Loan1Amount&gt;0,Loan1Amount&lt;&gt;IFERROR(REFILOANAMOUNT,-1))),AND(Loan2Amount=0,Loan2Amount="",AND(Loan2Amount&gt;0,Loan2Amount&lt;&gt;IFERROR(REFILOANAMOUNT,-1)))))),TRUE,FALSE)</f>
        <v>0</v>
      </c>
      <c r="AM58" s="894" t="s">
        <v>1060</v>
      </c>
      <c r="AN58" s="894"/>
      <c r="AO58" s="894"/>
      <c r="AP58" s="913"/>
      <c r="CI58" t="s">
        <v>952</v>
      </c>
      <c r="CJ58">
        <v>-13310</v>
      </c>
      <c r="CK58">
        <v>-9119</v>
      </c>
      <c r="CL58">
        <v>-4783</v>
      </c>
      <c r="CM58">
        <v>-654</v>
      </c>
      <c r="CN58">
        <v>-2413</v>
      </c>
      <c r="CO58">
        <v>-225</v>
      </c>
      <c r="CP58">
        <v>-36748</v>
      </c>
      <c r="CQ58">
        <v>-23095</v>
      </c>
      <c r="CR58">
        <v>-9686</v>
      </c>
      <c r="CS58">
        <v>-37402</v>
      </c>
      <c r="CT58">
        <v>-235</v>
      </c>
      <c r="DC58" t="s">
        <v>953</v>
      </c>
      <c r="DD58" s="892"/>
    </row>
    <row r="59" spans="1:108">
      <c r="A59" s="895">
        <v>150</v>
      </c>
      <c r="C59" s="892"/>
      <c r="AG59" s="892"/>
      <c r="DD59" s="892"/>
    </row>
    <row r="60" spans="1:108">
      <c r="A60" s="895">
        <f>IF(Loan1PmtType=F42,E42,E43)</f>
        <v>160</v>
      </c>
      <c r="C60" s="892"/>
      <c r="AG60" s="892"/>
      <c r="DD60" s="892"/>
    </row>
    <row r="61" spans="1:108">
      <c r="A61" s="920"/>
      <c r="C61" s="892"/>
      <c r="AG61" s="892"/>
      <c r="CI61" t="s">
        <v>954</v>
      </c>
      <c r="DC61" t="s">
        <v>955</v>
      </c>
      <c r="DD61" s="892"/>
    </row>
    <row r="62" spans="1:108">
      <c r="A62" s="922"/>
      <c r="C62" s="892"/>
      <c r="AG62" s="892"/>
      <c r="CI62" t="s">
        <v>956</v>
      </c>
      <c r="DC62" t="s">
        <v>957</v>
      </c>
      <c r="DD62" s="892"/>
    </row>
    <row r="63" spans="1:108">
      <c r="A63" s="933" t="b">
        <f>NOT(OR(NOT(HasLoan2),Loan2AmortPer=0,Loan2Term&lt;=Loan2IOPer,Loan2AmortPer&lt;(Loan2Term-Loan2IOPer)/12))</f>
        <v>0</v>
      </c>
      <c r="C63" s="892"/>
      <c r="AG63" s="892"/>
      <c r="CI63" t="s">
        <v>958</v>
      </c>
      <c r="CJ63">
        <v>7665</v>
      </c>
      <c r="CK63">
        <v>7607</v>
      </c>
      <c r="CL63">
        <v>7704</v>
      </c>
      <c r="CM63">
        <v>7853</v>
      </c>
      <c r="CN63">
        <v>7952</v>
      </c>
      <c r="CO63">
        <v>7880</v>
      </c>
      <c r="CP63">
        <v>7837</v>
      </c>
      <c r="CQ63">
        <v>7613</v>
      </c>
      <c r="CR63">
        <v>7595</v>
      </c>
      <c r="CS63">
        <v>7918</v>
      </c>
      <c r="CT63">
        <v>7910</v>
      </c>
      <c r="CU63">
        <v>8020</v>
      </c>
      <c r="DC63" t="s">
        <v>959</v>
      </c>
      <c r="DD63" s="892"/>
    </row>
    <row r="64" spans="1:108">
      <c r="A64" s="895">
        <v>150</v>
      </c>
      <c r="C64" s="892"/>
      <c r="AG64" s="892"/>
      <c r="CI64" t="s">
        <v>960</v>
      </c>
      <c r="CJ64">
        <v>6239</v>
      </c>
      <c r="CK64">
        <v>3715</v>
      </c>
      <c r="CL64">
        <v>4225</v>
      </c>
      <c r="CM64">
        <v>5465</v>
      </c>
      <c r="CN64">
        <v>7668</v>
      </c>
      <c r="CO64">
        <v>6185</v>
      </c>
      <c r="CP64">
        <v>21057</v>
      </c>
      <c r="CQ64">
        <v>13196</v>
      </c>
      <c r="CR64">
        <v>12346</v>
      </c>
      <c r="CS64">
        <v>12187</v>
      </c>
      <c r="CT64">
        <v>6547</v>
      </c>
      <c r="CU64">
        <v>4066</v>
      </c>
      <c r="DC64" t="s">
        <v>961</v>
      </c>
      <c r="DD64" s="892"/>
    </row>
    <row r="65" spans="1:108">
      <c r="A65" s="895">
        <f>IF(Loan2PmtType=F42,E42,E43)</f>
        <v>160</v>
      </c>
      <c r="C65" s="892"/>
      <c r="AG65" s="892"/>
      <c r="CI65" t="s">
        <v>962</v>
      </c>
      <c r="DC65" t="s">
        <v>963</v>
      </c>
      <c r="DD65" s="892"/>
    </row>
    <row r="66" spans="1:108">
      <c r="A66" s="920"/>
      <c r="C66" s="892"/>
      <c r="AG66" s="892"/>
      <c r="DD66" s="892"/>
    </row>
    <row r="67" spans="1:108">
      <c r="A67" s="922"/>
      <c r="C67" s="892"/>
      <c r="AG67" s="892"/>
      <c r="DD67" s="892"/>
    </row>
    <row r="68" spans="1:108">
      <c r="A68" s="933" t="b">
        <f>NOT(OR(NOT(HasLoan3),Loan3AmortPer=0,Loan3Term&lt;=Loan3IOPer,Loan3AmortPer&lt;(Loan3Term-Loan3IOPer)/12))</f>
        <v>0</v>
      </c>
      <c r="C68" s="892"/>
      <c r="AG68" s="892"/>
      <c r="DD68" s="892"/>
    </row>
    <row r="69" spans="1:108">
      <c r="A69" s="895">
        <v>150</v>
      </c>
      <c r="C69" s="892"/>
      <c r="AG69" s="892"/>
      <c r="DD69" s="892"/>
    </row>
    <row r="70" spans="1:108">
      <c r="A70" s="895">
        <f>IF(Loan3PmtType=F42,E42,E43)</f>
        <v>160</v>
      </c>
      <c r="C70" s="892"/>
      <c r="AG70" s="892"/>
      <c r="DD70" s="892"/>
    </row>
    <row r="71" spans="1:108">
      <c r="A71" s="920"/>
      <c r="C71" s="892"/>
      <c r="AG71" s="892"/>
      <c r="DD71" s="892"/>
    </row>
    <row r="72" spans="1:108">
      <c r="A72" s="922">
        <v>141</v>
      </c>
      <c r="C72" s="892"/>
      <c r="AG72" s="892"/>
      <c r="DD72" s="892"/>
    </row>
    <row r="73" spans="1:108">
      <c r="A73" s="923">
        <v>191</v>
      </c>
      <c r="C73" s="892"/>
      <c r="AG73" s="892"/>
      <c r="CI73" t="s">
        <v>964</v>
      </c>
      <c r="CJ73">
        <v>1138</v>
      </c>
      <c r="CK73">
        <v>140</v>
      </c>
      <c r="CL73">
        <v>25313</v>
      </c>
      <c r="CM73">
        <v>813</v>
      </c>
      <c r="CN73">
        <v>6293</v>
      </c>
      <c r="CO73">
        <v>3270</v>
      </c>
      <c r="CP73">
        <v>3369</v>
      </c>
      <c r="CQ73">
        <v>7244</v>
      </c>
      <c r="CR73">
        <v>14569</v>
      </c>
      <c r="CS73">
        <v>10963</v>
      </c>
      <c r="CT73">
        <v>12589</v>
      </c>
      <c r="CU73">
        <v>4577</v>
      </c>
      <c r="DC73" t="s">
        <v>965</v>
      </c>
      <c r="DD73" s="892"/>
    </row>
    <row r="74" spans="1:108">
      <c r="A74" s="937">
        <f>200+IsPartnership</f>
        <v>200</v>
      </c>
      <c r="C74" s="892"/>
      <c r="AG74" s="892"/>
      <c r="CI74" t="s">
        <v>966</v>
      </c>
      <c r="DC74" t="s">
        <v>967</v>
      </c>
      <c r="DD74" s="892"/>
    </row>
    <row r="75" spans="1:108">
      <c r="A75" s="939">
        <v>91</v>
      </c>
      <c r="C75" s="892"/>
      <c r="AG75" s="892"/>
      <c r="CI75" t="s">
        <v>968</v>
      </c>
      <c r="DC75" t="s">
        <v>969</v>
      </c>
      <c r="DD75" s="892"/>
    </row>
    <row r="76" spans="1:108">
      <c r="A76" s="922">
        <v>170</v>
      </c>
      <c r="C76" s="892"/>
      <c r="AG76" s="892"/>
      <c r="CI76" t="s">
        <v>970</v>
      </c>
      <c r="CJ76">
        <v>2250</v>
      </c>
      <c r="CK76">
        <v>2250</v>
      </c>
      <c r="CL76">
        <v>-270</v>
      </c>
      <c r="CM76">
        <v>2000</v>
      </c>
      <c r="CP76">
        <v>2044</v>
      </c>
      <c r="CQ76">
        <v>2000</v>
      </c>
      <c r="CS76">
        <v>2000</v>
      </c>
      <c r="CT76">
        <v>2000</v>
      </c>
      <c r="CU76">
        <v>2000</v>
      </c>
      <c r="DC76" t="s">
        <v>971</v>
      </c>
      <c r="DD76" s="892"/>
    </row>
    <row r="77" spans="1:108">
      <c r="A77" s="895" t="b">
        <v>1</v>
      </c>
      <c r="C77" s="892"/>
      <c r="AG77" s="892"/>
      <c r="CI77" t="s">
        <v>972</v>
      </c>
      <c r="CJ77">
        <v>7574</v>
      </c>
      <c r="CK77">
        <v>9391</v>
      </c>
      <c r="CL77">
        <v>3653</v>
      </c>
      <c r="CM77">
        <v>3975</v>
      </c>
      <c r="CN77">
        <v>2472</v>
      </c>
      <c r="CO77">
        <v>13319</v>
      </c>
      <c r="CP77">
        <v>6380</v>
      </c>
      <c r="CQ77">
        <v>4095</v>
      </c>
      <c r="CR77">
        <v>5334</v>
      </c>
      <c r="CS77">
        <v>9223</v>
      </c>
      <c r="CT77">
        <v>9597</v>
      </c>
      <c r="CU77">
        <v>3711</v>
      </c>
      <c r="DC77" t="s">
        <v>973</v>
      </c>
      <c r="DD77" s="892"/>
    </row>
    <row r="78" spans="1:108">
      <c r="A78" s="895" t="b">
        <v>1</v>
      </c>
      <c r="C78" s="892"/>
      <c r="AG78" s="892"/>
      <c r="CI78" t="s">
        <v>974</v>
      </c>
      <c r="CJ78">
        <v>1958</v>
      </c>
      <c r="CK78">
        <v>5449</v>
      </c>
      <c r="CL78">
        <v>2296</v>
      </c>
      <c r="CM78">
        <v>2663</v>
      </c>
      <c r="CN78">
        <v>2159</v>
      </c>
      <c r="CO78">
        <v>135</v>
      </c>
      <c r="CP78">
        <v>964</v>
      </c>
      <c r="CR78">
        <v>194</v>
      </c>
      <c r="CS78">
        <v>-3192</v>
      </c>
      <c r="CT78">
        <v>825</v>
      </c>
      <c r="DC78" t="s">
        <v>975</v>
      </c>
      <c r="DD78" s="892"/>
    </row>
    <row r="79" spans="1:108">
      <c r="A79" s="895" t="b">
        <v>1</v>
      </c>
      <c r="C79" s="892"/>
      <c r="AG79" s="892"/>
      <c r="CI79" t="s">
        <v>976</v>
      </c>
      <c r="DC79" t="s">
        <v>977</v>
      </c>
      <c r="DD79" s="892"/>
    </row>
    <row r="80" spans="1:108">
      <c r="A80" s="895"/>
      <c r="C80" s="892"/>
      <c r="AG80" s="892"/>
      <c r="CI80" t="s">
        <v>978</v>
      </c>
      <c r="CJ80">
        <v>8891</v>
      </c>
      <c r="CK80">
        <v>1651</v>
      </c>
      <c r="CL80">
        <v>3856</v>
      </c>
      <c r="CM80">
        <v>3018</v>
      </c>
      <c r="CN80">
        <v>1708</v>
      </c>
      <c r="CO80">
        <v>1806</v>
      </c>
      <c r="CP80">
        <v>2157</v>
      </c>
      <c r="CQ80">
        <v>1335</v>
      </c>
      <c r="CR80">
        <v>3103</v>
      </c>
      <c r="CS80">
        <v>1941</v>
      </c>
      <c r="CT80">
        <v>4687</v>
      </c>
      <c r="CU80">
        <v>966</v>
      </c>
      <c r="DC80" t="s">
        <v>979</v>
      </c>
      <c r="DD80" s="892"/>
    </row>
    <row r="81" spans="1:108">
      <c r="A81" s="895" t="b">
        <v>0</v>
      </c>
      <c r="C81" s="892"/>
      <c r="AG81" s="892"/>
      <c r="CI81" t="s">
        <v>980</v>
      </c>
      <c r="DC81" t="s">
        <v>981</v>
      </c>
      <c r="DD81" s="892"/>
    </row>
    <row r="82" spans="1:108">
      <c r="A82" s="895" t="b">
        <v>0</v>
      </c>
      <c r="C82" s="892"/>
      <c r="AG82" s="892"/>
      <c r="CI82" t="s">
        <v>982</v>
      </c>
      <c r="CJ82">
        <v>1676</v>
      </c>
      <c r="CK82">
        <v>2049</v>
      </c>
      <c r="CL82">
        <v>2368</v>
      </c>
      <c r="CM82">
        <v>2410</v>
      </c>
      <c r="CN82">
        <v>2377</v>
      </c>
      <c r="CO82">
        <v>1798</v>
      </c>
      <c r="CP82">
        <v>1354</v>
      </c>
      <c r="CQ82">
        <v>1824</v>
      </c>
      <c r="CR82">
        <v>2675</v>
      </c>
      <c r="CS82">
        <v>3241</v>
      </c>
      <c r="CT82">
        <v>4758</v>
      </c>
      <c r="CU82">
        <v>417</v>
      </c>
      <c r="DC82" t="s">
        <v>983</v>
      </c>
      <c r="DD82" s="892"/>
    </row>
    <row r="83" spans="1:108">
      <c r="A83" s="895" t="b">
        <v>0</v>
      </c>
      <c r="C83" s="892"/>
      <c r="AG83" s="892"/>
      <c r="CI83" t="s">
        <v>984</v>
      </c>
      <c r="DC83" t="s">
        <v>985</v>
      </c>
      <c r="DD83" s="892"/>
    </row>
    <row r="84" spans="1:108">
      <c r="A84" s="895" t="b">
        <v>0</v>
      </c>
      <c r="C84" s="892"/>
      <c r="AG84" s="892"/>
      <c r="CI84" t="s">
        <v>986</v>
      </c>
      <c r="DC84" t="s">
        <v>987</v>
      </c>
      <c r="DD84" s="892"/>
    </row>
    <row r="85" spans="1:108">
      <c r="A85" s="895" t="b">
        <v>1</v>
      </c>
      <c r="C85" s="892"/>
      <c r="AG85" s="892"/>
      <c r="CI85" t="s">
        <v>988</v>
      </c>
      <c r="CJ85">
        <v>6376</v>
      </c>
      <c r="CK85">
        <v>6376</v>
      </c>
      <c r="CL85">
        <v>-7396</v>
      </c>
      <c r="CM85">
        <v>5632</v>
      </c>
      <c r="CN85">
        <v>6408</v>
      </c>
      <c r="CO85">
        <v>5632</v>
      </c>
      <c r="CP85">
        <v>5167</v>
      </c>
      <c r="CQ85">
        <v>6518</v>
      </c>
      <c r="CR85">
        <v>4923</v>
      </c>
      <c r="CS85">
        <v>6168</v>
      </c>
      <c r="CT85">
        <v>9155</v>
      </c>
      <c r="CU85">
        <v>6083</v>
      </c>
      <c r="DC85" t="s">
        <v>989</v>
      </c>
      <c r="DD85" s="892"/>
    </row>
    <row r="86" spans="1:108">
      <c r="A86" s="895" t="b">
        <v>1</v>
      </c>
      <c r="C86" s="892"/>
      <c r="AG86" s="892"/>
      <c r="CI86" t="s">
        <v>990</v>
      </c>
      <c r="CJ86">
        <v>4463</v>
      </c>
      <c r="CK86">
        <v>12017</v>
      </c>
      <c r="CL86">
        <v>-23079</v>
      </c>
      <c r="CM86">
        <v>5239</v>
      </c>
      <c r="CN86">
        <v>5238</v>
      </c>
      <c r="CO86">
        <v>906</v>
      </c>
      <c r="CP86">
        <v>5238</v>
      </c>
      <c r="CQ86">
        <v>5238</v>
      </c>
      <c r="CR86">
        <v>5238</v>
      </c>
      <c r="CS86">
        <v>5239</v>
      </c>
      <c r="CT86">
        <v>5238</v>
      </c>
      <c r="CU86">
        <v>10959</v>
      </c>
      <c r="DC86" t="s">
        <v>991</v>
      </c>
      <c r="DD86" s="892"/>
    </row>
    <row r="87" spans="1:108">
      <c r="A87" s="920" t="b">
        <v>1</v>
      </c>
      <c r="C87" s="892"/>
      <c r="AG87" s="892"/>
      <c r="CI87" t="s">
        <v>992</v>
      </c>
      <c r="CJ87">
        <v>45809</v>
      </c>
      <c r="CL87">
        <v>13686</v>
      </c>
      <c r="CM87">
        <v>13685</v>
      </c>
      <c r="CN87">
        <v>13686</v>
      </c>
      <c r="CO87">
        <v>13686</v>
      </c>
      <c r="CP87">
        <v>13686</v>
      </c>
      <c r="CQ87">
        <v>13686</v>
      </c>
      <c r="CR87">
        <v>13686</v>
      </c>
      <c r="CS87">
        <v>13685</v>
      </c>
      <c r="CT87">
        <v>13686</v>
      </c>
      <c r="CU87">
        <v>13686</v>
      </c>
      <c r="DC87" t="s">
        <v>993</v>
      </c>
      <c r="DD87" s="892"/>
    </row>
    <row r="88" spans="1:108">
      <c r="A88" s="922">
        <v>1</v>
      </c>
      <c r="C88" s="892"/>
      <c r="AG88" s="892"/>
      <c r="CI88" t="s">
        <v>994</v>
      </c>
      <c r="DC88" t="s">
        <v>995</v>
      </c>
      <c r="DD88" s="892"/>
    </row>
    <row r="89" spans="1:108">
      <c r="A89" s="928">
        <v>2</v>
      </c>
      <c r="C89" s="892"/>
      <c r="AG89" s="892"/>
      <c r="CI89" t="s">
        <v>996</v>
      </c>
      <c r="CJ89">
        <v>3141</v>
      </c>
      <c r="CK89">
        <v>3631</v>
      </c>
      <c r="CL89">
        <v>3752</v>
      </c>
      <c r="CM89">
        <v>4049</v>
      </c>
      <c r="CN89">
        <v>4222</v>
      </c>
      <c r="CO89">
        <v>4241</v>
      </c>
      <c r="CP89">
        <v>3820</v>
      </c>
      <c r="CQ89">
        <v>3553</v>
      </c>
      <c r="CR89">
        <v>3951</v>
      </c>
      <c r="CS89">
        <v>3107</v>
      </c>
      <c r="CT89">
        <v>4157</v>
      </c>
      <c r="CU89">
        <v>4148</v>
      </c>
      <c r="DC89" t="s">
        <v>997</v>
      </c>
      <c r="DD89" s="892"/>
    </row>
    <row r="90" spans="1:108">
      <c r="A90" s="928">
        <v>10</v>
      </c>
      <c r="C90" s="892"/>
      <c r="AG90" s="892"/>
      <c r="CI90" t="s">
        <v>998</v>
      </c>
      <c r="DC90" t="s">
        <v>999</v>
      </c>
      <c r="DD90" s="892"/>
    </row>
    <row r="91" spans="1:108">
      <c r="A91" s="928">
        <v>2</v>
      </c>
      <c r="C91" s="892"/>
      <c r="AG91" s="892"/>
      <c r="CI91" t="s">
        <v>1000</v>
      </c>
      <c r="DC91" t="s">
        <v>1001</v>
      </c>
      <c r="DD91" s="892"/>
    </row>
    <row r="92" spans="1:108">
      <c r="A92" s="928">
        <v>12</v>
      </c>
      <c r="C92" s="892"/>
      <c r="AG92" s="892"/>
      <c r="CJ92" t="b">
        <f t="shared" ref="CJ92:CU92" si="2">CJ4=CJ49</f>
        <v>1</v>
      </c>
      <c r="CK92" t="b">
        <f t="shared" si="2"/>
        <v>1</v>
      </c>
      <c r="CL92" t="b">
        <f t="shared" si="2"/>
        <v>1</v>
      </c>
      <c r="CM92" t="b">
        <f t="shared" si="2"/>
        <v>1</v>
      </c>
      <c r="CN92" t="b">
        <f t="shared" si="2"/>
        <v>1</v>
      </c>
      <c r="CO92" t="b">
        <f t="shared" si="2"/>
        <v>1</v>
      </c>
      <c r="CP92" t="b">
        <f t="shared" si="2"/>
        <v>1</v>
      </c>
      <c r="CQ92" t="b">
        <f t="shared" si="2"/>
        <v>1</v>
      </c>
      <c r="CR92" t="b">
        <f t="shared" si="2"/>
        <v>1</v>
      </c>
      <c r="CS92" t="b">
        <f t="shared" si="2"/>
        <v>1</v>
      </c>
      <c r="CT92" t="b">
        <f t="shared" si="2"/>
        <v>1</v>
      </c>
      <c r="CU92" t="b">
        <f t="shared" si="2"/>
        <v>1</v>
      </c>
      <c r="CW92" t="b">
        <f>CW4=CW49</f>
        <v>1</v>
      </c>
      <c r="CX92" t="b">
        <f>CX4=CX49</f>
        <v>1</v>
      </c>
      <c r="CY92" t="b">
        <f>CY4=CY49</f>
        <v>1</v>
      </c>
      <c r="CZ92" t="b">
        <f>CZ4=CZ49</f>
        <v>1</v>
      </c>
      <c r="DA92" t="b">
        <f>DA4=DA49</f>
        <v>1</v>
      </c>
      <c r="DB92">
        <f t="shared" ref="DB92:DB122" si="3">COUNTIF(CJ92:DA92,FALSE)</f>
        <v>0</v>
      </c>
      <c r="DD92" s="892"/>
    </row>
    <row r="93" spans="1:108">
      <c r="A93" s="928">
        <f>OperatingExpensesListCount</f>
        <v>20</v>
      </c>
      <c r="C93" s="892"/>
      <c r="AG93" s="892"/>
      <c r="CJ93" t="b">
        <f t="shared" ref="CJ93:CU93" si="4">CJ6=CJ51</f>
        <v>1</v>
      </c>
      <c r="CK93" t="b">
        <f t="shared" si="4"/>
        <v>1</v>
      </c>
      <c r="CL93" t="b">
        <f t="shared" si="4"/>
        <v>1</v>
      </c>
      <c r="CM93" t="b">
        <f t="shared" si="4"/>
        <v>1</v>
      </c>
      <c r="CN93" t="b">
        <f t="shared" si="4"/>
        <v>1</v>
      </c>
      <c r="CO93" t="b">
        <f t="shared" si="4"/>
        <v>1</v>
      </c>
      <c r="CP93" t="b">
        <f t="shared" si="4"/>
        <v>1</v>
      </c>
      <c r="CQ93" t="b">
        <f t="shared" si="4"/>
        <v>1</v>
      </c>
      <c r="CR93" t="b">
        <f t="shared" si="4"/>
        <v>1</v>
      </c>
      <c r="CS93" t="b">
        <f t="shared" si="4"/>
        <v>1</v>
      </c>
      <c r="CT93" t="b">
        <f t="shared" si="4"/>
        <v>1</v>
      </c>
      <c r="CU93" t="b">
        <f t="shared" si="4"/>
        <v>1</v>
      </c>
      <c r="CW93" t="b">
        <f t="shared" ref="CW93:DA94" si="5">CW6=CW51</f>
        <v>1</v>
      </c>
      <c r="CX93" t="b">
        <f t="shared" si="5"/>
        <v>1</v>
      </c>
      <c r="CY93" t="b">
        <f t="shared" si="5"/>
        <v>1</v>
      </c>
      <c r="CZ93" t="b">
        <f t="shared" si="5"/>
        <v>1</v>
      </c>
      <c r="DA93" t="b">
        <f t="shared" si="5"/>
        <v>1</v>
      </c>
      <c r="DB93">
        <f t="shared" si="3"/>
        <v>0</v>
      </c>
      <c r="DD93" s="892"/>
    </row>
    <row r="94" spans="1:108">
      <c r="A94" s="928">
        <f>YearlyPropertyWideCapitalExpensesInputCutOff</f>
        <v>10</v>
      </c>
      <c r="C94" s="892"/>
      <c r="AG94" s="892"/>
      <c r="CJ94" t="b">
        <f t="shared" ref="CJ94:CU94" si="6">CJ7=CJ52</f>
        <v>1</v>
      </c>
      <c r="CK94" t="b">
        <f t="shared" si="6"/>
        <v>1</v>
      </c>
      <c r="CL94" t="b">
        <f t="shared" si="6"/>
        <v>1</v>
      </c>
      <c r="CM94" t="b">
        <f t="shared" si="6"/>
        <v>1</v>
      </c>
      <c r="CN94" t="b">
        <f t="shared" si="6"/>
        <v>1</v>
      </c>
      <c r="CO94" t="b">
        <f t="shared" si="6"/>
        <v>1</v>
      </c>
      <c r="CP94" t="b">
        <f t="shared" si="6"/>
        <v>1</v>
      </c>
      <c r="CQ94" t="b">
        <f t="shared" si="6"/>
        <v>1</v>
      </c>
      <c r="CR94" t="b">
        <f t="shared" si="6"/>
        <v>1</v>
      </c>
      <c r="CS94" t="b">
        <f t="shared" si="6"/>
        <v>1</v>
      </c>
      <c r="CT94" t="b">
        <f t="shared" si="6"/>
        <v>1</v>
      </c>
      <c r="CU94" t="b">
        <f t="shared" si="6"/>
        <v>1</v>
      </c>
      <c r="CW94" t="b">
        <f t="shared" si="5"/>
        <v>1</v>
      </c>
      <c r="CX94" t="b">
        <f t="shared" si="5"/>
        <v>1</v>
      </c>
      <c r="CY94" t="b">
        <f t="shared" si="5"/>
        <v>1</v>
      </c>
      <c r="CZ94" t="b">
        <f t="shared" si="5"/>
        <v>1</v>
      </c>
      <c r="DA94" t="b">
        <f t="shared" si="5"/>
        <v>1</v>
      </c>
      <c r="DB94">
        <f t="shared" si="3"/>
        <v>0</v>
      </c>
      <c r="DD94" s="892"/>
    </row>
    <row r="95" spans="1:108">
      <c r="A95" s="928">
        <v>36</v>
      </c>
      <c r="C95" s="892"/>
      <c r="AG95" s="892"/>
      <c r="CJ95" t="b">
        <f t="shared" ref="CJ95:CU95" si="7">CJ10=CJ55</f>
        <v>1</v>
      </c>
      <c r="CK95" t="b">
        <f t="shared" si="7"/>
        <v>1</v>
      </c>
      <c r="CL95" t="b">
        <f t="shared" si="7"/>
        <v>1</v>
      </c>
      <c r="CM95" t="b">
        <f t="shared" si="7"/>
        <v>1</v>
      </c>
      <c r="CN95" t="b">
        <f t="shared" si="7"/>
        <v>1</v>
      </c>
      <c r="CO95" t="b">
        <f t="shared" si="7"/>
        <v>1</v>
      </c>
      <c r="CP95" t="b">
        <f t="shared" si="7"/>
        <v>1</v>
      </c>
      <c r="CQ95" t="b">
        <f t="shared" si="7"/>
        <v>1</v>
      </c>
      <c r="CR95" t="b">
        <f t="shared" si="7"/>
        <v>1</v>
      </c>
      <c r="CS95" t="b">
        <f t="shared" si="7"/>
        <v>1</v>
      </c>
      <c r="CT95" t="b">
        <f t="shared" si="7"/>
        <v>1</v>
      </c>
      <c r="CU95" t="b">
        <f t="shared" si="7"/>
        <v>1</v>
      </c>
      <c r="CW95" t="b">
        <f t="shared" ref="CW95:DA98" si="8">CW10=CW55</f>
        <v>1</v>
      </c>
      <c r="CX95" t="b">
        <f t="shared" si="8"/>
        <v>1</v>
      </c>
      <c r="CY95" t="b">
        <f t="shared" si="8"/>
        <v>1</v>
      </c>
      <c r="CZ95" t="b">
        <f t="shared" si="8"/>
        <v>1</v>
      </c>
      <c r="DA95" t="b">
        <f t="shared" si="8"/>
        <v>1</v>
      </c>
      <c r="DB95">
        <f t="shared" si="3"/>
        <v>0</v>
      </c>
      <c r="DD95" s="892"/>
    </row>
    <row r="96" spans="1:108">
      <c r="A96" s="928">
        <v>36</v>
      </c>
      <c r="C96" s="892"/>
      <c r="AG96" s="892"/>
      <c r="CJ96" t="b">
        <f t="shared" ref="CJ96:CU96" si="9">CJ11=CJ56</f>
        <v>1</v>
      </c>
      <c r="CK96" t="b">
        <f t="shared" si="9"/>
        <v>1</v>
      </c>
      <c r="CL96" t="b">
        <f t="shared" si="9"/>
        <v>1</v>
      </c>
      <c r="CM96" t="b">
        <f t="shared" si="9"/>
        <v>1</v>
      </c>
      <c r="CN96" t="b">
        <f t="shared" si="9"/>
        <v>1</v>
      </c>
      <c r="CO96" t="b">
        <f t="shared" si="9"/>
        <v>1</v>
      </c>
      <c r="CP96" t="b">
        <f t="shared" si="9"/>
        <v>1</v>
      </c>
      <c r="CQ96" t="b">
        <f t="shared" si="9"/>
        <v>1</v>
      </c>
      <c r="CR96" t="b">
        <f t="shared" si="9"/>
        <v>1</v>
      </c>
      <c r="CS96" t="b">
        <f t="shared" si="9"/>
        <v>1</v>
      </c>
      <c r="CT96" t="b">
        <f t="shared" si="9"/>
        <v>1</v>
      </c>
      <c r="CU96" t="b">
        <f t="shared" si="9"/>
        <v>1</v>
      </c>
      <c r="CW96" t="b">
        <f t="shared" si="8"/>
        <v>1</v>
      </c>
      <c r="CX96" t="b">
        <f t="shared" si="8"/>
        <v>1</v>
      </c>
      <c r="CY96" t="b">
        <f t="shared" si="8"/>
        <v>1</v>
      </c>
      <c r="CZ96" t="b">
        <f t="shared" si="8"/>
        <v>1</v>
      </c>
      <c r="DA96" t="b">
        <f t="shared" si="8"/>
        <v>1</v>
      </c>
      <c r="DB96">
        <f t="shared" si="3"/>
        <v>0</v>
      </c>
      <c r="DD96" s="892"/>
    </row>
    <row r="97" spans="1:108">
      <c r="A97" s="928">
        <f>YearlyRenovationsListCount</f>
        <v>2</v>
      </c>
      <c r="C97" s="892"/>
      <c r="AG97" s="892"/>
      <c r="CJ97" t="b">
        <f t="shared" ref="CJ97:CU97" si="10">CJ12=CJ57</f>
        <v>1</v>
      </c>
      <c r="CK97" t="b">
        <f t="shared" si="10"/>
        <v>1</v>
      </c>
      <c r="CL97" t="b">
        <f t="shared" si="10"/>
        <v>1</v>
      </c>
      <c r="CM97" t="b">
        <f t="shared" si="10"/>
        <v>1</v>
      </c>
      <c r="CN97" t="b">
        <f t="shared" si="10"/>
        <v>1</v>
      </c>
      <c r="CO97" t="b">
        <f t="shared" si="10"/>
        <v>1</v>
      </c>
      <c r="CP97" t="b">
        <f t="shared" si="10"/>
        <v>1</v>
      </c>
      <c r="CQ97" t="b">
        <f t="shared" si="10"/>
        <v>1</v>
      </c>
      <c r="CR97" t="b">
        <f t="shared" si="10"/>
        <v>1</v>
      </c>
      <c r="CS97" t="b">
        <f t="shared" si="10"/>
        <v>1</v>
      </c>
      <c r="CT97" t="b">
        <f t="shared" si="10"/>
        <v>1</v>
      </c>
      <c r="CU97" t="b">
        <f t="shared" si="10"/>
        <v>1</v>
      </c>
      <c r="CW97" t="b">
        <f t="shared" si="8"/>
        <v>1</v>
      </c>
      <c r="CX97" t="b">
        <f t="shared" si="8"/>
        <v>1</v>
      </c>
      <c r="CY97" t="b">
        <f t="shared" si="8"/>
        <v>1</v>
      </c>
      <c r="CZ97" t="b">
        <f t="shared" si="8"/>
        <v>1</v>
      </c>
      <c r="DA97" t="b">
        <f t="shared" si="8"/>
        <v>1</v>
      </c>
      <c r="DB97">
        <f t="shared" si="3"/>
        <v>0</v>
      </c>
      <c r="DD97" s="892"/>
    </row>
    <row r="98" spans="1:108">
      <c r="A98" s="928">
        <v>36</v>
      </c>
      <c r="C98" s="892"/>
      <c r="AG98" s="892"/>
      <c r="CJ98" t="b">
        <f t="shared" ref="CJ98:CU98" si="11">CJ13=CJ58</f>
        <v>1</v>
      </c>
      <c r="CK98" t="b">
        <f t="shared" si="11"/>
        <v>1</v>
      </c>
      <c r="CL98" t="b">
        <f t="shared" si="11"/>
        <v>1</v>
      </c>
      <c r="CM98" t="b">
        <f t="shared" si="11"/>
        <v>1</v>
      </c>
      <c r="CN98" t="b">
        <f t="shared" si="11"/>
        <v>1</v>
      </c>
      <c r="CO98" t="b">
        <f t="shared" si="11"/>
        <v>1</v>
      </c>
      <c r="CP98" t="b">
        <f t="shared" si="11"/>
        <v>1</v>
      </c>
      <c r="CQ98" t="b">
        <f t="shared" si="11"/>
        <v>1</v>
      </c>
      <c r="CR98" t="b">
        <f t="shared" si="11"/>
        <v>1</v>
      </c>
      <c r="CS98" t="b">
        <f t="shared" si="11"/>
        <v>1</v>
      </c>
      <c r="CT98" t="b">
        <f t="shared" si="11"/>
        <v>1</v>
      </c>
      <c r="CU98" t="b">
        <f t="shared" si="11"/>
        <v>1</v>
      </c>
      <c r="CW98" t="b">
        <f t="shared" si="8"/>
        <v>1</v>
      </c>
      <c r="CX98" t="b">
        <f t="shared" si="8"/>
        <v>1</v>
      </c>
      <c r="CY98" t="b">
        <f t="shared" si="8"/>
        <v>1</v>
      </c>
      <c r="CZ98" t="b">
        <f t="shared" si="8"/>
        <v>1</v>
      </c>
      <c r="DA98" t="b">
        <f t="shared" si="8"/>
        <v>1</v>
      </c>
      <c r="DB98">
        <f t="shared" si="3"/>
        <v>0</v>
      </c>
      <c r="DD98" s="892"/>
    </row>
    <row r="99" spans="1:108">
      <c r="A99" s="928">
        <v>13</v>
      </c>
      <c r="C99" s="892"/>
      <c r="AG99" s="892"/>
      <c r="CJ99" t="b">
        <f t="shared" ref="CJ99:CU99" si="12">CJ16=CJ61</f>
        <v>1</v>
      </c>
      <c r="CK99" t="b">
        <f t="shared" si="12"/>
        <v>1</v>
      </c>
      <c r="CL99" t="b">
        <f t="shared" si="12"/>
        <v>1</v>
      </c>
      <c r="CM99" t="b">
        <f t="shared" si="12"/>
        <v>1</v>
      </c>
      <c r="CN99" t="b">
        <f t="shared" si="12"/>
        <v>1</v>
      </c>
      <c r="CO99" t="b">
        <f t="shared" si="12"/>
        <v>1</v>
      </c>
      <c r="CP99" t="b">
        <f t="shared" si="12"/>
        <v>1</v>
      </c>
      <c r="CQ99" t="b">
        <f t="shared" si="12"/>
        <v>1</v>
      </c>
      <c r="CR99" t="b">
        <f t="shared" si="12"/>
        <v>1</v>
      </c>
      <c r="CS99" t="b">
        <f t="shared" si="12"/>
        <v>1</v>
      </c>
      <c r="CT99" t="b">
        <f t="shared" si="12"/>
        <v>1</v>
      </c>
      <c r="CU99" t="b">
        <f t="shared" si="12"/>
        <v>1</v>
      </c>
      <c r="CW99" t="b">
        <f t="shared" ref="CW99:DA103" si="13">CW16=CW61</f>
        <v>1</v>
      </c>
      <c r="CX99" t="b">
        <f t="shared" si="13"/>
        <v>1</v>
      </c>
      <c r="CY99" t="b">
        <f t="shared" si="13"/>
        <v>1</v>
      </c>
      <c r="CZ99" t="b">
        <f t="shared" si="13"/>
        <v>1</v>
      </c>
      <c r="DA99" t="b">
        <f t="shared" si="13"/>
        <v>1</v>
      </c>
      <c r="DB99">
        <f t="shared" si="3"/>
        <v>0</v>
      </c>
      <c r="DD99" s="892"/>
    </row>
    <row r="100" spans="1:108">
      <c r="A100" s="928">
        <v>20</v>
      </c>
      <c r="C100" s="892"/>
      <c r="AG100" s="892"/>
      <c r="CJ100" t="b">
        <f t="shared" ref="CJ100:CU100" si="14">CJ17=CJ62</f>
        <v>1</v>
      </c>
      <c r="CK100" t="b">
        <f t="shared" si="14"/>
        <v>1</v>
      </c>
      <c r="CL100" t="b">
        <f t="shared" si="14"/>
        <v>1</v>
      </c>
      <c r="CM100" t="b">
        <f t="shared" si="14"/>
        <v>1</v>
      </c>
      <c r="CN100" t="b">
        <f t="shared" si="14"/>
        <v>1</v>
      </c>
      <c r="CO100" t="b">
        <f t="shared" si="14"/>
        <v>1</v>
      </c>
      <c r="CP100" t="b">
        <f t="shared" si="14"/>
        <v>1</v>
      </c>
      <c r="CQ100" t="b">
        <f t="shared" si="14"/>
        <v>1</v>
      </c>
      <c r="CR100" t="b">
        <f t="shared" si="14"/>
        <v>1</v>
      </c>
      <c r="CS100" t="b">
        <f t="shared" si="14"/>
        <v>1</v>
      </c>
      <c r="CT100" t="b">
        <f t="shared" si="14"/>
        <v>1</v>
      </c>
      <c r="CU100" t="b">
        <f t="shared" si="14"/>
        <v>1</v>
      </c>
      <c r="CW100" t="b">
        <f t="shared" si="13"/>
        <v>1</v>
      </c>
      <c r="CX100" t="b">
        <f t="shared" si="13"/>
        <v>1</v>
      </c>
      <c r="CY100" t="b">
        <f t="shared" si="13"/>
        <v>1</v>
      </c>
      <c r="CZ100" t="b">
        <f t="shared" si="13"/>
        <v>1</v>
      </c>
      <c r="DA100" t="b">
        <f t="shared" si="13"/>
        <v>1</v>
      </c>
      <c r="DB100">
        <f t="shared" si="3"/>
        <v>0</v>
      </c>
      <c r="DD100" s="892"/>
    </row>
    <row r="101" spans="1:108">
      <c r="A101" s="928">
        <v>11</v>
      </c>
      <c r="C101" s="892"/>
      <c r="AG101" s="892"/>
      <c r="CJ101" t="b">
        <f t="shared" ref="CJ101:CU101" si="15">CJ18=CJ63</f>
        <v>1</v>
      </c>
      <c r="CK101" t="b">
        <f t="shared" si="15"/>
        <v>1</v>
      </c>
      <c r="CL101" t="b">
        <f t="shared" si="15"/>
        <v>1</v>
      </c>
      <c r="CM101" t="b">
        <f t="shared" si="15"/>
        <v>1</v>
      </c>
      <c r="CN101" t="b">
        <f t="shared" si="15"/>
        <v>1</v>
      </c>
      <c r="CO101" t="b">
        <f t="shared" si="15"/>
        <v>1</v>
      </c>
      <c r="CP101" t="b">
        <f t="shared" si="15"/>
        <v>1</v>
      </c>
      <c r="CQ101" t="b">
        <f t="shared" si="15"/>
        <v>1</v>
      </c>
      <c r="CR101" t="b">
        <f t="shared" si="15"/>
        <v>1</v>
      </c>
      <c r="CS101" t="b">
        <f t="shared" si="15"/>
        <v>1</v>
      </c>
      <c r="CT101" t="b">
        <f t="shared" si="15"/>
        <v>1</v>
      </c>
      <c r="CU101" t="b">
        <f t="shared" si="15"/>
        <v>1</v>
      </c>
      <c r="CW101" t="b">
        <f t="shared" si="13"/>
        <v>1</v>
      </c>
      <c r="CX101" t="b">
        <f t="shared" si="13"/>
        <v>1</v>
      </c>
      <c r="CY101" t="b">
        <f t="shared" si="13"/>
        <v>1</v>
      </c>
      <c r="CZ101" t="b">
        <f t="shared" si="13"/>
        <v>1</v>
      </c>
      <c r="DA101" t="b">
        <f t="shared" si="13"/>
        <v>1</v>
      </c>
      <c r="DB101">
        <f t="shared" si="3"/>
        <v>0</v>
      </c>
      <c r="DD101" s="892"/>
    </row>
    <row r="102" spans="1:108">
      <c r="A102" s="928">
        <v>10</v>
      </c>
      <c r="C102" s="892"/>
      <c r="AG102" s="892"/>
      <c r="CJ102" t="b">
        <f t="shared" ref="CJ102:CU102" si="16">CJ19=CJ64</f>
        <v>1</v>
      </c>
      <c r="CK102" t="b">
        <f t="shared" si="16"/>
        <v>1</v>
      </c>
      <c r="CL102" t="b">
        <f t="shared" si="16"/>
        <v>1</v>
      </c>
      <c r="CM102" t="b">
        <f t="shared" si="16"/>
        <v>1</v>
      </c>
      <c r="CN102" t="b">
        <f t="shared" si="16"/>
        <v>1</v>
      </c>
      <c r="CO102" t="b">
        <f t="shared" si="16"/>
        <v>1</v>
      </c>
      <c r="CP102" t="b">
        <f t="shared" si="16"/>
        <v>1</v>
      </c>
      <c r="CQ102" t="b">
        <f t="shared" si="16"/>
        <v>1</v>
      </c>
      <c r="CR102" t="b">
        <f t="shared" si="16"/>
        <v>1</v>
      </c>
      <c r="CS102" t="b">
        <f t="shared" si="16"/>
        <v>1</v>
      </c>
      <c r="CT102" t="b">
        <f t="shared" si="16"/>
        <v>1</v>
      </c>
      <c r="CU102" t="b">
        <f t="shared" si="16"/>
        <v>1</v>
      </c>
      <c r="CW102" t="b">
        <f t="shared" si="13"/>
        <v>1</v>
      </c>
      <c r="CX102" t="b">
        <f t="shared" si="13"/>
        <v>1</v>
      </c>
      <c r="CY102" t="b">
        <f t="shared" si="13"/>
        <v>1</v>
      </c>
      <c r="CZ102" t="b">
        <f t="shared" si="13"/>
        <v>1</v>
      </c>
      <c r="DA102" t="b">
        <f t="shared" si="13"/>
        <v>1</v>
      </c>
      <c r="DB102">
        <f t="shared" si="3"/>
        <v>0</v>
      </c>
      <c r="DD102" s="892"/>
    </row>
    <row r="103" spans="1:108">
      <c r="A103" s="928">
        <v>10</v>
      </c>
      <c r="C103" s="892"/>
      <c r="AG103" s="892"/>
      <c r="CJ103" t="b">
        <f t="shared" ref="CJ103:CU103" si="17">CJ20=CJ65</f>
        <v>1</v>
      </c>
      <c r="CK103" t="b">
        <f t="shared" si="17"/>
        <v>1</v>
      </c>
      <c r="CL103" t="b">
        <f t="shared" si="17"/>
        <v>1</v>
      </c>
      <c r="CM103" t="b">
        <f t="shared" si="17"/>
        <v>1</v>
      </c>
      <c r="CN103" t="b">
        <f t="shared" si="17"/>
        <v>1</v>
      </c>
      <c r="CO103" t="b">
        <f t="shared" si="17"/>
        <v>1</v>
      </c>
      <c r="CP103" t="b">
        <f t="shared" si="17"/>
        <v>1</v>
      </c>
      <c r="CQ103" t="b">
        <f t="shared" si="17"/>
        <v>1</v>
      </c>
      <c r="CR103" t="b">
        <f t="shared" si="17"/>
        <v>1</v>
      </c>
      <c r="CS103" t="b">
        <f t="shared" si="17"/>
        <v>1</v>
      </c>
      <c r="CT103" t="b">
        <f t="shared" si="17"/>
        <v>1</v>
      </c>
      <c r="CU103" t="b">
        <f t="shared" si="17"/>
        <v>1</v>
      </c>
      <c r="CW103" t="b">
        <f t="shared" si="13"/>
        <v>1</v>
      </c>
      <c r="CX103" t="b">
        <f t="shared" si="13"/>
        <v>1</v>
      </c>
      <c r="CY103" t="b">
        <f t="shared" si="13"/>
        <v>1</v>
      </c>
      <c r="CZ103" t="b">
        <f t="shared" si="13"/>
        <v>1</v>
      </c>
      <c r="DA103" t="b">
        <f t="shared" si="13"/>
        <v>1</v>
      </c>
      <c r="DB103">
        <f t="shared" si="3"/>
        <v>0</v>
      </c>
      <c r="DD103" s="892"/>
    </row>
    <row r="104" spans="1:108">
      <c r="A104" s="928">
        <v>11</v>
      </c>
      <c r="C104" s="892"/>
      <c r="AG104" s="892"/>
      <c r="CJ104" t="b">
        <f t="shared" ref="CJ104:CU104" si="18">CJ28=CJ73</f>
        <v>1</v>
      </c>
      <c r="CK104" t="b">
        <f t="shared" si="18"/>
        <v>1</v>
      </c>
      <c r="CL104" t="b">
        <f t="shared" si="18"/>
        <v>1</v>
      </c>
      <c r="CM104" t="b">
        <f t="shared" si="18"/>
        <v>1</v>
      </c>
      <c r="CN104" t="b">
        <f t="shared" si="18"/>
        <v>1</v>
      </c>
      <c r="CO104" t="b">
        <f t="shared" si="18"/>
        <v>1</v>
      </c>
      <c r="CP104" t="b">
        <f t="shared" si="18"/>
        <v>1</v>
      </c>
      <c r="CQ104" t="b">
        <f t="shared" si="18"/>
        <v>1</v>
      </c>
      <c r="CR104" t="b">
        <f t="shared" si="18"/>
        <v>1</v>
      </c>
      <c r="CS104" t="b">
        <f t="shared" si="18"/>
        <v>1</v>
      </c>
      <c r="CT104" t="b">
        <f t="shared" si="18"/>
        <v>1</v>
      </c>
      <c r="CU104" t="b">
        <f t="shared" si="18"/>
        <v>1</v>
      </c>
      <c r="CW104" t="b">
        <f t="shared" ref="CW104:DA113" si="19">CW28=CW73</f>
        <v>1</v>
      </c>
      <c r="CX104" t="b">
        <f t="shared" si="19"/>
        <v>1</v>
      </c>
      <c r="CY104" t="b">
        <f t="shared" si="19"/>
        <v>1</v>
      </c>
      <c r="CZ104" t="b">
        <f t="shared" si="19"/>
        <v>1</v>
      </c>
      <c r="DA104" t="b">
        <f t="shared" si="19"/>
        <v>1</v>
      </c>
      <c r="DB104">
        <f t="shared" si="3"/>
        <v>0</v>
      </c>
      <c r="DD104" s="892"/>
    </row>
    <row r="105" spans="1:108">
      <c r="A105" s="928">
        <v>11</v>
      </c>
      <c r="C105" s="892"/>
      <c r="AG105" s="892"/>
      <c r="CJ105" t="b">
        <f t="shared" ref="CJ105:CU105" si="20">CJ29=CJ74</f>
        <v>1</v>
      </c>
      <c r="CK105" t="b">
        <f t="shared" si="20"/>
        <v>1</v>
      </c>
      <c r="CL105" t="b">
        <f t="shared" si="20"/>
        <v>1</v>
      </c>
      <c r="CM105" t="b">
        <f t="shared" si="20"/>
        <v>1</v>
      </c>
      <c r="CN105" t="b">
        <f t="shared" si="20"/>
        <v>1</v>
      </c>
      <c r="CO105" t="b">
        <f t="shared" si="20"/>
        <v>1</v>
      </c>
      <c r="CP105" t="b">
        <f t="shared" si="20"/>
        <v>1</v>
      </c>
      <c r="CQ105" t="b">
        <f t="shared" si="20"/>
        <v>1</v>
      </c>
      <c r="CR105" t="b">
        <f t="shared" si="20"/>
        <v>1</v>
      </c>
      <c r="CS105" t="b">
        <f t="shared" si="20"/>
        <v>1</v>
      </c>
      <c r="CT105" t="b">
        <f t="shared" si="20"/>
        <v>1</v>
      </c>
      <c r="CU105" t="b">
        <f t="shared" si="20"/>
        <v>1</v>
      </c>
      <c r="CW105" t="b">
        <f t="shared" si="19"/>
        <v>1</v>
      </c>
      <c r="CX105" t="b">
        <f t="shared" si="19"/>
        <v>1</v>
      </c>
      <c r="CY105" t="b">
        <f t="shared" si="19"/>
        <v>1</v>
      </c>
      <c r="CZ105" t="b">
        <f t="shared" si="19"/>
        <v>1</v>
      </c>
      <c r="DA105" t="b">
        <f t="shared" si="19"/>
        <v>1</v>
      </c>
      <c r="DB105">
        <f t="shared" si="3"/>
        <v>0</v>
      </c>
      <c r="DD105" s="892"/>
    </row>
    <row r="106" spans="1:108">
      <c r="A106" s="928">
        <v>11</v>
      </c>
      <c r="C106" s="892"/>
      <c r="AG106" s="892"/>
      <c r="CJ106" t="b">
        <f t="shared" ref="CJ106:CU106" si="21">CJ30=CJ75</f>
        <v>1</v>
      </c>
      <c r="CK106" t="b">
        <f t="shared" si="21"/>
        <v>1</v>
      </c>
      <c r="CL106" t="b">
        <f t="shared" si="21"/>
        <v>1</v>
      </c>
      <c r="CM106" t="b">
        <f t="shared" si="21"/>
        <v>1</v>
      </c>
      <c r="CN106" t="b">
        <f t="shared" si="21"/>
        <v>1</v>
      </c>
      <c r="CO106" t="b">
        <f t="shared" si="21"/>
        <v>1</v>
      </c>
      <c r="CP106" t="b">
        <f t="shared" si="21"/>
        <v>1</v>
      </c>
      <c r="CQ106" t="b">
        <f t="shared" si="21"/>
        <v>1</v>
      </c>
      <c r="CR106" t="b">
        <f t="shared" si="21"/>
        <v>1</v>
      </c>
      <c r="CS106" t="b">
        <f t="shared" si="21"/>
        <v>1</v>
      </c>
      <c r="CT106" t="b">
        <f t="shared" si="21"/>
        <v>1</v>
      </c>
      <c r="CU106" t="b">
        <f t="shared" si="21"/>
        <v>1</v>
      </c>
      <c r="CW106" t="b">
        <f t="shared" si="19"/>
        <v>1</v>
      </c>
      <c r="CX106" t="b">
        <f t="shared" si="19"/>
        <v>1</v>
      </c>
      <c r="CY106" t="b">
        <f t="shared" si="19"/>
        <v>1</v>
      </c>
      <c r="CZ106" t="b">
        <f t="shared" si="19"/>
        <v>1</v>
      </c>
      <c r="DA106" t="b">
        <f t="shared" si="19"/>
        <v>1</v>
      </c>
      <c r="DB106">
        <f t="shared" si="3"/>
        <v>0</v>
      </c>
      <c r="DD106" s="892"/>
    </row>
    <row r="107" spans="1:108">
      <c r="A107" s="928">
        <v>10</v>
      </c>
      <c r="C107" s="892"/>
      <c r="AG107" s="892"/>
      <c r="CJ107" t="b">
        <f t="shared" ref="CJ107:CU107" si="22">CJ31=CJ76</f>
        <v>1</v>
      </c>
      <c r="CK107" t="b">
        <f t="shared" si="22"/>
        <v>1</v>
      </c>
      <c r="CL107" t="b">
        <f t="shared" si="22"/>
        <v>1</v>
      </c>
      <c r="CM107" t="b">
        <f t="shared" si="22"/>
        <v>1</v>
      </c>
      <c r="CN107" t="b">
        <f t="shared" si="22"/>
        <v>1</v>
      </c>
      <c r="CO107" t="b">
        <f t="shared" si="22"/>
        <v>1</v>
      </c>
      <c r="CP107" t="b">
        <f t="shared" si="22"/>
        <v>1</v>
      </c>
      <c r="CQ107" t="b">
        <f t="shared" si="22"/>
        <v>1</v>
      </c>
      <c r="CR107" t="b">
        <f t="shared" si="22"/>
        <v>1</v>
      </c>
      <c r="CS107" t="b">
        <f t="shared" si="22"/>
        <v>1</v>
      </c>
      <c r="CT107" t="b">
        <f t="shared" si="22"/>
        <v>1</v>
      </c>
      <c r="CU107" t="b">
        <f t="shared" si="22"/>
        <v>1</v>
      </c>
      <c r="CW107" t="b">
        <f t="shared" si="19"/>
        <v>1</v>
      </c>
      <c r="CX107" t="b">
        <f t="shared" si="19"/>
        <v>1</v>
      </c>
      <c r="CY107" t="b">
        <f t="shared" si="19"/>
        <v>1</v>
      </c>
      <c r="CZ107" t="b">
        <f t="shared" si="19"/>
        <v>1</v>
      </c>
      <c r="DA107" t="b">
        <f t="shared" si="19"/>
        <v>1</v>
      </c>
      <c r="DB107">
        <f t="shared" si="3"/>
        <v>0</v>
      </c>
      <c r="DD107" s="892"/>
    </row>
    <row r="108" spans="1:108">
      <c r="A108" s="928">
        <v>10</v>
      </c>
      <c r="C108" s="892"/>
      <c r="CJ108" t="b">
        <f t="shared" ref="CJ108:CU108" si="23">CJ32=CJ77</f>
        <v>1</v>
      </c>
      <c r="CK108" t="b">
        <f t="shared" si="23"/>
        <v>1</v>
      </c>
      <c r="CL108" t="b">
        <f t="shared" si="23"/>
        <v>1</v>
      </c>
      <c r="CM108" t="b">
        <f t="shared" si="23"/>
        <v>1</v>
      </c>
      <c r="CN108" t="b">
        <f t="shared" si="23"/>
        <v>1</v>
      </c>
      <c r="CO108" t="b">
        <f t="shared" si="23"/>
        <v>1</v>
      </c>
      <c r="CP108" t="b">
        <f t="shared" si="23"/>
        <v>1</v>
      </c>
      <c r="CQ108" t="b">
        <f t="shared" si="23"/>
        <v>1</v>
      </c>
      <c r="CR108" t="b">
        <f t="shared" si="23"/>
        <v>1</v>
      </c>
      <c r="CS108" t="b">
        <f t="shared" si="23"/>
        <v>1</v>
      </c>
      <c r="CT108" t="b">
        <f t="shared" si="23"/>
        <v>1</v>
      </c>
      <c r="CU108" t="b">
        <f t="shared" si="23"/>
        <v>1</v>
      </c>
      <c r="CW108" t="b">
        <f t="shared" si="19"/>
        <v>1</v>
      </c>
      <c r="CX108" t="b">
        <f t="shared" si="19"/>
        <v>1</v>
      </c>
      <c r="CY108" t="b">
        <f t="shared" si="19"/>
        <v>1</v>
      </c>
      <c r="CZ108" t="b">
        <f t="shared" si="19"/>
        <v>1</v>
      </c>
      <c r="DA108" t="b">
        <f t="shared" si="19"/>
        <v>1</v>
      </c>
      <c r="DB108">
        <f t="shared" si="3"/>
        <v>0</v>
      </c>
    </row>
    <row r="109" spans="1:108">
      <c r="A109" s="928">
        <v>10</v>
      </c>
      <c r="C109" s="892"/>
      <c r="CJ109" t="b">
        <f t="shared" ref="CJ109:CU109" si="24">CJ33=CJ78</f>
        <v>1</v>
      </c>
      <c r="CK109" t="b">
        <f t="shared" si="24"/>
        <v>1</v>
      </c>
      <c r="CL109" t="b">
        <f t="shared" si="24"/>
        <v>1</v>
      </c>
      <c r="CM109" t="b">
        <f t="shared" si="24"/>
        <v>1</v>
      </c>
      <c r="CN109" t="b">
        <f t="shared" si="24"/>
        <v>1</v>
      </c>
      <c r="CO109" t="b">
        <f t="shared" si="24"/>
        <v>1</v>
      </c>
      <c r="CP109" t="b">
        <f t="shared" si="24"/>
        <v>1</v>
      </c>
      <c r="CQ109" t="b">
        <f t="shared" si="24"/>
        <v>1</v>
      </c>
      <c r="CR109" t="b">
        <f t="shared" si="24"/>
        <v>1</v>
      </c>
      <c r="CS109" t="b">
        <f t="shared" si="24"/>
        <v>1</v>
      </c>
      <c r="CT109" t="b">
        <f t="shared" si="24"/>
        <v>1</v>
      </c>
      <c r="CU109" t="b">
        <f t="shared" si="24"/>
        <v>1</v>
      </c>
      <c r="CW109" t="b">
        <f t="shared" si="19"/>
        <v>1</v>
      </c>
      <c r="CX109" t="b">
        <f t="shared" si="19"/>
        <v>1</v>
      </c>
      <c r="CY109" t="b">
        <f t="shared" si="19"/>
        <v>1</v>
      </c>
      <c r="CZ109" t="b">
        <f t="shared" si="19"/>
        <v>1</v>
      </c>
      <c r="DA109" t="b">
        <f t="shared" si="19"/>
        <v>1</v>
      </c>
      <c r="DB109">
        <f t="shared" si="3"/>
        <v>0</v>
      </c>
    </row>
    <row r="110" spans="1:108">
      <c r="A110" s="928">
        <f>NumberOfUnitFloorPlans</f>
        <v>2</v>
      </c>
      <c r="C110" s="892"/>
      <c r="CJ110" t="b">
        <f t="shared" ref="CJ110:CU110" si="25">CJ34=CJ79</f>
        <v>1</v>
      </c>
      <c r="CK110" t="b">
        <f t="shared" si="25"/>
        <v>1</v>
      </c>
      <c r="CL110" t="b">
        <f t="shared" si="25"/>
        <v>1</v>
      </c>
      <c r="CM110" t="b">
        <f t="shared" si="25"/>
        <v>1</v>
      </c>
      <c r="CN110" t="b">
        <f t="shared" si="25"/>
        <v>1</v>
      </c>
      <c r="CO110" t="b">
        <f t="shared" si="25"/>
        <v>1</v>
      </c>
      <c r="CP110" t="b">
        <f t="shared" si="25"/>
        <v>1</v>
      </c>
      <c r="CQ110" t="b">
        <f t="shared" si="25"/>
        <v>1</v>
      </c>
      <c r="CR110" t="b">
        <f t="shared" si="25"/>
        <v>1</v>
      </c>
      <c r="CS110" t="b">
        <f t="shared" si="25"/>
        <v>1</v>
      </c>
      <c r="CT110" t="b">
        <f t="shared" si="25"/>
        <v>1</v>
      </c>
      <c r="CU110" t="b">
        <f t="shared" si="25"/>
        <v>1</v>
      </c>
      <c r="CW110" t="b">
        <f t="shared" si="19"/>
        <v>1</v>
      </c>
      <c r="CX110" t="b">
        <f t="shared" si="19"/>
        <v>1</v>
      </c>
      <c r="CY110" t="b">
        <f t="shared" si="19"/>
        <v>1</v>
      </c>
      <c r="CZ110" t="b">
        <f t="shared" si="19"/>
        <v>1</v>
      </c>
      <c r="DA110" t="b">
        <f t="shared" si="19"/>
        <v>1</v>
      </c>
      <c r="DB110">
        <f t="shared" si="3"/>
        <v>0</v>
      </c>
    </row>
    <row r="111" spans="1:108">
      <c r="A111" s="928">
        <v>4</v>
      </c>
      <c r="C111" s="892"/>
      <c r="CJ111" t="b">
        <f t="shared" ref="CJ111:CU111" si="26">CJ35=CJ80</f>
        <v>1</v>
      </c>
      <c r="CK111" t="b">
        <f t="shared" si="26"/>
        <v>1</v>
      </c>
      <c r="CL111" t="b">
        <f t="shared" si="26"/>
        <v>1</v>
      </c>
      <c r="CM111" t="b">
        <f t="shared" si="26"/>
        <v>1</v>
      </c>
      <c r="CN111" t="b">
        <f t="shared" si="26"/>
        <v>1</v>
      </c>
      <c r="CO111" t="b">
        <f t="shared" si="26"/>
        <v>1</v>
      </c>
      <c r="CP111" t="b">
        <f t="shared" si="26"/>
        <v>1</v>
      </c>
      <c r="CQ111" t="b">
        <f t="shared" si="26"/>
        <v>1</v>
      </c>
      <c r="CR111" t="b">
        <f t="shared" si="26"/>
        <v>1</v>
      </c>
      <c r="CS111" t="b">
        <f t="shared" si="26"/>
        <v>1</v>
      </c>
      <c r="CT111" t="b">
        <f t="shared" si="26"/>
        <v>1</v>
      </c>
      <c r="CU111" t="b">
        <f t="shared" si="26"/>
        <v>1</v>
      </c>
      <c r="CW111" t="b">
        <f t="shared" si="19"/>
        <v>1</v>
      </c>
      <c r="CX111" t="b">
        <f t="shared" si="19"/>
        <v>1</v>
      </c>
      <c r="CY111" t="b">
        <f t="shared" si="19"/>
        <v>1</v>
      </c>
      <c r="CZ111" t="b">
        <f t="shared" si="19"/>
        <v>1</v>
      </c>
      <c r="DA111" t="b">
        <f t="shared" si="19"/>
        <v>1</v>
      </c>
      <c r="DB111">
        <f t="shared" si="3"/>
        <v>0</v>
      </c>
    </row>
    <row r="112" spans="1:108">
      <c r="A112" s="940">
        <v>3</v>
      </c>
      <c r="C112" s="892"/>
      <c r="CJ112" t="b">
        <f t="shared" ref="CJ112:CU112" si="27">CJ36=CJ81</f>
        <v>1</v>
      </c>
      <c r="CK112" t="b">
        <f t="shared" si="27"/>
        <v>1</v>
      </c>
      <c r="CL112" t="b">
        <f t="shared" si="27"/>
        <v>1</v>
      </c>
      <c r="CM112" t="b">
        <f t="shared" si="27"/>
        <v>1</v>
      </c>
      <c r="CN112" t="b">
        <f t="shared" si="27"/>
        <v>1</v>
      </c>
      <c r="CO112" t="b">
        <f t="shared" si="27"/>
        <v>1</v>
      </c>
      <c r="CP112" t="b">
        <f t="shared" si="27"/>
        <v>1</v>
      </c>
      <c r="CQ112" t="b">
        <f t="shared" si="27"/>
        <v>1</v>
      </c>
      <c r="CR112" t="b">
        <f t="shared" si="27"/>
        <v>1</v>
      </c>
      <c r="CS112" t="b">
        <f t="shared" si="27"/>
        <v>1</v>
      </c>
      <c r="CT112" t="b">
        <f t="shared" si="27"/>
        <v>1</v>
      </c>
      <c r="CU112" t="b">
        <f t="shared" si="27"/>
        <v>1</v>
      </c>
      <c r="CW112" t="b">
        <f t="shared" si="19"/>
        <v>1</v>
      </c>
      <c r="CX112" t="b">
        <f t="shared" si="19"/>
        <v>1</v>
      </c>
      <c r="CY112" t="b">
        <f t="shared" si="19"/>
        <v>1</v>
      </c>
      <c r="CZ112" t="b">
        <f t="shared" si="19"/>
        <v>1</v>
      </c>
      <c r="DA112" t="b">
        <f t="shared" si="19"/>
        <v>1</v>
      </c>
      <c r="DB112">
        <f t="shared" si="3"/>
        <v>0</v>
      </c>
    </row>
    <row r="113" spans="1:106">
      <c r="A113" s="940">
        <v>132</v>
      </c>
      <c r="C113" s="892"/>
      <c r="CJ113" t="b">
        <f t="shared" ref="CJ113:CU113" si="28">CJ37=CJ82</f>
        <v>1</v>
      </c>
      <c r="CK113" t="b">
        <f t="shared" si="28"/>
        <v>1</v>
      </c>
      <c r="CL113" t="b">
        <f t="shared" si="28"/>
        <v>1</v>
      </c>
      <c r="CM113" t="b">
        <f t="shared" si="28"/>
        <v>1</v>
      </c>
      <c r="CN113" t="b">
        <f t="shared" si="28"/>
        <v>1</v>
      </c>
      <c r="CO113" t="b">
        <f t="shared" si="28"/>
        <v>1</v>
      </c>
      <c r="CP113" t="b">
        <f t="shared" si="28"/>
        <v>1</v>
      </c>
      <c r="CQ113" t="b">
        <f t="shared" si="28"/>
        <v>1</v>
      </c>
      <c r="CR113" t="b">
        <f t="shared" si="28"/>
        <v>1</v>
      </c>
      <c r="CS113" t="b">
        <f t="shared" si="28"/>
        <v>1</v>
      </c>
      <c r="CT113" t="b">
        <f t="shared" si="28"/>
        <v>1</v>
      </c>
      <c r="CU113" t="b">
        <f t="shared" si="28"/>
        <v>1</v>
      </c>
      <c r="CW113" t="b">
        <f t="shared" si="19"/>
        <v>1</v>
      </c>
      <c r="CX113" t="b">
        <f t="shared" si="19"/>
        <v>1</v>
      </c>
      <c r="CY113" t="b">
        <f t="shared" si="19"/>
        <v>1</v>
      </c>
      <c r="CZ113" t="b">
        <f t="shared" si="19"/>
        <v>1</v>
      </c>
      <c r="DA113" t="b">
        <f t="shared" si="19"/>
        <v>1</v>
      </c>
      <c r="DB113">
        <f t="shared" si="3"/>
        <v>0</v>
      </c>
    </row>
    <row r="114" spans="1:106">
      <c r="A114" s="940">
        <v>1</v>
      </c>
      <c r="C114" s="892"/>
      <c r="CJ114" t="b">
        <f t="shared" ref="CJ114:CU114" si="29">CJ38=CJ83</f>
        <v>1</v>
      </c>
      <c r="CK114" t="b">
        <f t="shared" si="29"/>
        <v>1</v>
      </c>
      <c r="CL114" t="b">
        <f t="shared" si="29"/>
        <v>1</v>
      </c>
      <c r="CM114" t="b">
        <f t="shared" si="29"/>
        <v>1</v>
      </c>
      <c r="CN114" t="b">
        <f t="shared" si="29"/>
        <v>1</v>
      </c>
      <c r="CO114" t="b">
        <f t="shared" si="29"/>
        <v>1</v>
      </c>
      <c r="CP114" t="b">
        <f t="shared" si="29"/>
        <v>1</v>
      </c>
      <c r="CQ114" t="b">
        <f t="shared" si="29"/>
        <v>1</v>
      </c>
      <c r="CR114" t="b">
        <f t="shared" si="29"/>
        <v>1</v>
      </c>
      <c r="CS114" t="b">
        <f t="shared" si="29"/>
        <v>1</v>
      </c>
      <c r="CT114" t="b">
        <f t="shared" si="29"/>
        <v>1</v>
      </c>
      <c r="CU114" t="b">
        <f t="shared" si="29"/>
        <v>1</v>
      </c>
      <c r="CW114" t="b">
        <f t="shared" ref="CW114:DA123" si="30">CW38=CW83</f>
        <v>1</v>
      </c>
      <c r="CX114" t="b">
        <f t="shared" si="30"/>
        <v>1</v>
      </c>
      <c r="CY114" t="b">
        <f t="shared" si="30"/>
        <v>1</v>
      </c>
      <c r="CZ114" t="b">
        <f t="shared" si="30"/>
        <v>1</v>
      </c>
      <c r="DA114" t="b">
        <f t="shared" si="30"/>
        <v>1</v>
      </c>
      <c r="DB114">
        <f t="shared" si="3"/>
        <v>0</v>
      </c>
    </row>
    <row r="115" spans="1:106">
      <c r="A115" s="940">
        <v>2</v>
      </c>
      <c r="C115" s="892"/>
      <c r="CJ115" t="b">
        <f t="shared" ref="CJ115:CU115" si="31">CJ39=CJ84</f>
        <v>1</v>
      </c>
      <c r="CK115" t="b">
        <f t="shared" si="31"/>
        <v>1</v>
      </c>
      <c r="CL115" t="b">
        <f t="shared" si="31"/>
        <v>1</v>
      </c>
      <c r="CM115" t="b">
        <f t="shared" si="31"/>
        <v>1</v>
      </c>
      <c r="CN115" t="b">
        <f t="shared" si="31"/>
        <v>1</v>
      </c>
      <c r="CO115" t="b">
        <f t="shared" si="31"/>
        <v>1</v>
      </c>
      <c r="CP115" t="b">
        <f t="shared" si="31"/>
        <v>1</v>
      </c>
      <c r="CQ115" t="b">
        <f t="shared" si="31"/>
        <v>1</v>
      </c>
      <c r="CR115" t="b">
        <f t="shared" si="31"/>
        <v>1</v>
      </c>
      <c r="CS115" t="b">
        <f t="shared" si="31"/>
        <v>1</v>
      </c>
      <c r="CT115" t="b">
        <f t="shared" si="31"/>
        <v>1</v>
      </c>
      <c r="CU115" t="b">
        <f t="shared" si="31"/>
        <v>1</v>
      </c>
      <c r="CW115" t="b">
        <f t="shared" si="30"/>
        <v>1</v>
      </c>
      <c r="CX115" t="b">
        <f t="shared" si="30"/>
        <v>1</v>
      </c>
      <c r="CY115" t="b">
        <f t="shared" si="30"/>
        <v>1</v>
      </c>
      <c r="CZ115" t="b">
        <f t="shared" si="30"/>
        <v>1</v>
      </c>
      <c r="DA115" t="b">
        <f t="shared" si="30"/>
        <v>1</v>
      </c>
      <c r="DB115">
        <f t="shared" si="3"/>
        <v>0</v>
      </c>
    </row>
    <row r="116" spans="1:106">
      <c r="A116" s="940">
        <v>4</v>
      </c>
      <c r="C116" s="892"/>
      <c r="CJ116" t="b">
        <f t="shared" ref="CJ116:CU116" si="32">CJ40=CJ85</f>
        <v>1</v>
      </c>
      <c r="CK116" t="b">
        <f t="shared" si="32"/>
        <v>1</v>
      </c>
      <c r="CL116" t="b">
        <f t="shared" si="32"/>
        <v>1</v>
      </c>
      <c r="CM116" t="b">
        <f t="shared" si="32"/>
        <v>1</v>
      </c>
      <c r="CN116" t="b">
        <f t="shared" si="32"/>
        <v>1</v>
      </c>
      <c r="CO116" t="b">
        <f t="shared" si="32"/>
        <v>1</v>
      </c>
      <c r="CP116" t="b">
        <f t="shared" si="32"/>
        <v>1</v>
      </c>
      <c r="CQ116" t="b">
        <f t="shared" si="32"/>
        <v>1</v>
      </c>
      <c r="CR116" t="b">
        <f t="shared" si="32"/>
        <v>1</v>
      </c>
      <c r="CS116" t="b">
        <f t="shared" si="32"/>
        <v>1</v>
      </c>
      <c r="CT116" t="b">
        <f t="shared" si="32"/>
        <v>1</v>
      </c>
      <c r="CU116" t="b">
        <f t="shared" si="32"/>
        <v>1</v>
      </c>
      <c r="CW116" t="b">
        <f t="shared" si="30"/>
        <v>1</v>
      </c>
      <c r="CX116" t="b">
        <f t="shared" si="30"/>
        <v>1</v>
      </c>
      <c r="CY116" t="b">
        <f t="shared" si="30"/>
        <v>1</v>
      </c>
      <c r="CZ116" t="b">
        <f t="shared" si="30"/>
        <v>1</v>
      </c>
      <c r="DA116" t="b">
        <f t="shared" si="30"/>
        <v>1</v>
      </c>
      <c r="DB116">
        <f t="shared" si="3"/>
        <v>0</v>
      </c>
    </row>
    <row r="117" spans="1:106">
      <c r="A117" s="928">
        <v>10</v>
      </c>
      <c r="C117" s="892"/>
      <c r="CJ117" t="b">
        <f t="shared" ref="CJ117:CU117" si="33">CJ41=CJ86</f>
        <v>1</v>
      </c>
      <c r="CK117" t="b">
        <f t="shared" si="33"/>
        <v>1</v>
      </c>
      <c r="CL117" t="b">
        <f t="shared" si="33"/>
        <v>1</v>
      </c>
      <c r="CM117" t="b">
        <f t="shared" si="33"/>
        <v>1</v>
      </c>
      <c r="CN117" t="b">
        <f t="shared" si="33"/>
        <v>1</v>
      </c>
      <c r="CO117" t="b">
        <f t="shared" si="33"/>
        <v>1</v>
      </c>
      <c r="CP117" t="b">
        <f t="shared" si="33"/>
        <v>1</v>
      </c>
      <c r="CQ117" t="b">
        <f t="shared" si="33"/>
        <v>1</v>
      </c>
      <c r="CR117" t="b">
        <f t="shared" si="33"/>
        <v>1</v>
      </c>
      <c r="CS117" t="b">
        <f t="shared" si="33"/>
        <v>1</v>
      </c>
      <c r="CT117" t="b">
        <f t="shared" si="33"/>
        <v>1</v>
      </c>
      <c r="CU117" t="b">
        <f t="shared" si="33"/>
        <v>1</v>
      </c>
      <c r="CW117" t="b">
        <f t="shared" si="30"/>
        <v>1</v>
      </c>
      <c r="CX117" t="b">
        <f t="shared" si="30"/>
        <v>1</v>
      </c>
      <c r="CY117" t="b">
        <f t="shared" si="30"/>
        <v>1</v>
      </c>
      <c r="CZ117" t="b">
        <f t="shared" si="30"/>
        <v>1</v>
      </c>
      <c r="DA117" t="b">
        <f t="shared" si="30"/>
        <v>1</v>
      </c>
      <c r="DB117">
        <f t="shared" si="3"/>
        <v>0</v>
      </c>
    </row>
    <row r="118" spans="1:106">
      <c r="A118" s="940">
        <v>2</v>
      </c>
      <c r="C118" s="892"/>
      <c r="CJ118" t="b">
        <f t="shared" ref="CJ118:CU118" si="34">CJ42=CJ87</f>
        <v>1</v>
      </c>
      <c r="CK118" t="b">
        <f t="shared" si="34"/>
        <v>1</v>
      </c>
      <c r="CL118" t="b">
        <f t="shared" si="34"/>
        <v>1</v>
      </c>
      <c r="CM118" t="b">
        <f t="shared" si="34"/>
        <v>1</v>
      </c>
      <c r="CN118" t="b">
        <f t="shared" si="34"/>
        <v>1</v>
      </c>
      <c r="CO118" t="b">
        <f t="shared" si="34"/>
        <v>1</v>
      </c>
      <c r="CP118" t="b">
        <f t="shared" si="34"/>
        <v>1</v>
      </c>
      <c r="CQ118" t="b">
        <f t="shared" si="34"/>
        <v>1</v>
      </c>
      <c r="CR118" t="b">
        <f t="shared" si="34"/>
        <v>1</v>
      </c>
      <c r="CS118" t="b">
        <f t="shared" si="34"/>
        <v>1</v>
      </c>
      <c r="CT118" t="b">
        <f t="shared" si="34"/>
        <v>1</v>
      </c>
      <c r="CU118" t="b">
        <f t="shared" si="34"/>
        <v>1</v>
      </c>
      <c r="CW118" t="b">
        <f t="shared" si="30"/>
        <v>1</v>
      </c>
      <c r="CX118" t="b">
        <f t="shared" si="30"/>
        <v>1</v>
      </c>
      <c r="CY118" t="b">
        <f t="shared" si="30"/>
        <v>1</v>
      </c>
      <c r="CZ118" t="b">
        <f t="shared" si="30"/>
        <v>1</v>
      </c>
      <c r="DA118" t="b">
        <f t="shared" si="30"/>
        <v>1</v>
      </c>
      <c r="DB118">
        <f t="shared" si="3"/>
        <v>0</v>
      </c>
    </row>
    <row r="119" spans="1:106">
      <c r="A119" s="940">
        <v>12</v>
      </c>
      <c r="C119" s="892"/>
      <c r="CJ119" t="b">
        <f t="shared" ref="CJ119:CU119" si="35">CJ43=CJ88</f>
        <v>1</v>
      </c>
      <c r="CK119" t="b">
        <f t="shared" si="35"/>
        <v>1</v>
      </c>
      <c r="CL119" t="b">
        <f t="shared" si="35"/>
        <v>1</v>
      </c>
      <c r="CM119" t="b">
        <f t="shared" si="35"/>
        <v>1</v>
      </c>
      <c r="CN119" t="b">
        <f t="shared" si="35"/>
        <v>1</v>
      </c>
      <c r="CO119" t="b">
        <f t="shared" si="35"/>
        <v>1</v>
      </c>
      <c r="CP119" t="b">
        <f t="shared" si="35"/>
        <v>1</v>
      </c>
      <c r="CQ119" t="b">
        <f t="shared" si="35"/>
        <v>1</v>
      </c>
      <c r="CR119" t="b">
        <f t="shared" si="35"/>
        <v>1</v>
      </c>
      <c r="CS119" t="b">
        <f t="shared" si="35"/>
        <v>1</v>
      </c>
      <c r="CT119" t="b">
        <f t="shared" si="35"/>
        <v>1</v>
      </c>
      <c r="CU119" t="b">
        <f t="shared" si="35"/>
        <v>1</v>
      </c>
      <c r="CW119" t="b">
        <f t="shared" si="30"/>
        <v>1</v>
      </c>
      <c r="CX119" t="b">
        <f t="shared" si="30"/>
        <v>1</v>
      </c>
      <c r="CY119" t="b">
        <f t="shared" si="30"/>
        <v>1</v>
      </c>
      <c r="CZ119" t="b">
        <f t="shared" si="30"/>
        <v>1</v>
      </c>
      <c r="DA119" t="b">
        <f t="shared" si="30"/>
        <v>1</v>
      </c>
      <c r="DB119">
        <f t="shared" si="3"/>
        <v>0</v>
      </c>
    </row>
    <row r="120" spans="1:106">
      <c r="A120" s="940">
        <f>TotalDealUnits</f>
        <v>80</v>
      </c>
      <c r="C120" s="892"/>
      <c r="CJ120" t="b">
        <f t="shared" ref="CJ120:CU120" si="36">CJ44=CJ89</f>
        <v>1</v>
      </c>
      <c r="CK120" t="b">
        <f t="shared" si="36"/>
        <v>1</v>
      </c>
      <c r="CL120" t="b">
        <f t="shared" si="36"/>
        <v>1</v>
      </c>
      <c r="CM120" t="b">
        <f t="shared" si="36"/>
        <v>1</v>
      </c>
      <c r="CN120" t="b">
        <f t="shared" si="36"/>
        <v>1</v>
      </c>
      <c r="CO120" t="b">
        <f t="shared" si="36"/>
        <v>1</v>
      </c>
      <c r="CP120" t="b">
        <f t="shared" si="36"/>
        <v>1</v>
      </c>
      <c r="CQ120" t="b">
        <f t="shared" si="36"/>
        <v>1</v>
      </c>
      <c r="CR120" t="b">
        <f t="shared" si="36"/>
        <v>1</v>
      </c>
      <c r="CS120" t="b">
        <f t="shared" si="36"/>
        <v>1</v>
      </c>
      <c r="CT120" t="b">
        <f t="shared" si="36"/>
        <v>1</v>
      </c>
      <c r="CU120" t="b">
        <f t="shared" si="36"/>
        <v>1</v>
      </c>
      <c r="CW120" t="b">
        <f t="shared" si="30"/>
        <v>1</v>
      </c>
      <c r="CX120" t="b">
        <f t="shared" si="30"/>
        <v>1</v>
      </c>
      <c r="CY120" t="b">
        <f t="shared" si="30"/>
        <v>1</v>
      </c>
      <c r="CZ120" t="b">
        <f t="shared" si="30"/>
        <v>1</v>
      </c>
      <c r="DA120" t="b">
        <f t="shared" si="30"/>
        <v>1</v>
      </c>
      <c r="DB120">
        <f t="shared" si="3"/>
        <v>0</v>
      </c>
    </row>
    <row r="121" spans="1:106">
      <c r="A121" s="940">
        <v>12</v>
      </c>
      <c r="C121" s="892"/>
      <c r="CJ121" t="b">
        <f t="shared" ref="CJ121:CU121" si="37">CJ45=CJ90</f>
        <v>1</v>
      </c>
      <c r="CK121" t="b">
        <f t="shared" si="37"/>
        <v>1</v>
      </c>
      <c r="CL121" t="b">
        <f t="shared" si="37"/>
        <v>1</v>
      </c>
      <c r="CM121" t="b">
        <f t="shared" si="37"/>
        <v>1</v>
      </c>
      <c r="CN121" t="b">
        <f t="shared" si="37"/>
        <v>1</v>
      </c>
      <c r="CO121" t="b">
        <f t="shared" si="37"/>
        <v>1</v>
      </c>
      <c r="CP121" t="b">
        <f t="shared" si="37"/>
        <v>1</v>
      </c>
      <c r="CQ121" t="b">
        <f t="shared" si="37"/>
        <v>1</v>
      </c>
      <c r="CR121" t="b">
        <f t="shared" si="37"/>
        <v>1</v>
      </c>
      <c r="CS121" t="b">
        <f t="shared" si="37"/>
        <v>1</v>
      </c>
      <c r="CT121" t="b">
        <f t="shared" si="37"/>
        <v>1</v>
      </c>
      <c r="CU121" t="b">
        <f t="shared" si="37"/>
        <v>1</v>
      </c>
      <c r="CW121" t="b">
        <f t="shared" si="30"/>
        <v>1</v>
      </c>
      <c r="CX121" t="b">
        <f t="shared" si="30"/>
        <v>1</v>
      </c>
      <c r="CY121" t="b">
        <f t="shared" si="30"/>
        <v>1</v>
      </c>
      <c r="CZ121" t="b">
        <f t="shared" si="30"/>
        <v>1</v>
      </c>
      <c r="DA121" t="b">
        <f t="shared" si="30"/>
        <v>1</v>
      </c>
      <c r="DB121">
        <f t="shared" si="3"/>
        <v>0</v>
      </c>
    </row>
    <row r="122" spans="1:106">
      <c r="A122" s="940">
        <v>5</v>
      </c>
      <c r="C122" s="892"/>
      <c r="CJ122" t="b">
        <f t="shared" ref="CJ122:CU122" si="38">CJ46=CJ91</f>
        <v>1</v>
      </c>
      <c r="CK122" t="b">
        <f t="shared" si="38"/>
        <v>1</v>
      </c>
      <c r="CL122" t="b">
        <f t="shared" si="38"/>
        <v>1</v>
      </c>
      <c r="CM122" t="b">
        <f t="shared" si="38"/>
        <v>1</v>
      </c>
      <c r="CN122" t="b">
        <f t="shared" si="38"/>
        <v>1</v>
      </c>
      <c r="CO122" t="b">
        <f t="shared" si="38"/>
        <v>1</v>
      </c>
      <c r="CP122" t="b">
        <f t="shared" si="38"/>
        <v>1</v>
      </c>
      <c r="CQ122" t="b">
        <f t="shared" si="38"/>
        <v>1</v>
      </c>
      <c r="CR122" t="b">
        <f t="shared" si="38"/>
        <v>1</v>
      </c>
      <c r="CS122" t="b">
        <f t="shared" si="38"/>
        <v>1</v>
      </c>
      <c r="CT122" t="b">
        <f t="shared" si="38"/>
        <v>1</v>
      </c>
      <c r="CU122" t="b">
        <f t="shared" si="38"/>
        <v>1</v>
      </c>
      <c r="CW122" t="b">
        <f t="shared" si="30"/>
        <v>1</v>
      </c>
      <c r="CX122" t="b">
        <f t="shared" si="30"/>
        <v>1</v>
      </c>
      <c r="CY122" t="b">
        <f t="shared" si="30"/>
        <v>1</v>
      </c>
      <c r="CZ122" t="b">
        <f t="shared" si="30"/>
        <v>1</v>
      </c>
      <c r="DA122" t="b">
        <f t="shared" si="30"/>
        <v>1</v>
      </c>
      <c r="DB122">
        <f t="shared" si="3"/>
        <v>0</v>
      </c>
    </row>
    <row r="123" spans="1:106">
      <c r="A123" s="941">
        <v>9</v>
      </c>
      <c r="C123" s="892"/>
      <c r="G123" s="942" t="s">
        <v>1002</v>
      </c>
      <c r="H123" s="943"/>
      <c r="I123" s="943"/>
      <c r="J123" s="943"/>
      <c r="K123" s="943" t="s">
        <v>319</v>
      </c>
      <c r="L123" s="943" t="s">
        <v>320</v>
      </c>
      <c r="M123" s="943" t="s">
        <v>321</v>
      </c>
      <c r="N123" s="943" t="s">
        <v>322</v>
      </c>
      <c r="O123" s="943" t="s">
        <v>26</v>
      </c>
      <c r="P123" s="943" t="s">
        <v>323</v>
      </c>
      <c r="Q123" s="943" t="s">
        <v>1003</v>
      </c>
      <c r="R123" s="943" t="s">
        <v>1004</v>
      </c>
      <c r="S123" s="943" t="s">
        <v>335</v>
      </c>
      <c r="T123" s="943" t="s">
        <v>1005</v>
      </c>
      <c r="U123" s="943" t="s">
        <v>30</v>
      </c>
      <c r="V123" s="943" t="s">
        <v>1006</v>
      </c>
      <c r="W123" s="943" t="s">
        <v>1007</v>
      </c>
      <c r="X123" s="943" t="s">
        <v>1008</v>
      </c>
      <c r="Y123" s="943" t="s">
        <v>1009</v>
      </c>
      <c r="Z123" s="943" t="s">
        <v>1010</v>
      </c>
      <c r="AA123" s="943" t="s">
        <v>1011</v>
      </c>
      <c r="AB123" s="943" t="s">
        <v>1012</v>
      </c>
      <c r="AC123" s="943" t="s">
        <v>1013</v>
      </c>
      <c r="AD123" s="943" t="s">
        <v>1014</v>
      </c>
      <c r="AE123" s="943" t="s">
        <v>1015</v>
      </c>
      <c r="AF123" s="943" t="s">
        <v>1016</v>
      </c>
      <c r="AG123" s="943" t="s">
        <v>1017</v>
      </c>
      <c r="AH123" s="944" t="s">
        <v>1018</v>
      </c>
    </row>
    <row r="124" spans="1:106">
      <c r="A124" s="945">
        <f>-IF(IrrCalculationType=170,SUMIF('CF Calculations'!$D$86:$N$86,"&lt;0"),SUMIF('CF Calculations'!$S$86:$EI$86,"&lt;0"))</f>
        <v>13009400</v>
      </c>
      <c r="C124" s="892"/>
      <c r="G124" s="946" t="s">
        <v>1073</v>
      </c>
      <c r="H124" s="947"/>
      <c r="I124" s="947"/>
      <c r="J124" s="947"/>
      <c r="K124" s="947">
        <v>1273</v>
      </c>
      <c r="L124" s="948">
        <v>2</v>
      </c>
      <c r="M124" s="947">
        <v>63</v>
      </c>
      <c r="N124" s="948"/>
      <c r="O124" s="948">
        <v>4</v>
      </c>
      <c r="P124" s="948">
        <v>3</v>
      </c>
      <c r="Q124" s="948">
        <v>1649.0952380952399</v>
      </c>
      <c r="R124" s="947">
        <v>1455.9642857142901</v>
      </c>
      <c r="S124" s="947" t="s">
        <v>1074</v>
      </c>
      <c r="T124" s="947" t="s">
        <v>1074</v>
      </c>
      <c r="U124" s="949">
        <v>1.14372685444956</v>
      </c>
      <c r="V124" s="948" t="b">
        <f>M124=INDEX(Input!$H$53:$H$54,ROW()-ROW($V$123),)</f>
        <v>1</v>
      </c>
      <c r="W124" s="948" t="b">
        <f>IFERROR(ROUND(K124,2)=ROUND(INDEX(Input!$F$53:$F$54,ROW()-ROW($V$123),),2),K124=INDEX(Input!$F$53:$F$54,ROW()-ROW($V$123),))</f>
        <v>1</v>
      </c>
      <c r="X124" s="948" t="b">
        <f>AND(V124,Y124,Z124)</f>
        <v>0</v>
      </c>
      <c r="Y124" s="948" t="b">
        <f>O124=INDEX(Input!$J$53:$J$54,ROW()-ROW($V$123),)</f>
        <v>0</v>
      </c>
      <c r="Z124" s="948" t="b">
        <f>P124=INDEX(Input!$K$53:$K$54,ROW()-ROW($V$123),)</f>
        <v>0</v>
      </c>
      <c r="AA124" s="948" t="b">
        <f>S124=INDEX(Input!$N$53:$N$54,ROW()-ROW($V$123),)</f>
        <v>1</v>
      </c>
      <c r="AB124" s="948" t="b">
        <f>T124=INDEX(Input!$O$53:$O$54,ROW()-ROW($V$123),)</f>
        <v>1</v>
      </c>
      <c r="AC124" s="948" t="b">
        <f>IF(AND(OR(R124=0,R124=""),OR(INDEX(Input!$M$53:$M$54,ROW()-ROW($V$123),)=0,INDEX(Input!$M$53:$M$54,ROW()-ROW($V$123),)="")),TRUE,IFERROR(ROUND(R124,2)=ROUND(INDEX(Input!$M$53:$M$54,ROW()-ROW($V$123),),2),R124=INDEX(Input!$M$53:$M$54,ROW()-ROW($V$123),)))</f>
        <v>1</v>
      </c>
      <c r="AD124" s="948" t="b">
        <f>IF(AND(OR(Q124=0,Q124=""),OR(INDEX(Input!$L$53:$L$54,ROW()-ROW($V$123),)=0,INDEX(Input!$L$53:$L$54,ROW()-ROW($V$123),)="")),TRUE,IFERROR(ROUND(Q124,2)=ROUND(INDEX(Input!$L$53:$L$54,ROW()-ROW($V$123),),2),Q124=INDEX(Input!$L$53:$L$54,ROW()-ROW($V$123),)))</f>
        <v>1</v>
      </c>
      <c r="AE124" s="948" t="b">
        <f>V124*W124*Y124*Z124*AC124=1</f>
        <v>0</v>
      </c>
      <c r="AF124" s="950"/>
      <c r="AG124" s="950"/>
      <c r="AH124" s="951"/>
    </row>
    <row r="125" spans="1:106">
      <c r="A125" s="940">
        <f>IF(UnleveredFundingReq,('CF Calculations'!O86/UnleveredFundingReq)+1,)</f>
        <v>2.5172372550407625</v>
      </c>
      <c r="C125" s="892"/>
      <c r="G125" s="946" t="s">
        <v>1075</v>
      </c>
      <c r="H125" s="947"/>
      <c r="I125" s="947"/>
      <c r="J125" s="947"/>
      <c r="K125" s="947">
        <v>1635</v>
      </c>
      <c r="L125" s="948">
        <v>3</v>
      </c>
      <c r="M125" s="947">
        <v>17</v>
      </c>
      <c r="N125" s="948"/>
      <c r="O125" s="948">
        <v>0</v>
      </c>
      <c r="P125" s="948">
        <v>0</v>
      </c>
      <c r="Q125" s="948">
        <v>1748.76470588235</v>
      </c>
      <c r="R125" s="947">
        <v>1634.11764705882</v>
      </c>
      <c r="S125" s="947" t="s">
        <v>1074</v>
      </c>
      <c r="T125" s="947" t="s">
        <v>1074</v>
      </c>
      <c r="U125" s="949">
        <v>0.99946033459255301</v>
      </c>
      <c r="V125" s="948" t="b">
        <f>M125=INDEX(Input!$H$53:$H$54,ROW()-ROW($V$123),)</f>
        <v>1</v>
      </c>
      <c r="W125" s="948" t="b">
        <f>IFERROR(ROUND(K125,2)=ROUND(INDEX(Input!$F$53:$F$54,ROW()-ROW($V$123),),2),K125=INDEX(Input!$F$53:$F$54,ROW()-ROW($V$123),))</f>
        <v>1</v>
      </c>
      <c r="X125" s="948" t="b">
        <f>AND(V125,Y125,Z125)</f>
        <v>1</v>
      </c>
      <c r="Y125" s="948" t="b">
        <f>O125=INDEX(Input!$J$53:$J$54,ROW()-ROW($V$123),)</f>
        <v>1</v>
      </c>
      <c r="Z125" s="948" t="b">
        <f>P125=INDEX(Input!$K$53:$K$54,ROW()-ROW($V$123),)</f>
        <v>1</v>
      </c>
      <c r="AA125" s="948" t="b">
        <f>S125=INDEX(Input!$N$53:$N$54,ROW()-ROW($V$123),)</f>
        <v>1</v>
      </c>
      <c r="AB125" s="948" t="b">
        <f>T125=INDEX(Input!$O$53:$O$54,ROW()-ROW($V$123),)</f>
        <v>1</v>
      </c>
      <c r="AC125" s="948" t="b">
        <f>IF(AND(OR(R125=0,R125=""),OR(INDEX(Input!$M$53:$M$54,ROW()-ROW($V$123),)=0,INDEX(Input!$M$53:$M$54,ROW()-ROW($V$123),)="")),TRUE,IFERROR(ROUND(R125,2)=ROUND(INDEX(Input!$M$53:$M$54,ROW()-ROW($V$123),),2),R125=INDEX(Input!$M$53:$M$54,ROW()-ROW($V$123),)))</f>
        <v>1</v>
      </c>
      <c r="AD125" s="948" t="b">
        <f>IF(AND(OR(Q125=0,Q125=""),OR(INDEX(Input!$L$53:$L$54,ROW()-ROW($V$123),)=0,INDEX(Input!$L$53:$L$54,ROW()-ROW($V$123),)="")),TRUE,IFERROR(ROUND(Q125,2)=ROUND(INDEX(Input!$L$53:$L$54,ROW()-ROW($V$123),),2),Q125=INDEX(Input!$L$53:$L$54,ROW()-ROW($V$123),)))</f>
        <v>1</v>
      </c>
      <c r="AE125" s="948" t="b">
        <f>V125*W125*Y125*Z125*AC125=1</f>
        <v>1</v>
      </c>
      <c r="AF125" s="950"/>
      <c r="AG125" s="950"/>
      <c r="AH125" s="951"/>
    </row>
    <row r="126" spans="1:106">
      <c r="A126" s="940"/>
      <c r="C126" s="892"/>
      <c r="G126" s="952">
        <f>ROWS(FloorPlansFromRR)</f>
        <v>2</v>
      </c>
      <c r="H126" s="953"/>
      <c r="I126" s="953"/>
      <c r="J126" s="953"/>
      <c r="K126" s="953"/>
      <c r="L126" s="954"/>
      <c r="M126" s="953">
        <f>SUM(UnitsfromRR)</f>
        <v>80</v>
      </c>
      <c r="N126" s="954"/>
      <c r="O126" s="954"/>
      <c r="P126" s="954"/>
      <c r="Q126" s="954"/>
      <c r="R126" s="953"/>
      <c r="S126" s="953" t="b">
        <f>SUMPRODUCT((LeaseTypeFromRR&lt;&gt;"")*(LeaseTypeFromRR&lt;&gt;LeaseTypeMarket))&gt;0</f>
        <v>0</v>
      </c>
      <c r="T126" s="953"/>
      <c r="U126" s="953"/>
      <c r="V126" s="955" t="b">
        <f t="shared" ref="V126:AE126" si="39">COUNTIF(V124:V125,FALSE)=0</f>
        <v>1</v>
      </c>
      <c r="W126" s="955" t="b">
        <f t="shared" si="39"/>
        <v>1</v>
      </c>
      <c r="X126" s="955" t="b">
        <f t="shared" si="39"/>
        <v>0</v>
      </c>
      <c r="Y126" s="955" t="b">
        <f t="shared" si="39"/>
        <v>0</v>
      </c>
      <c r="Z126" s="955" t="b">
        <f t="shared" si="39"/>
        <v>0</v>
      </c>
      <c r="AA126" s="955" t="b">
        <f t="shared" si="39"/>
        <v>1</v>
      </c>
      <c r="AB126" s="955" t="b">
        <f t="shared" si="39"/>
        <v>1</v>
      </c>
      <c r="AC126" s="955" t="b">
        <f t="shared" si="39"/>
        <v>1</v>
      </c>
      <c r="AD126" s="955" t="b">
        <f t="shared" si="39"/>
        <v>1</v>
      </c>
      <c r="AE126" s="955" t="b">
        <f t="shared" si="39"/>
        <v>0</v>
      </c>
      <c r="AF126" s="956">
        <v>4.9722351109847199E-2</v>
      </c>
      <c r="AG126" s="956">
        <v>4.5149750789540602E-2</v>
      </c>
      <c r="AH126" s="957">
        <v>8.70440496325455E-2</v>
      </c>
    </row>
    <row r="127" spans="1:106">
      <c r="A127" s="940"/>
      <c r="C127" s="892"/>
      <c r="G127" s="313"/>
      <c r="H127" s="313"/>
      <c r="I127" s="313"/>
      <c r="J127" s="313"/>
      <c r="K127" s="313"/>
      <c r="L127" s="313"/>
      <c r="M127" s="313"/>
      <c r="N127" s="313"/>
      <c r="O127" s="313"/>
      <c r="P127" s="313"/>
      <c r="Q127" s="313"/>
      <c r="R127" s="313"/>
      <c r="S127" s="313"/>
      <c r="T127" s="313"/>
      <c r="U127" s="313"/>
      <c r="V127" s="313"/>
      <c r="W127" s="313"/>
      <c r="X127" s="313"/>
      <c r="Y127" s="313"/>
      <c r="Z127" s="313"/>
      <c r="AA127" s="313"/>
      <c r="AB127" s="313"/>
      <c r="AC127" s="313"/>
      <c r="AD127" s="313"/>
      <c r="AE127" s="313"/>
      <c r="AF127" s="313"/>
      <c r="AG127" s="313"/>
      <c r="AH127" s="313"/>
    </row>
    <row r="128" spans="1:106">
      <c r="A128" s="940"/>
      <c r="C128" s="892"/>
      <c r="G128" s="313"/>
      <c r="H128" s="313"/>
      <c r="I128" s="313"/>
      <c r="J128" s="313"/>
      <c r="K128" s="313"/>
      <c r="L128" s="313"/>
      <c r="M128" s="313"/>
      <c r="N128" s="313"/>
      <c r="O128" s="313"/>
      <c r="P128" s="313"/>
      <c r="Q128" s="313"/>
      <c r="R128" s="313"/>
      <c r="S128" s="313"/>
      <c r="T128" s="313"/>
      <c r="U128" s="313"/>
      <c r="V128" s="313"/>
      <c r="W128" s="313"/>
      <c r="X128" s="313"/>
      <c r="Y128" s="313"/>
      <c r="Z128" s="313"/>
      <c r="AA128" s="313"/>
      <c r="AB128" s="313"/>
      <c r="AC128" s="313"/>
      <c r="AD128" s="313"/>
      <c r="AE128" s="313"/>
      <c r="AF128" s="313"/>
      <c r="AG128" s="313"/>
      <c r="AH128" s="313"/>
    </row>
    <row r="129" spans="1:86">
      <c r="A129" s="940"/>
      <c r="C129" s="892"/>
      <c r="G129" s="942" t="s">
        <v>1002</v>
      </c>
      <c r="H129" s="943"/>
      <c r="I129" s="943"/>
      <c r="J129" s="943"/>
      <c r="K129" s="943" t="s">
        <v>319</v>
      </c>
      <c r="L129" s="943" t="s">
        <v>320</v>
      </c>
      <c r="M129" s="943" t="s">
        <v>321</v>
      </c>
      <c r="N129" s="943" t="s">
        <v>322</v>
      </c>
      <c r="O129" s="943" t="s">
        <v>26</v>
      </c>
      <c r="P129" s="943" t="s">
        <v>323</v>
      </c>
      <c r="Q129" s="943" t="s">
        <v>1003</v>
      </c>
      <c r="R129" s="943" t="s">
        <v>1004</v>
      </c>
      <c r="S129" s="943" t="s">
        <v>335</v>
      </c>
      <c r="T129" s="943" t="s">
        <v>1005</v>
      </c>
      <c r="U129" s="943" t="s">
        <v>30</v>
      </c>
      <c r="V129" s="943" t="s">
        <v>1006</v>
      </c>
      <c r="W129" s="943" t="s">
        <v>1007</v>
      </c>
      <c r="X129" s="943" t="s">
        <v>1008</v>
      </c>
      <c r="Y129" s="943" t="s">
        <v>1009</v>
      </c>
      <c r="Z129" s="943" t="s">
        <v>1010</v>
      </c>
      <c r="AA129" s="943" t="s">
        <v>1011</v>
      </c>
      <c r="AB129" s="943" t="s">
        <v>1012</v>
      </c>
      <c r="AC129" s="943" t="s">
        <v>1013</v>
      </c>
      <c r="AD129" s="943" t="s">
        <v>1014</v>
      </c>
      <c r="AE129" s="943" t="s">
        <v>1015</v>
      </c>
      <c r="AF129" s="943" t="s">
        <v>1016</v>
      </c>
      <c r="AG129" s="943" t="s">
        <v>1017</v>
      </c>
      <c r="AH129" s="944" t="s">
        <v>1018</v>
      </c>
    </row>
    <row r="130" spans="1:86">
      <c r="A130" s="940"/>
      <c r="C130" s="892"/>
      <c r="G130" s="946" t="s">
        <v>1073</v>
      </c>
      <c r="H130" s="947"/>
      <c r="I130" s="947"/>
      <c r="J130" s="947"/>
      <c r="K130" s="947">
        <v>1273</v>
      </c>
      <c r="L130" s="948">
        <v>2</v>
      </c>
      <c r="M130" s="947">
        <v>63</v>
      </c>
      <c r="N130" s="948"/>
      <c r="O130" s="948">
        <v>4</v>
      </c>
      <c r="P130" s="948">
        <v>3</v>
      </c>
      <c r="Q130" s="948">
        <v>1649.0952380952399</v>
      </c>
      <c r="R130" s="947">
        <v>1455.9642857142901</v>
      </c>
      <c r="S130" s="947" t="s">
        <v>1074</v>
      </c>
      <c r="T130" s="947" t="s">
        <v>1074</v>
      </c>
      <c r="U130" s="949">
        <v>1.14372685444956</v>
      </c>
      <c r="V130" s="948" t="b">
        <f>M130=INDEX(Input!$H$53:$H$54,ROW()-ROW($V$129),)</f>
        <v>1</v>
      </c>
      <c r="W130" s="948" t="b">
        <f>IFERROR(ROUND(K130,2)=ROUND(INDEX(Input!$F$53:$F$54,ROW()-ROW($V$129),),2),K130=INDEX(Input!$F$53:$F$54,ROW()-ROW($V$129),))</f>
        <v>1</v>
      </c>
      <c r="X130" s="948" t="b">
        <f>AND(V130,Y130,Z130)</f>
        <v>0</v>
      </c>
      <c r="Y130" s="948" t="b">
        <f>O130=INDEX(Input!$J$53:$J$54,ROW()-ROW($V$129),)</f>
        <v>0</v>
      </c>
      <c r="Z130" s="948" t="b">
        <f>P130=INDEX(Input!$K$53:$K$54,ROW()-ROW($V$129),)</f>
        <v>0</v>
      </c>
      <c r="AA130" s="948" t="b">
        <f>S130=INDEX(Input!$N$53:$N$54,ROW()-ROW($V$129),)</f>
        <v>1</v>
      </c>
      <c r="AB130" s="948" t="b">
        <f>T130=INDEX(Input!$O$53:$O$54,ROW()-ROW($V$129),)</f>
        <v>1</v>
      </c>
      <c r="AC130" s="948" t="b">
        <f>IF(AND(OR(R130=0,R130=""),OR(INDEX(Input!$M$53:$M$54,ROW()-ROW($V$129),)=0,INDEX(Input!$M$53:$M$54,ROW()-ROW($V$129),)="")),TRUE,IFERROR(ROUND(R130,2)=ROUND(INDEX(Input!$M$53:$M$54,ROW()-ROW($V$129),),2),R130=INDEX(Input!$M$53:$M$54,ROW()-ROW($V$129),)))</f>
        <v>1</v>
      </c>
      <c r="AD130" s="948" t="b">
        <f>IF(AND(OR(Q130=0,Q130=""),OR(INDEX(Input!$L$53:$L$54,ROW()-ROW($V$129),)=0,INDEX(Input!$L$53:$L$54,ROW()-ROW($V$129),)="")),TRUE,IFERROR(ROUND(Q130,2)=ROUND(INDEX(Input!$L$53:$L$54,ROW()-ROW($V$129),),2),Q130=INDEX(Input!$L$53:$L$54,ROW()-ROW($V$129),)))</f>
        <v>1</v>
      </c>
      <c r="AE130" s="948" t="b">
        <f>V130*W130*Y130*Z130*AC130*(U130&lt;&gt;"")=1</f>
        <v>0</v>
      </c>
      <c r="AF130" s="950"/>
      <c r="AG130" s="950"/>
      <c r="AH130" s="951"/>
    </row>
    <row r="131" spans="1:86">
      <c r="A131" s="940"/>
      <c r="C131" s="892"/>
      <c r="G131" s="946" t="s">
        <v>1075</v>
      </c>
      <c r="H131" s="947"/>
      <c r="I131" s="947"/>
      <c r="J131" s="947"/>
      <c r="K131" s="947">
        <v>1635</v>
      </c>
      <c r="L131" s="948">
        <v>3</v>
      </c>
      <c r="M131" s="947">
        <v>17</v>
      </c>
      <c r="N131" s="948"/>
      <c r="O131" s="948">
        <v>0</v>
      </c>
      <c r="P131" s="948">
        <v>0</v>
      </c>
      <c r="Q131" s="948">
        <v>1748.76470588235</v>
      </c>
      <c r="R131" s="947">
        <v>1634.11764705882</v>
      </c>
      <c r="S131" s="947" t="s">
        <v>1074</v>
      </c>
      <c r="T131" s="947" t="s">
        <v>1074</v>
      </c>
      <c r="U131" s="949">
        <v>0.99946033459255301</v>
      </c>
      <c r="V131" s="948" t="b">
        <f>M131=INDEX(Input!$H$53:$H$54,ROW()-ROW($V$129),)</f>
        <v>1</v>
      </c>
      <c r="W131" s="948" t="b">
        <f>IFERROR(ROUND(K131,2)=ROUND(INDEX(Input!$F$53:$F$54,ROW()-ROW($V$129),),2),K131=INDEX(Input!$F$53:$F$54,ROW()-ROW($V$129),))</f>
        <v>1</v>
      </c>
      <c r="X131" s="948" t="b">
        <f>AND(V131,Y131,Z131)</f>
        <v>1</v>
      </c>
      <c r="Y131" s="948" t="b">
        <f>O131=INDEX(Input!$J$53:$J$54,ROW()-ROW($V$129),)</f>
        <v>1</v>
      </c>
      <c r="Z131" s="948" t="b">
        <f>P131=INDEX(Input!$K$53:$K$54,ROW()-ROW($V$129),)</f>
        <v>1</v>
      </c>
      <c r="AA131" s="948" t="b">
        <f>S131=INDEX(Input!$N$53:$N$54,ROW()-ROW($V$129),)</f>
        <v>1</v>
      </c>
      <c r="AB131" s="948" t="b">
        <f>T131=INDEX(Input!$O$53:$O$54,ROW()-ROW($V$129),)</f>
        <v>1</v>
      </c>
      <c r="AC131" s="948" t="b">
        <f>IF(AND(OR(R131=0,R131=""),OR(INDEX(Input!$M$53:$M$54,ROW()-ROW($V$129),)=0,INDEX(Input!$M$53:$M$54,ROW()-ROW($V$129),)="")),TRUE,IFERROR(ROUND(R131,2)=ROUND(INDEX(Input!$M$53:$M$54,ROW()-ROW($V$129),),2),R131=INDEX(Input!$M$53:$M$54,ROW()-ROW($V$129),)))</f>
        <v>1</v>
      </c>
      <c r="AD131" s="948" t="b">
        <f>IF(AND(OR(Q131=0,Q131=""),OR(INDEX(Input!$L$53:$L$54,ROW()-ROW($V$129),)=0,INDEX(Input!$L$53:$L$54,ROW()-ROW($V$129),)="")),TRUE,IFERROR(ROUND(Q131,2)=ROUND(INDEX(Input!$L$53:$L$54,ROW()-ROW($V$129),),2),Q131=INDEX(Input!$L$53:$L$54,ROW()-ROW($V$129),)))</f>
        <v>1</v>
      </c>
      <c r="AE131" s="948" t="b">
        <f>V131*W131*Y131*Z131*AC131*(U131&lt;&gt;"")=1</f>
        <v>1</v>
      </c>
      <c r="AF131" s="950"/>
      <c r="AG131" s="950"/>
      <c r="AH131" s="951"/>
    </row>
    <row r="132" spans="1:86">
      <c r="A132" s="940"/>
      <c r="C132" s="892"/>
      <c r="G132" s="958">
        <f>ROWS(OldFloorPlansFromRR)</f>
        <v>2</v>
      </c>
      <c r="H132" s="959"/>
      <c r="I132" s="959"/>
      <c r="J132" s="959"/>
      <c r="K132" s="960">
        <f>CHOOSE(IF(RevenueInpMethodType&lt;&gt;30,RevenueInpMethodType,RevenueInpMethodTypeOverride)-29,"",RentRollDateStamp,LatestRRDateStamp)</f>
        <v>45991</v>
      </c>
      <c r="L132" s="961"/>
      <c r="M132" s="959">
        <f>SUM(M130:M131)</f>
        <v>80</v>
      </c>
      <c r="N132" s="961"/>
      <c r="O132" s="961"/>
      <c r="P132" s="961"/>
      <c r="Q132" s="961"/>
      <c r="R132" s="959"/>
      <c r="S132" s="953" t="b">
        <f>SUMPRODUCT((FPLeaseTypeOld&lt;&gt;"")*(FPLeaseTypeOld&lt;&gt;LeaseTypeMarket))&gt;0</f>
        <v>0</v>
      </c>
      <c r="T132" s="959"/>
      <c r="U132" s="959"/>
      <c r="V132" s="962" t="b">
        <f t="shared" ref="V132:AE132" si="40">COUNTIF(V130:V131,FALSE)=0</f>
        <v>1</v>
      </c>
      <c r="W132" s="962" t="b">
        <f t="shared" si="40"/>
        <v>1</v>
      </c>
      <c r="X132" s="962" t="b">
        <f t="shared" si="40"/>
        <v>0</v>
      </c>
      <c r="Y132" s="962" t="b">
        <f t="shared" si="40"/>
        <v>0</v>
      </c>
      <c r="Z132" s="962" t="b">
        <f t="shared" si="40"/>
        <v>0</v>
      </c>
      <c r="AA132" s="962" t="b">
        <f t="shared" si="40"/>
        <v>1</v>
      </c>
      <c r="AB132" s="962" t="b">
        <f t="shared" si="40"/>
        <v>1</v>
      </c>
      <c r="AC132" s="962" t="b">
        <f t="shared" si="40"/>
        <v>1</v>
      </c>
      <c r="AD132" s="962" t="b">
        <f t="shared" si="40"/>
        <v>1</v>
      </c>
      <c r="AE132" s="962" t="b">
        <f t="shared" si="40"/>
        <v>0</v>
      </c>
      <c r="AF132" s="963">
        <f>IFERROR(IF(OR(RevenueInpMethodType=32,RevenueInpMethodTypeOld=""),RentRollVacancyRate,SUMPRODUCT(O130:O131,Q130:Q131)/SUMPRODUCT(M130:M131,Q130:Q131)),"")</f>
        <v>4.9722351109847199E-2</v>
      </c>
      <c r="AG132" s="963">
        <f>IFERROR(IF(OR(RevenueInpMethodType=32,RevenueInpMethodTypeOld=""),RentRollNonRevenueRate,SUMPRODUCT(P130:P131,Q130:Q131)/SUMPRODUCT(M130:M131,Q130:Q131)),"")</f>
        <v>4.5149750789540602E-2</v>
      </c>
      <c r="AH132" s="964">
        <f>IFERROR(IF(OR(RevenueInpMethodType=32,RevenueInpMethodTypeOld=""),RentRollLTLRate,SUMPRODUCT(M130:M131-O130:O131-P130:P131,Q130:Q131-R130:R131)/SUMPRODUCT(M130:M131,Q130:Q131)),"")</f>
        <v>8.70440496325455E-2</v>
      </c>
    </row>
    <row r="133" spans="1:86">
      <c r="A133" s="940"/>
      <c r="C133" s="892"/>
      <c r="G133" s="965"/>
      <c r="H133" s="966"/>
      <c r="I133" s="966"/>
      <c r="J133" s="966"/>
      <c r="K133" s="966"/>
      <c r="L133" s="966"/>
      <c r="M133" s="966"/>
      <c r="N133" s="966"/>
      <c r="O133" s="966"/>
      <c r="P133" s="966"/>
      <c r="Q133" s="966"/>
      <c r="R133" s="966"/>
      <c r="S133" s="966"/>
      <c r="T133" s="966"/>
      <c r="U133" s="966"/>
      <c r="V133" s="966"/>
      <c r="W133" s="966"/>
      <c r="X133" s="966"/>
      <c r="Y133" s="966"/>
      <c r="Z133" s="966"/>
      <c r="AA133" s="966"/>
      <c r="AB133" s="966"/>
      <c r="AC133" s="966"/>
      <c r="AD133" s="956" t="str">
        <f>IF(OR(AND(RevenueInpMethodType=31,RevenueInpMethodTypeOld=31,RevenueInpMethodTypeOverride=31),AND(RevenueInpMethodType=31,RevenueInpMethodTypeOld=""),AND(OR(RevenueInpMethodTypeOverride=32,AND(RevenueInpMethodTypeOld="",RevenueInpMethodTypeOverride=31)),AreSameNumberOfUnits,$Y$126,$AD$126)),RentRollVacancyRate,"")</f>
        <v/>
      </c>
      <c r="AE133" s="956" t="str">
        <f>IF(OR(AND(RevenueInpMethodType=31,RevenueInpMethodTypeOld=31,RevenueInpMethodTypeOverride=31),AND(RevenueInpMethodType=31,RevenueInpMethodTypeOld=""),AND(OR(RevenueInpMethodTypeOverride=32,AND(RevenueInpMethodTypeOld="",RevenueInpMethodTypeOverride=31)),AreSameNumberOfUnits,$Z$126,$AD$126)),RentRollNonRevenueRate,"")</f>
        <v/>
      </c>
      <c r="AF133" s="956" t="str">
        <f>IF(OR(AND(RevenueInpMethodType=31,RevenueInpMethodTypeOld=31,RevenueInpMethodTypeOverride=31),AND(RevenueInpMethodType=31,RevenueInpMethodTypeOld=""),AND(OR(RevenueInpMethodTypeOverride=32,AND(RevenueInpMethodTypeOld="",RevenueInpMethodTypeOverride=31)),AreSameNumberOfUnits,$X$126,$AC$126,$AD$126)),RentRollLTLRate,"")</f>
        <v/>
      </c>
      <c r="AG133" s="966"/>
      <c r="AH133" s="967"/>
      <c r="BW133" s="163" t="s">
        <v>1019</v>
      </c>
      <c r="BX133" s="163"/>
      <c r="BY133" s="163"/>
      <c r="BZ133" s="163"/>
      <c r="CA133" s="163"/>
      <c r="CB133" s="163"/>
      <c r="CC133" s="163"/>
      <c r="CD133" s="163"/>
      <c r="CE133" s="163"/>
      <c r="CF133" s="163"/>
      <c r="CG133" s="163"/>
      <c r="CH133" s="163"/>
    </row>
    <row r="134" spans="1:86">
      <c r="A134" s="940"/>
      <c r="C134" s="892"/>
      <c r="BW134" s="163" t="s">
        <v>1020</v>
      </c>
      <c r="BX134" s="163"/>
      <c r="BY134" s="163"/>
      <c r="BZ134" s="163"/>
      <c r="CA134" s="163" t="s">
        <v>1021</v>
      </c>
      <c r="CB134" s="163"/>
      <c r="CC134" s="163"/>
      <c r="CD134" s="163"/>
      <c r="CE134" s="163" t="s">
        <v>1022</v>
      </c>
      <c r="CF134" s="163"/>
      <c r="CG134" s="163"/>
      <c r="CH134" s="163"/>
    </row>
    <row r="135" spans="1:86">
      <c r="A135" s="940"/>
      <c r="C135" s="892"/>
      <c r="BW135" s="900">
        <f>IF(RevenueInpMethodType=32,LatestRRDateStamp,IF(RevenueInpMethodType=31,IF(RentRollDateStamp="",LatestRRDateStamp,RentRollDateStamp),IF(RevenueInpMethodTypeOverride=32,LatestRRDateStamp,IF(RevenueInpMethodTypeOverride=31,IF(RentRollDateStamp="",LatestRRDateStamp,RentRollDateStamp),""))))</f>
        <v>45991</v>
      </c>
      <c r="BX135" s="894">
        <f>SUMIF(INDEX(CurrentLeaseExpirationTable,,1),"&lt;&gt;"&amp;"",INDEX(CurrentLeaseExpirationTable,,2))</f>
        <v>73</v>
      </c>
      <c r="BY135" s="894" t="s">
        <v>51</v>
      </c>
      <c r="BZ135" s="894" t="s">
        <v>1023</v>
      </c>
      <c r="CA135" s="894" t="s">
        <v>1024</v>
      </c>
      <c r="CB135" s="894" t="s">
        <v>1025</v>
      </c>
      <c r="CC135" s="894" t="s">
        <v>51</v>
      </c>
      <c r="CD135" s="913" t="s">
        <v>1023</v>
      </c>
      <c r="CE135" s="894" t="s">
        <v>1024</v>
      </c>
      <c r="CF135" s="894" t="s">
        <v>1025</v>
      </c>
      <c r="CG135" s="894" t="s">
        <v>51</v>
      </c>
      <c r="CH135" s="913" t="s">
        <v>1023</v>
      </c>
    </row>
    <row r="136" spans="1:86">
      <c r="A136" s="940"/>
      <c r="C136" s="892"/>
      <c r="BW136" s="901"/>
      <c r="BX136">
        <v>7</v>
      </c>
      <c r="BY136">
        <v>12677</v>
      </c>
      <c r="BZ136">
        <v>12677</v>
      </c>
      <c r="CB136">
        <v>7</v>
      </c>
      <c r="CC136">
        <v>12677</v>
      </c>
      <c r="CD136">
        <v>12677</v>
      </c>
    </row>
    <row r="137" spans="1:86">
      <c r="A137" s="940"/>
      <c r="C137" s="892"/>
      <c r="BW137" s="901">
        <v>45664</v>
      </c>
      <c r="BX137">
        <v>1</v>
      </c>
      <c r="BY137">
        <v>1737</v>
      </c>
      <c r="BZ137">
        <v>1699</v>
      </c>
      <c r="CA137">
        <v>45664</v>
      </c>
      <c r="CB137">
        <v>1</v>
      </c>
      <c r="CC137">
        <v>1737</v>
      </c>
      <c r="CD137">
        <v>1699</v>
      </c>
    </row>
    <row r="138" spans="1:86">
      <c r="A138" s="940"/>
      <c r="C138" s="892"/>
      <c r="BW138" s="901">
        <v>45808</v>
      </c>
      <c r="BX138">
        <v>1</v>
      </c>
      <c r="BY138">
        <v>1611</v>
      </c>
      <c r="BZ138">
        <v>1575</v>
      </c>
      <c r="CA138">
        <v>45808</v>
      </c>
      <c r="CB138">
        <v>1</v>
      </c>
      <c r="CC138">
        <v>1611</v>
      </c>
      <c r="CD138">
        <v>1575</v>
      </c>
    </row>
    <row r="139" spans="1:86">
      <c r="A139" s="940"/>
      <c r="C139" s="892"/>
      <c r="BW139" s="901">
        <v>45995</v>
      </c>
      <c r="BX139">
        <v>1</v>
      </c>
      <c r="BY139">
        <v>1711</v>
      </c>
      <c r="BZ139">
        <v>1524</v>
      </c>
      <c r="CA139">
        <v>45995</v>
      </c>
      <c r="CB139">
        <v>1</v>
      </c>
      <c r="CC139">
        <v>1711</v>
      </c>
      <c r="CD139">
        <v>1524</v>
      </c>
    </row>
    <row r="140" spans="1:86">
      <c r="A140" s="940"/>
      <c r="C140" s="892"/>
      <c r="BW140">
        <v>45996</v>
      </c>
      <c r="BX140">
        <v>1</v>
      </c>
      <c r="BY140">
        <v>1611</v>
      </c>
      <c r="BZ140">
        <v>1419</v>
      </c>
      <c r="CA140">
        <v>45996</v>
      </c>
      <c r="CB140">
        <v>1</v>
      </c>
      <c r="CC140">
        <v>1611</v>
      </c>
      <c r="CD140">
        <v>1419</v>
      </c>
    </row>
    <row r="141" spans="1:86">
      <c r="A141" s="940"/>
      <c r="C141" s="892"/>
      <c r="BW141">
        <v>46003</v>
      </c>
      <c r="BX141">
        <v>1</v>
      </c>
      <c r="BY141">
        <v>1611</v>
      </c>
      <c r="BZ141">
        <v>1399</v>
      </c>
      <c r="CA141">
        <v>46003</v>
      </c>
      <c r="CB141">
        <v>1</v>
      </c>
      <c r="CC141">
        <v>1611</v>
      </c>
      <c r="CD141">
        <v>1399</v>
      </c>
    </row>
    <row r="142" spans="1:86">
      <c r="A142" s="940"/>
      <c r="C142" s="892"/>
      <c r="BW142">
        <v>46017</v>
      </c>
      <c r="BX142">
        <v>1</v>
      </c>
      <c r="BY142">
        <v>1611</v>
      </c>
      <c r="BZ142">
        <v>1499</v>
      </c>
      <c r="CA142">
        <v>46017</v>
      </c>
      <c r="CB142">
        <v>1</v>
      </c>
      <c r="CC142">
        <v>1611</v>
      </c>
      <c r="CD142">
        <v>1499</v>
      </c>
    </row>
    <row r="143" spans="1:86">
      <c r="A143" s="940"/>
      <c r="C143" s="892"/>
      <c r="BW143">
        <v>46018</v>
      </c>
      <c r="BX143">
        <v>1</v>
      </c>
      <c r="BY143">
        <v>1737</v>
      </c>
      <c r="BZ143">
        <v>1699</v>
      </c>
      <c r="CA143">
        <v>46018</v>
      </c>
      <c r="CB143">
        <v>1</v>
      </c>
      <c r="CC143">
        <v>1737</v>
      </c>
      <c r="CD143">
        <v>1699</v>
      </c>
    </row>
    <row r="144" spans="1:86">
      <c r="A144" s="940"/>
      <c r="C144" s="892"/>
      <c r="BW144">
        <v>46019</v>
      </c>
      <c r="BX144">
        <v>1</v>
      </c>
      <c r="BY144">
        <v>1611</v>
      </c>
      <c r="BZ144">
        <v>1399</v>
      </c>
      <c r="CA144">
        <v>46019</v>
      </c>
      <c r="CB144">
        <v>1</v>
      </c>
      <c r="CC144">
        <v>1611</v>
      </c>
      <c r="CD144">
        <v>1399</v>
      </c>
    </row>
    <row r="145" spans="1:82">
      <c r="A145" s="940"/>
      <c r="BW145">
        <v>46029</v>
      </c>
      <c r="BX145">
        <v>1</v>
      </c>
      <c r="BY145">
        <v>1611</v>
      </c>
      <c r="BZ145">
        <v>1499</v>
      </c>
      <c r="CA145">
        <v>46029</v>
      </c>
      <c r="CB145">
        <v>1</v>
      </c>
      <c r="CC145">
        <v>1611</v>
      </c>
      <c r="CD145">
        <v>1499</v>
      </c>
    </row>
    <row r="146" spans="1:82">
      <c r="A146" s="940"/>
      <c r="BW146">
        <v>46038</v>
      </c>
      <c r="BX146">
        <v>1</v>
      </c>
      <c r="BY146">
        <v>1837</v>
      </c>
      <c r="BZ146">
        <v>1811</v>
      </c>
      <c r="CA146">
        <v>46038</v>
      </c>
      <c r="CB146">
        <v>1</v>
      </c>
      <c r="CC146">
        <v>1837</v>
      </c>
      <c r="CD146">
        <v>1811</v>
      </c>
    </row>
    <row r="147" spans="1:82">
      <c r="A147" s="940"/>
      <c r="BW147">
        <v>46041</v>
      </c>
      <c r="BX147">
        <v>1</v>
      </c>
      <c r="BY147">
        <v>1737</v>
      </c>
      <c r="BZ147">
        <v>1699</v>
      </c>
      <c r="CA147">
        <v>46041</v>
      </c>
      <c r="CB147">
        <v>1</v>
      </c>
      <c r="CC147">
        <v>1737</v>
      </c>
      <c r="CD147">
        <v>1699</v>
      </c>
    </row>
    <row r="148" spans="1:82">
      <c r="A148" s="940"/>
      <c r="BW148">
        <v>46053</v>
      </c>
      <c r="BX148">
        <v>1</v>
      </c>
      <c r="BY148">
        <v>1611</v>
      </c>
      <c r="BZ148">
        <v>1560</v>
      </c>
      <c r="CA148">
        <v>46053</v>
      </c>
      <c r="CB148">
        <v>1</v>
      </c>
      <c r="CC148">
        <v>1611</v>
      </c>
      <c r="CD148">
        <v>1560</v>
      </c>
    </row>
    <row r="149" spans="1:82">
      <c r="A149" s="940"/>
      <c r="BW149">
        <v>46066</v>
      </c>
      <c r="BX149">
        <v>1</v>
      </c>
      <c r="BY149">
        <v>1611</v>
      </c>
      <c r="BZ149">
        <v>1399</v>
      </c>
      <c r="CA149">
        <v>46066</v>
      </c>
      <c r="CB149">
        <v>1</v>
      </c>
      <c r="CC149">
        <v>1611</v>
      </c>
      <c r="CD149">
        <v>1399</v>
      </c>
    </row>
    <row r="150" spans="1:82">
      <c r="A150" s="940"/>
      <c r="BW150">
        <v>46077</v>
      </c>
      <c r="BX150">
        <v>2</v>
      </c>
      <c r="BY150">
        <v>3348</v>
      </c>
      <c r="BZ150">
        <v>3022</v>
      </c>
      <c r="CA150">
        <v>46077</v>
      </c>
      <c r="CB150">
        <v>2</v>
      </c>
      <c r="CC150">
        <v>3348</v>
      </c>
      <c r="CD150">
        <v>3022</v>
      </c>
    </row>
    <row r="151" spans="1:82">
      <c r="A151" s="940"/>
      <c r="BW151">
        <v>46081</v>
      </c>
      <c r="BX151">
        <v>2</v>
      </c>
      <c r="BY151">
        <v>3222</v>
      </c>
      <c r="BZ151">
        <v>3076</v>
      </c>
      <c r="CA151">
        <v>46081</v>
      </c>
      <c r="CB151">
        <v>2</v>
      </c>
      <c r="CC151">
        <v>3222</v>
      </c>
      <c r="CD151">
        <v>3076</v>
      </c>
    </row>
    <row r="152" spans="1:82">
      <c r="A152" s="940"/>
      <c r="BW152">
        <v>46090</v>
      </c>
      <c r="BX152">
        <v>1</v>
      </c>
      <c r="BY152">
        <v>1611</v>
      </c>
      <c r="BZ152">
        <v>1400</v>
      </c>
      <c r="CA152">
        <v>46090</v>
      </c>
      <c r="CB152">
        <v>1</v>
      </c>
      <c r="CC152">
        <v>1611</v>
      </c>
      <c r="CD152">
        <v>1400</v>
      </c>
    </row>
    <row r="153" spans="1:82">
      <c r="A153" s="968"/>
      <c r="BW153">
        <v>46094</v>
      </c>
      <c r="BX153">
        <v>1</v>
      </c>
      <c r="BY153">
        <v>1711</v>
      </c>
      <c r="BZ153">
        <v>1399</v>
      </c>
      <c r="CA153">
        <v>46094</v>
      </c>
      <c r="CB153">
        <v>1</v>
      </c>
      <c r="CC153">
        <v>1711</v>
      </c>
      <c r="CD153">
        <v>1399</v>
      </c>
    </row>
    <row r="154" spans="1:82">
      <c r="BW154">
        <v>46097</v>
      </c>
      <c r="BX154">
        <v>1</v>
      </c>
      <c r="BY154">
        <v>1611</v>
      </c>
      <c r="BZ154">
        <v>1600</v>
      </c>
      <c r="CA154">
        <v>46097</v>
      </c>
      <c r="CB154">
        <v>1</v>
      </c>
      <c r="CC154">
        <v>1611</v>
      </c>
      <c r="CD154">
        <v>1600</v>
      </c>
    </row>
    <row r="155" spans="1:82">
      <c r="BW155">
        <v>46103</v>
      </c>
      <c r="BX155">
        <v>1</v>
      </c>
      <c r="BY155">
        <v>1711</v>
      </c>
      <c r="BZ155">
        <v>1349</v>
      </c>
      <c r="CA155">
        <v>46103</v>
      </c>
      <c r="CB155">
        <v>1</v>
      </c>
      <c r="CC155">
        <v>1711</v>
      </c>
      <c r="CD155">
        <v>1349</v>
      </c>
    </row>
    <row r="156" spans="1:82">
      <c r="BW156">
        <v>46104</v>
      </c>
      <c r="BX156">
        <v>1</v>
      </c>
      <c r="BY156">
        <v>1611</v>
      </c>
      <c r="BZ156">
        <v>1449</v>
      </c>
      <c r="CA156">
        <v>46104</v>
      </c>
      <c r="CB156">
        <v>1</v>
      </c>
      <c r="CC156">
        <v>1611</v>
      </c>
      <c r="CD156">
        <v>1449</v>
      </c>
    </row>
    <row r="157" spans="1:82">
      <c r="BW157">
        <v>46107</v>
      </c>
      <c r="BX157">
        <v>1</v>
      </c>
      <c r="BY157">
        <v>1711</v>
      </c>
      <c r="BZ157">
        <v>1399</v>
      </c>
      <c r="CA157">
        <v>46107</v>
      </c>
      <c r="CB157">
        <v>1</v>
      </c>
      <c r="CC157">
        <v>1711</v>
      </c>
      <c r="CD157">
        <v>1399</v>
      </c>
    </row>
    <row r="158" spans="1:82">
      <c r="BW158">
        <v>46110</v>
      </c>
      <c r="BX158">
        <v>1</v>
      </c>
      <c r="BY158">
        <v>1611</v>
      </c>
      <c r="BZ158">
        <v>1549</v>
      </c>
      <c r="CA158">
        <v>46110</v>
      </c>
      <c r="CB158">
        <v>1</v>
      </c>
      <c r="CC158">
        <v>1611</v>
      </c>
      <c r="CD158">
        <v>1549</v>
      </c>
    </row>
    <row r="159" spans="1:82">
      <c r="BW159">
        <v>46111</v>
      </c>
      <c r="BX159">
        <v>1</v>
      </c>
      <c r="BY159">
        <v>1611</v>
      </c>
      <c r="BZ159">
        <v>1399</v>
      </c>
      <c r="CA159">
        <v>46111</v>
      </c>
      <c r="CB159">
        <v>1</v>
      </c>
      <c r="CC159">
        <v>1611</v>
      </c>
      <c r="CD159">
        <v>1399</v>
      </c>
    </row>
    <row r="160" spans="1:82">
      <c r="BW160">
        <v>46112</v>
      </c>
      <c r="BX160">
        <v>1</v>
      </c>
      <c r="BY160">
        <v>1611</v>
      </c>
      <c r="BZ160">
        <v>1399</v>
      </c>
      <c r="CA160">
        <v>46112</v>
      </c>
      <c r="CB160">
        <v>1</v>
      </c>
      <c r="CC160">
        <v>1611</v>
      </c>
      <c r="CD160">
        <v>1399</v>
      </c>
    </row>
    <row r="161" spans="75:82">
      <c r="BW161">
        <v>46116</v>
      </c>
      <c r="BX161">
        <v>1</v>
      </c>
      <c r="BY161">
        <v>1611</v>
      </c>
      <c r="BZ161">
        <v>1499</v>
      </c>
      <c r="CA161">
        <v>46116</v>
      </c>
      <c r="CB161">
        <v>1</v>
      </c>
      <c r="CC161">
        <v>1611</v>
      </c>
      <c r="CD161">
        <v>1499</v>
      </c>
    </row>
    <row r="162" spans="75:82">
      <c r="BW162">
        <v>46121</v>
      </c>
      <c r="BX162">
        <v>1</v>
      </c>
      <c r="BY162">
        <v>1611</v>
      </c>
      <c r="BZ162">
        <v>1499</v>
      </c>
      <c r="CA162">
        <v>46121</v>
      </c>
      <c r="CB162">
        <v>1</v>
      </c>
      <c r="CC162">
        <v>1611</v>
      </c>
      <c r="CD162">
        <v>1499</v>
      </c>
    </row>
    <row r="163" spans="75:82">
      <c r="BW163">
        <v>46129</v>
      </c>
      <c r="BX163">
        <v>1</v>
      </c>
      <c r="BY163">
        <v>1611</v>
      </c>
      <c r="BZ163">
        <v>1499</v>
      </c>
      <c r="CA163">
        <v>46129</v>
      </c>
      <c r="CB163">
        <v>1</v>
      </c>
      <c r="CC163">
        <v>1611</v>
      </c>
      <c r="CD163">
        <v>1499</v>
      </c>
    </row>
    <row r="164" spans="75:82">
      <c r="BW164">
        <v>46142</v>
      </c>
      <c r="BX164">
        <v>2</v>
      </c>
      <c r="BY164">
        <v>3322</v>
      </c>
      <c r="BZ164">
        <v>2794</v>
      </c>
      <c r="CA164">
        <v>46142</v>
      </c>
      <c r="CB164">
        <v>2</v>
      </c>
      <c r="CC164">
        <v>3322</v>
      </c>
      <c r="CD164">
        <v>2794</v>
      </c>
    </row>
    <row r="165" spans="75:82">
      <c r="BW165">
        <v>46144</v>
      </c>
      <c r="BX165">
        <v>1</v>
      </c>
      <c r="BY165">
        <v>1611</v>
      </c>
      <c r="BZ165">
        <v>1499</v>
      </c>
      <c r="CA165">
        <v>46144</v>
      </c>
      <c r="CB165">
        <v>1</v>
      </c>
      <c r="CC165">
        <v>1611</v>
      </c>
      <c r="CD165">
        <v>1499</v>
      </c>
    </row>
    <row r="166" spans="75:82">
      <c r="BW166">
        <v>46167</v>
      </c>
      <c r="BX166">
        <v>1</v>
      </c>
      <c r="BY166">
        <v>1737</v>
      </c>
      <c r="BZ166">
        <v>1699</v>
      </c>
      <c r="CA166">
        <v>46167</v>
      </c>
      <c r="CB166">
        <v>1</v>
      </c>
      <c r="CC166">
        <v>1737</v>
      </c>
      <c r="CD166">
        <v>1699</v>
      </c>
    </row>
    <row r="167" spans="75:82">
      <c r="BW167">
        <v>46172</v>
      </c>
      <c r="BX167">
        <v>2</v>
      </c>
      <c r="BY167">
        <v>3474</v>
      </c>
      <c r="BZ167">
        <v>3298</v>
      </c>
      <c r="CA167">
        <v>46172</v>
      </c>
      <c r="CB167">
        <v>2</v>
      </c>
      <c r="CC167">
        <v>3474</v>
      </c>
      <c r="CD167">
        <v>3298</v>
      </c>
    </row>
    <row r="168" spans="75:82">
      <c r="BW168">
        <v>46173</v>
      </c>
      <c r="BX168">
        <v>1</v>
      </c>
      <c r="BY168">
        <v>1611</v>
      </c>
      <c r="BZ168">
        <v>1469</v>
      </c>
      <c r="CA168">
        <v>46173</v>
      </c>
      <c r="CB168">
        <v>1</v>
      </c>
      <c r="CC168">
        <v>1611</v>
      </c>
      <c r="CD168">
        <v>1469</v>
      </c>
    </row>
    <row r="169" spans="75:82">
      <c r="BW169">
        <v>46177</v>
      </c>
      <c r="BX169">
        <v>2</v>
      </c>
      <c r="BY169">
        <v>3348</v>
      </c>
      <c r="BZ169">
        <v>3360</v>
      </c>
      <c r="CA169">
        <v>46177</v>
      </c>
      <c r="CB169">
        <v>2</v>
      </c>
      <c r="CC169">
        <v>3348</v>
      </c>
      <c r="CD169">
        <v>3360</v>
      </c>
    </row>
    <row r="170" spans="75:82">
      <c r="BW170">
        <v>46192</v>
      </c>
      <c r="BX170">
        <v>1</v>
      </c>
      <c r="BY170">
        <v>1611</v>
      </c>
      <c r="BZ170">
        <v>1499</v>
      </c>
      <c r="CA170">
        <v>46192</v>
      </c>
      <c r="CB170">
        <v>1</v>
      </c>
      <c r="CC170">
        <v>1611</v>
      </c>
      <c r="CD170">
        <v>1499</v>
      </c>
    </row>
    <row r="171" spans="75:82">
      <c r="BW171">
        <v>46198</v>
      </c>
      <c r="BX171">
        <v>1</v>
      </c>
      <c r="BY171">
        <v>1711</v>
      </c>
      <c r="BZ171">
        <v>1599</v>
      </c>
      <c r="CA171">
        <v>46198</v>
      </c>
      <c r="CB171">
        <v>1</v>
      </c>
      <c r="CC171">
        <v>1711</v>
      </c>
      <c r="CD171">
        <v>1599</v>
      </c>
    </row>
    <row r="172" spans="75:82">
      <c r="BW172">
        <v>46212</v>
      </c>
      <c r="BX172">
        <v>1</v>
      </c>
      <c r="BY172">
        <v>1737</v>
      </c>
      <c r="BZ172">
        <v>1599</v>
      </c>
      <c r="CA172">
        <v>46212</v>
      </c>
      <c r="CB172">
        <v>1</v>
      </c>
      <c r="CC172">
        <v>1737</v>
      </c>
      <c r="CD172">
        <v>1599</v>
      </c>
    </row>
    <row r="173" spans="75:82">
      <c r="BW173">
        <v>46217</v>
      </c>
      <c r="BX173">
        <v>1</v>
      </c>
      <c r="BY173">
        <v>1611</v>
      </c>
      <c r="BZ173">
        <v>1399</v>
      </c>
      <c r="CA173">
        <v>46217</v>
      </c>
      <c r="CB173">
        <v>1</v>
      </c>
      <c r="CC173">
        <v>1611</v>
      </c>
      <c r="CD173">
        <v>1399</v>
      </c>
    </row>
    <row r="174" spans="75:82">
      <c r="BW174">
        <v>46219</v>
      </c>
      <c r="BX174">
        <v>1</v>
      </c>
      <c r="BY174">
        <v>1611</v>
      </c>
      <c r="BZ174">
        <v>1399</v>
      </c>
      <c r="CA174">
        <v>46219</v>
      </c>
      <c r="CB174">
        <v>1</v>
      </c>
      <c r="CC174">
        <v>1611</v>
      </c>
      <c r="CD174">
        <v>1399</v>
      </c>
    </row>
    <row r="175" spans="75:82">
      <c r="BW175">
        <v>46227</v>
      </c>
      <c r="BX175">
        <v>1</v>
      </c>
      <c r="BY175">
        <v>1611</v>
      </c>
      <c r="BZ175">
        <v>1589</v>
      </c>
      <c r="CA175">
        <v>46227</v>
      </c>
      <c r="CB175">
        <v>1</v>
      </c>
      <c r="CC175">
        <v>1611</v>
      </c>
      <c r="CD175">
        <v>1589</v>
      </c>
    </row>
    <row r="176" spans="75:82">
      <c r="BW176">
        <v>46234</v>
      </c>
      <c r="BX176">
        <v>1</v>
      </c>
      <c r="BY176">
        <v>1837</v>
      </c>
      <c r="BZ176">
        <v>1599</v>
      </c>
      <c r="CA176">
        <v>46234</v>
      </c>
      <c r="CB176">
        <v>1</v>
      </c>
      <c r="CC176">
        <v>1837</v>
      </c>
      <c r="CD176">
        <v>1599</v>
      </c>
    </row>
    <row r="177" spans="75:82">
      <c r="BW177">
        <v>46242</v>
      </c>
      <c r="BX177">
        <v>2</v>
      </c>
      <c r="BY177">
        <v>3448</v>
      </c>
      <c r="BZ177">
        <v>2798</v>
      </c>
      <c r="CA177">
        <v>46242</v>
      </c>
      <c r="CB177">
        <v>2</v>
      </c>
      <c r="CC177">
        <v>3448</v>
      </c>
      <c r="CD177">
        <v>2798</v>
      </c>
    </row>
    <row r="178" spans="75:82">
      <c r="BW178">
        <v>46255</v>
      </c>
      <c r="BX178">
        <v>1</v>
      </c>
      <c r="BY178">
        <v>1611</v>
      </c>
      <c r="BZ178">
        <v>1199</v>
      </c>
      <c r="CA178">
        <v>46255</v>
      </c>
      <c r="CB178">
        <v>1</v>
      </c>
      <c r="CC178">
        <v>1611</v>
      </c>
      <c r="CD178">
        <v>1199</v>
      </c>
    </row>
    <row r="179" spans="75:82">
      <c r="BW179">
        <v>46258</v>
      </c>
      <c r="BX179">
        <v>1</v>
      </c>
      <c r="BY179">
        <v>1711</v>
      </c>
      <c r="BZ179">
        <v>1499</v>
      </c>
      <c r="CA179">
        <v>46258</v>
      </c>
      <c r="CB179">
        <v>1</v>
      </c>
      <c r="CC179">
        <v>1711</v>
      </c>
      <c r="CD179">
        <v>1499</v>
      </c>
    </row>
    <row r="180" spans="75:82">
      <c r="BW180">
        <v>46263</v>
      </c>
      <c r="BX180">
        <v>1</v>
      </c>
      <c r="BY180">
        <v>1611</v>
      </c>
      <c r="BZ180">
        <v>1399</v>
      </c>
      <c r="CA180">
        <v>46263</v>
      </c>
      <c r="CB180">
        <v>1</v>
      </c>
      <c r="CC180">
        <v>1611</v>
      </c>
      <c r="CD180">
        <v>1399</v>
      </c>
    </row>
    <row r="181" spans="75:82">
      <c r="BW181">
        <v>46264</v>
      </c>
      <c r="BX181">
        <v>2</v>
      </c>
      <c r="BY181">
        <v>3348</v>
      </c>
      <c r="BZ181">
        <v>2698</v>
      </c>
      <c r="CA181">
        <v>46264</v>
      </c>
      <c r="CB181">
        <v>2</v>
      </c>
      <c r="CC181">
        <v>3348</v>
      </c>
      <c r="CD181">
        <v>2698</v>
      </c>
    </row>
    <row r="182" spans="75:82">
      <c r="BW182">
        <v>46274</v>
      </c>
      <c r="BX182">
        <v>1</v>
      </c>
      <c r="BY182">
        <v>1611</v>
      </c>
      <c r="BZ182">
        <v>1299</v>
      </c>
      <c r="CA182">
        <v>46274</v>
      </c>
      <c r="CB182">
        <v>1</v>
      </c>
      <c r="CC182">
        <v>1611</v>
      </c>
      <c r="CD182">
        <v>1299</v>
      </c>
    </row>
    <row r="183" spans="75:82">
      <c r="BW183">
        <v>46276</v>
      </c>
      <c r="BX183">
        <v>1</v>
      </c>
      <c r="BY183">
        <v>1737</v>
      </c>
      <c r="BZ183">
        <v>1399</v>
      </c>
      <c r="CA183">
        <v>46276</v>
      </c>
      <c r="CB183">
        <v>1</v>
      </c>
      <c r="CC183">
        <v>1737</v>
      </c>
      <c r="CD183">
        <v>1399</v>
      </c>
    </row>
    <row r="184" spans="75:82">
      <c r="BW184">
        <v>46278</v>
      </c>
      <c r="BX184">
        <v>1</v>
      </c>
      <c r="BY184">
        <v>1611</v>
      </c>
      <c r="BZ184">
        <v>1199</v>
      </c>
      <c r="CA184">
        <v>46278</v>
      </c>
      <c r="CB184">
        <v>1</v>
      </c>
      <c r="CC184">
        <v>1611</v>
      </c>
      <c r="CD184">
        <v>1199</v>
      </c>
    </row>
    <row r="185" spans="75:82">
      <c r="BW185">
        <v>46279</v>
      </c>
      <c r="BX185">
        <v>1</v>
      </c>
      <c r="BY185">
        <v>1737</v>
      </c>
      <c r="BZ185">
        <v>1499</v>
      </c>
      <c r="CA185">
        <v>46279</v>
      </c>
      <c r="CB185">
        <v>1</v>
      </c>
      <c r="CC185">
        <v>1737</v>
      </c>
      <c r="CD185">
        <v>1499</v>
      </c>
    </row>
    <row r="186" spans="75:82">
      <c r="BW186">
        <v>46285</v>
      </c>
      <c r="BX186">
        <v>1</v>
      </c>
      <c r="BY186">
        <v>1611</v>
      </c>
      <c r="BZ186">
        <v>2070</v>
      </c>
      <c r="CA186">
        <v>46285</v>
      </c>
      <c r="CB186">
        <v>1</v>
      </c>
      <c r="CC186">
        <v>1611</v>
      </c>
      <c r="CD186">
        <v>2070</v>
      </c>
    </row>
    <row r="187" spans="75:82">
      <c r="BW187">
        <v>46288</v>
      </c>
      <c r="BX187">
        <v>1</v>
      </c>
      <c r="BY187">
        <v>1611</v>
      </c>
      <c r="BZ187">
        <v>1199</v>
      </c>
      <c r="CA187">
        <v>46288</v>
      </c>
      <c r="CB187">
        <v>1</v>
      </c>
      <c r="CC187">
        <v>1611</v>
      </c>
      <c r="CD187">
        <v>1199</v>
      </c>
    </row>
    <row r="188" spans="75:82">
      <c r="BW188">
        <v>46289</v>
      </c>
      <c r="BX188">
        <v>1</v>
      </c>
      <c r="BY188">
        <v>1611</v>
      </c>
      <c r="BZ188">
        <v>1549</v>
      </c>
      <c r="CA188">
        <v>46289</v>
      </c>
      <c r="CB188">
        <v>1</v>
      </c>
      <c r="CC188">
        <v>1611</v>
      </c>
      <c r="CD188">
        <v>1549</v>
      </c>
    </row>
    <row r="189" spans="75:82">
      <c r="BW189">
        <v>46295</v>
      </c>
      <c r="BX189">
        <v>1</v>
      </c>
      <c r="BY189">
        <v>1611</v>
      </c>
      <c r="BZ189">
        <v>1399</v>
      </c>
      <c r="CA189">
        <v>46295</v>
      </c>
      <c r="CB189">
        <v>1</v>
      </c>
      <c r="CC189">
        <v>1611</v>
      </c>
      <c r="CD189">
        <v>1399</v>
      </c>
    </row>
    <row r="190" spans="75:82">
      <c r="BW190">
        <v>46297</v>
      </c>
      <c r="BX190">
        <v>1</v>
      </c>
      <c r="BY190">
        <v>1611</v>
      </c>
      <c r="BZ190">
        <v>1549</v>
      </c>
      <c r="CA190">
        <v>46297</v>
      </c>
      <c r="CB190">
        <v>1</v>
      </c>
      <c r="CC190">
        <v>1611</v>
      </c>
      <c r="CD190">
        <v>1549</v>
      </c>
    </row>
    <row r="191" spans="75:82">
      <c r="BW191">
        <v>46309</v>
      </c>
      <c r="BX191">
        <v>1</v>
      </c>
      <c r="BY191">
        <v>1611</v>
      </c>
      <c r="BZ191">
        <v>1499</v>
      </c>
      <c r="CA191">
        <v>46309</v>
      </c>
      <c r="CB191">
        <v>1</v>
      </c>
      <c r="CC191">
        <v>1611</v>
      </c>
      <c r="CD191">
        <v>1499</v>
      </c>
    </row>
    <row r="192" spans="75:82">
      <c r="BW192">
        <v>46318</v>
      </c>
      <c r="BX192">
        <v>1</v>
      </c>
      <c r="BY192">
        <v>1611</v>
      </c>
      <c r="BZ192">
        <v>1499</v>
      </c>
      <c r="CA192">
        <v>46318</v>
      </c>
      <c r="CB192">
        <v>1</v>
      </c>
      <c r="CC192">
        <v>1611</v>
      </c>
      <c r="CD192">
        <v>1499</v>
      </c>
    </row>
    <row r="193" spans="75:82">
      <c r="BW193">
        <v>46325</v>
      </c>
      <c r="BX193">
        <v>1</v>
      </c>
      <c r="BY193">
        <v>1611</v>
      </c>
      <c r="BZ193">
        <v>1499</v>
      </c>
      <c r="CA193">
        <v>46325</v>
      </c>
      <c r="CB193">
        <v>1</v>
      </c>
      <c r="CC193">
        <v>1611</v>
      </c>
      <c r="CD193">
        <v>1499</v>
      </c>
    </row>
    <row r="194" spans="75:82">
      <c r="BW194">
        <v>46326</v>
      </c>
      <c r="BX194">
        <v>1</v>
      </c>
      <c r="BY194">
        <v>1737</v>
      </c>
      <c r="BZ194">
        <v>1599</v>
      </c>
      <c r="CA194">
        <v>46326</v>
      </c>
      <c r="CB194">
        <v>1</v>
      </c>
      <c r="CC194">
        <v>1737</v>
      </c>
      <c r="CD194">
        <v>1599</v>
      </c>
    </row>
    <row r="195" spans="75:82">
      <c r="BW195">
        <v>46333</v>
      </c>
      <c r="BX195">
        <v>1</v>
      </c>
      <c r="BY195">
        <v>1737</v>
      </c>
      <c r="BZ195">
        <v>1699</v>
      </c>
      <c r="CA195">
        <v>46333</v>
      </c>
      <c r="CB195">
        <v>1</v>
      </c>
      <c r="CC195">
        <v>1737</v>
      </c>
      <c r="CD195">
        <v>1699</v>
      </c>
    </row>
    <row r="196" spans="75:82">
      <c r="BW196">
        <v>46339</v>
      </c>
      <c r="BX196">
        <v>1</v>
      </c>
      <c r="BY196">
        <v>1611</v>
      </c>
      <c r="BZ196">
        <v>1499</v>
      </c>
      <c r="CA196">
        <v>46339</v>
      </c>
      <c r="CB196">
        <v>1</v>
      </c>
      <c r="CC196">
        <v>1611</v>
      </c>
      <c r="CD196">
        <v>1499</v>
      </c>
    </row>
    <row r="197" spans="75:82">
      <c r="BW197">
        <v>46356</v>
      </c>
      <c r="BX197">
        <v>1</v>
      </c>
      <c r="BY197">
        <v>1611</v>
      </c>
      <c r="BZ197">
        <v>1499</v>
      </c>
      <c r="CA197">
        <v>46356</v>
      </c>
      <c r="CB197">
        <v>1</v>
      </c>
      <c r="CC197">
        <v>1611</v>
      </c>
      <c r="CD197">
        <v>1499</v>
      </c>
    </row>
    <row r="198" spans="75:82">
      <c r="BW198">
        <v>46381</v>
      </c>
      <c r="BX198">
        <v>1</v>
      </c>
      <c r="BY198">
        <v>1711</v>
      </c>
      <c r="BZ198">
        <v>1399</v>
      </c>
      <c r="CA198">
        <v>46381</v>
      </c>
      <c r="CB198">
        <v>1</v>
      </c>
      <c r="CC198">
        <v>1711</v>
      </c>
      <c r="CD198">
        <v>1399</v>
      </c>
    </row>
    <row r="199" spans="75:82">
      <c r="BW199">
        <v>46387</v>
      </c>
      <c r="BX199">
        <v>1</v>
      </c>
      <c r="BY199">
        <v>1611</v>
      </c>
      <c r="BZ199">
        <v>1549</v>
      </c>
      <c r="CA199">
        <v>46387</v>
      </c>
      <c r="CB199">
        <v>1</v>
      </c>
      <c r="CC199">
        <v>1611</v>
      </c>
      <c r="CD199">
        <v>1549</v>
      </c>
    </row>
    <row r="200" spans="75:82">
      <c r="BW200">
        <v>46406</v>
      </c>
      <c r="BX200">
        <v>1</v>
      </c>
      <c r="BY200">
        <v>1611</v>
      </c>
      <c r="BZ200">
        <v>1449</v>
      </c>
      <c r="CA200">
        <v>46406</v>
      </c>
      <c r="CB200">
        <v>1</v>
      </c>
      <c r="CC200">
        <v>1611</v>
      </c>
      <c r="CD200">
        <v>1449</v>
      </c>
    </row>
    <row r="201" spans="75:82">
      <c r="BW201">
        <v>46425</v>
      </c>
      <c r="BX201">
        <v>1</v>
      </c>
      <c r="BY201">
        <v>1611</v>
      </c>
      <c r="BZ201">
        <v>1449</v>
      </c>
      <c r="CA201">
        <v>46425</v>
      </c>
      <c r="CB201">
        <v>1</v>
      </c>
      <c r="CC201">
        <v>1611</v>
      </c>
      <c r="CD201">
        <v>1449</v>
      </c>
    </row>
    <row r="202" spans="75:82">
      <c r="BW202">
        <v>46436</v>
      </c>
      <c r="BX202">
        <v>1</v>
      </c>
      <c r="BY202">
        <v>1711</v>
      </c>
      <c r="BZ202">
        <v>1399</v>
      </c>
      <c r="CA202">
        <v>46436</v>
      </c>
      <c r="CB202">
        <v>1</v>
      </c>
      <c r="CC202">
        <v>1711</v>
      </c>
      <c r="CD202">
        <v>1399</v>
      </c>
    </row>
  </sheetData>
  <conditionalFormatting sqref="J31">
    <cfRule type="expression" priority="1">
      <formula>DispValuationType</formula>
    </cfRule>
  </conditionalFormatting>
  <dataValidations count="2">
    <dataValidation type="list" allowBlank="1" showInputMessage="1" showErrorMessage="1" sqref="O5:O22" xr:uid="{00000000-0002-0000-1700-000000000000}">
      <formula1>RMExpLinesExCustom</formula1>
    </dataValidation>
    <dataValidation type="list" allowBlank="1" showInputMessage="1" sqref="R5:R23 P5:P24" xr:uid="{00000000-0002-0000-1700-000001000000}">
      <formula1>RMMainCat</formula1>
    </dataValidation>
  </dataValidations>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05BD0-129C-4F23-B2F2-2755ABBC46A4}">
  <sheetPr codeName="Sheet2"/>
  <dimension ref="A1:C8"/>
  <sheetViews>
    <sheetView workbookViewId="0">
      <selection activeCell="Q25" sqref="Q25"/>
    </sheetView>
  </sheetViews>
  <sheetFormatPr defaultColWidth="9.140625" defaultRowHeight="12.75"/>
  <sheetData>
    <row r="1" spans="1:3">
      <c r="A1" t="b">
        <f>SUBTOTAL(109,Input!G128)&lt;&gt;0</f>
        <v>1</v>
      </c>
    </row>
    <row r="2" spans="1:3">
      <c r="A2" t="b">
        <v>0</v>
      </c>
      <c r="B2" t="s">
        <v>1026</v>
      </c>
      <c r="C2" t="s">
        <v>1027</v>
      </c>
    </row>
    <row r="3" spans="1:3">
      <c r="A3" t="b">
        <f>SUBTOTAL(109,Input!A49)&lt;&gt;0</f>
        <v>1</v>
      </c>
      <c r="B3" t="b">
        <v>1</v>
      </c>
      <c r="C3" t="b">
        <v>0</v>
      </c>
    </row>
    <row r="4" spans="1:3">
      <c r="A4" t="b">
        <v>0</v>
      </c>
      <c r="B4" t="b">
        <v>0</v>
      </c>
      <c r="C4" t="b">
        <v>1</v>
      </c>
    </row>
    <row r="5" spans="1:3">
      <c r="A5" t="b">
        <f>SUBTOTAL(109,Input!A29)&lt;&gt;0</f>
        <v>1</v>
      </c>
    </row>
    <row r="6" spans="1:3">
      <c r="A6" t="b">
        <v>0</v>
      </c>
    </row>
    <row r="7" spans="1:3">
      <c r="A7" t="b">
        <f>SUBTOTAL(109,Input!A193)&lt;&gt;0</f>
        <v>1</v>
      </c>
    </row>
    <row r="8" spans="1:3">
      <c r="A8" t="b">
        <v>0</v>
      </c>
    </row>
  </sheetData>
  <pageMargins left="0.7" right="0.7" top="0.75" bottom="0.75" header="0.3" footer="0.3"/>
  <pageSetup paperSize="9" orientation="portrai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8D2B93-ACAF-46DC-9A98-8B755410CA9A}">
  <sheetPr codeName="Sheet3"/>
  <dimension ref="A1:D6"/>
  <sheetViews>
    <sheetView workbookViewId="0">
      <selection activeCell="L26" sqref="L26"/>
    </sheetView>
  </sheetViews>
  <sheetFormatPr defaultColWidth="9.140625" defaultRowHeight="12.75"/>
  <sheetData>
    <row r="1" spans="1:4">
      <c r="A1" t="str">
        <f t="shared" ref="A1:A6" si="0">INDEX(DashBoardLabels,B1+1,2)</f>
        <v xml:space="preserve"> $13,009,400  </v>
      </c>
      <c r="B1">
        <v>0</v>
      </c>
      <c r="C1" t="str">
        <f>INDEX(RenovMetricsLabels,D1+1,2)</f>
        <v xml:space="preserve"> 0.00%  </v>
      </c>
      <c r="D1">
        <v>0</v>
      </c>
    </row>
    <row r="2" spans="1:4">
      <c r="A2" t="str">
        <f t="shared" si="0"/>
        <v xml:space="preserve"> $162,618  </v>
      </c>
      <c r="B2">
        <v>1</v>
      </c>
      <c r="C2" t="str">
        <f>INDEX(RenovMetricsLabels,D2+1,2)</f>
        <v xml:space="preserve"> n/a  </v>
      </c>
      <c r="D2">
        <v>1</v>
      </c>
    </row>
    <row r="3" spans="1:4">
      <c r="A3" t="str">
        <f t="shared" si="0"/>
        <v xml:space="preserve"> $24,605,672  </v>
      </c>
      <c r="B3">
        <v>3</v>
      </c>
      <c r="C3" t="str">
        <f>INDEX(RenovMetricsLabels,D3+1,2)</f>
        <v xml:space="preserve">  </v>
      </c>
      <c r="D3">
        <v>2</v>
      </c>
    </row>
    <row r="4" spans="1:4">
      <c r="A4" t="str">
        <f t="shared" si="0"/>
        <v xml:space="preserve"> 7.79%  </v>
      </c>
      <c r="B4">
        <v>6</v>
      </c>
    </row>
    <row r="5" spans="1:4">
      <c r="A5" t="str">
        <f t="shared" si="0"/>
        <v xml:space="preserve"> 7.79%  </v>
      </c>
      <c r="B5">
        <v>7</v>
      </c>
    </row>
    <row r="6" spans="1:4">
      <c r="A6" t="str">
        <f t="shared" si="0"/>
        <v xml:space="preserve"> 16.42%  </v>
      </c>
      <c r="B6">
        <f>13+4*IsPartnership</f>
        <v>13</v>
      </c>
    </row>
  </sheetData>
  <pageMargins left="0.7" right="0.7" top="0.75" bottom="0.75" header="0.3" footer="0.3"/>
  <pageSetup paperSize="9" orientation="portrai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48A34A-A09F-4ED9-99F8-3CF53BF13CDC}">
  <dimension ref="A1:AE181"/>
  <sheetViews>
    <sheetView topLeftCell="A57" workbookViewId="0">
      <pane xSplit="3" topLeftCell="Q1" activePane="topRight" state="frozen"/>
      <selection activeCell="A92" sqref="A92"/>
      <selection pane="topRight" activeCell="U85" sqref="U85"/>
    </sheetView>
  </sheetViews>
  <sheetFormatPr defaultColWidth="9.140625" defaultRowHeight="12.75"/>
  <cols>
    <col min="1" max="1" width="7.28515625" customWidth="1"/>
    <col min="2" max="2" width="30.5703125" customWidth="1"/>
    <col min="3" max="3" width="43.42578125" customWidth="1"/>
    <col min="17" max="17" width="1.85546875" customWidth="1"/>
    <col min="18" max="22" width="17.140625" customWidth="1"/>
    <col min="23" max="23" width="1.85546875" customWidth="1"/>
    <col min="24" max="27" width="13.28515625" customWidth="1"/>
    <col min="28" max="28" width="17.140625" customWidth="1"/>
    <col min="29" max="29" width="13.28515625" customWidth="1"/>
    <col min="30" max="31" width="17.140625" customWidth="1"/>
  </cols>
  <sheetData>
    <row r="1" spans="1:22" ht="15">
      <c r="D1" s="1385" t="s">
        <v>1074</v>
      </c>
      <c r="E1" s="1385" t="s">
        <v>1074</v>
      </c>
      <c r="F1" s="1385" t="s">
        <v>1074</v>
      </c>
      <c r="G1" s="1385" t="s">
        <v>1074</v>
      </c>
      <c r="H1" s="1385" t="s">
        <v>1074</v>
      </c>
      <c r="I1" s="1385" t="s">
        <v>1074</v>
      </c>
      <c r="J1" s="1385" t="s">
        <v>1074</v>
      </c>
      <c r="K1" s="1385" t="s">
        <v>1074</v>
      </c>
      <c r="L1" s="1385" t="s">
        <v>1074</v>
      </c>
      <c r="M1" s="1385" t="s">
        <v>1074</v>
      </c>
      <c r="N1" s="1385" t="s">
        <v>1074</v>
      </c>
      <c r="O1" s="1385" t="s">
        <v>1074</v>
      </c>
      <c r="R1" s="1400" t="s">
        <v>1243</v>
      </c>
      <c r="S1" s="1400" t="s">
        <v>1243</v>
      </c>
      <c r="T1" s="1400" t="s">
        <v>1243</v>
      </c>
      <c r="U1" s="1400" t="s">
        <v>1243</v>
      </c>
      <c r="V1" s="1400" t="s">
        <v>1244</v>
      </c>
    </row>
    <row r="2" spans="1:22" ht="15">
      <c r="D2" s="1385" t="s">
        <v>53</v>
      </c>
      <c r="E2" s="1385" t="s">
        <v>53</v>
      </c>
      <c r="F2" s="1385" t="s">
        <v>53</v>
      </c>
      <c r="G2" s="1385" t="s">
        <v>53</v>
      </c>
      <c r="H2" s="1385" t="s">
        <v>53</v>
      </c>
      <c r="I2" s="1385" t="s">
        <v>53</v>
      </c>
      <c r="J2" s="1385" t="s">
        <v>53</v>
      </c>
      <c r="K2" s="1385" t="s">
        <v>53</v>
      </c>
      <c r="L2" s="1385" t="s">
        <v>53</v>
      </c>
      <c r="M2" s="1385" t="s">
        <v>53</v>
      </c>
      <c r="N2" s="1385" t="s">
        <v>53</v>
      </c>
      <c r="O2" s="1385" t="s">
        <v>53</v>
      </c>
      <c r="R2" s="1401" t="s">
        <v>1245</v>
      </c>
      <c r="S2" s="1401" t="s">
        <v>1246</v>
      </c>
      <c r="T2" s="1401" t="s">
        <v>1247</v>
      </c>
      <c r="U2" s="1401" t="s">
        <v>1248</v>
      </c>
      <c r="V2" s="1401" t="s">
        <v>1249</v>
      </c>
    </row>
    <row r="3" spans="1:22" ht="15">
      <c r="A3" s="1386" t="s">
        <v>1081</v>
      </c>
      <c r="B3" s="1386" t="s">
        <v>1082</v>
      </c>
      <c r="C3" s="1386" t="s">
        <v>1083</v>
      </c>
      <c r="D3" s="1387">
        <v>45627</v>
      </c>
      <c r="E3" s="1387">
        <v>45658</v>
      </c>
      <c r="F3" s="1387">
        <v>45689</v>
      </c>
      <c r="G3" s="1387">
        <v>45717</v>
      </c>
      <c r="H3" s="1387">
        <v>45748</v>
      </c>
      <c r="I3" s="1387">
        <v>45778</v>
      </c>
      <c r="J3" s="1387">
        <v>45809</v>
      </c>
      <c r="K3" s="1387">
        <v>45839</v>
      </c>
      <c r="L3" s="1387">
        <v>45870</v>
      </c>
      <c r="M3" s="1387">
        <v>45901</v>
      </c>
      <c r="N3" s="1387">
        <v>45931</v>
      </c>
      <c r="O3" s="1387">
        <v>45962</v>
      </c>
      <c r="R3" s="1402">
        <v>45931</v>
      </c>
      <c r="S3" s="1403" t="s">
        <v>1250</v>
      </c>
      <c r="T3" s="1403" t="s">
        <v>1251</v>
      </c>
      <c r="U3" s="1403" t="s">
        <v>1252</v>
      </c>
      <c r="V3" s="1404" t="s">
        <v>1253</v>
      </c>
    </row>
    <row r="5" spans="1:22" s="1389" customFormat="1" ht="15">
      <c r="A5" s="1388"/>
      <c r="B5" s="1388"/>
      <c r="C5" s="1388" t="s">
        <v>1084</v>
      </c>
      <c r="R5" s="1405">
        <f>O5*12</f>
        <v>0</v>
      </c>
      <c r="S5" s="1405">
        <f>SUM(M5:O5)*4</f>
        <v>0</v>
      </c>
      <c r="T5" s="1405">
        <f>SUM(J5:O5)*2</f>
        <v>0</v>
      </c>
      <c r="U5" s="1405">
        <f>SUM(G5:O5)*12/9</f>
        <v>0</v>
      </c>
      <c r="V5" s="1405">
        <f>SUM(D5:O5)</f>
        <v>0</v>
      </c>
    </row>
    <row r="6" spans="1:22" s="1389" customFormat="1" ht="15">
      <c r="A6" s="1388"/>
      <c r="B6" s="1388"/>
      <c r="C6" s="1388" t="s">
        <v>1085</v>
      </c>
      <c r="R6" s="1405">
        <f>O6*12</f>
        <v>0</v>
      </c>
      <c r="S6" s="1405">
        <f t="shared" ref="S6:S36" si="0">SUM(M6:O6)*4</f>
        <v>0</v>
      </c>
      <c r="T6" s="1405">
        <f t="shared" ref="T6:T36" si="1">SUM(J6:O6)*2</f>
        <v>0</v>
      </c>
      <c r="U6" s="1405">
        <f t="shared" ref="U6:U36" si="2">SUM(G6:O6)*12/9</f>
        <v>0</v>
      </c>
      <c r="V6" s="1405">
        <f t="shared" ref="V6:V36" si="3">SUM(D6:O6)</f>
        <v>0</v>
      </c>
    </row>
    <row r="7" spans="1:22" s="1392" customFormat="1" ht="15">
      <c r="A7" s="1390" t="s">
        <v>1086</v>
      </c>
      <c r="B7" s="1390" t="s">
        <v>117</v>
      </c>
      <c r="C7" s="1390" t="s">
        <v>1087</v>
      </c>
      <c r="D7" s="1391">
        <v>119620</v>
      </c>
      <c r="E7" s="1391">
        <v>119620</v>
      </c>
      <c r="F7" s="1391">
        <v>121320</v>
      </c>
      <c r="G7" s="1391">
        <v>121320</v>
      </c>
      <c r="H7" s="1391">
        <v>127620</v>
      </c>
      <c r="I7" s="1391">
        <v>127620</v>
      </c>
      <c r="J7" s="1391">
        <v>117920</v>
      </c>
      <c r="K7" s="1391">
        <v>117920</v>
      </c>
      <c r="L7" s="1391">
        <v>109920</v>
      </c>
      <c r="M7" s="1391">
        <v>124220</v>
      </c>
      <c r="N7" s="1391">
        <v>124662</v>
      </c>
      <c r="O7" s="1391">
        <v>124662</v>
      </c>
      <c r="R7" s="1406">
        <f>O7*12</f>
        <v>1495944</v>
      </c>
      <c r="S7" s="1406">
        <f t="shared" si="0"/>
        <v>1494176</v>
      </c>
      <c r="T7" s="1406">
        <f t="shared" si="1"/>
        <v>1438608</v>
      </c>
      <c r="U7" s="1406">
        <f t="shared" si="2"/>
        <v>1461152</v>
      </c>
      <c r="V7" s="1406">
        <f t="shared" si="3"/>
        <v>1456424</v>
      </c>
    </row>
    <row r="8" spans="1:22" s="1392" customFormat="1" ht="15">
      <c r="A8" s="1390" t="s">
        <v>1088</v>
      </c>
      <c r="B8" s="1390" t="s">
        <v>118</v>
      </c>
      <c r="C8" s="1390" t="s">
        <v>1089</v>
      </c>
      <c r="D8" s="1391">
        <v>3622</v>
      </c>
      <c r="E8" s="1391">
        <v>3106</v>
      </c>
      <c r="F8" s="1391">
        <v>-1577</v>
      </c>
      <c r="G8" s="1391">
        <v>3403</v>
      </c>
      <c r="H8" s="1391">
        <v>-5067</v>
      </c>
      <c r="I8" s="1391">
        <v>-4563</v>
      </c>
      <c r="J8" s="1391">
        <v>5141</v>
      </c>
      <c r="K8" s="1391">
        <v>4022</v>
      </c>
      <c r="L8" s="1391">
        <v>10063</v>
      </c>
      <c r="M8" s="1391">
        <v>-3422</v>
      </c>
      <c r="N8" s="1391">
        <v>-4353</v>
      </c>
      <c r="O8" s="1391">
        <v>-5484</v>
      </c>
      <c r="R8" s="1406">
        <f>O8*12</f>
        <v>-65808</v>
      </c>
      <c r="S8" s="1406">
        <f t="shared" si="0"/>
        <v>-53036</v>
      </c>
      <c r="T8" s="1406">
        <f t="shared" si="1"/>
        <v>11934</v>
      </c>
      <c r="U8" s="1406">
        <f t="shared" si="2"/>
        <v>-346.66666666666669</v>
      </c>
      <c r="V8" s="1406">
        <f t="shared" si="3"/>
        <v>4891</v>
      </c>
    </row>
    <row r="9" spans="1:22" s="1392" customFormat="1" ht="15">
      <c r="A9" s="1390"/>
      <c r="B9" s="1390"/>
      <c r="C9" s="1390" t="s">
        <v>1085</v>
      </c>
      <c r="D9" s="1391">
        <v>123242</v>
      </c>
      <c r="E9" s="1391">
        <v>122726</v>
      </c>
      <c r="F9" s="1391">
        <v>119743</v>
      </c>
      <c r="G9" s="1391">
        <v>124723</v>
      </c>
      <c r="H9" s="1391">
        <v>122553</v>
      </c>
      <c r="I9" s="1391">
        <v>123057</v>
      </c>
      <c r="J9" s="1391">
        <v>123061</v>
      </c>
      <c r="K9" s="1391">
        <v>121942</v>
      </c>
      <c r="L9" s="1391">
        <v>119983</v>
      </c>
      <c r="M9" s="1391">
        <v>120798</v>
      </c>
      <c r="N9" s="1391">
        <v>120309</v>
      </c>
      <c r="O9" s="1391">
        <v>119178</v>
      </c>
      <c r="R9" s="1406">
        <f>O9*12</f>
        <v>1430136</v>
      </c>
      <c r="S9" s="1406">
        <f t="shared" si="0"/>
        <v>1441140</v>
      </c>
      <c r="T9" s="1406">
        <f t="shared" si="1"/>
        <v>1450542</v>
      </c>
      <c r="U9" s="1406">
        <f t="shared" si="2"/>
        <v>1460805.3333333333</v>
      </c>
      <c r="V9" s="1406">
        <f t="shared" si="3"/>
        <v>1461315</v>
      </c>
    </row>
    <row r="10" spans="1:22" s="1389" customFormat="1" ht="15">
      <c r="A10" s="1388"/>
      <c r="B10" s="1388"/>
      <c r="C10" s="1388" t="s">
        <v>1090</v>
      </c>
      <c r="R10" s="1405">
        <f>O10*12</f>
        <v>0</v>
      </c>
      <c r="S10" s="1405">
        <f t="shared" si="0"/>
        <v>0</v>
      </c>
      <c r="T10" s="1405">
        <f t="shared" si="1"/>
        <v>0</v>
      </c>
      <c r="U10" s="1405">
        <f t="shared" si="2"/>
        <v>0</v>
      </c>
      <c r="V10" s="1405">
        <f t="shared" si="3"/>
        <v>0</v>
      </c>
    </row>
    <row r="11" spans="1:22" s="1392" customFormat="1" ht="15">
      <c r="A11" s="1390" t="s">
        <v>1091</v>
      </c>
      <c r="B11" s="1390" t="s">
        <v>141</v>
      </c>
      <c r="C11" s="1390" t="s">
        <v>1092</v>
      </c>
      <c r="D11" s="1391">
        <v>-19046</v>
      </c>
      <c r="E11" s="1391">
        <v>-18517</v>
      </c>
      <c r="F11" s="1391">
        <v>-14135</v>
      </c>
      <c r="G11" s="1391">
        <v>-12454</v>
      </c>
      <c r="H11" s="1391">
        <v>-10863</v>
      </c>
      <c r="I11" s="1391">
        <v>-12154</v>
      </c>
      <c r="J11" s="1391">
        <v>-12664</v>
      </c>
      <c r="K11" s="1391">
        <v>-16170</v>
      </c>
      <c r="L11" s="1391">
        <v>-16173</v>
      </c>
      <c r="M11" s="1391">
        <v>-11719</v>
      </c>
      <c r="N11" s="1391">
        <v>-13121</v>
      </c>
      <c r="O11" s="1391">
        <v>-11556</v>
      </c>
      <c r="R11" s="1406">
        <f>O11*12</f>
        <v>-138672</v>
      </c>
      <c r="S11" s="1406">
        <f t="shared" si="0"/>
        <v>-145584</v>
      </c>
      <c r="T11" s="1406">
        <f t="shared" si="1"/>
        <v>-162806</v>
      </c>
      <c r="U11" s="1406">
        <f t="shared" si="2"/>
        <v>-155832</v>
      </c>
      <c r="V11" s="1406">
        <f t="shared" si="3"/>
        <v>-168572</v>
      </c>
    </row>
    <row r="12" spans="1:22" s="1392" customFormat="1" ht="15">
      <c r="A12" s="1390" t="s">
        <v>1093</v>
      </c>
      <c r="B12" s="1390" t="s">
        <v>120</v>
      </c>
      <c r="C12" s="1390" t="s">
        <v>1094</v>
      </c>
      <c r="D12" s="1391">
        <v>-15051</v>
      </c>
      <c r="E12" s="1391">
        <v>-2680</v>
      </c>
      <c r="F12" s="1391">
        <v>-5564</v>
      </c>
      <c r="G12" s="1391">
        <v>-9268</v>
      </c>
      <c r="H12" s="1391">
        <v>-4272</v>
      </c>
      <c r="I12" s="1391">
        <v>-3573</v>
      </c>
      <c r="J12" s="1391">
        <v>6759</v>
      </c>
      <c r="K12" s="1391">
        <v>-1175</v>
      </c>
      <c r="L12" s="1391">
        <v>-363</v>
      </c>
      <c r="M12" s="1391">
        <v>-2224</v>
      </c>
      <c r="N12" s="1391">
        <v>-1850</v>
      </c>
      <c r="O12" s="1391">
        <v>-381</v>
      </c>
      <c r="R12" s="1406">
        <f>O12*12</f>
        <v>-4572</v>
      </c>
      <c r="S12" s="1406">
        <f t="shared" si="0"/>
        <v>-17820</v>
      </c>
      <c r="T12" s="1406">
        <f t="shared" si="1"/>
        <v>1532</v>
      </c>
      <c r="U12" s="1406">
        <f t="shared" si="2"/>
        <v>-21796</v>
      </c>
      <c r="V12" s="1406">
        <f t="shared" si="3"/>
        <v>-39642</v>
      </c>
    </row>
    <row r="13" spans="1:22" s="1392" customFormat="1" ht="15">
      <c r="A13" s="1390" t="s">
        <v>1095</v>
      </c>
      <c r="B13" s="1390" t="s">
        <v>1096</v>
      </c>
      <c r="C13" s="1390" t="s">
        <v>1097</v>
      </c>
      <c r="D13" s="1391">
        <v>0</v>
      </c>
      <c r="E13" s="1391">
        <v>0</v>
      </c>
      <c r="F13" s="1391">
        <v>0</v>
      </c>
      <c r="G13" s="1391">
        <v>0</v>
      </c>
      <c r="H13" s="1391">
        <v>0</v>
      </c>
      <c r="I13" s="1391">
        <v>0</v>
      </c>
      <c r="J13" s="1391">
        <v>-160</v>
      </c>
      <c r="K13" s="1391">
        <v>-799</v>
      </c>
      <c r="L13" s="1391">
        <v>-800</v>
      </c>
      <c r="M13" s="1391">
        <v>-799</v>
      </c>
      <c r="N13" s="1391">
        <v>-799</v>
      </c>
      <c r="O13" s="1391">
        <v>-799</v>
      </c>
      <c r="R13" s="1406">
        <f>O13*12</f>
        <v>-9588</v>
      </c>
      <c r="S13" s="1406">
        <f t="shared" si="0"/>
        <v>-9588</v>
      </c>
      <c r="T13" s="1406">
        <f t="shared" si="1"/>
        <v>-8312</v>
      </c>
      <c r="U13" s="1406">
        <f t="shared" si="2"/>
        <v>-5541.333333333333</v>
      </c>
      <c r="V13" s="1406">
        <f t="shared" si="3"/>
        <v>-4156</v>
      </c>
    </row>
    <row r="14" spans="1:22" s="1392" customFormat="1" ht="15">
      <c r="A14" s="1390" t="s">
        <v>1098</v>
      </c>
      <c r="B14" s="1390" t="s">
        <v>121</v>
      </c>
      <c r="C14" s="1390" t="s">
        <v>1099</v>
      </c>
      <c r="D14" s="1391">
        <v>-13310</v>
      </c>
      <c r="E14" s="1391">
        <v>-9119</v>
      </c>
      <c r="F14" s="1391">
        <v>-4783</v>
      </c>
      <c r="G14" s="1391">
        <v>-654</v>
      </c>
      <c r="H14" s="1391">
        <v>-2413</v>
      </c>
      <c r="I14" s="1391">
        <v>-225</v>
      </c>
      <c r="J14" s="1391">
        <v>-36748</v>
      </c>
      <c r="K14" s="1391">
        <v>-23095</v>
      </c>
      <c r="L14" s="1391">
        <v>-9686</v>
      </c>
      <c r="M14" s="1391">
        <v>-37402</v>
      </c>
      <c r="N14" s="1391">
        <v>-235</v>
      </c>
      <c r="O14" s="1391">
        <v>0</v>
      </c>
      <c r="R14" s="1406">
        <f>O14*12</f>
        <v>0</v>
      </c>
      <c r="S14" s="1406">
        <f t="shared" si="0"/>
        <v>-150548</v>
      </c>
      <c r="T14" s="1406">
        <f t="shared" si="1"/>
        <v>-214332</v>
      </c>
      <c r="U14" s="1406">
        <f t="shared" si="2"/>
        <v>-147277.33333333334</v>
      </c>
      <c r="V14" s="1406">
        <f t="shared" si="3"/>
        <v>-137670</v>
      </c>
    </row>
    <row r="15" spans="1:22" s="1392" customFormat="1" ht="15">
      <c r="A15" s="1390"/>
      <c r="B15" s="1390"/>
      <c r="C15" s="1390" t="s">
        <v>1100</v>
      </c>
      <c r="D15" s="1391">
        <v>-47407</v>
      </c>
      <c r="E15" s="1391">
        <v>-30316</v>
      </c>
      <c r="F15" s="1391">
        <v>-24482</v>
      </c>
      <c r="G15" s="1391">
        <v>-22376</v>
      </c>
      <c r="H15" s="1391">
        <v>-17548</v>
      </c>
      <c r="I15" s="1391">
        <v>-15952</v>
      </c>
      <c r="J15" s="1391">
        <v>-42813</v>
      </c>
      <c r="K15" s="1391">
        <v>-41239</v>
      </c>
      <c r="L15" s="1391">
        <v>-27022</v>
      </c>
      <c r="M15" s="1391">
        <v>-52144</v>
      </c>
      <c r="N15" s="1391">
        <v>-16005</v>
      </c>
      <c r="O15" s="1391">
        <v>-12736</v>
      </c>
      <c r="R15" s="1406">
        <f>O15*12</f>
        <v>-152832</v>
      </c>
      <c r="S15" s="1406">
        <f t="shared" si="0"/>
        <v>-323540</v>
      </c>
      <c r="T15" s="1406">
        <f t="shared" si="1"/>
        <v>-383918</v>
      </c>
      <c r="U15" s="1406">
        <f t="shared" si="2"/>
        <v>-330446.66666666669</v>
      </c>
      <c r="V15" s="1406">
        <f t="shared" si="3"/>
        <v>-350040</v>
      </c>
    </row>
    <row r="16" spans="1:22" s="1392" customFormat="1" ht="15">
      <c r="A16" s="1390"/>
      <c r="B16" s="1390"/>
      <c r="C16" s="1390" t="s">
        <v>1101</v>
      </c>
      <c r="D16" s="1391">
        <v>75835</v>
      </c>
      <c r="E16" s="1391">
        <v>92410</v>
      </c>
      <c r="F16" s="1391">
        <v>95261</v>
      </c>
      <c r="G16" s="1391">
        <v>102347</v>
      </c>
      <c r="H16" s="1391">
        <v>105005</v>
      </c>
      <c r="I16" s="1391">
        <v>107105</v>
      </c>
      <c r="J16" s="1391">
        <v>80248</v>
      </c>
      <c r="K16" s="1391">
        <v>80703</v>
      </c>
      <c r="L16" s="1391">
        <v>92961</v>
      </c>
      <c r="M16" s="1391">
        <v>68654</v>
      </c>
      <c r="N16" s="1391">
        <v>104304</v>
      </c>
      <c r="O16" s="1391">
        <v>106442</v>
      </c>
      <c r="R16" s="1406">
        <f>O16*12</f>
        <v>1277304</v>
      </c>
      <c r="S16" s="1406">
        <f t="shared" si="0"/>
        <v>1117600</v>
      </c>
      <c r="T16" s="1406">
        <f t="shared" si="1"/>
        <v>1066624</v>
      </c>
      <c r="U16" s="1406">
        <f t="shared" si="2"/>
        <v>1130358.6666666667</v>
      </c>
      <c r="V16" s="1406">
        <f t="shared" si="3"/>
        <v>1111275</v>
      </c>
    </row>
    <row r="17" spans="1:22" s="1389" customFormat="1" ht="15">
      <c r="A17" s="1388"/>
      <c r="B17" s="1388"/>
      <c r="C17" s="1388" t="s">
        <v>123</v>
      </c>
      <c r="R17" s="1405">
        <f>O17*12</f>
        <v>0</v>
      </c>
      <c r="S17" s="1405">
        <f t="shared" si="0"/>
        <v>0</v>
      </c>
      <c r="T17" s="1405">
        <f t="shared" si="1"/>
        <v>0</v>
      </c>
      <c r="U17" s="1405">
        <f t="shared" si="2"/>
        <v>0</v>
      </c>
      <c r="V17" s="1405">
        <f t="shared" si="3"/>
        <v>0</v>
      </c>
    </row>
    <row r="18" spans="1:22" s="1392" customFormat="1" ht="15">
      <c r="A18" s="1390" t="s">
        <v>1102</v>
      </c>
      <c r="B18" s="1390" t="s">
        <v>123</v>
      </c>
      <c r="C18" s="1390" t="s">
        <v>1103</v>
      </c>
      <c r="D18" s="1391">
        <v>150</v>
      </c>
      <c r="E18" s="1391">
        <v>525</v>
      </c>
      <c r="F18" s="1391">
        <v>150</v>
      </c>
      <c r="G18" s="1391">
        <v>-150</v>
      </c>
      <c r="H18" s="1391">
        <v>150</v>
      </c>
      <c r="I18" s="1391">
        <v>150</v>
      </c>
      <c r="J18" s="1391">
        <v>150</v>
      </c>
      <c r="K18" s="1391">
        <v>0</v>
      </c>
      <c r="L18" s="1391">
        <v>300</v>
      </c>
      <c r="M18" s="1391">
        <v>-75</v>
      </c>
      <c r="N18" s="1391">
        <v>375</v>
      </c>
      <c r="O18" s="1391">
        <v>450</v>
      </c>
      <c r="R18" s="1406">
        <f>O18*12</f>
        <v>5400</v>
      </c>
      <c r="S18" s="1406">
        <f>SUM(M18:O18)*4</f>
        <v>3000</v>
      </c>
      <c r="T18" s="1406">
        <f>SUM(J18:O18)*2</f>
        <v>2400</v>
      </c>
      <c r="U18" s="1406">
        <f>SUM(G18:O18)*12/9</f>
        <v>1800</v>
      </c>
      <c r="V18" s="1406">
        <f>SUM(D18:O18)</f>
        <v>2175</v>
      </c>
    </row>
    <row r="19" spans="1:22" s="1392" customFormat="1" ht="15">
      <c r="A19" s="1390" t="s">
        <v>1102</v>
      </c>
      <c r="B19" s="1390" t="s">
        <v>123</v>
      </c>
      <c r="C19" s="1390" t="s">
        <v>1104</v>
      </c>
      <c r="D19" s="1391">
        <v>75</v>
      </c>
      <c r="E19" s="1391">
        <v>300</v>
      </c>
      <c r="F19" s="1391">
        <v>75</v>
      </c>
      <c r="G19" s="1391">
        <v>-75</v>
      </c>
      <c r="H19" s="1391">
        <v>75</v>
      </c>
      <c r="I19" s="1391">
        <v>150</v>
      </c>
      <c r="J19" s="1391">
        <v>150</v>
      </c>
      <c r="K19" s="1391">
        <v>0</v>
      </c>
      <c r="L19" s="1391">
        <v>150</v>
      </c>
      <c r="M19" s="1391">
        <v>0</v>
      </c>
      <c r="N19" s="1391">
        <v>150</v>
      </c>
      <c r="O19" s="1391">
        <v>337</v>
      </c>
      <c r="R19" s="1406">
        <f>O19*12</f>
        <v>4044</v>
      </c>
      <c r="S19" s="1406">
        <f t="shared" si="0"/>
        <v>1948</v>
      </c>
      <c r="T19" s="1406">
        <f t="shared" si="1"/>
        <v>1574</v>
      </c>
      <c r="U19" s="1406">
        <f t="shared" si="2"/>
        <v>1249.3333333333333</v>
      </c>
      <c r="V19" s="1406">
        <f t="shared" si="3"/>
        <v>1387</v>
      </c>
    </row>
    <row r="20" spans="1:22" s="1392" customFormat="1" ht="15">
      <c r="A20" s="1390" t="s">
        <v>1102</v>
      </c>
      <c r="B20" s="1390" t="s">
        <v>123</v>
      </c>
      <c r="C20" s="1390" t="s">
        <v>1105</v>
      </c>
      <c r="D20" s="1391">
        <v>393</v>
      </c>
      <c r="E20" s="1391">
        <v>45</v>
      </c>
      <c r="F20" s="1391">
        <v>248</v>
      </c>
      <c r="G20" s="1391">
        <v>200</v>
      </c>
      <c r="H20" s="1391">
        <v>198</v>
      </c>
      <c r="I20" s="1391">
        <v>181</v>
      </c>
      <c r="J20" s="1391">
        <v>487</v>
      </c>
      <c r="K20" s="1391">
        <v>348</v>
      </c>
      <c r="L20" s="1391">
        <v>246</v>
      </c>
      <c r="M20" s="1391">
        <v>162</v>
      </c>
      <c r="N20" s="1391">
        <v>194</v>
      </c>
      <c r="O20" s="1391">
        <v>414</v>
      </c>
      <c r="R20" s="1406">
        <f>O20*12</f>
        <v>4968</v>
      </c>
      <c r="S20" s="1406">
        <f t="shared" si="0"/>
        <v>3080</v>
      </c>
      <c r="T20" s="1406">
        <f t="shared" si="1"/>
        <v>3702</v>
      </c>
      <c r="U20" s="1406">
        <f t="shared" si="2"/>
        <v>3240</v>
      </c>
      <c r="V20" s="1406">
        <f t="shared" si="3"/>
        <v>3116</v>
      </c>
    </row>
    <row r="21" spans="1:22" s="1392" customFormat="1" ht="15">
      <c r="A21" s="1390" t="s">
        <v>1102</v>
      </c>
      <c r="B21" s="1390" t="s">
        <v>123</v>
      </c>
      <c r="C21" s="1390" t="s">
        <v>1106</v>
      </c>
      <c r="D21" s="1391">
        <v>1470</v>
      </c>
      <c r="E21" s="1391">
        <v>2379</v>
      </c>
      <c r="F21" s="1391">
        <v>2158</v>
      </c>
      <c r="G21" s="1391">
        <v>2529</v>
      </c>
      <c r="H21" s="1391">
        <v>2298</v>
      </c>
      <c r="I21" s="1391">
        <v>2855</v>
      </c>
      <c r="J21" s="1391">
        <v>2829</v>
      </c>
      <c r="K21" s="1391">
        <v>2152</v>
      </c>
      <c r="L21" s="1391">
        <v>2097</v>
      </c>
      <c r="M21" s="1391">
        <v>1167</v>
      </c>
      <c r="N21" s="1391">
        <v>1619</v>
      </c>
      <c r="O21" s="1391">
        <v>1426</v>
      </c>
      <c r="R21" s="1406">
        <f>O21*12</f>
        <v>17112</v>
      </c>
      <c r="S21" s="1406">
        <f t="shared" si="0"/>
        <v>16848</v>
      </c>
      <c r="T21" s="1406">
        <f t="shared" si="1"/>
        <v>22580</v>
      </c>
      <c r="U21" s="1406">
        <f t="shared" si="2"/>
        <v>25296</v>
      </c>
      <c r="V21" s="1406">
        <f t="shared" si="3"/>
        <v>24979</v>
      </c>
    </row>
    <row r="22" spans="1:22" s="1392" customFormat="1" ht="15">
      <c r="A22" s="1390" t="s">
        <v>1102</v>
      </c>
      <c r="B22" s="1390" t="s">
        <v>123</v>
      </c>
      <c r="C22" s="1390" t="s">
        <v>1107</v>
      </c>
      <c r="D22" s="1391">
        <v>0</v>
      </c>
      <c r="E22" s="1391">
        <v>100</v>
      </c>
      <c r="F22" s="1391">
        <v>0</v>
      </c>
      <c r="G22" s="1391">
        <v>0</v>
      </c>
      <c r="H22" s="1391">
        <v>0</v>
      </c>
      <c r="I22" s="1391">
        <v>0</v>
      </c>
      <c r="J22" s="1391">
        <v>380</v>
      </c>
      <c r="K22" s="1391">
        <v>500</v>
      </c>
      <c r="L22" s="1391">
        <v>300</v>
      </c>
      <c r="M22" s="1391">
        <v>0</v>
      </c>
      <c r="N22" s="1391">
        <v>200</v>
      </c>
      <c r="O22" s="1391">
        <v>400</v>
      </c>
      <c r="R22" s="1406">
        <f>O22*12</f>
        <v>4800</v>
      </c>
      <c r="S22" s="1406">
        <f t="shared" si="0"/>
        <v>2400</v>
      </c>
      <c r="T22" s="1406">
        <f t="shared" si="1"/>
        <v>3560</v>
      </c>
      <c r="U22" s="1406">
        <f t="shared" si="2"/>
        <v>2373.3333333333335</v>
      </c>
      <c r="V22" s="1406">
        <f t="shared" si="3"/>
        <v>1880</v>
      </c>
    </row>
    <row r="23" spans="1:22" s="1392" customFormat="1" ht="15">
      <c r="A23" s="1390" t="s">
        <v>1102</v>
      </c>
      <c r="B23" s="1390" t="s">
        <v>123</v>
      </c>
      <c r="C23" s="1390" t="s">
        <v>1108</v>
      </c>
      <c r="D23" s="1391">
        <v>0</v>
      </c>
      <c r="E23" s="1391">
        <v>0</v>
      </c>
      <c r="F23" s="1391">
        <v>0</v>
      </c>
      <c r="G23" s="1391">
        <v>2598</v>
      </c>
      <c r="H23" s="1391">
        <v>2980</v>
      </c>
      <c r="I23" s="1391">
        <v>0</v>
      </c>
      <c r="J23" s="1391">
        <v>4546</v>
      </c>
      <c r="K23" s="1391">
        <v>5397</v>
      </c>
      <c r="L23" s="1391">
        <v>0</v>
      </c>
      <c r="M23" s="1391">
        <v>0</v>
      </c>
      <c r="N23" s="1391">
        <v>4449</v>
      </c>
      <c r="O23" s="1391">
        <v>0</v>
      </c>
      <c r="R23" s="1406">
        <f>O23*12</f>
        <v>0</v>
      </c>
      <c r="S23" s="1406">
        <f t="shared" si="0"/>
        <v>17796</v>
      </c>
      <c r="T23" s="1406">
        <f t="shared" si="1"/>
        <v>28784</v>
      </c>
      <c r="U23" s="1406">
        <f t="shared" si="2"/>
        <v>26626.666666666668</v>
      </c>
      <c r="V23" s="1406">
        <f t="shared" si="3"/>
        <v>19970</v>
      </c>
    </row>
    <row r="24" spans="1:22" s="1392" customFormat="1" ht="15">
      <c r="A24" s="1390" t="s">
        <v>1102</v>
      </c>
      <c r="B24" s="1390" t="s">
        <v>123</v>
      </c>
      <c r="C24" s="1390" t="s">
        <v>1109</v>
      </c>
      <c r="D24" s="1391">
        <v>0</v>
      </c>
      <c r="E24" s="1391">
        <v>0</v>
      </c>
      <c r="F24" s="1391">
        <v>0</v>
      </c>
      <c r="G24" s="1391">
        <v>0</v>
      </c>
      <c r="H24" s="1391">
        <v>0</v>
      </c>
      <c r="I24" s="1391">
        <v>0</v>
      </c>
      <c r="J24" s="1391">
        <v>3550</v>
      </c>
      <c r="K24" s="1391">
        <v>3200</v>
      </c>
      <c r="L24" s="1391">
        <v>250</v>
      </c>
      <c r="M24" s="1391">
        <v>2062</v>
      </c>
      <c r="N24" s="1391">
        <v>250</v>
      </c>
      <c r="O24" s="1391">
        <v>0</v>
      </c>
      <c r="R24" s="1406">
        <f>O24*12</f>
        <v>0</v>
      </c>
      <c r="S24" s="1406">
        <f t="shared" si="0"/>
        <v>9248</v>
      </c>
      <c r="T24" s="1406">
        <f t="shared" si="1"/>
        <v>18624</v>
      </c>
      <c r="U24" s="1406">
        <f t="shared" si="2"/>
        <v>12416</v>
      </c>
      <c r="V24" s="1406">
        <f t="shared" si="3"/>
        <v>9312</v>
      </c>
    </row>
    <row r="25" spans="1:22" s="1392" customFormat="1" ht="15">
      <c r="A25" s="1390" t="s">
        <v>1102</v>
      </c>
      <c r="B25" s="1390" t="s">
        <v>123</v>
      </c>
      <c r="C25" s="1390" t="s">
        <v>1110</v>
      </c>
      <c r="D25" s="1391">
        <v>2875</v>
      </c>
      <c r="E25" s="1391">
        <v>0</v>
      </c>
      <c r="F25" s="1391">
        <v>0</v>
      </c>
      <c r="G25" s="1391">
        <v>0</v>
      </c>
      <c r="H25" s="1391">
        <v>2610</v>
      </c>
      <c r="I25" s="1391">
        <v>0</v>
      </c>
      <c r="J25" s="1391">
        <v>4255</v>
      </c>
      <c r="K25" s="1391">
        <v>0</v>
      </c>
      <c r="L25" s="1391">
        <v>6825</v>
      </c>
      <c r="M25" s="1391">
        <v>7775</v>
      </c>
      <c r="N25" s="1391">
        <v>-1600</v>
      </c>
      <c r="O25" s="1391">
        <v>792</v>
      </c>
      <c r="R25" s="1406">
        <f>O25*12</f>
        <v>9504</v>
      </c>
      <c r="S25" s="1406">
        <f t="shared" si="0"/>
        <v>27868</v>
      </c>
      <c r="T25" s="1406">
        <f t="shared" si="1"/>
        <v>36094</v>
      </c>
      <c r="U25" s="1406">
        <f t="shared" si="2"/>
        <v>27542.666666666668</v>
      </c>
      <c r="V25" s="1406">
        <f t="shared" si="3"/>
        <v>23532</v>
      </c>
    </row>
    <row r="26" spans="1:22" s="1392" customFormat="1" ht="15">
      <c r="A26" s="1390" t="s">
        <v>1102</v>
      </c>
      <c r="B26" s="1390" t="s">
        <v>123</v>
      </c>
      <c r="C26" s="1390" t="s">
        <v>1111</v>
      </c>
      <c r="D26" s="1391">
        <v>0</v>
      </c>
      <c r="E26" s="1391">
        <v>0</v>
      </c>
      <c r="F26" s="1391">
        <v>350</v>
      </c>
      <c r="G26" s="1391">
        <v>0</v>
      </c>
      <c r="H26" s="1391">
        <v>700</v>
      </c>
      <c r="I26" s="1391">
        <v>-350</v>
      </c>
      <c r="J26" s="1391">
        <v>650</v>
      </c>
      <c r="K26" s="1391">
        <v>350</v>
      </c>
      <c r="L26" s="1391">
        <v>350</v>
      </c>
      <c r="M26" s="1391">
        <v>950</v>
      </c>
      <c r="N26" s="1391">
        <v>500</v>
      </c>
      <c r="O26" s="1391">
        <v>-200</v>
      </c>
      <c r="R26" s="1406">
        <f>O26*12</f>
        <v>-2400</v>
      </c>
      <c r="S26" s="1406">
        <f t="shared" si="0"/>
        <v>5000</v>
      </c>
      <c r="T26" s="1406">
        <f t="shared" si="1"/>
        <v>5200</v>
      </c>
      <c r="U26" s="1406">
        <f t="shared" si="2"/>
        <v>3933.3333333333335</v>
      </c>
      <c r="V26" s="1406">
        <f t="shared" si="3"/>
        <v>3300</v>
      </c>
    </row>
    <row r="27" spans="1:22" s="1392" customFormat="1" ht="15">
      <c r="A27" s="1390" t="s">
        <v>1102</v>
      </c>
      <c r="B27" s="1390" t="s">
        <v>123</v>
      </c>
      <c r="C27" s="1390" t="s">
        <v>1112</v>
      </c>
      <c r="D27" s="1391">
        <v>376</v>
      </c>
      <c r="E27" s="1391">
        <v>346</v>
      </c>
      <c r="F27" s="1391">
        <v>344</v>
      </c>
      <c r="G27" s="1391">
        <v>343</v>
      </c>
      <c r="H27" s="1391">
        <v>336</v>
      </c>
      <c r="I27" s="1391">
        <v>320</v>
      </c>
      <c r="J27" s="1391">
        <v>320</v>
      </c>
      <c r="K27" s="1391">
        <v>349</v>
      </c>
      <c r="L27" s="1391">
        <v>368</v>
      </c>
      <c r="M27" s="1391">
        <v>396</v>
      </c>
      <c r="N27" s="1391">
        <v>441</v>
      </c>
      <c r="O27" s="1391">
        <v>427</v>
      </c>
      <c r="R27" s="1406">
        <f>O27*12</f>
        <v>5124</v>
      </c>
      <c r="S27" s="1406">
        <f t="shared" si="0"/>
        <v>5056</v>
      </c>
      <c r="T27" s="1406">
        <f t="shared" si="1"/>
        <v>4602</v>
      </c>
      <c r="U27" s="1406">
        <f t="shared" si="2"/>
        <v>4400</v>
      </c>
      <c r="V27" s="1406">
        <f t="shared" si="3"/>
        <v>4366</v>
      </c>
    </row>
    <row r="28" spans="1:22" s="1392" customFormat="1" ht="15">
      <c r="A28" s="1390" t="s">
        <v>1102</v>
      </c>
      <c r="B28" s="1390" t="s">
        <v>123</v>
      </c>
      <c r="C28" s="1390" t="s">
        <v>1113</v>
      </c>
      <c r="D28" s="1391">
        <v>0</v>
      </c>
      <c r="E28" s="1391">
        <v>0</v>
      </c>
      <c r="F28" s="1391">
        <v>0</v>
      </c>
      <c r="G28" s="1391">
        <v>0</v>
      </c>
      <c r="H28" s="1391">
        <v>0</v>
      </c>
      <c r="I28" s="1391">
        <v>0</v>
      </c>
      <c r="J28" s="1391">
        <v>0</v>
      </c>
      <c r="K28" s="1391">
        <v>0</v>
      </c>
      <c r="L28" s="1391">
        <v>0</v>
      </c>
      <c r="M28" s="1391">
        <v>0</v>
      </c>
      <c r="N28" s="1391">
        <v>-51</v>
      </c>
      <c r="O28" s="1391">
        <v>0</v>
      </c>
      <c r="R28" s="1406">
        <f>O28*12</f>
        <v>0</v>
      </c>
      <c r="S28" s="1406">
        <f t="shared" si="0"/>
        <v>-204</v>
      </c>
      <c r="T28" s="1406">
        <f t="shared" si="1"/>
        <v>-102</v>
      </c>
      <c r="U28" s="1406">
        <f t="shared" si="2"/>
        <v>-68</v>
      </c>
      <c r="V28" s="1406">
        <f t="shared" si="3"/>
        <v>-51</v>
      </c>
    </row>
    <row r="29" spans="1:22" s="1392" customFormat="1" ht="15">
      <c r="A29" s="1390" t="s">
        <v>1114</v>
      </c>
      <c r="B29" s="1390" t="s">
        <v>1115</v>
      </c>
      <c r="C29" s="1390" t="s">
        <v>1116</v>
      </c>
      <c r="D29" s="1391">
        <v>4781</v>
      </c>
      <c r="E29" s="1391">
        <v>4736</v>
      </c>
      <c r="F29" s="1391">
        <v>4786</v>
      </c>
      <c r="G29" s="1391">
        <v>4870</v>
      </c>
      <c r="H29" s="1391">
        <v>4907</v>
      </c>
      <c r="I29" s="1391">
        <v>4900</v>
      </c>
      <c r="J29" s="1391">
        <v>4852</v>
      </c>
      <c r="K29" s="1391">
        <v>4728</v>
      </c>
      <c r="L29" s="1391">
        <v>4719</v>
      </c>
      <c r="M29" s="1391">
        <v>4911</v>
      </c>
      <c r="N29" s="1391">
        <v>4868</v>
      </c>
      <c r="O29" s="1391">
        <v>4936</v>
      </c>
      <c r="R29" s="1406">
        <f>O29*12</f>
        <v>59232</v>
      </c>
      <c r="S29" s="1406">
        <f t="shared" si="0"/>
        <v>58860</v>
      </c>
      <c r="T29" s="1406">
        <f t="shared" si="1"/>
        <v>58028</v>
      </c>
      <c r="U29" s="1406">
        <f t="shared" si="2"/>
        <v>58254.666666666664</v>
      </c>
      <c r="V29" s="1406">
        <f t="shared" si="3"/>
        <v>57994</v>
      </c>
    </row>
    <row r="30" spans="1:22" s="1392" customFormat="1" ht="15">
      <c r="A30" s="1390" t="s">
        <v>1117</v>
      </c>
      <c r="B30" s="1390" t="s">
        <v>1118</v>
      </c>
      <c r="C30" s="1390" t="s">
        <v>1119</v>
      </c>
      <c r="D30" s="1391">
        <v>443</v>
      </c>
      <c r="E30" s="1391">
        <v>443</v>
      </c>
      <c r="F30" s="1391">
        <v>450</v>
      </c>
      <c r="G30" s="1391">
        <v>461</v>
      </c>
      <c r="H30" s="1391">
        <v>471</v>
      </c>
      <c r="I30" s="1391">
        <v>468</v>
      </c>
      <c r="J30" s="1391">
        <v>469</v>
      </c>
      <c r="K30" s="1391">
        <v>454</v>
      </c>
      <c r="L30" s="1391">
        <v>452</v>
      </c>
      <c r="M30" s="1391">
        <v>474</v>
      </c>
      <c r="N30" s="1391">
        <v>482</v>
      </c>
      <c r="O30" s="1391">
        <v>489</v>
      </c>
      <c r="R30" s="1406">
        <f>O30*12</f>
        <v>5868</v>
      </c>
      <c r="S30" s="1406">
        <f t="shared" si="0"/>
        <v>5780</v>
      </c>
      <c r="T30" s="1406">
        <f t="shared" si="1"/>
        <v>5640</v>
      </c>
      <c r="U30" s="1406">
        <f t="shared" si="2"/>
        <v>5626.666666666667</v>
      </c>
      <c r="V30" s="1406">
        <f t="shared" si="3"/>
        <v>5556</v>
      </c>
    </row>
    <row r="31" spans="1:22" s="1392" customFormat="1" ht="15">
      <c r="A31" s="1390" t="s">
        <v>1102</v>
      </c>
      <c r="B31" s="1390" t="s">
        <v>123</v>
      </c>
      <c r="C31" s="1390" t="s">
        <v>1120</v>
      </c>
      <c r="D31" s="1391">
        <v>20</v>
      </c>
      <c r="E31" s="1391">
        <v>20</v>
      </c>
      <c r="F31" s="1391">
        <v>20</v>
      </c>
      <c r="G31" s="1391">
        <v>20</v>
      </c>
      <c r="H31" s="1391">
        <v>20</v>
      </c>
      <c r="I31" s="1391">
        <v>20</v>
      </c>
      <c r="J31" s="1391">
        <v>20</v>
      </c>
      <c r="K31" s="1391">
        <v>20</v>
      </c>
      <c r="L31" s="1391">
        <v>20</v>
      </c>
      <c r="M31" s="1391">
        <v>20</v>
      </c>
      <c r="N31" s="1391">
        <v>20</v>
      </c>
      <c r="O31" s="1391">
        <v>20</v>
      </c>
      <c r="R31" s="1406">
        <f>O31*12</f>
        <v>240</v>
      </c>
      <c r="S31" s="1406">
        <f t="shared" si="0"/>
        <v>240</v>
      </c>
      <c r="T31" s="1406">
        <f t="shared" si="1"/>
        <v>240</v>
      </c>
      <c r="U31" s="1406">
        <f t="shared" si="2"/>
        <v>240</v>
      </c>
      <c r="V31" s="1406">
        <f t="shared" si="3"/>
        <v>240</v>
      </c>
    </row>
    <row r="32" spans="1:22" s="15" customFormat="1" ht="15">
      <c r="A32" s="1429" t="s">
        <v>1102</v>
      </c>
      <c r="B32" s="1429" t="s">
        <v>123</v>
      </c>
      <c r="C32" s="1429" t="s">
        <v>1121</v>
      </c>
      <c r="D32" s="1430">
        <v>880</v>
      </c>
      <c r="E32" s="1430">
        <v>0</v>
      </c>
      <c r="F32" s="1430">
        <v>880</v>
      </c>
      <c r="G32" s="1430">
        <v>0</v>
      </c>
      <c r="H32" s="1430">
        <v>-1699</v>
      </c>
      <c r="I32" s="1430">
        <v>2859</v>
      </c>
      <c r="J32" s="1430">
        <v>3720</v>
      </c>
      <c r="K32" s="1430">
        <v>880</v>
      </c>
      <c r="L32" s="1430">
        <v>1440</v>
      </c>
      <c r="M32" s="1430">
        <v>-270</v>
      </c>
      <c r="N32" s="1430">
        <v>0</v>
      </c>
      <c r="O32" s="1430">
        <v>0</v>
      </c>
      <c r="R32" s="1431">
        <f>O32*12</f>
        <v>0</v>
      </c>
      <c r="S32" s="1431">
        <f t="shared" si="0"/>
        <v>-1080</v>
      </c>
      <c r="T32" s="1431">
        <f t="shared" si="1"/>
        <v>11540</v>
      </c>
      <c r="U32" s="1431">
        <f t="shared" si="2"/>
        <v>9240</v>
      </c>
      <c r="V32" s="1431">
        <f t="shared" si="3"/>
        <v>8690</v>
      </c>
    </row>
    <row r="33" spans="1:22" s="1392" customFormat="1" ht="15">
      <c r="A33" s="1390" t="s">
        <v>1122</v>
      </c>
      <c r="B33" s="1390" t="s">
        <v>1123</v>
      </c>
      <c r="C33" s="1390" t="s">
        <v>1124</v>
      </c>
      <c r="D33" s="1391">
        <v>150</v>
      </c>
      <c r="E33" s="1391">
        <v>150</v>
      </c>
      <c r="F33" s="1391">
        <v>150</v>
      </c>
      <c r="G33" s="1391">
        <v>150</v>
      </c>
      <c r="H33" s="1391">
        <v>150</v>
      </c>
      <c r="I33" s="1391">
        <v>150</v>
      </c>
      <c r="J33" s="1391">
        <v>150</v>
      </c>
      <c r="K33" s="1391">
        <v>150</v>
      </c>
      <c r="L33" s="1391">
        <v>150</v>
      </c>
      <c r="M33" s="1391">
        <v>150</v>
      </c>
      <c r="N33" s="1391">
        <v>150</v>
      </c>
      <c r="O33" s="1391">
        <v>150</v>
      </c>
      <c r="R33" s="1406">
        <f>O33*12</f>
        <v>1800</v>
      </c>
      <c r="S33" s="1406">
        <f t="shared" si="0"/>
        <v>1800</v>
      </c>
      <c r="T33" s="1406">
        <f t="shared" si="1"/>
        <v>1800</v>
      </c>
      <c r="U33" s="1406">
        <f t="shared" si="2"/>
        <v>1800</v>
      </c>
      <c r="V33" s="1406">
        <f t="shared" si="3"/>
        <v>1800</v>
      </c>
    </row>
    <row r="34" spans="1:22" s="1392" customFormat="1" ht="15">
      <c r="A34" s="1390" t="s">
        <v>1125</v>
      </c>
      <c r="B34" s="1390" t="s">
        <v>1079</v>
      </c>
      <c r="C34" s="1390" t="s">
        <v>1126</v>
      </c>
      <c r="D34" s="1391">
        <v>2291</v>
      </c>
      <c r="E34" s="1391">
        <v>2278</v>
      </c>
      <c r="F34" s="1391">
        <v>2318</v>
      </c>
      <c r="G34" s="1391">
        <v>2372</v>
      </c>
      <c r="H34" s="1391">
        <v>2424</v>
      </c>
      <c r="I34" s="1391">
        <v>2362</v>
      </c>
      <c r="J34" s="1391">
        <v>2366</v>
      </c>
      <c r="K34" s="1391">
        <v>2281</v>
      </c>
      <c r="L34" s="1391">
        <v>2274</v>
      </c>
      <c r="M34" s="1391">
        <v>2383</v>
      </c>
      <c r="N34" s="1391">
        <v>2410</v>
      </c>
      <c r="O34" s="1391">
        <v>2445</v>
      </c>
      <c r="R34" s="1406">
        <f>O34*12</f>
        <v>29340</v>
      </c>
      <c r="S34" s="1406">
        <f t="shared" si="0"/>
        <v>28952</v>
      </c>
      <c r="T34" s="1406">
        <f t="shared" si="1"/>
        <v>28318</v>
      </c>
      <c r="U34" s="1406">
        <f t="shared" si="2"/>
        <v>28422.666666666668</v>
      </c>
      <c r="V34" s="1406">
        <f t="shared" si="3"/>
        <v>28204</v>
      </c>
    </row>
    <row r="35" spans="1:22" s="1392" customFormat="1" ht="15">
      <c r="A35" s="1390"/>
      <c r="B35" s="1390"/>
      <c r="C35" s="1390" t="s">
        <v>575</v>
      </c>
      <c r="D35" s="1391">
        <v>13904</v>
      </c>
      <c r="E35" s="1391">
        <v>11322</v>
      </c>
      <c r="F35" s="1391">
        <v>11929</v>
      </c>
      <c r="G35" s="1391">
        <v>13318</v>
      </c>
      <c r="H35" s="1391">
        <v>15620</v>
      </c>
      <c r="I35" s="1391">
        <v>14065</v>
      </c>
      <c r="J35" s="1391">
        <v>28894</v>
      </c>
      <c r="K35" s="1391">
        <v>20809</v>
      </c>
      <c r="L35" s="1391">
        <v>19941</v>
      </c>
      <c r="M35" s="1391">
        <v>20105</v>
      </c>
      <c r="N35" s="1391">
        <v>14457</v>
      </c>
      <c r="O35" s="1391">
        <v>12086</v>
      </c>
      <c r="R35" s="1406">
        <f>O35*12</f>
        <v>145032</v>
      </c>
      <c r="S35" s="1406">
        <f t="shared" si="0"/>
        <v>186592</v>
      </c>
      <c r="T35" s="1406">
        <f t="shared" si="1"/>
        <v>232584</v>
      </c>
      <c r="U35" s="1406">
        <f t="shared" si="2"/>
        <v>212393.33333333334</v>
      </c>
      <c r="V35" s="1406">
        <f t="shared" si="3"/>
        <v>196450</v>
      </c>
    </row>
    <row r="36" spans="1:22" s="1392" customFormat="1" ht="15">
      <c r="A36" s="1390"/>
      <c r="B36" s="1390"/>
      <c r="C36" s="1390" t="s">
        <v>1127</v>
      </c>
      <c r="D36" s="1391">
        <v>89739</v>
      </c>
      <c r="E36" s="1391">
        <v>103732</v>
      </c>
      <c r="F36" s="1391">
        <v>107190</v>
      </c>
      <c r="G36" s="1391">
        <v>115665</v>
      </c>
      <c r="H36" s="1391">
        <v>120625</v>
      </c>
      <c r="I36" s="1391">
        <v>121170</v>
      </c>
      <c r="J36" s="1391">
        <v>109142</v>
      </c>
      <c r="K36" s="1391">
        <v>101512</v>
      </c>
      <c r="L36" s="1391">
        <v>112902</v>
      </c>
      <c r="M36" s="1391">
        <v>88759</v>
      </c>
      <c r="N36" s="1391">
        <v>118761</v>
      </c>
      <c r="O36" s="1391">
        <v>118528</v>
      </c>
      <c r="R36" s="1406">
        <f>O36*12</f>
        <v>1422336</v>
      </c>
      <c r="S36" s="1406">
        <f t="shared" si="0"/>
        <v>1304192</v>
      </c>
      <c r="T36" s="1406">
        <f t="shared" si="1"/>
        <v>1299208</v>
      </c>
      <c r="U36" s="1406">
        <f t="shared" si="2"/>
        <v>1342752</v>
      </c>
      <c r="V36" s="1406">
        <f t="shared" si="3"/>
        <v>1307725</v>
      </c>
    </row>
    <row r="37" spans="1:22" s="1389" customFormat="1" ht="15">
      <c r="A37" s="1388"/>
      <c r="B37" s="1388"/>
      <c r="C37" s="1388" t="s">
        <v>1128</v>
      </c>
      <c r="R37" s="1405">
        <f t="shared" ref="R37:R100" si="4">O37*12</f>
        <v>0</v>
      </c>
      <c r="S37" s="1405">
        <f t="shared" ref="S37:S100" si="5">SUM(M37:O37)*4</f>
        <v>0</v>
      </c>
      <c r="T37" s="1405">
        <f t="shared" ref="T37:T100" si="6">SUM(J37:O37)*2</f>
        <v>0</v>
      </c>
      <c r="U37" s="1405">
        <f t="shared" ref="U37:U100" si="7">SUM(G37:O37)*12/9</f>
        <v>0</v>
      </c>
      <c r="V37" s="1405">
        <f t="shared" ref="V37:V100" si="8">SUM(D37:O37)</f>
        <v>0</v>
      </c>
    </row>
    <row r="38" spans="1:22" s="1389" customFormat="1" ht="15">
      <c r="A38" s="1388"/>
      <c r="B38" s="1388"/>
      <c r="C38" s="1388" t="s">
        <v>1129</v>
      </c>
      <c r="R38" s="1405">
        <f t="shared" si="4"/>
        <v>0</v>
      </c>
      <c r="S38" s="1405">
        <f t="shared" si="5"/>
        <v>0</v>
      </c>
      <c r="T38" s="1405">
        <f t="shared" si="6"/>
        <v>0</v>
      </c>
      <c r="U38" s="1405">
        <f t="shared" si="7"/>
        <v>0</v>
      </c>
      <c r="V38" s="1405">
        <f t="shared" si="8"/>
        <v>0</v>
      </c>
    </row>
    <row r="39" spans="1:22" s="1395" customFormat="1" ht="15">
      <c r="A39" s="1393"/>
      <c r="B39" s="1393"/>
      <c r="C39" s="1393" t="s">
        <v>1130</v>
      </c>
      <c r="D39" s="1394">
        <v>874</v>
      </c>
      <c r="E39" s="1394">
        <v>1305</v>
      </c>
      <c r="F39" s="1394">
        <v>1526</v>
      </c>
      <c r="G39" s="1394">
        <v>2165</v>
      </c>
      <c r="H39" s="1394">
        <v>603</v>
      </c>
      <c r="I39" s="1394">
        <v>3842</v>
      </c>
      <c r="J39" s="1394">
        <v>1761</v>
      </c>
      <c r="K39" s="1394">
        <v>1305</v>
      </c>
      <c r="L39" s="1394">
        <v>2090</v>
      </c>
      <c r="M39" s="1394">
        <v>2089</v>
      </c>
      <c r="N39" s="1394">
        <v>2017</v>
      </c>
      <c r="O39" s="1394">
        <v>333</v>
      </c>
      <c r="R39" s="1432">
        <f t="shared" si="4"/>
        <v>3996</v>
      </c>
      <c r="S39" s="1432">
        <f t="shared" si="5"/>
        <v>17756</v>
      </c>
      <c r="T39" s="1432">
        <f t="shared" si="6"/>
        <v>19190</v>
      </c>
      <c r="U39" s="1432">
        <f t="shared" si="7"/>
        <v>21606.666666666668</v>
      </c>
      <c r="V39" s="1432">
        <f t="shared" si="8"/>
        <v>19910</v>
      </c>
    </row>
    <row r="40" spans="1:22" s="1395" customFormat="1" ht="15">
      <c r="A40" s="1393"/>
      <c r="B40" s="1393"/>
      <c r="C40" s="1393" t="s">
        <v>1131</v>
      </c>
      <c r="D40" s="1394">
        <v>2300</v>
      </c>
      <c r="E40" s="1394">
        <v>1500</v>
      </c>
      <c r="F40" s="1394">
        <v>1486</v>
      </c>
      <c r="G40" s="1394">
        <v>0</v>
      </c>
      <c r="H40" s="1394">
        <v>1379</v>
      </c>
      <c r="I40" s="1394">
        <v>5636</v>
      </c>
      <c r="J40" s="1394">
        <v>1865</v>
      </c>
      <c r="K40" s="1394">
        <v>176</v>
      </c>
      <c r="L40" s="1394">
        <v>0</v>
      </c>
      <c r="M40" s="1394">
        <v>0</v>
      </c>
      <c r="N40" s="1394">
        <v>0</v>
      </c>
      <c r="O40" s="1394">
        <v>0</v>
      </c>
      <c r="R40" s="1432">
        <f t="shared" si="4"/>
        <v>0</v>
      </c>
      <c r="S40" s="1432">
        <f t="shared" si="5"/>
        <v>0</v>
      </c>
      <c r="T40" s="1432">
        <f t="shared" si="6"/>
        <v>4082</v>
      </c>
      <c r="U40" s="1432">
        <f t="shared" si="7"/>
        <v>12074.666666666666</v>
      </c>
      <c r="V40" s="1432">
        <f t="shared" si="8"/>
        <v>14342</v>
      </c>
    </row>
    <row r="41" spans="1:22" s="1395" customFormat="1" ht="15">
      <c r="A41" s="1393"/>
      <c r="B41" s="1393"/>
      <c r="C41" s="1393" t="s">
        <v>1132</v>
      </c>
      <c r="D41" s="1394">
        <v>1581</v>
      </c>
      <c r="E41" s="1394">
        <v>3289</v>
      </c>
      <c r="F41" s="1394">
        <v>122</v>
      </c>
      <c r="G41" s="1394">
        <v>1497</v>
      </c>
      <c r="H41" s="1394">
        <v>0</v>
      </c>
      <c r="I41" s="1394">
        <v>0</v>
      </c>
      <c r="J41" s="1394">
        <v>0</v>
      </c>
      <c r="K41" s="1394">
        <v>1164</v>
      </c>
      <c r="L41" s="1394">
        <v>2865</v>
      </c>
      <c r="M41" s="1394">
        <v>6483</v>
      </c>
      <c r="N41" s="1394">
        <v>6901</v>
      </c>
      <c r="O41" s="1394">
        <v>3105</v>
      </c>
      <c r="R41" s="1432">
        <f t="shared" si="4"/>
        <v>37260</v>
      </c>
      <c r="S41" s="1432">
        <f t="shared" si="5"/>
        <v>65956</v>
      </c>
      <c r="T41" s="1432">
        <f t="shared" si="6"/>
        <v>41036</v>
      </c>
      <c r="U41" s="1432">
        <f t="shared" si="7"/>
        <v>29353.333333333332</v>
      </c>
      <c r="V41" s="1432">
        <f t="shared" si="8"/>
        <v>27007</v>
      </c>
    </row>
    <row r="42" spans="1:22" s="1395" customFormat="1" ht="15">
      <c r="A42" s="1393"/>
      <c r="B42" s="1393"/>
      <c r="C42" s="1393" t="s">
        <v>1133</v>
      </c>
      <c r="D42" s="1394">
        <v>1531</v>
      </c>
      <c r="E42" s="1394">
        <v>2325</v>
      </c>
      <c r="F42" s="1394">
        <v>193</v>
      </c>
      <c r="G42" s="1394">
        <v>0</v>
      </c>
      <c r="H42" s="1394">
        <v>313</v>
      </c>
      <c r="I42" s="1394">
        <v>2649</v>
      </c>
      <c r="J42" s="1394">
        <v>2331</v>
      </c>
      <c r="K42" s="1394">
        <v>1167</v>
      </c>
      <c r="L42" s="1394">
        <v>0</v>
      </c>
      <c r="M42" s="1394">
        <v>0</v>
      </c>
      <c r="N42" s="1394">
        <v>0</v>
      </c>
      <c r="O42" s="1394">
        <v>0</v>
      </c>
      <c r="R42" s="1432">
        <f t="shared" si="4"/>
        <v>0</v>
      </c>
      <c r="S42" s="1432">
        <f t="shared" si="5"/>
        <v>0</v>
      </c>
      <c r="T42" s="1432">
        <f t="shared" si="6"/>
        <v>6996</v>
      </c>
      <c r="U42" s="1432">
        <f t="shared" si="7"/>
        <v>8613.3333333333339</v>
      </c>
      <c r="V42" s="1432">
        <f t="shared" si="8"/>
        <v>10509</v>
      </c>
    </row>
    <row r="43" spans="1:22" s="1395" customFormat="1" ht="15">
      <c r="A43" s="1393"/>
      <c r="B43" s="1393"/>
      <c r="C43" s="1393" t="s">
        <v>1134</v>
      </c>
      <c r="D43" s="1394">
        <v>0</v>
      </c>
      <c r="E43" s="1394">
        <v>0</v>
      </c>
      <c r="F43" s="1394">
        <v>0</v>
      </c>
      <c r="G43" s="1394">
        <v>0</v>
      </c>
      <c r="H43" s="1394">
        <v>0</v>
      </c>
      <c r="I43" s="1394">
        <v>263</v>
      </c>
      <c r="J43" s="1394">
        <v>0</v>
      </c>
      <c r="K43" s="1394">
        <v>0</v>
      </c>
      <c r="L43" s="1394">
        <v>0</v>
      </c>
      <c r="M43" s="1394">
        <v>0</v>
      </c>
      <c r="N43" s="1394">
        <v>0</v>
      </c>
      <c r="O43" s="1394">
        <v>0</v>
      </c>
      <c r="R43" s="1432">
        <f t="shared" si="4"/>
        <v>0</v>
      </c>
      <c r="S43" s="1432">
        <f t="shared" si="5"/>
        <v>0</v>
      </c>
      <c r="T43" s="1432">
        <f t="shared" si="6"/>
        <v>0</v>
      </c>
      <c r="U43" s="1432">
        <f t="shared" si="7"/>
        <v>350.66666666666669</v>
      </c>
      <c r="V43" s="1432">
        <f t="shared" si="8"/>
        <v>263</v>
      </c>
    </row>
    <row r="44" spans="1:22" s="1395" customFormat="1" ht="15">
      <c r="A44" s="1393"/>
      <c r="B44" s="1393"/>
      <c r="C44" s="1393" t="s">
        <v>1135</v>
      </c>
      <c r="D44" s="1394">
        <v>1288</v>
      </c>
      <c r="E44" s="1394">
        <v>972</v>
      </c>
      <c r="F44" s="1394">
        <v>326</v>
      </c>
      <c r="G44" s="1394">
        <v>313</v>
      </c>
      <c r="H44" s="1394">
        <v>177</v>
      </c>
      <c r="I44" s="1394">
        <v>929</v>
      </c>
      <c r="J44" s="1394">
        <v>423</v>
      </c>
      <c r="K44" s="1394">
        <v>283</v>
      </c>
      <c r="L44" s="1394">
        <v>379</v>
      </c>
      <c r="M44" s="1394">
        <v>651</v>
      </c>
      <c r="N44" s="1394">
        <v>679</v>
      </c>
      <c r="O44" s="1394">
        <v>273</v>
      </c>
      <c r="R44" s="1432">
        <f t="shared" si="4"/>
        <v>3276</v>
      </c>
      <c r="S44" s="1432">
        <f t="shared" si="5"/>
        <v>6412</v>
      </c>
      <c r="T44" s="1432">
        <f t="shared" si="6"/>
        <v>5376</v>
      </c>
      <c r="U44" s="1432">
        <f t="shared" si="7"/>
        <v>5476</v>
      </c>
      <c r="V44" s="1432">
        <f t="shared" si="8"/>
        <v>6693</v>
      </c>
    </row>
    <row r="45" spans="1:22" s="1395" customFormat="1" ht="15">
      <c r="A45" s="1393" t="s">
        <v>1136</v>
      </c>
      <c r="B45" s="1393" t="s">
        <v>390</v>
      </c>
      <c r="C45" s="1393" t="s">
        <v>1137</v>
      </c>
      <c r="D45" s="1394">
        <v>7574</v>
      </c>
      <c r="E45" s="1394">
        <v>9391</v>
      </c>
      <c r="F45" s="1394">
        <v>3653</v>
      </c>
      <c r="G45" s="1394">
        <v>3975</v>
      </c>
      <c r="H45" s="1394">
        <v>2472</v>
      </c>
      <c r="I45" s="1394">
        <v>13319</v>
      </c>
      <c r="J45" s="1394">
        <v>6380</v>
      </c>
      <c r="K45" s="1394">
        <v>4095</v>
      </c>
      <c r="L45" s="1394">
        <v>5334</v>
      </c>
      <c r="M45" s="1394">
        <v>9223</v>
      </c>
      <c r="N45" s="1394">
        <v>9597</v>
      </c>
      <c r="O45" s="1394">
        <v>3711</v>
      </c>
      <c r="R45" s="1432">
        <f t="shared" si="4"/>
        <v>44532</v>
      </c>
      <c r="S45" s="1432">
        <f t="shared" si="5"/>
        <v>90124</v>
      </c>
      <c r="T45" s="1432">
        <f t="shared" si="6"/>
        <v>76680</v>
      </c>
      <c r="U45" s="1432">
        <f t="shared" si="7"/>
        <v>77474.666666666672</v>
      </c>
      <c r="V45" s="1432">
        <f t="shared" si="8"/>
        <v>78724</v>
      </c>
    </row>
    <row r="46" spans="1:22" s="1389" customFormat="1" ht="15">
      <c r="A46" s="1388"/>
      <c r="B46" s="1388"/>
      <c r="C46" s="1388" t="s">
        <v>1138</v>
      </c>
      <c r="R46" s="1405">
        <f t="shared" si="4"/>
        <v>0</v>
      </c>
      <c r="S46" s="1405">
        <f t="shared" si="5"/>
        <v>0</v>
      </c>
      <c r="T46" s="1405">
        <f t="shared" si="6"/>
        <v>0</v>
      </c>
      <c r="U46" s="1405">
        <f t="shared" si="7"/>
        <v>0</v>
      </c>
      <c r="V46" s="1405">
        <f t="shared" si="8"/>
        <v>0</v>
      </c>
    </row>
    <row r="47" spans="1:22" s="1395" customFormat="1" ht="15">
      <c r="A47" s="1393"/>
      <c r="B47" s="1393"/>
      <c r="C47" s="1393" t="s">
        <v>1139</v>
      </c>
      <c r="D47" s="1394">
        <v>3141</v>
      </c>
      <c r="E47" s="1394">
        <v>3631</v>
      </c>
      <c r="F47" s="1394">
        <v>3752</v>
      </c>
      <c r="G47" s="1394">
        <v>4049</v>
      </c>
      <c r="H47" s="1394">
        <v>4222</v>
      </c>
      <c r="I47" s="1394">
        <v>4241</v>
      </c>
      <c r="J47" s="1394">
        <v>3820</v>
      </c>
      <c r="K47" s="1394">
        <v>3553</v>
      </c>
      <c r="L47" s="1394">
        <v>3951</v>
      </c>
      <c r="M47" s="1394">
        <v>3107</v>
      </c>
      <c r="N47" s="1394">
        <v>4157</v>
      </c>
      <c r="O47" s="1394">
        <v>4148</v>
      </c>
      <c r="R47" s="1432">
        <f t="shared" si="4"/>
        <v>49776</v>
      </c>
      <c r="S47" s="1432">
        <f t="shared" si="5"/>
        <v>45648</v>
      </c>
      <c r="T47" s="1432">
        <f t="shared" si="6"/>
        <v>45472</v>
      </c>
      <c r="U47" s="1432">
        <f t="shared" si="7"/>
        <v>46997.333333333336</v>
      </c>
      <c r="V47" s="1432">
        <f t="shared" si="8"/>
        <v>45772</v>
      </c>
    </row>
    <row r="48" spans="1:22" s="1395" customFormat="1" ht="15">
      <c r="A48" s="1393" t="s">
        <v>1140</v>
      </c>
      <c r="B48" s="1393" t="s">
        <v>405</v>
      </c>
      <c r="C48" s="1393" t="s">
        <v>1141</v>
      </c>
      <c r="D48" s="1394">
        <v>3141</v>
      </c>
      <c r="E48" s="1394">
        <v>3631</v>
      </c>
      <c r="F48" s="1394">
        <v>3752</v>
      </c>
      <c r="G48" s="1394">
        <v>4049</v>
      </c>
      <c r="H48" s="1394">
        <v>4222</v>
      </c>
      <c r="I48" s="1394">
        <v>4241</v>
      </c>
      <c r="J48" s="1394">
        <v>3820</v>
      </c>
      <c r="K48" s="1394">
        <v>3553</v>
      </c>
      <c r="L48" s="1394">
        <v>3951</v>
      </c>
      <c r="M48" s="1394">
        <v>3107</v>
      </c>
      <c r="N48" s="1394">
        <v>4157</v>
      </c>
      <c r="O48" s="1394">
        <v>4148</v>
      </c>
      <c r="R48" s="1432">
        <f t="shared" si="4"/>
        <v>49776</v>
      </c>
      <c r="S48" s="1432">
        <f t="shared" si="5"/>
        <v>45648</v>
      </c>
      <c r="T48" s="1432">
        <f t="shared" si="6"/>
        <v>45472</v>
      </c>
      <c r="U48" s="1432">
        <f t="shared" si="7"/>
        <v>46997.333333333336</v>
      </c>
      <c r="V48" s="1432">
        <f t="shared" si="8"/>
        <v>45772</v>
      </c>
    </row>
    <row r="49" spans="1:22" s="1389" customFormat="1" ht="15">
      <c r="A49" s="1388"/>
      <c r="B49" s="1388"/>
      <c r="C49" s="1388" t="s">
        <v>387</v>
      </c>
      <c r="R49" s="1405">
        <f t="shared" si="4"/>
        <v>0</v>
      </c>
      <c r="S49" s="1405">
        <f t="shared" si="5"/>
        <v>0</v>
      </c>
      <c r="T49" s="1405">
        <f t="shared" si="6"/>
        <v>0</v>
      </c>
      <c r="U49" s="1405">
        <f t="shared" si="7"/>
        <v>0</v>
      </c>
      <c r="V49" s="1405">
        <f t="shared" si="8"/>
        <v>0</v>
      </c>
    </row>
    <row r="50" spans="1:22" s="1395" customFormat="1" ht="15">
      <c r="A50" s="1393" t="s">
        <v>1142</v>
      </c>
      <c r="B50" s="1393" t="s">
        <v>1143</v>
      </c>
      <c r="C50" s="1393" t="s">
        <v>1144</v>
      </c>
      <c r="D50" s="1394">
        <v>0</v>
      </c>
      <c r="E50" s="1394">
        <v>0</v>
      </c>
      <c r="F50" s="1394">
        <v>250</v>
      </c>
      <c r="G50" s="1394">
        <v>0</v>
      </c>
      <c r="H50" s="1394">
        <v>1800</v>
      </c>
      <c r="I50" s="1394">
        <v>0</v>
      </c>
      <c r="J50" s="1394">
        <v>350</v>
      </c>
      <c r="K50" s="1394">
        <v>525</v>
      </c>
      <c r="L50" s="1394">
        <v>175</v>
      </c>
      <c r="M50" s="1394">
        <v>175</v>
      </c>
      <c r="N50" s="1394">
        <v>175</v>
      </c>
      <c r="O50" s="1394">
        <v>175</v>
      </c>
      <c r="R50" s="1432">
        <f t="shared" si="4"/>
        <v>2100</v>
      </c>
      <c r="S50" s="1432">
        <f t="shared" si="5"/>
        <v>2100</v>
      </c>
      <c r="T50" s="1432">
        <f t="shared" si="6"/>
        <v>3150</v>
      </c>
      <c r="U50" s="1432">
        <f t="shared" si="7"/>
        <v>4500</v>
      </c>
      <c r="V50" s="1432">
        <f t="shared" si="8"/>
        <v>3625</v>
      </c>
    </row>
    <row r="51" spans="1:22" s="1395" customFormat="1" ht="15">
      <c r="A51" s="1393" t="s">
        <v>1145</v>
      </c>
      <c r="B51" s="1393" t="s">
        <v>389</v>
      </c>
      <c r="C51" s="1393" t="s">
        <v>1146</v>
      </c>
      <c r="D51" s="1394">
        <v>2250</v>
      </c>
      <c r="E51" s="1394">
        <v>2250</v>
      </c>
      <c r="F51" s="1394">
        <v>-270</v>
      </c>
      <c r="G51" s="1394">
        <v>2000</v>
      </c>
      <c r="H51" s="1394">
        <v>0</v>
      </c>
      <c r="I51" s="1394">
        <v>0</v>
      </c>
      <c r="J51" s="1394">
        <v>2044</v>
      </c>
      <c r="K51" s="1394">
        <v>2000</v>
      </c>
      <c r="L51" s="1394">
        <v>0</v>
      </c>
      <c r="M51" s="1394">
        <v>2000</v>
      </c>
      <c r="N51" s="1394">
        <v>2000</v>
      </c>
      <c r="O51" s="1394">
        <v>2000</v>
      </c>
      <c r="R51" s="1432">
        <f t="shared" si="4"/>
        <v>24000</v>
      </c>
      <c r="S51" s="1432">
        <f t="shared" si="5"/>
        <v>24000</v>
      </c>
      <c r="T51" s="1432">
        <f t="shared" si="6"/>
        <v>20088</v>
      </c>
      <c r="U51" s="1432">
        <f t="shared" si="7"/>
        <v>16058.666666666666</v>
      </c>
      <c r="V51" s="1432">
        <f t="shared" si="8"/>
        <v>16274</v>
      </c>
    </row>
    <row r="52" spans="1:22" s="1395" customFormat="1" ht="15">
      <c r="A52" s="1393" t="s">
        <v>1147</v>
      </c>
      <c r="B52" s="1393" t="s">
        <v>1148</v>
      </c>
      <c r="C52" s="1393" t="s">
        <v>1149</v>
      </c>
      <c r="D52" s="1394">
        <v>4400</v>
      </c>
      <c r="E52" s="1394">
        <v>4400</v>
      </c>
      <c r="F52" s="1394">
        <v>-8385</v>
      </c>
      <c r="G52" s="1394">
        <v>4608</v>
      </c>
      <c r="H52" s="1394">
        <v>4608</v>
      </c>
      <c r="I52" s="1394">
        <v>4608</v>
      </c>
      <c r="J52" s="1394">
        <v>4817</v>
      </c>
      <c r="K52" s="1394">
        <v>4608</v>
      </c>
      <c r="L52" s="1394">
        <v>4748</v>
      </c>
      <c r="M52" s="1394">
        <v>4608</v>
      </c>
      <c r="N52" s="1394">
        <v>4608</v>
      </c>
      <c r="O52" s="1394">
        <v>4608</v>
      </c>
      <c r="R52" s="1432">
        <f t="shared" si="4"/>
        <v>55296</v>
      </c>
      <c r="S52" s="1432">
        <f t="shared" si="5"/>
        <v>55296</v>
      </c>
      <c r="T52" s="1432">
        <f t="shared" si="6"/>
        <v>55994</v>
      </c>
      <c r="U52" s="1432">
        <f t="shared" si="7"/>
        <v>55761.333333333336</v>
      </c>
      <c r="V52" s="1432">
        <f t="shared" si="8"/>
        <v>42236</v>
      </c>
    </row>
    <row r="53" spans="1:22" s="1395" customFormat="1" ht="15">
      <c r="A53" s="1393" t="s">
        <v>1150</v>
      </c>
      <c r="B53" s="1393" t="s">
        <v>1151</v>
      </c>
      <c r="C53" s="1393" t="s">
        <v>1152</v>
      </c>
      <c r="D53" s="1394">
        <v>140</v>
      </c>
      <c r="E53" s="1394">
        <v>140</v>
      </c>
      <c r="F53" s="1394">
        <v>3648</v>
      </c>
      <c r="G53" s="1394">
        <v>0</v>
      </c>
      <c r="H53" s="1394">
        <v>450</v>
      </c>
      <c r="I53" s="1394">
        <v>0</v>
      </c>
      <c r="J53" s="1394">
        <v>570</v>
      </c>
      <c r="K53" s="1394">
        <v>492</v>
      </c>
      <c r="L53" s="1394">
        <v>628</v>
      </c>
      <c r="M53" s="1394">
        <v>1519</v>
      </c>
      <c r="N53" s="1394">
        <v>968</v>
      </c>
      <c r="O53" s="1394">
        <v>625</v>
      </c>
      <c r="R53" s="1432">
        <f t="shared" si="4"/>
        <v>7500</v>
      </c>
      <c r="S53" s="1432">
        <f t="shared" si="5"/>
        <v>12448</v>
      </c>
      <c r="T53" s="1432">
        <f t="shared" si="6"/>
        <v>9604</v>
      </c>
      <c r="U53" s="1432">
        <f t="shared" si="7"/>
        <v>7002.666666666667</v>
      </c>
      <c r="V53" s="1432">
        <f t="shared" si="8"/>
        <v>9180</v>
      </c>
    </row>
    <row r="54" spans="1:22" s="1395" customFormat="1" ht="15">
      <c r="A54" s="1393" t="s">
        <v>1153</v>
      </c>
      <c r="B54" s="1393" t="s">
        <v>1154</v>
      </c>
      <c r="C54" s="1393" t="s">
        <v>1155</v>
      </c>
      <c r="D54" s="1394">
        <v>976</v>
      </c>
      <c r="E54" s="1394">
        <v>976</v>
      </c>
      <c r="F54" s="1394">
        <v>1070</v>
      </c>
      <c r="G54" s="1394">
        <v>1024</v>
      </c>
      <c r="H54" s="1394">
        <v>0</v>
      </c>
      <c r="I54" s="1394">
        <v>1024</v>
      </c>
      <c r="J54" s="1394">
        <v>0</v>
      </c>
      <c r="K54" s="1394">
        <v>0</v>
      </c>
      <c r="L54" s="1394">
        <v>0</v>
      </c>
      <c r="M54" s="1394">
        <v>0</v>
      </c>
      <c r="N54" s="1394">
        <v>3072</v>
      </c>
      <c r="O54" s="1394">
        <v>0</v>
      </c>
      <c r="R54" s="1432">
        <f t="shared" si="4"/>
        <v>0</v>
      </c>
      <c r="S54" s="1432">
        <f t="shared" si="5"/>
        <v>12288</v>
      </c>
      <c r="T54" s="1432">
        <f t="shared" si="6"/>
        <v>6144</v>
      </c>
      <c r="U54" s="1432">
        <f t="shared" si="7"/>
        <v>6826.666666666667</v>
      </c>
      <c r="V54" s="1432">
        <f t="shared" si="8"/>
        <v>8142</v>
      </c>
    </row>
    <row r="55" spans="1:22" s="1395" customFormat="1" ht="15">
      <c r="A55" s="1393" t="s">
        <v>1150</v>
      </c>
      <c r="B55" s="1393" t="s">
        <v>1151</v>
      </c>
      <c r="C55" s="1393" t="s">
        <v>1156</v>
      </c>
      <c r="D55" s="1394">
        <v>0</v>
      </c>
      <c r="E55" s="1394">
        <v>0</v>
      </c>
      <c r="F55" s="1394">
        <v>0</v>
      </c>
      <c r="G55" s="1394">
        <v>0</v>
      </c>
      <c r="H55" s="1394">
        <v>180</v>
      </c>
      <c r="I55" s="1394">
        <v>0</v>
      </c>
      <c r="J55" s="1394">
        <v>0</v>
      </c>
      <c r="K55" s="1394">
        <v>0</v>
      </c>
      <c r="L55" s="1394">
        <v>350</v>
      </c>
      <c r="M55" s="1394">
        <v>540</v>
      </c>
      <c r="N55" s="1394">
        <v>680</v>
      </c>
      <c r="O55" s="1394">
        <v>0</v>
      </c>
      <c r="R55" s="1432">
        <f t="shared" si="4"/>
        <v>0</v>
      </c>
      <c r="S55" s="1432">
        <f t="shared" si="5"/>
        <v>4880</v>
      </c>
      <c r="T55" s="1432">
        <f t="shared" si="6"/>
        <v>3140</v>
      </c>
      <c r="U55" s="1432">
        <f t="shared" si="7"/>
        <v>2333.3333333333335</v>
      </c>
      <c r="V55" s="1432">
        <f t="shared" si="8"/>
        <v>1750</v>
      </c>
    </row>
    <row r="56" spans="1:22" s="1395" customFormat="1" ht="15">
      <c r="A56" s="1393"/>
      <c r="B56" s="1393"/>
      <c r="C56" s="1393" t="s">
        <v>1157</v>
      </c>
      <c r="D56" s="1394">
        <v>7766</v>
      </c>
      <c r="E56" s="1394">
        <v>7766</v>
      </c>
      <c r="F56" s="1394">
        <v>-3687</v>
      </c>
      <c r="G56" s="1394">
        <v>7632</v>
      </c>
      <c r="H56" s="1394">
        <v>7038</v>
      </c>
      <c r="I56" s="1394">
        <v>5632</v>
      </c>
      <c r="J56" s="1394">
        <v>7781</v>
      </c>
      <c r="K56" s="1394">
        <v>7625</v>
      </c>
      <c r="L56" s="1394">
        <v>5901</v>
      </c>
      <c r="M56" s="1394">
        <v>8842</v>
      </c>
      <c r="N56" s="1394">
        <v>11503</v>
      </c>
      <c r="O56" s="1394">
        <v>7408</v>
      </c>
      <c r="R56" s="1432">
        <f t="shared" si="4"/>
        <v>88896</v>
      </c>
      <c r="S56" s="1432">
        <f t="shared" si="5"/>
        <v>111012</v>
      </c>
      <c r="T56" s="1432">
        <f t="shared" si="6"/>
        <v>98120</v>
      </c>
      <c r="U56" s="1432">
        <f t="shared" si="7"/>
        <v>92482.666666666672</v>
      </c>
      <c r="V56" s="1432">
        <f t="shared" si="8"/>
        <v>81207</v>
      </c>
    </row>
    <row r="57" spans="1:22" s="1389" customFormat="1" ht="15">
      <c r="A57" s="1388"/>
      <c r="B57" s="1388"/>
      <c r="C57" s="1388" t="s">
        <v>394</v>
      </c>
      <c r="R57" s="1405">
        <f t="shared" si="4"/>
        <v>0</v>
      </c>
      <c r="S57" s="1405">
        <f t="shared" si="5"/>
        <v>0</v>
      </c>
      <c r="T57" s="1405">
        <f t="shared" si="6"/>
        <v>0</v>
      </c>
      <c r="U57" s="1405">
        <f t="shared" si="7"/>
        <v>0</v>
      </c>
      <c r="V57" s="1405">
        <f t="shared" si="8"/>
        <v>0</v>
      </c>
    </row>
    <row r="58" spans="1:22" s="1395" customFormat="1" ht="15">
      <c r="A58" s="1393"/>
      <c r="B58" s="1393"/>
      <c r="C58" s="1393" t="s">
        <v>1158</v>
      </c>
      <c r="D58" s="1394">
        <v>0</v>
      </c>
      <c r="E58" s="1394">
        <v>0</v>
      </c>
      <c r="F58" s="1394">
        <v>0</v>
      </c>
      <c r="G58" s="1394">
        <v>0</v>
      </c>
      <c r="H58" s="1394">
        <v>0</v>
      </c>
      <c r="I58" s="1394">
        <v>-90</v>
      </c>
      <c r="J58" s="1394">
        <v>30</v>
      </c>
      <c r="K58" s="1394">
        <v>0</v>
      </c>
      <c r="L58" s="1394">
        <v>0</v>
      </c>
      <c r="M58" s="1394">
        <v>96</v>
      </c>
      <c r="N58" s="1394">
        <v>0</v>
      </c>
      <c r="O58" s="1394">
        <v>0</v>
      </c>
      <c r="R58" s="1432">
        <f t="shared" si="4"/>
        <v>0</v>
      </c>
      <c r="S58" s="1432">
        <f t="shared" si="5"/>
        <v>384</v>
      </c>
      <c r="T58" s="1432">
        <f t="shared" si="6"/>
        <v>252</v>
      </c>
      <c r="U58" s="1432">
        <f t="shared" si="7"/>
        <v>48</v>
      </c>
      <c r="V58" s="1432">
        <f t="shared" si="8"/>
        <v>36</v>
      </c>
    </row>
    <row r="59" spans="1:22" s="1395" customFormat="1" ht="15">
      <c r="A59" s="1393"/>
      <c r="B59" s="1393"/>
      <c r="C59" s="1393" t="s">
        <v>1159</v>
      </c>
      <c r="D59" s="1394">
        <v>0</v>
      </c>
      <c r="E59" s="1394">
        <v>0</v>
      </c>
      <c r="F59" s="1394">
        <v>0</v>
      </c>
      <c r="G59" s="1394">
        <v>0</v>
      </c>
      <c r="H59" s="1394">
        <v>63</v>
      </c>
      <c r="I59" s="1394">
        <v>74</v>
      </c>
      <c r="J59" s="1394">
        <v>295</v>
      </c>
      <c r="K59" s="1394">
        <v>0</v>
      </c>
      <c r="L59" s="1394">
        <v>0</v>
      </c>
      <c r="M59" s="1394">
        <v>0</v>
      </c>
      <c r="N59" s="1394">
        <v>0</v>
      </c>
      <c r="O59" s="1394">
        <v>0</v>
      </c>
      <c r="R59" s="1432">
        <f t="shared" si="4"/>
        <v>0</v>
      </c>
      <c r="S59" s="1432">
        <f t="shared" si="5"/>
        <v>0</v>
      </c>
      <c r="T59" s="1432">
        <f t="shared" si="6"/>
        <v>590</v>
      </c>
      <c r="U59" s="1432">
        <f t="shared" si="7"/>
        <v>576</v>
      </c>
      <c r="V59" s="1432">
        <f t="shared" si="8"/>
        <v>432</v>
      </c>
    </row>
    <row r="60" spans="1:22" s="1395" customFormat="1" ht="15">
      <c r="A60" s="1393"/>
      <c r="B60" s="1393"/>
      <c r="C60" s="1393" t="s">
        <v>1160</v>
      </c>
      <c r="D60" s="1394">
        <v>0</v>
      </c>
      <c r="E60" s="1394">
        <v>0</v>
      </c>
      <c r="F60" s="1394">
        <v>0</v>
      </c>
      <c r="G60" s="1394">
        <v>0</v>
      </c>
      <c r="H60" s="1394">
        <v>0</v>
      </c>
      <c r="I60" s="1394">
        <v>0</v>
      </c>
      <c r="J60" s="1394">
        <v>0</v>
      </c>
      <c r="K60" s="1394">
        <v>0</v>
      </c>
      <c r="L60" s="1394">
        <v>0</v>
      </c>
      <c r="M60" s="1394">
        <v>11</v>
      </c>
      <c r="N60" s="1394">
        <v>0</v>
      </c>
      <c r="O60" s="1394">
        <v>0</v>
      </c>
      <c r="R60" s="1432">
        <f t="shared" si="4"/>
        <v>0</v>
      </c>
      <c r="S60" s="1432">
        <f t="shared" si="5"/>
        <v>44</v>
      </c>
      <c r="T60" s="1432">
        <f t="shared" si="6"/>
        <v>22</v>
      </c>
      <c r="U60" s="1432">
        <f t="shared" si="7"/>
        <v>14.666666666666666</v>
      </c>
      <c r="V60" s="1432">
        <f t="shared" si="8"/>
        <v>11</v>
      </c>
    </row>
    <row r="61" spans="1:22" s="1395" customFormat="1" ht="15">
      <c r="A61" s="1393"/>
      <c r="B61" s="1393"/>
      <c r="C61" s="1393" t="s">
        <v>1161</v>
      </c>
      <c r="D61" s="1394">
        <v>0</v>
      </c>
      <c r="E61" s="1394">
        <v>0</v>
      </c>
      <c r="F61" s="1394">
        <v>453</v>
      </c>
      <c r="G61" s="1394">
        <v>108</v>
      </c>
      <c r="H61" s="1394">
        <v>108</v>
      </c>
      <c r="I61" s="1394">
        <v>-92</v>
      </c>
      <c r="J61" s="1394">
        <v>0</v>
      </c>
      <c r="K61" s="1394">
        <v>0</v>
      </c>
      <c r="L61" s="1394">
        <v>180</v>
      </c>
      <c r="M61" s="1394">
        <v>0</v>
      </c>
      <c r="N61" s="1394">
        <v>0</v>
      </c>
      <c r="O61" s="1394">
        <v>380</v>
      </c>
      <c r="R61" s="1432">
        <f t="shared" si="4"/>
        <v>4560</v>
      </c>
      <c r="S61" s="1432">
        <f t="shared" si="5"/>
        <v>1520</v>
      </c>
      <c r="T61" s="1432">
        <f t="shared" si="6"/>
        <v>1120</v>
      </c>
      <c r="U61" s="1432">
        <f t="shared" si="7"/>
        <v>912</v>
      </c>
      <c r="V61" s="1432">
        <f t="shared" si="8"/>
        <v>1137</v>
      </c>
    </row>
    <row r="62" spans="1:22" s="1395" customFormat="1" ht="15">
      <c r="A62" s="1393"/>
      <c r="B62" s="1393"/>
      <c r="C62" s="1393" t="s">
        <v>1162</v>
      </c>
      <c r="D62" s="1394">
        <v>0</v>
      </c>
      <c r="E62" s="1394">
        <v>0</v>
      </c>
      <c r="F62" s="1394">
        <v>0</v>
      </c>
      <c r="G62" s="1394">
        <v>0</v>
      </c>
      <c r="H62" s="1394">
        <v>0</v>
      </c>
      <c r="I62" s="1394">
        <v>68</v>
      </c>
      <c r="J62" s="1394">
        <v>0</v>
      </c>
      <c r="K62" s="1394">
        <v>0</v>
      </c>
      <c r="L62" s="1394">
        <v>0</v>
      </c>
      <c r="M62" s="1394">
        <v>0</v>
      </c>
      <c r="N62" s="1394">
        <v>0</v>
      </c>
      <c r="O62" s="1394">
        <v>0</v>
      </c>
      <c r="R62" s="1432">
        <f t="shared" si="4"/>
        <v>0</v>
      </c>
      <c r="S62" s="1432">
        <f t="shared" si="5"/>
        <v>0</v>
      </c>
      <c r="T62" s="1432">
        <f t="shared" si="6"/>
        <v>0</v>
      </c>
      <c r="U62" s="1432">
        <f t="shared" si="7"/>
        <v>90.666666666666671</v>
      </c>
      <c r="V62" s="1432">
        <f t="shared" si="8"/>
        <v>68</v>
      </c>
    </row>
    <row r="63" spans="1:22" s="1395" customFormat="1" ht="15">
      <c r="A63" s="1393"/>
      <c r="B63" s="1393"/>
      <c r="C63" s="1393" t="s">
        <v>1163</v>
      </c>
      <c r="D63" s="1394">
        <v>0</v>
      </c>
      <c r="E63" s="1394">
        <v>69</v>
      </c>
      <c r="F63" s="1394">
        <v>72</v>
      </c>
      <c r="G63" s="1394">
        <v>72</v>
      </c>
      <c r="H63" s="1394">
        <v>191</v>
      </c>
      <c r="I63" s="1394">
        <v>0</v>
      </c>
      <c r="J63" s="1394">
        <v>72</v>
      </c>
      <c r="K63" s="1394">
        <v>0</v>
      </c>
      <c r="L63" s="1394">
        <v>0</v>
      </c>
      <c r="M63" s="1394">
        <v>0</v>
      </c>
      <c r="N63" s="1394">
        <v>0</v>
      </c>
      <c r="O63" s="1394">
        <v>0</v>
      </c>
      <c r="R63" s="1432">
        <f t="shared" si="4"/>
        <v>0</v>
      </c>
      <c r="S63" s="1432">
        <f t="shared" si="5"/>
        <v>0</v>
      </c>
      <c r="T63" s="1432">
        <f t="shared" si="6"/>
        <v>144</v>
      </c>
      <c r="U63" s="1432">
        <f t="shared" si="7"/>
        <v>446.66666666666669</v>
      </c>
      <c r="V63" s="1432">
        <f t="shared" si="8"/>
        <v>476</v>
      </c>
    </row>
    <row r="64" spans="1:22" s="1395" customFormat="1" ht="15">
      <c r="A64" s="1393"/>
      <c r="B64" s="1393"/>
      <c r="C64" s="1393" t="s">
        <v>1164</v>
      </c>
      <c r="D64" s="1394">
        <v>0</v>
      </c>
      <c r="E64" s="1394">
        <v>0</v>
      </c>
      <c r="F64" s="1394">
        <v>0</v>
      </c>
      <c r="G64" s="1394">
        <v>181</v>
      </c>
      <c r="H64" s="1394">
        <v>201</v>
      </c>
      <c r="I64" s="1394">
        <v>0</v>
      </c>
      <c r="J64" s="1394">
        <v>0</v>
      </c>
      <c r="K64" s="1394">
        <v>0</v>
      </c>
      <c r="L64" s="1394">
        <v>0</v>
      </c>
      <c r="M64" s="1394">
        <v>0</v>
      </c>
      <c r="N64" s="1394">
        <v>0</v>
      </c>
      <c r="O64" s="1394">
        <v>0</v>
      </c>
      <c r="R64" s="1432">
        <f t="shared" si="4"/>
        <v>0</v>
      </c>
      <c r="S64" s="1432">
        <f t="shared" si="5"/>
        <v>0</v>
      </c>
      <c r="T64" s="1432">
        <f t="shared" si="6"/>
        <v>0</v>
      </c>
      <c r="U64" s="1432">
        <f t="shared" si="7"/>
        <v>509.33333333333331</v>
      </c>
      <c r="V64" s="1432">
        <f t="shared" si="8"/>
        <v>382</v>
      </c>
    </row>
    <row r="65" spans="1:22" s="1395" customFormat="1" ht="15">
      <c r="A65" s="1393"/>
      <c r="B65" s="1393"/>
      <c r="C65" s="1393" t="s">
        <v>1165</v>
      </c>
      <c r="D65" s="1394">
        <v>396</v>
      </c>
      <c r="E65" s="1394">
        <v>0</v>
      </c>
      <c r="F65" s="1394">
        <v>2075</v>
      </c>
      <c r="G65" s="1394">
        <v>208</v>
      </c>
      <c r="H65" s="1394">
        <v>0</v>
      </c>
      <c r="I65" s="1394">
        <v>0</v>
      </c>
      <c r="J65" s="1394">
        <v>208</v>
      </c>
      <c r="K65" s="1394">
        <v>0</v>
      </c>
      <c r="L65" s="1394">
        <v>415</v>
      </c>
      <c r="M65" s="1394">
        <v>0</v>
      </c>
      <c r="N65" s="1394">
        <v>634</v>
      </c>
      <c r="O65" s="1394">
        <v>-1051</v>
      </c>
      <c r="R65" s="1432">
        <f t="shared" si="4"/>
        <v>-12612</v>
      </c>
      <c r="S65" s="1432">
        <f t="shared" si="5"/>
        <v>-1668</v>
      </c>
      <c r="T65" s="1432">
        <f t="shared" si="6"/>
        <v>412</v>
      </c>
      <c r="U65" s="1432">
        <f t="shared" si="7"/>
        <v>552</v>
      </c>
      <c r="V65" s="1432">
        <f t="shared" si="8"/>
        <v>2885</v>
      </c>
    </row>
    <row r="66" spans="1:22" s="1395" customFormat="1" ht="15">
      <c r="A66" s="1393"/>
      <c r="B66" s="1393"/>
      <c r="C66" s="1393" t="s">
        <v>1166</v>
      </c>
      <c r="D66" s="1394">
        <v>0</v>
      </c>
      <c r="E66" s="1394">
        <v>0</v>
      </c>
      <c r="F66" s="1394">
        <v>0</v>
      </c>
      <c r="G66" s="1394">
        <v>906</v>
      </c>
      <c r="H66" s="1394">
        <v>453</v>
      </c>
      <c r="I66" s="1394">
        <v>0</v>
      </c>
      <c r="J66" s="1394">
        <v>0</v>
      </c>
      <c r="K66" s="1394">
        <v>0</v>
      </c>
      <c r="L66" s="1394">
        <v>0</v>
      </c>
      <c r="M66" s="1394">
        <v>0</v>
      </c>
      <c r="N66" s="1394">
        <v>0</v>
      </c>
      <c r="O66" s="1394">
        <v>0</v>
      </c>
      <c r="R66" s="1432">
        <f t="shared" si="4"/>
        <v>0</v>
      </c>
      <c r="S66" s="1432">
        <f t="shared" si="5"/>
        <v>0</v>
      </c>
      <c r="T66" s="1432">
        <f t="shared" si="6"/>
        <v>0</v>
      </c>
      <c r="U66" s="1432">
        <f t="shared" si="7"/>
        <v>1812</v>
      </c>
      <c r="V66" s="1432">
        <f t="shared" si="8"/>
        <v>1359</v>
      </c>
    </row>
    <row r="67" spans="1:22" s="1395" customFormat="1" ht="15">
      <c r="A67" s="1393"/>
      <c r="B67" s="1393"/>
      <c r="C67" s="1393" t="s">
        <v>1167</v>
      </c>
      <c r="D67" s="1394">
        <v>0</v>
      </c>
      <c r="E67" s="1394">
        <v>0</v>
      </c>
      <c r="F67" s="1394">
        <v>0</v>
      </c>
      <c r="G67" s="1394">
        <v>0</v>
      </c>
      <c r="H67" s="1394">
        <v>262</v>
      </c>
      <c r="I67" s="1394">
        <v>-263</v>
      </c>
      <c r="J67" s="1394">
        <v>0</v>
      </c>
      <c r="K67" s="1394">
        <v>1054</v>
      </c>
      <c r="L67" s="1394">
        <v>0</v>
      </c>
      <c r="M67" s="1394">
        <v>0</v>
      </c>
      <c r="N67" s="1394">
        <v>0</v>
      </c>
      <c r="O67" s="1394">
        <v>0</v>
      </c>
      <c r="R67" s="1432">
        <f t="shared" si="4"/>
        <v>0</v>
      </c>
      <c r="S67" s="1432">
        <f t="shared" si="5"/>
        <v>0</v>
      </c>
      <c r="T67" s="1432">
        <f t="shared" si="6"/>
        <v>2108</v>
      </c>
      <c r="U67" s="1432">
        <f t="shared" si="7"/>
        <v>1404</v>
      </c>
      <c r="V67" s="1432">
        <f t="shared" si="8"/>
        <v>1053</v>
      </c>
    </row>
    <row r="68" spans="1:22" s="1395" customFormat="1" ht="15">
      <c r="A68" s="1393"/>
      <c r="B68" s="1393"/>
      <c r="C68" s="1393" t="s">
        <v>1168</v>
      </c>
      <c r="D68" s="1394">
        <v>120</v>
      </c>
      <c r="E68" s="1394">
        <v>58</v>
      </c>
      <c r="F68" s="1394">
        <v>0</v>
      </c>
      <c r="G68" s="1394">
        <v>27</v>
      </c>
      <c r="H68" s="1394">
        <v>0</v>
      </c>
      <c r="I68" s="1394">
        <v>0</v>
      </c>
      <c r="J68" s="1394">
        <v>0</v>
      </c>
      <c r="K68" s="1394">
        <v>0</v>
      </c>
      <c r="L68" s="1394">
        <v>0</v>
      </c>
      <c r="M68" s="1394">
        <v>69</v>
      </c>
      <c r="N68" s="1394">
        <v>0</v>
      </c>
      <c r="O68" s="1394">
        <v>0</v>
      </c>
      <c r="R68" s="1432">
        <f t="shared" si="4"/>
        <v>0</v>
      </c>
      <c r="S68" s="1432">
        <f t="shared" si="5"/>
        <v>276</v>
      </c>
      <c r="T68" s="1432">
        <f t="shared" si="6"/>
        <v>138</v>
      </c>
      <c r="U68" s="1432">
        <f t="shared" si="7"/>
        <v>128</v>
      </c>
      <c r="V68" s="1432">
        <f t="shared" si="8"/>
        <v>274</v>
      </c>
    </row>
    <row r="69" spans="1:22" s="1395" customFormat="1" ht="15">
      <c r="A69" s="1393"/>
      <c r="B69" s="1393"/>
      <c r="C69" s="1393" t="s">
        <v>1169</v>
      </c>
      <c r="D69" s="1394">
        <v>0</v>
      </c>
      <c r="E69" s="1394">
        <v>0</v>
      </c>
      <c r="F69" s="1394">
        <v>1663</v>
      </c>
      <c r="G69" s="1394">
        <v>0</v>
      </c>
      <c r="H69" s="1394">
        <v>40</v>
      </c>
      <c r="I69" s="1394">
        <v>1760</v>
      </c>
      <c r="J69" s="1394">
        <v>50</v>
      </c>
      <c r="K69" s="1394">
        <v>0</v>
      </c>
      <c r="L69" s="1394">
        <v>0</v>
      </c>
      <c r="M69" s="1394">
        <v>1344</v>
      </c>
      <c r="N69" s="1394">
        <v>0</v>
      </c>
      <c r="O69" s="1394">
        <v>50</v>
      </c>
      <c r="R69" s="1432">
        <f t="shared" si="4"/>
        <v>600</v>
      </c>
      <c r="S69" s="1432">
        <f t="shared" si="5"/>
        <v>5576</v>
      </c>
      <c r="T69" s="1432">
        <f t="shared" si="6"/>
        <v>2888</v>
      </c>
      <c r="U69" s="1432">
        <f t="shared" si="7"/>
        <v>4325.333333333333</v>
      </c>
      <c r="V69" s="1432">
        <f t="shared" si="8"/>
        <v>4907</v>
      </c>
    </row>
    <row r="70" spans="1:22" s="1395" customFormat="1" ht="15">
      <c r="A70" s="1393"/>
      <c r="B70" s="1393"/>
      <c r="C70" s="1393" t="s">
        <v>1170</v>
      </c>
      <c r="D70" s="1394">
        <v>0</v>
      </c>
      <c r="E70" s="1394">
        <v>0</v>
      </c>
      <c r="F70" s="1394">
        <v>0</v>
      </c>
      <c r="G70" s="1394">
        <v>0</v>
      </c>
      <c r="H70" s="1394">
        <v>41</v>
      </c>
      <c r="I70" s="1394">
        <v>0</v>
      </c>
      <c r="J70" s="1394">
        <v>0</v>
      </c>
      <c r="K70" s="1394">
        <v>0</v>
      </c>
      <c r="L70" s="1394">
        <v>0</v>
      </c>
      <c r="M70" s="1394">
        <v>0</v>
      </c>
      <c r="N70" s="1394">
        <v>0</v>
      </c>
      <c r="O70" s="1394">
        <v>0</v>
      </c>
      <c r="R70" s="1432">
        <f t="shared" si="4"/>
        <v>0</v>
      </c>
      <c r="S70" s="1432">
        <f t="shared" si="5"/>
        <v>0</v>
      </c>
      <c r="T70" s="1432">
        <f t="shared" si="6"/>
        <v>0</v>
      </c>
      <c r="U70" s="1432">
        <f t="shared" si="7"/>
        <v>54.666666666666664</v>
      </c>
      <c r="V70" s="1432">
        <f t="shared" si="8"/>
        <v>41</v>
      </c>
    </row>
    <row r="71" spans="1:22" s="1395" customFormat="1" ht="15">
      <c r="A71" s="1393"/>
      <c r="B71" s="1393"/>
      <c r="C71" s="1393" t="s">
        <v>1171</v>
      </c>
      <c r="D71" s="1394">
        <v>0</v>
      </c>
      <c r="E71" s="1394">
        <v>0</v>
      </c>
      <c r="F71" s="1394">
        <v>40</v>
      </c>
      <c r="G71" s="1394">
        <v>0</v>
      </c>
      <c r="H71" s="1394">
        <v>0</v>
      </c>
      <c r="I71" s="1394">
        <v>0</v>
      </c>
      <c r="J71" s="1394">
        <v>0</v>
      </c>
      <c r="K71" s="1394">
        <v>0</v>
      </c>
      <c r="L71" s="1394">
        <v>0</v>
      </c>
      <c r="M71" s="1394">
        <v>0</v>
      </c>
      <c r="N71" s="1394">
        <v>0</v>
      </c>
      <c r="O71" s="1394">
        <v>0</v>
      </c>
      <c r="R71" s="1432">
        <f t="shared" si="4"/>
        <v>0</v>
      </c>
      <c r="S71" s="1432">
        <f t="shared" si="5"/>
        <v>0</v>
      </c>
      <c r="T71" s="1432">
        <f t="shared" si="6"/>
        <v>0</v>
      </c>
      <c r="U71" s="1432">
        <f t="shared" si="7"/>
        <v>0</v>
      </c>
      <c r="V71" s="1432">
        <f t="shared" si="8"/>
        <v>40</v>
      </c>
    </row>
    <row r="72" spans="1:22" s="1395" customFormat="1" ht="15">
      <c r="A72" s="1393"/>
      <c r="B72" s="1393"/>
      <c r="C72" s="1393" t="s">
        <v>1172</v>
      </c>
      <c r="D72" s="1394">
        <v>497</v>
      </c>
      <c r="E72" s="1394">
        <v>474</v>
      </c>
      <c r="F72" s="1394">
        <v>507</v>
      </c>
      <c r="G72" s="1394">
        <v>309</v>
      </c>
      <c r="H72" s="1394">
        <v>349</v>
      </c>
      <c r="I72" s="1394">
        <v>349</v>
      </c>
      <c r="J72" s="1394">
        <v>404</v>
      </c>
      <c r="K72" s="1394">
        <v>244</v>
      </c>
      <c r="L72" s="1394">
        <v>374</v>
      </c>
      <c r="M72" s="1394">
        <v>378</v>
      </c>
      <c r="N72" s="1394">
        <v>480</v>
      </c>
      <c r="O72" s="1394">
        <v>498</v>
      </c>
      <c r="R72" s="1432">
        <f t="shared" si="4"/>
        <v>5976</v>
      </c>
      <c r="S72" s="1432">
        <f t="shared" si="5"/>
        <v>5424</v>
      </c>
      <c r="T72" s="1432">
        <f t="shared" si="6"/>
        <v>4756</v>
      </c>
      <c r="U72" s="1432">
        <f t="shared" si="7"/>
        <v>4513.333333333333</v>
      </c>
      <c r="V72" s="1432">
        <f t="shared" si="8"/>
        <v>4863</v>
      </c>
    </row>
    <row r="73" spans="1:22" s="1395" customFormat="1" ht="15">
      <c r="A73" s="1393"/>
      <c r="B73" s="1393"/>
      <c r="C73" s="1393" t="s">
        <v>1173</v>
      </c>
      <c r="D73" s="1394">
        <v>331</v>
      </c>
      <c r="E73" s="1394">
        <v>0</v>
      </c>
      <c r="F73" s="1394">
        <v>269</v>
      </c>
      <c r="G73" s="1394">
        <v>215</v>
      </c>
      <c r="H73" s="1394">
        <v>0</v>
      </c>
      <c r="I73" s="1394">
        <v>0</v>
      </c>
      <c r="J73" s="1394">
        <v>105</v>
      </c>
      <c r="K73" s="1394">
        <v>0</v>
      </c>
      <c r="L73" s="1394">
        <v>144</v>
      </c>
      <c r="M73" s="1394">
        <v>0</v>
      </c>
      <c r="N73" s="1394">
        <v>596</v>
      </c>
      <c r="O73" s="1394">
        <v>47</v>
      </c>
      <c r="R73" s="1432">
        <f t="shared" si="4"/>
        <v>564</v>
      </c>
      <c r="S73" s="1432">
        <f t="shared" si="5"/>
        <v>2572</v>
      </c>
      <c r="T73" s="1432">
        <f t="shared" si="6"/>
        <v>1784</v>
      </c>
      <c r="U73" s="1432">
        <f t="shared" si="7"/>
        <v>1476</v>
      </c>
      <c r="V73" s="1432">
        <f t="shared" si="8"/>
        <v>1707</v>
      </c>
    </row>
    <row r="74" spans="1:22" s="1395" customFormat="1" ht="15">
      <c r="A74" s="1393"/>
      <c r="B74" s="1393"/>
      <c r="C74" s="1393" t="s">
        <v>1174</v>
      </c>
      <c r="D74" s="1394">
        <v>0</v>
      </c>
      <c r="E74" s="1394">
        <v>0</v>
      </c>
      <c r="F74" s="1394">
        <v>0</v>
      </c>
      <c r="G74" s="1394">
        <v>0</v>
      </c>
      <c r="H74" s="1394">
        <v>0</v>
      </c>
      <c r="I74" s="1394">
        <v>0</v>
      </c>
      <c r="J74" s="1394">
        <v>0</v>
      </c>
      <c r="K74" s="1394">
        <v>15</v>
      </c>
      <c r="L74" s="1394">
        <v>0</v>
      </c>
      <c r="M74" s="1394">
        <v>0</v>
      </c>
      <c r="N74" s="1394">
        <v>0</v>
      </c>
      <c r="O74" s="1394">
        <v>0</v>
      </c>
      <c r="R74" s="1432">
        <f t="shared" si="4"/>
        <v>0</v>
      </c>
      <c r="S74" s="1432">
        <f t="shared" si="5"/>
        <v>0</v>
      </c>
      <c r="T74" s="1432">
        <f t="shared" si="6"/>
        <v>30</v>
      </c>
      <c r="U74" s="1432">
        <f t="shared" si="7"/>
        <v>20</v>
      </c>
      <c r="V74" s="1432">
        <f t="shared" si="8"/>
        <v>15</v>
      </c>
    </row>
    <row r="75" spans="1:22" s="1395" customFormat="1" ht="15">
      <c r="A75" s="1393"/>
      <c r="B75" s="1393"/>
      <c r="C75" s="1393" t="s">
        <v>1175</v>
      </c>
      <c r="D75" s="1394">
        <v>2940</v>
      </c>
      <c r="E75" s="1394">
        <v>1050</v>
      </c>
      <c r="F75" s="1394">
        <v>-1223</v>
      </c>
      <c r="G75" s="1394">
        <v>992</v>
      </c>
      <c r="H75" s="1394">
        <v>0</v>
      </c>
      <c r="I75" s="1394">
        <v>0</v>
      </c>
      <c r="J75" s="1394">
        <v>993</v>
      </c>
      <c r="K75" s="1394">
        <v>0</v>
      </c>
      <c r="L75" s="1394">
        <v>1984</v>
      </c>
      <c r="M75" s="1394">
        <v>0</v>
      </c>
      <c r="N75" s="1394">
        <v>2977</v>
      </c>
      <c r="O75" s="1394">
        <v>1042</v>
      </c>
      <c r="R75" s="1432">
        <f t="shared" si="4"/>
        <v>12504</v>
      </c>
      <c r="S75" s="1432">
        <f t="shared" si="5"/>
        <v>16076</v>
      </c>
      <c r="T75" s="1432">
        <f t="shared" si="6"/>
        <v>13992</v>
      </c>
      <c r="U75" s="1432">
        <f t="shared" si="7"/>
        <v>10650.666666666666</v>
      </c>
      <c r="V75" s="1432">
        <f t="shared" si="8"/>
        <v>10755</v>
      </c>
    </row>
    <row r="76" spans="1:22" s="1395" customFormat="1" ht="15">
      <c r="A76" s="1393"/>
      <c r="B76" s="1393"/>
      <c r="C76" s="1393" t="s">
        <v>1176</v>
      </c>
      <c r="D76" s="1394">
        <v>4607</v>
      </c>
      <c r="E76" s="1394">
        <v>0</v>
      </c>
      <c r="F76" s="1394">
        <v>0</v>
      </c>
      <c r="G76" s="1394">
        <v>0</v>
      </c>
      <c r="H76" s="1394">
        <v>0</v>
      </c>
      <c r="I76" s="1394">
        <v>0</v>
      </c>
      <c r="J76" s="1394">
        <v>0</v>
      </c>
      <c r="K76" s="1394">
        <v>22</v>
      </c>
      <c r="L76" s="1394">
        <v>6</v>
      </c>
      <c r="M76" s="1394">
        <v>43</v>
      </c>
      <c r="N76" s="1394">
        <v>0</v>
      </c>
      <c r="O76" s="1394">
        <v>0</v>
      </c>
      <c r="R76" s="1432">
        <f t="shared" si="4"/>
        <v>0</v>
      </c>
      <c r="S76" s="1432">
        <f t="shared" si="5"/>
        <v>172</v>
      </c>
      <c r="T76" s="1432">
        <f t="shared" si="6"/>
        <v>142</v>
      </c>
      <c r="U76" s="1432">
        <f t="shared" si="7"/>
        <v>94.666666666666671</v>
      </c>
      <c r="V76" s="1432">
        <f t="shared" si="8"/>
        <v>4678</v>
      </c>
    </row>
    <row r="77" spans="1:22" s="1395" customFormat="1" ht="15">
      <c r="A77" s="1393" t="s">
        <v>1177</v>
      </c>
      <c r="B77" s="1393" t="s">
        <v>394</v>
      </c>
      <c r="C77" s="1393" t="s">
        <v>1178</v>
      </c>
      <c r="D77" s="1394">
        <v>8891</v>
      </c>
      <c r="E77" s="1394">
        <v>1651</v>
      </c>
      <c r="F77" s="1394">
        <v>3856</v>
      </c>
      <c r="G77" s="1394">
        <v>3018</v>
      </c>
      <c r="H77" s="1394">
        <v>1708</v>
      </c>
      <c r="I77" s="1394">
        <v>1806</v>
      </c>
      <c r="J77" s="1394">
        <v>2157</v>
      </c>
      <c r="K77" s="1394">
        <v>1335</v>
      </c>
      <c r="L77" s="1394">
        <v>3103</v>
      </c>
      <c r="M77" s="1394">
        <v>1941</v>
      </c>
      <c r="N77" s="1394">
        <v>4687</v>
      </c>
      <c r="O77" s="1394">
        <v>966</v>
      </c>
      <c r="R77" s="1432">
        <f t="shared" si="4"/>
        <v>11592</v>
      </c>
      <c r="S77" s="1432">
        <f t="shared" si="5"/>
        <v>30376</v>
      </c>
      <c r="T77" s="1432">
        <f t="shared" si="6"/>
        <v>28378</v>
      </c>
      <c r="U77" s="1432">
        <f t="shared" si="7"/>
        <v>27628</v>
      </c>
      <c r="V77" s="1432">
        <f t="shared" si="8"/>
        <v>35119</v>
      </c>
    </row>
    <row r="78" spans="1:22" s="1389" customFormat="1" ht="15">
      <c r="A78" s="1388"/>
      <c r="B78" s="1388"/>
      <c r="C78" s="1388" t="s">
        <v>1179</v>
      </c>
      <c r="R78" s="1405">
        <f t="shared" si="4"/>
        <v>0</v>
      </c>
      <c r="S78" s="1405">
        <f t="shared" si="5"/>
        <v>0</v>
      </c>
      <c r="T78" s="1405">
        <f t="shared" si="6"/>
        <v>0</v>
      </c>
      <c r="U78" s="1405">
        <f t="shared" si="7"/>
        <v>0</v>
      </c>
      <c r="V78" s="1405">
        <f t="shared" si="8"/>
        <v>0</v>
      </c>
    </row>
    <row r="79" spans="1:22" s="1395" customFormat="1" ht="15">
      <c r="A79" s="1393"/>
      <c r="B79" s="1393"/>
      <c r="C79" s="1393" t="s">
        <v>1180</v>
      </c>
      <c r="D79" s="1394">
        <v>0</v>
      </c>
      <c r="E79" s="1394">
        <v>3271</v>
      </c>
      <c r="F79" s="1394">
        <v>-1011</v>
      </c>
      <c r="G79" s="1394">
        <v>920</v>
      </c>
      <c r="H79" s="1394">
        <v>0</v>
      </c>
      <c r="I79" s="1394">
        <v>0</v>
      </c>
      <c r="J79" s="1394">
        <v>0</v>
      </c>
      <c r="K79" s="1394">
        <v>0</v>
      </c>
      <c r="L79" s="1394">
        <v>0</v>
      </c>
      <c r="M79" s="1394">
        <v>-3272</v>
      </c>
      <c r="N79" s="1394">
        <v>0</v>
      </c>
      <c r="O79" s="1394">
        <v>0</v>
      </c>
      <c r="R79" s="1432">
        <f t="shared" si="4"/>
        <v>0</v>
      </c>
      <c r="S79" s="1432">
        <f t="shared" si="5"/>
        <v>-13088</v>
      </c>
      <c r="T79" s="1432">
        <f t="shared" si="6"/>
        <v>-6544</v>
      </c>
      <c r="U79" s="1432">
        <f t="shared" si="7"/>
        <v>-3136</v>
      </c>
      <c r="V79" s="1432">
        <f t="shared" si="8"/>
        <v>-92</v>
      </c>
    </row>
    <row r="80" spans="1:22" s="1395" customFormat="1" ht="15">
      <c r="A80" s="1393"/>
      <c r="B80" s="1393"/>
      <c r="C80" s="1393" t="s">
        <v>1181</v>
      </c>
      <c r="D80" s="1394">
        <v>1278</v>
      </c>
      <c r="E80" s="1394">
        <v>1278</v>
      </c>
      <c r="F80" s="1394">
        <v>2760</v>
      </c>
      <c r="G80" s="1394">
        <v>1380</v>
      </c>
      <c r="H80" s="1394">
        <v>0</v>
      </c>
      <c r="I80" s="1394">
        <v>0</v>
      </c>
      <c r="J80" s="1394">
        <v>0</v>
      </c>
      <c r="K80" s="1394">
        <v>0</v>
      </c>
      <c r="L80" s="1394">
        <v>0</v>
      </c>
      <c r="M80" s="1394">
        <v>0</v>
      </c>
      <c r="N80" s="1394">
        <v>825</v>
      </c>
      <c r="O80" s="1394">
        <v>0</v>
      </c>
      <c r="R80" s="1432">
        <f t="shared" si="4"/>
        <v>0</v>
      </c>
      <c r="S80" s="1432">
        <f t="shared" si="5"/>
        <v>3300</v>
      </c>
      <c r="T80" s="1432">
        <f t="shared" si="6"/>
        <v>1650</v>
      </c>
      <c r="U80" s="1432">
        <f t="shared" si="7"/>
        <v>2940</v>
      </c>
      <c r="V80" s="1432">
        <f t="shared" si="8"/>
        <v>7521</v>
      </c>
    </row>
    <row r="81" spans="1:22" s="1395" customFormat="1" ht="15">
      <c r="A81" s="1393"/>
      <c r="B81" s="1393"/>
      <c r="C81" s="1393" t="s">
        <v>1182</v>
      </c>
      <c r="D81" s="1394">
        <v>0</v>
      </c>
      <c r="E81" s="1394">
        <v>0</v>
      </c>
      <c r="F81" s="1394">
        <v>189</v>
      </c>
      <c r="G81" s="1394">
        <v>147</v>
      </c>
      <c r="H81" s="1394">
        <v>208</v>
      </c>
      <c r="I81" s="1394">
        <v>885</v>
      </c>
      <c r="J81" s="1394">
        <v>0</v>
      </c>
      <c r="K81" s="1394">
        <v>0</v>
      </c>
      <c r="L81" s="1394">
        <v>0</v>
      </c>
      <c r="M81" s="1394">
        <v>0</v>
      </c>
      <c r="N81" s="1394">
        <v>0</v>
      </c>
      <c r="O81" s="1394">
        <v>0</v>
      </c>
      <c r="R81" s="1432">
        <f t="shared" si="4"/>
        <v>0</v>
      </c>
      <c r="S81" s="1432">
        <f t="shared" si="5"/>
        <v>0</v>
      </c>
      <c r="T81" s="1432">
        <f t="shared" si="6"/>
        <v>0</v>
      </c>
      <c r="U81" s="1432">
        <f t="shared" si="7"/>
        <v>1653.3333333333333</v>
      </c>
      <c r="V81" s="1432">
        <f t="shared" si="8"/>
        <v>1429</v>
      </c>
    </row>
    <row r="82" spans="1:22" s="1395" customFormat="1" ht="15">
      <c r="A82" s="1393"/>
      <c r="B82" s="1393"/>
      <c r="C82" s="1393" t="s">
        <v>1183</v>
      </c>
      <c r="D82" s="1394">
        <v>0</v>
      </c>
      <c r="E82" s="1394">
        <v>0</v>
      </c>
      <c r="F82" s="1394">
        <v>0</v>
      </c>
      <c r="G82" s="1394">
        <v>0</v>
      </c>
      <c r="H82" s="1394">
        <v>1500</v>
      </c>
      <c r="I82" s="1394">
        <v>-750</v>
      </c>
      <c r="J82" s="1394">
        <v>750</v>
      </c>
      <c r="K82" s="1394">
        <v>0</v>
      </c>
      <c r="L82" s="1394">
        <v>0</v>
      </c>
      <c r="M82" s="1394">
        <v>0</v>
      </c>
      <c r="N82" s="1394">
        <v>0</v>
      </c>
      <c r="O82" s="1394">
        <v>0</v>
      </c>
      <c r="R82" s="1432">
        <f t="shared" si="4"/>
        <v>0</v>
      </c>
      <c r="S82" s="1432">
        <f t="shared" si="5"/>
        <v>0</v>
      </c>
      <c r="T82" s="1432">
        <f t="shared" si="6"/>
        <v>1500</v>
      </c>
      <c r="U82" s="1432">
        <f t="shared" si="7"/>
        <v>2000</v>
      </c>
      <c r="V82" s="1432">
        <f t="shared" si="8"/>
        <v>1500</v>
      </c>
    </row>
    <row r="83" spans="1:22" s="1395" customFormat="1" ht="15">
      <c r="A83" s="1393"/>
      <c r="B83" s="1393"/>
      <c r="C83" s="1393" t="s">
        <v>1184</v>
      </c>
      <c r="D83" s="1394">
        <v>680</v>
      </c>
      <c r="E83" s="1394">
        <v>900</v>
      </c>
      <c r="F83" s="1394">
        <v>0</v>
      </c>
      <c r="G83" s="1394">
        <v>216</v>
      </c>
      <c r="H83" s="1394">
        <v>451</v>
      </c>
      <c r="I83" s="1394">
        <v>0</v>
      </c>
      <c r="J83" s="1394">
        <v>214</v>
      </c>
      <c r="K83" s="1394">
        <v>0</v>
      </c>
      <c r="L83" s="1394">
        <v>194</v>
      </c>
      <c r="M83" s="1394">
        <v>0</v>
      </c>
      <c r="N83" s="1394">
        <v>0</v>
      </c>
      <c r="O83" s="1394">
        <v>0</v>
      </c>
      <c r="R83" s="1432">
        <f t="shared" si="4"/>
        <v>0</v>
      </c>
      <c r="S83" s="1432">
        <f t="shared" si="5"/>
        <v>0</v>
      </c>
      <c r="T83" s="1432">
        <f t="shared" si="6"/>
        <v>816</v>
      </c>
      <c r="U83" s="1432">
        <f t="shared" si="7"/>
        <v>1433.3333333333333</v>
      </c>
      <c r="V83" s="1432">
        <f t="shared" si="8"/>
        <v>2655</v>
      </c>
    </row>
    <row r="84" spans="1:22" s="1395" customFormat="1" ht="15">
      <c r="A84" s="1393"/>
      <c r="B84" s="1393"/>
      <c r="C84" s="1393" t="s">
        <v>1185</v>
      </c>
      <c r="D84" s="1394">
        <v>0</v>
      </c>
      <c r="E84" s="1394">
        <v>0</v>
      </c>
      <c r="F84" s="1394">
        <v>358</v>
      </c>
      <c r="G84" s="1394">
        <v>0</v>
      </c>
      <c r="H84" s="1394">
        <v>0</v>
      </c>
      <c r="I84" s="1394">
        <v>0</v>
      </c>
      <c r="J84" s="1394">
        <v>0</v>
      </c>
      <c r="K84" s="1394">
        <v>0</v>
      </c>
      <c r="L84" s="1394">
        <v>0</v>
      </c>
      <c r="M84" s="1394">
        <v>80</v>
      </c>
      <c r="N84" s="1394">
        <v>0</v>
      </c>
      <c r="O84" s="1394">
        <v>0</v>
      </c>
      <c r="R84" s="1432">
        <f t="shared" si="4"/>
        <v>0</v>
      </c>
      <c r="S84" s="1432">
        <f t="shared" si="5"/>
        <v>320</v>
      </c>
      <c r="T84" s="1432">
        <f t="shared" si="6"/>
        <v>160</v>
      </c>
      <c r="U84" s="1432">
        <f t="shared" si="7"/>
        <v>106.66666666666667</v>
      </c>
      <c r="V84" s="1432">
        <f t="shared" si="8"/>
        <v>438</v>
      </c>
    </row>
    <row r="85" spans="1:22" s="1395" customFormat="1" ht="15">
      <c r="A85" s="1393" t="s">
        <v>1186</v>
      </c>
      <c r="B85" s="1393" t="s">
        <v>391</v>
      </c>
      <c r="C85" s="1393" t="s">
        <v>1187</v>
      </c>
      <c r="D85" s="1394">
        <v>1958</v>
      </c>
      <c r="E85" s="1394">
        <v>5449</v>
      </c>
      <c r="F85" s="1394">
        <v>2296</v>
      </c>
      <c r="G85" s="1394">
        <v>2663</v>
      </c>
      <c r="H85" s="1394">
        <v>2159</v>
      </c>
      <c r="I85" s="1394">
        <v>135</v>
      </c>
      <c r="J85" s="1394">
        <v>964</v>
      </c>
      <c r="K85" s="1394">
        <v>0</v>
      </c>
      <c r="L85" s="1394">
        <v>194</v>
      </c>
      <c r="M85" s="1394">
        <v>-3192</v>
      </c>
      <c r="N85" s="1394">
        <v>825</v>
      </c>
      <c r="O85" s="1394">
        <v>0</v>
      </c>
      <c r="R85" s="1432">
        <f t="shared" si="4"/>
        <v>0</v>
      </c>
      <c r="S85" s="1432">
        <f t="shared" si="5"/>
        <v>-9468</v>
      </c>
      <c r="T85" s="1432">
        <f t="shared" si="6"/>
        <v>-2418</v>
      </c>
      <c r="U85" s="1432">
        <f t="shared" si="7"/>
        <v>4997.333333333333</v>
      </c>
      <c r="V85" s="1432">
        <f t="shared" si="8"/>
        <v>13451</v>
      </c>
    </row>
    <row r="86" spans="1:22" s="1389" customFormat="1" ht="15">
      <c r="A86" s="1388"/>
      <c r="B86" s="1388"/>
      <c r="C86" s="1388" t="s">
        <v>398</v>
      </c>
      <c r="R86" s="1405">
        <f t="shared" si="4"/>
        <v>0</v>
      </c>
      <c r="S86" s="1405">
        <f t="shared" si="5"/>
        <v>0</v>
      </c>
      <c r="T86" s="1405">
        <f t="shared" si="6"/>
        <v>0</v>
      </c>
      <c r="U86" s="1405">
        <f t="shared" si="7"/>
        <v>0</v>
      </c>
      <c r="V86" s="1405">
        <f t="shared" si="8"/>
        <v>0</v>
      </c>
    </row>
    <row r="87" spans="1:22" s="1395" customFormat="1" ht="15">
      <c r="A87" s="1393" t="s">
        <v>1188</v>
      </c>
      <c r="B87" s="1393" t="s">
        <v>397</v>
      </c>
      <c r="C87" s="1393" t="s">
        <v>1189</v>
      </c>
      <c r="D87" s="1394">
        <v>1676</v>
      </c>
      <c r="E87" s="1394">
        <v>2049</v>
      </c>
      <c r="F87" s="1394">
        <v>2368</v>
      </c>
      <c r="G87" s="1394">
        <v>2410</v>
      </c>
      <c r="H87" s="1394">
        <v>2377</v>
      </c>
      <c r="I87" s="1394">
        <v>1798</v>
      </c>
      <c r="J87" s="1394">
        <v>1354</v>
      </c>
      <c r="K87" s="1394">
        <v>1824</v>
      </c>
      <c r="L87" s="1394">
        <v>2675</v>
      </c>
      <c r="M87" s="1394">
        <v>3241</v>
      </c>
      <c r="N87" s="1394">
        <v>4758</v>
      </c>
      <c r="O87" s="1394">
        <v>417</v>
      </c>
      <c r="R87" s="1432">
        <f t="shared" si="4"/>
        <v>5004</v>
      </c>
      <c r="S87" s="1432">
        <f t="shared" si="5"/>
        <v>33664</v>
      </c>
      <c r="T87" s="1432">
        <f t="shared" si="6"/>
        <v>28538</v>
      </c>
      <c r="U87" s="1432">
        <f t="shared" si="7"/>
        <v>27805.333333333332</v>
      </c>
      <c r="V87" s="1432">
        <f t="shared" si="8"/>
        <v>26947</v>
      </c>
    </row>
    <row r="88" spans="1:22" s="1395" customFormat="1" ht="15">
      <c r="A88" s="1393" t="s">
        <v>1153</v>
      </c>
      <c r="B88" s="1393" t="s">
        <v>1154</v>
      </c>
      <c r="C88" s="1393" t="s">
        <v>1190</v>
      </c>
      <c r="D88" s="1394">
        <v>1000</v>
      </c>
      <c r="E88" s="1394">
        <v>1000</v>
      </c>
      <c r="F88" s="1394">
        <v>-331</v>
      </c>
      <c r="G88" s="1394">
        <v>0</v>
      </c>
      <c r="H88" s="1394">
        <v>0</v>
      </c>
      <c r="I88" s="1394">
        <v>0</v>
      </c>
      <c r="J88" s="1394">
        <v>0</v>
      </c>
      <c r="K88" s="1394">
        <v>1385</v>
      </c>
      <c r="L88" s="1394">
        <v>0</v>
      </c>
      <c r="M88" s="1394">
        <v>1385</v>
      </c>
      <c r="N88" s="1394">
        <v>1300</v>
      </c>
      <c r="O88" s="1394">
        <v>1300</v>
      </c>
      <c r="R88" s="1432">
        <f t="shared" si="4"/>
        <v>15600</v>
      </c>
      <c r="S88" s="1432">
        <f t="shared" si="5"/>
        <v>15940</v>
      </c>
      <c r="T88" s="1432">
        <f t="shared" si="6"/>
        <v>10740</v>
      </c>
      <c r="U88" s="1432">
        <f t="shared" si="7"/>
        <v>7160</v>
      </c>
      <c r="V88" s="1432">
        <f t="shared" si="8"/>
        <v>7039</v>
      </c>
    </row>
    <row r="89" spans="1:22" s="1395" customFormat="1" ht="15">
      <c r="A89" s="1393"/>
      <c r="B89" s="1393"/>
      <c r="C89" s="1393" t="s">
        <v>1191</v>
      </c>
      <c r="D89" s="1394">
        <v>2676</v>
      </c>
      <c r="E89" s="1394">
        <v>3049</v>
      </c>
      <c r="F89" s="1394">
        <v>2037</v>
      </c>
      <c r="G89" s="1394">
        <v>2410</v>
      </c>
      <c r="H89" s="1394">
        <v>2377</v>
      </c>
      <c r="I89" s="1394">
        <v>1798</v>
      </c>
      <c r="J89" s="1394">
        <v>1354</v>
      </c>
      <c r="K89" s="1394">
        <v>3209</v>
      </c>
      <c r="L89" s="1394">
        <v>2675</v>
      </c>
      <c r="M89" s="1394">
        <v>4626</v>
      </c>
      <c r="N89" s="1394">
        <v>6058</v>
      </c>
      <c r="O89" s="1394">
        <v>1717</v>
      </c>
      <c r="R89" s="1432">
        <f t="shared" si="4"/>
        <v>20604</v>
      </c>
      <c r="S89" s="1432">
        <f t="shared" si="5"/>
        <v>49604</v>
      </c>
      <c r="T89" s="1432">
        <f t="shared" si="6"/>
        <v>39278</v>
      </c>
      <c r="U89" s="1432">
        <f t="shared" si="7"/>
        <v>34965.333333333336</v>
      </c>
      <c r="V89" s="1432">
        <f t="shared" si="8"/>
        <v>33986</v>
      </c>
    </row>
    <row r="90" spans="1:22" s="1389" customFormat="1" ht="15">
      <c r="A90" s="1388"/>
      <c r="B90" s="1388"/>
      <c r="C90" s="1388" t="s">
        <v>1192</v>
      </c>
      <c r="R90" s="1405">
        <f t="shared" si="4"/>
        <v>0</v>
      </c>
      <c r="S90" s="1405">
        <f t="shared" si="5"/>
        <v>0</v>
      </c>
      <c r="T90" s="1405">
        <f t="shared" si="6"/>
        <v>0</v>
      </c>
      <c r="U90" s="1405">
        <f t="shared" si="7"/>
        <v>0</v>
      </c>
      <c r="V90" s="1405">
        <f t="shared" si="8"/>
        <v>0</v>
      </c>
    </row>
    <row r="91" spans="1:22" s="1395" customFormat="1" ht="15">
      <c r="A91" s="1393"/>
      <c r="B91" s="1393"/>
      <c r="C91" s="1393" t="s">
        <v>1193</v>
      </c>
      <c r="D91" s="1394">
        <v>0</v>
      </c>
      <c r="E91" s="1394">
        <v>0</v>
      </c>
      <c r="F91" s="1394">
        <v>956</v>
      </c>
      <c r="G91" s="1394">
        <v>0</v>
      </c>
      <c r="H91" s="1394">
        <v>0</v>
      </c>
      <c r="I91" s="1394">
        <v>90</v>
      </c>
      <c r="J91" s="1394">
        <v>2127</v>
      </c>
      <c r="K91" s="1394">
        <v>0</v>
      </c>
      <c r="L91" s="1394">
        <v>0</v>
      </c>
      <c r="M91" s="1394">
        <v>720</v>
      </c>
      <c r="N91" s="1394">
        <v>280</v>
      </c>
      <c r="O91" s="1394">
        <v>0</v>
      </c>
      <c r="R91" s="1432">
        <f t="shared" si="4"/>
        <v>0</v>
      </c>
      <c r="S91" s="1432">
        <f t="shared" si="5"/>
        <v>4000</v>
      </c>
      <c r="T91" s="1432">
        <f t="shared" si="6"/>
        <v>6254</v>
      </c>
      <c r="U91" s="1432">
        <f t="shared" si="7"/>
        <v>4289.333333333333</v>
      </c>
      <c r="V91" s="1432">
        <f t="shared" si="8"/>
        <v>4173</v>
      </c>
    </row>
    <row r="92" spans="1:22" s="1395" customFormat="1" ht="15">
      <c r="A92" s="1393"/>
      <c r="B92" s="1393"/>
      <c r="C92" s="1393" t="s">
        <v>1194</v>
      </c>
      <c r="D92" s="1394">
        <v>305</v>
      </c>
      <c r="E92" s="1394">
        <v>0</v>
      </c>
      <c r="F92" s="1394">
        <v>0</v>
      </c>
      <c r="G92" s="1394">
        <v>0</v>
      </c>
      <c r="H92" s="1394">
        <v>0</v>
      </c>
      <c r="I92" s="1394">
        <v>0</v>
      </c>
      <c r="J92" s="1394">
        <v>0</v>
      </c>
      <c r="K92" s="1394">
        <v>0</v>
      </c>
      <c r="L92" s="1394">
        <v>597</v>
      </c>
      <c r="M92" s="1394">
        <v>180</v>
      </c>
      <c r="N92" s="1394">
        <v>0</v>
      </c>
      <c r="O92" s="1394">
        <v>0</v>
      </c>
      <c r="R92" s="1432">
        <f t="shared" si="4"/>
        <v>0</v>
      </c>
      <c r="S92" s="1432">
        <f t="shared" si="5"/>
        <v>720</v>
      </c>
      <c r="T92" s="1432">
        <f t="shared" si="6"/>
        <v>1554</v>
      </c>
      <c r="U92" s="1432">
        <f t="shared" si="7"/>
        <v>1036</v>
      </c>
      <c r="V92" s="1432">
        <f t="shared" si="8"/>
        <v>1082</v>
      </c>
    </row>
    <row r="93" spans="1:22" s="1395" customFormat="1" ht="15">
      <c r="A93" s="1393"/>
      <c r="B93" s="1393"/>
      <c r="C93" s="1393" t="s">
        <v>1195</v>
      </c>
      <c r="D93" s="1394">
        <v>0</v>
      </c>
      <c r="E93" s="1394">
        <v>0</v>
      </c>
      <c r="F93" s="1394">
        <v>0</v>
      </c>
      <c r="G93" s="1394">
        <v>0</v>
      </c>
      <c r="H93" s="1394">
        <v>75</v>
      </c>
      <c r="I93" s="1394">
        <v>0</v>
      </c>
      <c r="J93" s="1394">
        <v>0</v>
      </c>
      <c r="K93" s="1394">
        <v>0</v>
      </c>
      <c r="L93" s="1394">
        <v>100</v>
      </c>
      <c r="M93" s="1394">
        <v>0</v>
      </c>
      <c r="N93" s="1394">
        <v>59</v>
      </c>
      <c r="O93" s="1394">
        <v>0</v>
      </c>
      <c r="R93" s="1432">
        <f t="shared" si="4"/>
        <v>0</v>
      </c>
      <c r="S93" s="1432">
        <f t="shared" si="5"/>
        <v>236</v>
      </c>
      <c r="T93" s="1432">
        <f t="shared" si="6"/>
        <v>318</v>
      </c>
      <c r="U93" s="1432">
        <f t="shared" si="7"/>
        <v>312</v>
      </c>
      <c r="V93" s="1432">
        <f t="shared" si="8"/>
        <v>234</v>
      </c>
    </row>
    <row r="94" spans="1:22" s="1395" customFormat="1" ht="15">
      <c r="A94" s="1393"/>
      <c r="B94" s="1393"/>
      <c r="C94" s="1393" t="s">
        <v>1196</v>
      </c>
      <c r="D94" s="1394">
        <v>0</v>
      </c>
      <c r="E94" s="1394">
        <v>0</v>
      </c>
      <c r="F94" s="1394">
        <v>0</v>
      </c>
      <c r="G94" s="1394">
        <v>0</v>
      </c>
      <c r="H94" s="1394">
        <v>0</v>
      </c>
      <c r="I94" s="1394">
        <v>0</v>
      </c>
      <c r="J94" s="1394">
        <v>0</v>
      </c>
      <c r="K94" s="1394">
        <v>0</v>
      </c>
      <c r="L94" s="1394">
        <v>220</v>
      </c>
      <c r="M94" s="1394">
        <v>0</v>
      </c>
      <c r="N94" s="1394">
        <v>0</v>
      </c>
      <c r="O94" s="1394">
        <v>0</v>
      </c>
      <c r="R94" s="1432">
        <f t="shared" si="4"/>
        <v>0</v>
      </c>
      <c r="S94" s="1432">
        <f t="shared" si="5"/>
        <v>0</v>
      </c>
      <c r="T94" s="1432">
        <f t="shared" si="6"/>
        <v>440</v>
      </c>
      <c r="U94" s="1432">
        <f t="shared" si="7"/>
        <v>293.33333333333331</v>
      </c>
      <c r="V94" s="1432">
        <f t="shared" si="8"/>
        <v>220</v>
      </c>
    </row>
    <row r="95" spans="1:22" s="1395" customFormat="1" ht="15">
      <c r="A95" s="1393"/>
      <c r="B95" s="1393"/>
      <c r="C95" s="1393" t="s">
        <v>1197</v>
      </c>
      <c r="D95" s="1394">
        <v>0</v>
      </c>
      <c r="E95" s="1394">
        <v>0</v>
      </c>
      <c r="F95" s="1394">
        <v>157</v>
      </c>
      <c r="G95" s="1394">
        <v>0</v>
      </c>
      <c r="H95" s="1394">
        <v>0</v>
      </c>
      <c r="I95" s="1394">
        <v>0</v>
      </c>
      <c r="J95" s="1394">
        <v>0</v>
      </c>
      <c r="K95" s="1394">
        <v>353</v>
      </c>
      <c r="L95" s="1394">
        <v>507</v>
      </c>
      <c r="M95" s="1394">
        <v>0</v>
      </c>
      <c r="N95" s="1394">
        <v>533</v>
      </c>
      <c r="O95" s="1394">
        <v>0</v>
      </c>
      <c r="R95" s="1432">
        <f t="shared" si="4"/>
        <v>0</v>
      </c>
      <c r="S95" s="1432">
        <f t="shared" si="5"/>
        <v>2132</v>
      </c>
      <c r="T95" s="1432">
        <f t="shared" si="6"/>
        <v>2786</v>
      </c>
      <c r="U95" s="1432">
        <f t="shared" si="7"/>
        <v>1857.3333333333333</v>
      </c>
      <c r="V95" s="1432">
        <f t="shared" si="8"/>
        <v>1550</v>
      </c>
    </row>
    <row r="96" spans="1:22" s="1395" customFormat="1" ht="15">
      <c r="A96" s="1393"/>
      <c r="B96" s="1393"/>
      <c r="C96" s="1393" t="s">
        <v>1198</v>
      </c>
      <c r="D96" s="1394">
        <v>0</v>
      </c>
      <c r="E96" s="1394">
        <v>0</v>
      </c>
      <c r="F96" s="1394">
        <v>0</v>
      </c>
      <c r="G96" s="1394">
        <v>0</v>
      </c>
      <c r="H96" s="1394">
        <v>0</v>
      </c>
      <c r="I96" s="1394">
        <v>0</v>
      </c>
      <c r="J96" s="1394">
        <v>0</v>
      </c>
      <c r="K96" s="1394">
        <v>0</v>
      </c>
      <c r="L96" s="1394">
        <v>226</v>
      </c>
      <c r="M96" s="1394">
        <v>0</v>
      </c>
      <c r="N96" s="1394">
        <v>0</v>
      </c>
      <c r="O96" s="1394">
        <v>122</v>
      </c>
      <c r="R96" s="1432">
        <f t="shared" si="4"/>
        <v>1464</v>
      </c>
      <c r="S96" s="1432">
        <f t="shared" si="5"/>
        <v>488</v>
      </c>
      <c r="T96" s="1432">
        <f t="shared" si="6"/>
        <v>696</v>
      </c>
      <c r="U96" s="1432">
        <f t="shared" si="7"/>
        <v>464</v>
      </c>
      <c r="V96" s="1432">
        <f t="shared" si="8"/>
        <v>348</v>
      </c>
    </row>
    <row r="97" spans="1:22" s="1395" customFormat="1" ht="15">
      <c r="A97" s="1393"/>
      <c r="B97" s="1393"/>
      <c r="C97" s="1393" t="s">
        <v>1199</v>
      </c>
      <c r="D97" s="1394">
        <v>0</v>
      </c>
      <c r="E97" s="1394">
        <v>0</v>
      </c>
      <c r="F97" s="1394">
        <v>991</v>
      </c>
      <c r="G97" s="1394">
        <v>0</v>
      </c>
      <c r="H97" s="1394">
        <v>0</v>
      </c>
      <c r="I97" s="1394">
        <v>0</v>
      </c>
      <c r="J97" s="1394">
        <v>98</v>
      </c>
      <c r="K97" s="1394">
        <v>0</v>
      </c>
      <c r="L97" s="1394">
        <v>3332</v>
      </c>
      <c r="M97" s="1394">
        <v>0</v>
      </c>
      <c r="N97" s="1394">
        <v>773</v>
      </c>
      <c r="O97" s="1394">
        <v>420</v>
      </c>
      <c r="R97" s="1432">
        <f t="shared" si="4"/>
        <v>5040</v>
      </c>
      <c r="S97" s="1432">
        <f t="shared" si="5"/>
        <v>4772</v>
      </c>
      <c r="T97" s="1432">
        <f t="shared" si="6"/>
        <v>9246</v>
      </c>
      <c r="U97" s="1432">
        <f t="shared" si="7"/>
        <v>6164</v>
      </c>
      <c r="V97" s="1432">
        <f t="shared" si="8"/>
        <v>5614</v>
      </c>
    </row>
    <row r="98" spans="1:22" s="1395" customFormat="1" ht="15">
      <c r="A98" s="1393"/>
      <c r="B98" s="1393"/>
      <c r="C98" s="1393" t="s">
        <v>1200</v>
      </c>
      <c r="D98" s="1394">
        <v>0</v>
      </c>
      <c r="E98" s="1394">
        <v>0</v>
      </c>
      <c r="F98" s="1394">
        <v>0</v>
      </c>
      <c r="G98" s="1394">
        <v>0</v>
      </c>
      <c r="H98" s="1394">
        <v>1049</v>
      </c>
      <c r="I98" s="1394">
        <v>1864</v>
      </c>
      <c r="J98" s="1394">
        <v>41</v>
      </c>
      <c r="K98" s="1394">
        <v>0</v>
      </c>
      <c r="L98" s="1394">
        <v>3507</v>
      </c>
      <c r="M98" s="1394">
        <v>0</v>
      </c>
      <c r="N98" s="1394">
        <v>1843</v>
      </c>
      <c r="O98" s="1394">
        <v>0</v>
      </c>
      <c r="R98" s="1432">
        <f t="shared" si="4"/>
        <v>0</v>
      </c>
      <c r="S98" s="1432">
        <f t="shared" si="5"/>
        <v>7372</v>
      </c>
      <c r="T98" s="1432">
        <f t="shared" si="6"/>
        <v>10782</v>
      </c>
      <c r="U98" s="1432">
        <f t="shared" si="7"/>
        <v>11072</v>
      </c>
      <c r="V98" s="1432">
        <f t="shared" si="8"/>
        <v>8304</v>
      </c>
    </row>
    <row r="99" spans="1:22" s="1395" customFormat="1" ht="15">
      <c r="A99" s="1393"/>
      <c r="B99" s="1393"/>
      <c r="C99" s="1393" t="s">
        <v>1201</v>
      </c>
      <c r="D99" s="1394">
        <v>0</v>
      </c>
      <c r="E99" s="1394">
        <v>0</v>
      </c>
      <c r="F99" s="1394">
        <v>0</v>
      </c>
      <c r="G99" s="1394">
        <v>0</v>
      </c>
      <c r="H99" s="1394">
        <v>244</v>
      </c>
      <c r="I99" s="1394">
        <v>0</v>
      </c>
      <c r="J99" s="1394">
        <v>0</v>
      </c>
      <c r="K99" s="1394">
        <v>0</v>
      </c>
      <c r="L99" s="1394">
        <v>406</v>
      </c>
      <c r="M99" s="1394">
        <v>0</v>
      </c>
      <c r="N99" s="1394">
        <v>501</v>
      </c>
      <c r="O99" s="1394">
        <v>0</v>
      </c>
      <c r="R99" s="1432">
        <f t="shared" si="4"/>
        <v>0</v>
      </c>
      <c r="S99" s="1432">
        <f t="shared" si="5"/>
        <v>2004</v>
      </c>
      <c r="T99" s="1432">
        <f t="shared" si="6"/>
        <v>1814</v>
      </c>
      <c r="U99" s="1432">
        <f t="shared" si="7"/>
        <v>1534.6666666666667</v>
      </c>
      <c r="V99" s="1432">
        <f t="shared" si="8"/>
        <v>1151</v>
      </c>
    </row>
    <row r="100" spans="1:22" s="1395" customFormat="1" ht="15">
      <c r="A100" s="1393"/>
      <c r="B100" s="1393"/>
      <c r="C100" s="1393" t="s">
        <v>1202</v>
      </c>
      <c r="D100" s="1394">
        <v>0</v>
      </c>
      <c r="E100" s="1394">
        <v>0</v>
      </c>
      <c r="F100" s="1394">
        <v>0</v>
      </c>
      <c r="G100" s="1394">
        <v>0</v>
      </c>
      <c r="H100" s="1394">
        <v>0</v>
      </c>
      <c r="I100" s="1394">
        <v>0</v>
      </c>
      <c r="J100" s="1394">
        <v>0</v>
      </c>
      <c r="K100" s="1394">
        <v>0</v>
      </c>
      <c r="L100" s="1394">
        <v>982</v>
      </c>
      <c r="M100" s="1394">
        <v>0</v>
      </c>
      <c r="N100" s="1394">
        <v>34</v>
      </c>
      <c r="O100" s="1394">
        <v>0</v>
      </c>
      <c r="R100" s="1432">
        <f t="shared" si="4"/>
        <v>0</v>
      </c>
      <c r="S100" s="1432">
        <f t="shared" si="5"/>
        <v>136</v>
      </c>
      <c r="T100" s="1432">
        <f t="shared" si="6"/>
        <v>2032</v>
      </c>
      <c r="U100" s="1432">
        <f t="shared" si="7"/>
        <v>1354.6666666666667</v>
      </c>
      <c r="V100" s="1432">
        <f t="shared" si="8"/>
        <v>1016</v>
      </c>
    </row>
    <row r="101" spans="1:22" s="1395" customFormat="1" ht="15">
      <c r="A101" s="1393"/>
      <c r="B101" s="1393"/>
      <c r="C101" s="1393" t="s">
        <v>1203</v>
      </c>
      <c r="D101" s="1394">
        <v>0</v>
      </c>
      <c r="E101" s="1394">
        <v>0</v>
      </c>
      <c r="F101" s="1394">
        <v>0</v>
      </c>
      <c r="G101" s="1394">
        <v>0</v>
      </c>
      <c r="H101" s="1394">
        <v>0</v>
      </c>
      <c r="I101" s="1394">
        <v>0</v>
      </c>
      <c r="J101" s="1394">
        <v>0</v>
      </c>
      <c r="K101" s="1394">
        <v>0</v>
      </c>
      <c r="L101" s="1394">
        <v>415</v>
      </c>
      <c r="M101" s="1394">
        <v>1200</v>
      </c>
      <c r="N101" s="1394">
        <v>0</v>
      </c>
      <c r="O101" s="1394">
        <v>0</v>
      </c>
      <c r="R101" s="1432">
        <f t="shared" ref="R101:R136" si="9">O101*12</f>
        <v>0</v>
      </c>
      <c r="S101" s="1432">
        <f t="shared" ref="S101:S136" si="10">SUM(M101:O101)*4</f>
        <v>4800</v>
      </c>
      <c r="T101" s="1432">
        <f t="shared" ref="T101:T136" si="11">SUM(J101:O101)*2</f>
        <v>3230</v>
      </c>
      <c r="U101" s="1432">
        <f t="shared" ref="U101:U136" si="12">SUM(G101:O101)*12/9</f>
        <v>2153.3333333333335</v>
      </c>
      <c r="V101" s="1432">
        <f t="shared" ref="V101:V136" si="13">SUM(D101:O101)</f>
        <v>1615</v>
      </c>
    </row>
    <row r="102" spans="1:22" s="1395" customFormat="1" ht="15">
      <c r="A102" s="1393"/>
      <c r="B102" s="1393"/>
      <c r="C102" s="1393" t="s">
        <v>1204</v>
      </c>
      <c r="D102" s="1394">
        <v>0</v>
      </c>
      <c r="E102" s="1394">
        <v>0</v>
      </c>
      <c r="F102" s="1394">
        <v>0</v>
      </c>
      <c r="G102" s="1394">
        <v>0</v>
      </c>
      <c r="H102" s="1394">
        <v>0</v>
      </c>
      <c r="I102" s="1394">
        <v>0</v>
      </c>
      <c r="J102" s="1394">
        <v>0</v>
      </c>
      <c r="K102" s="1394">
        <v>0</v>
      </c>
      <c r="L102" s="1394">
        <v>23</v>
      </c>
      <c r="M102" s="1394">
        <v>0</v>
      </c>
      <c r="N102" s="1394">
        <v>0</v>
      </c>
      <c r="O102" s="1394">
        <v>0</v>
      </c>
      <c r="R102" s="1432">
        <f t="shared" si="9"/>
        <v>0</v>
      </c>
      <c r="S102" s="1432">
        <f t="shared" si="10"/>
        <v>0</v>
      </c>
      <c r="T102" s="1432">
        <f t="shared" si="11"/>
        <v>46</v>
      </c>
      <c r="U102" s="1432">
        <f t="shared" si="12"/>
        <v>30.666666666666668</v>
      </c>
      <c r="V102" s="1432">
        <f t="shared" si="13"/>
        <v>23</v>
      </c>
    </row>
    <row r="103" spans="1:22" s="1395" customFormat="1" ht="15">
      <c r="A103" s="1393"/>
      <c r="B103" s="1393"/>
      <c r="C103" s="1393" t="s">
        <v>1205</v>
      </c>
      <c r="D103" s="1394">
        <v>0</v>
      </c>
      <c r="E103" s="1394">
        <v>0</v>
      </c>
      <c r="F103" s="1394">
        <v>0</v>
      </c>
      <c r="G103" s="1394">
        <v>0</v>
      </c>
      <c r="H103" s="1394">
        <v>0</v>
      </c>
      <c r="I103" s="1394">
        <v>0</v>
      </c>
      <c r="J103" s="1394">
        <v>0</v>
      </c>
      <c r="K103" s="1394">
        <v>0</v>
      </c>
      <c r="L103" s="1394">
        <v>395</v>
      </c>
      <c r="M103" s="1394">
        <v>0</v>
      </c>
      <c r="N103" s="1394">
        <v>0</v>
      </c>
      <c r="O103" s="1394">
        <v>0</v>
      </c>
      <c r="R103" s="1432">
        <f t="shared" si="9"/>
        <v>0</v>
      </c>
      <c r="S103" s="1432">
        <f t="shared" si="10"/>
        <v>0</v>
      </c>
      <c r="T103" s="1432">
        <f t="shared" si="11"/>
        <v>790</v>
      </c>
      <c r="U103" s="1432">
        <f t="shared" si="12"/>
        <v>526.66666666666663</v>
      </c>
      <c r="V103" s="1432">
        <f t="shared" si="13"/>
        <v>395</v>
      </c>
    </row>
    <row r="104" spans="1:22" s="1395" customFormat="1" ht="15">
      <c r="A104" s="1393"/>
      <c r="B104" s="1393"/>
      <c r="C104" s="1393" t="s">
        <v>1206</v>
      </c>
      <c r="D104" s="1394">
        <v>0</v>
      </c>
      <c r="E104" s="1394">
        <v>0</v>
      </c>
      <c r="F104" s="1394">
        <v>0</v>
      </c>
      <c r="G104" s="1394">
        <v>0</v>
      </c>
      <c r="H104" s="1394">
        <v>0</v>
      </c>
      <c r="I104" s="1394">
        <v>0</v>
      </c>
      <c r="J104" s="1394">
        <v>0</v>
      </c>
      <c r="K104" s="1394">
        <v>0</v>
      </c>
      <c r="L104" s="1394">
        <v>0</v>
      </c>
      <c r="M104" s="1394">
        <v>0</v>
      </c>
      <c r="N104" s="1394">
        <v>494</v>
      </c>
      <c r="O104" s="1394">
        <v>0</v>
      </c>
      <c r="R104" s="1432">
        <f t="shared" si="9"/>
        <v>0</v>
      </c>
      <c r="S104" s="1432">
        <f t="shared" si="10"/>
        <v>1976</v>
      </c>
      <c r="T104" s="1432">
        <f t="shared" si="11"/>
        <v>988</v>
      </c>
      <c r="U104" s="1432">
        <f t="shared" si="12"/>
        <v>658.66666666666663</v>
      </c>
      <c r="V104" s="1432">
        <f t="shared" si="13"/>
        <v>494</v>
      </c>
    </row>
    <row r="105" spans="1:22" s="1395" customFormat="1" ht="15">
      <c r="A105" s="1393"/>
      <c r="B105" s="1393"/>
      <c r="C105" s="1393" t="s">
        <v>1207</v>
      </c>
      <c r="D105" s="1394">
        <v>0</v>
      </c>
      <c r="E105" s="1394">
        <v>0</v>
      </c>
      <c r="F105" s="1394">
        <v>0</v>
      </c>
      <c r="G105" s="1394">
        <v>0</v>
      </c>
      <c r="H105" s="1394">
        <v>0</v>
      </c>
      <c r="I105" s="1394">
        <v>0</v>
      </c>
      <c r="J105" s="1394">
        <v>0</v>
      </c>
      <c r="K105" s="1394">
        <v>0</v>
      </c>
      <c r="L105" s="1394">
        <v>0</v>
      </c>
      <c r="M105" s="1394">
        <v>0</v>
      </c>
      <c r="N105" s="1394">
        <v>400</v>
      </c>
      <c r="O105" s="1394">
        <v>0</v>
      </c>
      <c r="R105" s="1432">
        <f t="shared" si="9"/>
        <v>0</v>
      </c>
      <c r="S105" s="1432">
        <f t="shared" si="10"/>
        <v>1600</v>
      </c>
      <c r="T105" s="1432">
        <f t="shared" si="11"/>
        <v>800</v>
      </c>
      <c r="U105" s="1432">
        <f t="shared" si="12"/>
        <v>533.33333333333337</v>
      </c>
      <c r="V105" s="1432">
        <f t="shared" si="13"/>
        <v>400</v>
      </c>
    </row>
    <row r="106" spans="1:22" s="1395" customFormat="1" ht="15">
      <c r="A106" s="1393"/>
      <c r="B106" s="1393"/>
      <c r="C106" s="1393" t="s">
        <v>1208</v>
      </c>
      <c r="D106" s="1394">
        <v>0</v>
      </c>
      <c r="E106" s="1394">
        <v>0</v>
      </c>
      <c r="F106" s="1394">
        <v>0</v>
      </c>
      <c r="G106" s="1394">
        <v>0</v>
      </c>
      <c r="H106" s="1394">
        <v>58</v>
      </c>
      <c r="I106" s="1394">
        <v>0</v>
      </c>
      <c r="J106" s="1394">
        <v>0</v>
      </c>
      <c r="K106" s="1394">
        <v>65</v>
      </c>
      <c r="L106" s="1394">
        <v>795</v>
      </c>
      <c r="M106" s="1394">
        <v>0</v>
      </c>
      <c r="N106" s="1394">
        <v>456</v>
      </c>
      <c r="O106" s="1394">
        <v>0</v>
      </c>
      <c r="R106" s="1432">
        <f t="shared" si="9"/>
        <v>0</v>
      </c>
      <c r="S106" s="1432">
        <f t="shared" si="10"/>
        <v>1824</v>
      </c>
      <c r="T106" s="1432">
        <f t="shared" si="11"/>
        <v>2632</v>
      </c>
      <c r="U106" s="1432">
        <f t="shared" si="12"/>
        <v>1832</v>
      </c>
      <c r="V106" s="1432">
        <f t="shared" si="13"/>
        <v>1374</v>
      </c>
    </row>
    <row r="107" spans="1:22" s="1395" customFormat="1" ht="15">
      <c r="A107" s="1393"/>
      <c r="B107" s="1393"/>
      <c r="C107" s="1393" t="s">
        <v>1209</v>
      </c>
      <c r="D107" s="1394">
        <v>693</v>
      </c>
      <c r="E107" s="1394">
        <v>0</v>
      </c>
      <c r="F107" s="1394">
        <v>125</v>
      </c>
      <c r="G107" s="1394">
        <v>208</v>
      </c>
      <c r="H107" s="1394">
        <v>2252</v>
      </c>
      <c r="I107" s="1394">
        <v>1316</v>
      </c>
      <c r="J107" s="1394">
        <v>175</v>
      </c>
      <c r="K107" s="1394">
        <v>2261</v>
      </c>
      <c r="L107" s="1394">
        <v>998</v>
      </c>
      <c r="M107" s="1394">
        <v>349</v>
      </c>
      <c r="N107" s="1394">
        <v>0</v>
      </c>
      <c r="O107" s="1394">
        <v>0</v>
      </c>
      <c r="R107" s="1432">
        <f t="shared" si="9"/>
        <v>0</v>
      </c>
      <c r="S107" s="1432">
        <f t="shared" si="10"/>
        <v>1396</v>
      </c>
      <c r="T107" s="1432">
        <f t="shared" si="11"/>
        <v>7566</v>
      </c>
      <c r="U107" s="1432">
        <f t="shared" si="12"/>
        <v>10078.666666666666</v>
      </c>
      <c r="V107" s="1432">
        <f t="shared" si="13"/>
        <v>8377</v>
      </c>
    </row>
    <row r="108" spans="1:22" s="1395" customFormat="1" ht="15">
      <c r="A108" s="1393"/>
      <c r="B108" s="1393"/>
      <c r="C108" s="1393" t="s">
        <v>1210</v>
      </c>
      <c r="D108" s="1394">
        <v>0</v>
      </c>
      <c r="E108" s="1394">
        <v>0</v>
      </c>
      <c r="F108" s="1394">
        <v>17941</v>
      </c>
      <c r="G108" s="1394">
        <v>0</v>
      </c>
      <c r="H108" s="1394">
        <v>1735</v>
      </c>
      <c r="I108" s="1394">
        <v>0</v>
      </c>
      <c r="J108" s="1394">
        <v>88</v>
      </c>
      <c r="K108" s="1394">
        <v>3930</v>
      </c>
      <c r="L108" s="1394">
        <v>460</v>
      </c>
      <c r="M108" s="1394">
        <v>6360</v>
      </c>
      <c r="N108" s="1394">
        <v>5420</v>
      </c>
      <c r="O108" s="1394">
        <v>3120</v>
      </c>
      <c r="R108" s="1432">
        <f t="shared" si="9"/>
        <v>37440</v>
      </c>
      <c r="S108" s="1432">
        <f t="shared" si="10"/>
        <v>59600</v>
      </c>
      <c r="T108" s="1432">
        <f t="shared" si="11"/>
        <v>38756</v>
      </c>
      <c r="U108" s="1432">
        <f t="shared" si="12"/>
        <v>28150.666666666668</v>
      </c>
      <c r="V108" s="1432">
        <f t="shared" si="13"/>
        <v>39054</v>
      </c>
    </row>
    <row r="109" spans="1:22" s="1395" customFormat="1" ht="15">
      <c r="A109" s="1393"/>
      <c r="B109" s="1393"/>
      <c r="C109" s="1393" t="s">
        <v>1211</v>
      </c>
      <c r="D109" s="1394">
        <v>0</v>
      </c>
      <c r="E109" s="1394">
        <v>0</v>
      </c>
      <c r="F109" s="1394">
        <v>1495</v>
      </c>
      <c r="G109" s="1394">
        <v>605</v>
      </c>
      <c r="H109" s="1394">
        <v>250</v>
      </c>
      <c r="I109" s="1394">
        <v>0</v>
      </c>
      <c r="J109" s="1394">
        <v>270</v>
      </c>
      <c r="K109" s="1394">
        <v>143</v>
      </c>
      <c r="L109" s="1394">
        <v>628</v>
      </c>
      <c r="M109" s="1394">
        <v>95</v>
      </c>
      <c r="N109" s="1394">
        <v>148</v>
      </c>
      <c r="O109" s="1394">
        <v>290</v>
      </c>
      <c r="R109" s="1432">
        <f t="shared" si="9"/>
        <v>3480</v>
      </c>
      <c r="S109" s="1432">
        <f t="shared" si="10"/>
        <v>2132</v>
      </c>
      <c r="T109" s="1432">
        <f t="shared" si="11"/>
        <v>3148</v>
      </c>
      <c r="U109" s="1432">
        <f t="shared" si="12"/>
        <v>3238.6666666666665</v>
      </c>
      <c r="V109" s="1432">
        <f t="shared" si="13"/>
        <v>3924</v>
      </c>
    </row>
    <row r="110" spans="1:22" s="1395" customFormat="1" ht="15">
      <c r="A110" s="1393" t="s">
        <v>1150</v>
      </c>
      <c r="B110" s="1393" t="s">
        <v>1151</v>
      </c>
      <c r="C110" s="1393" t="s">
        <v>1212</v>
      </c>
      <c r="D110" s="1394">
        <v>998</v>
      </c>
      <c r="E110" s="1394">
        <v>0</v>
      </c>
      <c r="F110" s="1394">
        <v>21665</v>
      </c>
      <c r="G110" s="1394">
        <v>813</v>
      </c>
      <c r="H110" s="1394">
        <v>5663</v>
      </c>
      <c r="I110" s="1394">
        <v>3270</v>
      </c>
      <c r="J110" s="1394">
        <v>2799</v>
      </c>
      <c r="K110" s="1394">
        <v>6752</v>
      </c>
      <c r="L110" s="1394">
        <v>13591</v>
      </c>
      <c r="M110" s="1394">
        <v>8904</v>
      </c>
      <c r="N110" s="1394">
        <v>10941</v>
      </c>
      <c r="O110" s="1394">
        <v>3952</v>
      </c>
      <c r="R110" s="1432">
        <f t="shared" si="9"/>
        <v>47424</v>
      </c>
      <c r="S110" s="1432">
        <f t="shared" si="10"/>
        <v>95188</v>
      </c>
      <c r="T110" s="1432">
        <f t="shared" si="11"/>
        <v>93878</v>
      </c>
      <c r="U110" s="1432">
        <f t="shared" si="12"/>
        <v>75580</v>
      </c>
      <c r="V110" s="1432">
        <f t="shared" si="13"/>
        <v>79348</v>
      </c>
    </row>
    <row r="111" spans="1:22" s="1389" customFormat="1" ht="15">
      <c r="A111" s="1388"/>
      <c r="B111" s="1388"/>
      <c r="C111" s="1388" t="s">
        <v>1213</v>
      </c>
      <c r="R111" s="1405">
        <f t="shared" si="9"/>
        <v>0</v>
      </c>
      <c r="S111" s="1405">
        <f t="shared" si="10"/>
        <v>0</v>
      </c>
      <c r="T111" s="1405">
        <f t="shared" si="11"/>
        <v>0</v>
      </c>
      <c r="U111" s="1405">
        <f t="shared" si="12"/>
        <v>0</v>
      </c>
      <c r="V111" s="1405">
        <f t="shared" si="13"/>
        <v>0</v>
      </c>
    </row>
    <row r="112" spans="1:22" s="1395" customFormat="1" ht="15">
      <c r="A112" s="1393" t="s">
        <v>1214</v>
      </c>
      <c r="B112" s="1393" t="s">
        <v>402</v>
      </c>
      <c r="C112" s="1393" t="s">
        <v>1215</v>
      </c>
      <c r="D112" s="1394">
        <v>4463</v>
      </c>
      <c r="E112" s="1394">
        <v>12017</v>
      </c>
      <c r="F112" s="1394">
        <v>-23079</v>
      </c>
      <c r="G112" s="1394">
        <v>5239</v>
      </c>
      <c r="H112" s="1394">
        <v>5238</v>
      </c>
      <c r="I112" s="1394">
        <v>906</v>
      </c>
      <c r="J112" s="1394">
        <v>5238</v>
      </c>
      <c r="K112" s="1394">
        <v>5238</v>
      </c>
      <c r="L112" s="1394">
        <v>5238</v>
      </c>
      <c r="M112" s="1394">
        <v>5239</v>
      </c>
      <c r="N112" s="1394">
        <v>5238</v>
      </c>
      <c r="O112" s="1394">
        <v>10959</v>
      </c>
      <c r="R112" s="1432">
        <f t="shared" si="9"/>
        <v>131508</v>
      </c>
      <c r="S112" s="1432">
        <f t="shared" si="10"/>
        <v>85744</v>
      </c>
      <c r="T112" s="1432">
        <f t="shared" si="11"/>
        <v>74300</v>
      </c>
      <c r="U112" s="1432">
        <f t="shared" si="12"/>
        <v>64710.666666666664</v>
      </c>
      <c r="V112" s="1432">
        <f t="shared" si="13"/>
        <v>41934</v>
      </c>
    </row>
    <row r="113" spans="1:22" s="1395" customFormat="1" ht="15">
      <c r="A113" s="1393" t="s">
        <v>1216</v>
      </c>
      <c r="B113" s="1393" t="s">
        <v>403</v>
      </c>
      <c r="C113" s="1393" t="s">
        <v>1217</v>
      </c>
      <c r="D113" s="1394">
        <v>45809</v>
      </c>
      <c r="E113" s="1394">
        <v>0</v>
      </c>
      <c r="F113" s="1394">
        <v>13686</v>
      </c>
      <c r="G113" s="1394">
        <v>13685</v>
      </c>
      <c r="H113" s="1394">
        <v>13686</v>
      </c>
      <c r="I113" s="1394">
        <v>13686</v>
      </c>
      <c r="J113" s="1394">
        <v>13686</v>
      </c>
      <c r="K113" s="1394">
        <v>13686</v>
      </c>
      <c r="L113" s="1394">
        <v>13686</v>
      </c>
      <c r="M113" s="1394">
        <v>13685</v>
      </c>
      <c r="N113" s="1394">
        <v>13686</v>
      </c>
      <c r="O113" s="1394">
        <v>13686</v>
      </c>
      <c r="R113" s="1432">
        <f t="shared" si="9"/>
        <v>164232</v>
      </c>
      <c r="S113" s="1432">
        <f t="shared" si="10"/>
        <v>164228</v>
      </c>
      <c r="T113" s="1432">
        <f t="shared" si="11"/>
        <v>164230</v>
      </c>
      <c r="U113" s="1432">
        <f t="shared" si="12"/>
        <v>164229.33333333334</v>
      </c>
      <c r="V113" s="1432">
        <f t="shared" si="13"/>
        <v>182667</v>
      </c>
    </row>
    <row r="114" spans="1:22" s="1395" customFormat="1" ht="15">
      <c r="A114" s="1393"/>
      <c r="B114" s="1393"/>
      <c r="C114" s="1393" t="s">
        <v>1218</v>
      </c>
      <c r="D114" s="1394">
        <v>50272</v>
      </c>
      <c r="E114" s="1394">
        <v>12017</v>
      </c>
      <c r="F114" s="1394">
        <v>-9393</v>
      </c>
      <c r="G114" s="1394">
        <v>18924</v>
      </c>
      <c r="H114" s="1394">
        <v>18924</v>
      </c>
      <c r="I114" s="1394">
        <v>14592</v>
      </c>
      <c r="J114" s="1394">
        <v>18924</v>
      </c>
      <c r="K114" s="1394">
        <v>18924</v>
      </c>
      <c r="L114" s="1394">
        <v>18924</v>
      </c>
      <c r="M114" s="1394">
        <v>18924</v>
      </c>
      <c r="N114" s="1394">
        <v>18924</v>
      </c>
      <c r="O114" s="1394">
        <v>24645</v>
      </c>
      <c r="R114" s="1432">
        <f t="shared" si="9"/>
        <v>295740</v>
      </c>
      <c r="S114" s="1432">
        <f t="shared" si="10"/>
        <v>249972</v>
      </c>
      <c r="T114" s="1432">
        <f t="shared" si="11"/>
        <v>238530</v>
      </c>
      <c r="U114" s="1432">
        <f t="shared" si="12"/>
        <v>228940</v>
      </c>
      <c r="V114" s="1432">
        <f t="shared" si="13"/>
        <v>224601</v>
      </c>
    </row>
    <row r="115" spans="1:22" s="1395" customFormat="1" ht="15">
      <c r="A115" s="1393"/>
      <c r="B115" s="1393"/>
      <c r="C115" s="1393" t="s">
        <v>1219</v>
      </c>
      <c r="D115" s="1394">
        <v>83276</v>
      </c>
      <c r="E115" s="1394">
        <v>42954</v>
      </c>
      <c r="F115" s="1394">
        <v>24179</v>
      </c>
      <c r="G115" s="1394">
        <v>43484</v>
      </c>
      <c r="H115" s="1394">
        <v>44563</v>
      </c>
      <c r="I115" s="1394">
        <v>44793</v>
      </c>
      <c r="J115" s="1394">
        <v>44179</v>
      </c>
      <c r="K115" s="1394">
        <v>45493</v>
      </c>
      <c r="L115" s="1394">
        <v>53673</v>
      </c>
      <c r="M115" s="1394">
        <v>52375</v>
      </c>
      <c r="N115" s="1394">
        <v>66692</v>
      </c>
      <c r="O115" s="1394">
        <v>46547</v>
      </c>
      <c r="R115" s="1432">
        <f t="shared" si="9"/>
        <v>558564</v>
      </c>
      <c r="S115" s="1432">
        <f t="shared" si="10"/>
        <v>662456</v>
      </c>
      <c r="T115" s="1432">
        <f t="shared" si="11"/>
        <v>617918</v>
      </c>
      <c r="U115" s="1432">
        <f t="shared" si="12"/>
        <v>589065.33333333337</v>
      </c>
      <c r="V115" s="1432">
        <f t="shared" si="13"/>
        <v>592208</v>
      </c>
    </row>
    <row r="116" spans="1:22" s="1398" customFormat="1" ht="15">
      <c r="A116" s="1396"/>
      <c r="B116" s="1396"/>
      <c r="C116" s="1396" t="s">
        <v>1220</v>
      </c>
      <c r="D116" s="1397">
        <v>6463</v>
      </c>
      <c r="E116" s="1397">
        <v>60778</v>
      </c>
      <c r="F116" s="1397">
        <v>83011</v>
      </c>
      <c r="G116" s="1397">
        <v>72181</v>
      </c>
      <c r="H116" s="1397">
        <v>76062</v>
      </c>
      <c r="I116" s="1397">
        <v>76377</v>
      </c>
      <c r="J116" s="1397">
        <v>64963</v>
      </c>
      <c r="K116" s="1397">
        <v>56019</v>
      </c>
      <c r="L116" s="1397">
        <v>59229</v>
      </c>
      <c r="M116" s="1397">
        <v>36384</v>
      </c>
      <c r="N116" s="1397">
        <v>52069</v>
      </c>
      <c r="O116" s="1397">
        <v>71981</v>
      </c>
      <c r="R116" s="1433">
        <f t="shared" si="9"/>
        <v>863772</v>
      </c>
      <c r="S116" s="1433">
        <f t="shared" si="10"/>
        <v>641736</v>
      </c>
      <c r="T116" s="1433">
        <f t="shared" si="11"/>
        <v>681290</v>
      </c>
      <c r="U116" s="1433">
        <f t="shared" si="12"/>
        <v>753686.66666666663</v>
      </c>
      <c r="V116" s="1433">
        <f t="shared" si="13"/>
        <v>715517</v>
      </c>
    </row>
    <row r="117" spans="1:22" s="1389" customFormat="1" ht="15">
      <c r="A117" s="1388"/>
      <c r="B117" s="1388"/>
      <c r="C117" s="1388" t="s">
        <v>1221</v>
      </c>
      <c r="R117" s="1405">
        <f t="shared" si="9"/>
        <v>0</v>
      </c>
      <c r="S117" s="1405">
        <f t="shared" si="10"/>
        <v>0</v>
      </c>
      <c r="T117" s="1405">
        <f t="shared" si="11"/>
        <v>0</v>
      </c>
      <c r="U117" s="1405">
        <f t="shared" si="12"/>
        <v>0</v>
      </c>
      <c r="V117" s="1405">
        <f t="shared" si="13"/>
        <v>0</v>
      </c>
    </row>
    <row r="118" spans="1:22" s="1389" customFormat="1" ht="15">
      <c r="A118" s="1388"/>
      <c r="B118" s="1388"/>
      <c r="C118" s="1388" t="s">
        <v>1222</v>
      </c>
      <c r="R118" s="1405">
        <f t="shared" si="9"/>
        <v>0</v>
      </c>
      <c r="S118" s="1405">
        <f t="shared" si="10"/>
        <v>0</v>
      </c>
      <c r="T118" s="1405">
        <f t="shared" si="11"/>
        <v>0</v>
      </c>
      <c r="U118" s="1405">
        <f t="shared" si="12"/>
        <v>0</v>
      </c>
      <c r="V118" s="1405">
        <f t="shared" si="13"/>
        <v>0</v>
      </c>
    </row>
    <row r="119" spans="1:22" s="1395" customFormat="1" ht="15">
      <c r="A119" s="1393"/>
      <c r="B119" s="1393"/>
      <c r="C119" s="1393" t="s">
        <v>1223</v>
      </c>
      <c r="D119" s="1394">
        <v>79096</v>
      </c>
      <c r="E119" s="1394">
        <v>80899</v>
      </c>
      <c r="F119" s="1394">
        <v>71732</v>
      </c>
      <c r="G119" s="1394">
        <v>71933</v>
      </c>
      <c r="H119" s="1394">
        <v>79825</v>
      </c>
      <c r="I119" s="1394">
        <v>80589</v>
      </c>
      <c r="J119" s="1394">
        <v>81027</v>
      </c>
      <c r="K119" s="1394">
        <v>86222</v>
      </c>
      <c r="L119" s="1394">
        <v>86000</v>
      </c>
      <c r="M119" s="1394">
        <v>85980</v>
      </c>
      <c r="N119" s="1394">
        <v>85980</v>
      </c>
      <c r="O119" s="1394">
        <v>85980</v>
      </c>
      <c r="R119" s="1432">
        <f t="shared" si="9"/>
        <v>1031760</v>
      </c>
      <c r="S119" s="1432">
        <f t="shared" si="10"/>
        <v>1031760</v>
      </c>
      <c r="T119" s="1432">
        <f t="shared" si="11"/>
        <v>1022378</v>
      </c>
      <c r="U119" s="1432">
        <f t="shared" si="12"/>
        <v>991381.33333333337</v>
      </c>
      <c r="V119" s="1432">
        <f t="shared" si="13"/>
        <v>975263</v>
      </c>
    </row>
    <row r="120" spans="1:22" s="1395" customFormat="1" ht="15">
      <c r="A120" s="1393"/>
      <c r="B120" s="1393"/>
      <c r="C120" s="1393" t="s">
        <v>1224</v>
      </c>
      <c r="D120" s="1394">
        <v>24500</v>
      </c>
      <c r="E120" s="1394">
        <v>25317</v>
      </c>
      <c r="F120" s="1394">
        <v>25317</v>
      </c>
      <c r="G120" s="1394">
        <v>22867</v>
      </c>
      <c r="H120" s="1394">
        <v>25317</v>
      </c>
      <c r="I120" s="1394">
        <v>24500</v>
      </c>
      <c r="J120" s="1394">
        <v>25317</v>
      </c>
      <c r="K120" s="1394">
        <v>24500</v>
      </c>
      <c r="L120" s="1394">
        <v>25317</v>
      </c>
      <c r="M120" s="1394">
        <v>10000</v>
      </c>
      <c r="N120" s="1394">
        <v>24500</v>
      </c>
      <c r="O120" s="1394">
        <v>24500</v>
      </c>
      <c r="R120" s="1432">
        <f t="shared" si="9"/>
        <v>294000</v>
      </c>
      <c r="S120" s="1432">
        <f t="shared" si="10"/>
        <v>236000</v>
      </c>
      <c r="T120" s="1432">
        <f t="shared" si="11"/>
        <v>268268</v>
      </c>
      <c r="U120" s="1432">
        <f t="shared" si="12"/>
        <v>275757.33333333331</v>
      </c>
      <c r="V120" s="1432">
        <f t="shared" si="13"/>
        <v>281952</v>
      </c>
    </row>
    <row r="121" spans="1:22" s="1395" customFormat="1" ht="15">
      <c r="A121" s="1393"/>
      <c r="B121" s="1393"/>
      <c r="C121" s="1393" t="s">
        <v>1225</v>
      </c>
      <c r="D121" s="1394">
        <v>103596</v>
      </c>
      <c r="E121" s="1394">
        <v>106216</v>
      </c>
      <c r="F121" s="1394">
        <v>97049</v>
      </c>
      <c r="G121" s="1394">
        <v>94800</v>
      </c>
      <c r="H121" s="1394">
        <v>105142</v>
      </c>
      <c r="I121" s="1394">
        <v>105089</v>
      </c>
      <c r="J121" s="1394">
        <v>106344</v>
      </c>
      <c r="K121" s="1394">
        <v>110722</v>
      </c>
      <c r="L121" s="1394">
        <v>111317</v>
      </c>
      <c r="M121" s="1394">
        <v>95980</v>
      </c>
      <c r="N121" s="1394">
        <v>110480</v>
      </c>
      <c r="O121" s="1394">
        <v>110480</v>
      </c>
      <c r="R121" s="1432">
        <f t="shared" si="9"/>
        <v>1325760</v>
      </c>
      <c r="S121" s="1432">
        <f t="shared" si="10"/>
        <v>1267760</v>
      </c>
      <c r="T121" s="1432">
        <f t="shared" si="11"/>
        <v>1290646</v>
      </c>
      <c r="U121" s="1432">
        <f t="shared" si="12"/>
        <v>1267138.6666666667</v>
      </c>
      <c r="V121" s="1432">
        <f t="shared" si="13"/>
        <v>1257215</v>
      </c>
    </row>
    <row r="122" spans="1:22" s="1389" customFormat="1" ht="15">
      <c r="A122" s="1388"/>
      <c r="B122" s="1388"/>
      <c r="C122" s="1388" t="s">
        <v>1226</v>
      </c>
      <c r="R122" s="1405">
        <f t="shared" si="9"/>
        <v>0</v>
      </c>
      <c r="S122" s="1405">
        <f t="shared" si="10"/>
        <v>0</v>
      </c>
      <c r="T122" s="1405">
        <f t="shared" si="11"/>
        <v>0</v>
      </c>
      <c r="U122" s="1405">
        <f t="shared" si="12"/>
        <v>0</v>
      </c>
      <c r="V122" s="1405">
        <f t="shared" si="13"/>
        <v>0</v>
      </c>
    </row>
    <row r="123" spans="1:22" s="1395" customFormat="1" ht="15">
      <c r="A123" s="1393"/>
      <c r="B123" s="1393"/>
      <c r="C123" s="1393" t="s">
        <v>1227</v>
      </c>
      <c r="D123" s="1394">
        <v>1347</v>
      </c>
      <c r="E123" s="1394">
        <v>1555</v>
      </c>
      <c r="F123" s="1394">
        <v>1607</v>
      </c>
      <c r="G123" s="1394">
        <v>1735</v>
      </c>
      <c r="H123" s="1394">
        <v>1809</v>
      </c>
      <c r="I123" s="1394">
        <v>1817</v>
      </c>
      <c r="J123" s="1394">
        <v>1637</v>
      </c>
      <c r="K123" s="1394">
        <v>1523</v>
      </c>
      <c r="L123" s="1394">
        <v>1693</v>
      </c>
      <c r="M123" s="1394">
        <v>1332</v>
      </c>
      <c r="N123" s="1394">
        <v>1782</v>
      </c>
      <c r="O123" s="1394">
        <v>1778</v>
      </c>
      <c r="R123" s="1432">
        <f t="shared" si="9"/>
        <v>21336</v>
      </c>
      <c r="S123" s="1432">
        <f t="shared" si="10"/>
        <v>19568</v>
      </c>
      <c r="T123" s="1432">
        <f t="shared" si="11"/>
        <v>19490</v>
      </c>
      <c r="U123" s="1432">
        <f t="shared" si="12"/>
        <v>20141.333333333332</v>
      </c>
      <c r="V123" s="1432">
        <f t="shared" si="13"/>
        <v>19615</v>
      </c>
    </row>
    <row r="124" spans="1:22" s="1395" customFormat="1" ht="15">
      <c r="A124" s="1393"/>
      <c r="B124" s="1393"/>
      <c r="C124" s="1393" t="s">
        <v>1228</v>
      </c>
      <c r="D124" s="1394">
        <v>2100</v>
      </c>
      <c r="E124" s="1394">
        <v>0</v>
      </c>
      <c r="F124" s="1394">
        <v>0</v>
      </c>
      <c r="G124" s="1394">
        <v>0</v>
      </c>
      <c r="H124" s="1394">
        <v>0</v>
      </c>
      <c r="I124" s="1394">
        <v>0</v>
      </c>
      <c r="J124" s="1394">
        <v>1137</v>
      </c>
      <c r="K124" s="1394">
        <v>0</v>
      </c>
      <c r="L124" s="1394">
        <v>0</v>
      </c>
      <c r="M124" s="1394">
        <v>6825</v>
      </c>
      <c r="N124" s="1394">
        <v>0</v>
      </c>
      <c r="O124" s="1394">
        <v>0</v>
      </c>
      <c r="R124" s="1432">
        <f t="shared" si="9"/>
        <v>0</v>
      </c>
      <c r="S124" s="1432">
        <f t="shared" si="10"/>
        <v>27300</v>
      </c>
      <c r="T124" s="1432">
        <f t="shared" si="11"/>
        <v>15924</v>
      </c>
      <c r="U124" s="1432">
        <f t="shared" si="12"/>
        <v>10616</v>
      </c>
      <c r="V124" s="1432">
        <f t="shared" si="13"/>
        <v>10062</v>
      </c>
    </row>
    <row r="125" spans="1:22" s="1395" customFormat="1" ht="15">
      <c r="A125" s="1393"/>
      <c r="B125" s="1393"/>
      <c r="C125" s="1393" t="s">
        <v>1229</v>
      </c>
      <c r="D125" s="1394">
        <v>3447</v>
      </c>
      <c r="E125" s="1394">
        <v>1555</v>
      </c>
      <c r="F125" s="1394">
        <v>1607</v>
      </c>
      <c r="G125" s="1394">
        <v>1735</v>
      </c>
      <c r="H125" s="1394">
        <v>1809</v>
      </c>
      <c r="I125" s="1394">
        <v>1817</v>
      </c>
      <c r="J125" s="1394">
        <v>2774</v>
      </c>
      <c r="K125" s="1394">
        <v>1523</v>
      </c>
      <c r="L125" s="1394">
        <v>1693</v>
      </c>
      <c r="M125" s="1394">
        <v>8157</v>
      </c>
      <c r="N125" s="1394">
        <v>1782</v>
      </c>
      <c r="O125" s="1394">
        <v>1778</v>
      </c>
      <c r="R125" s="1432">
        <f t="shared" si="9"/>
        <v>21336</v>
      </c>
      <c r="S125" s="1432">
        <f t="shared" si="10"/>
        <v>46868</v>
      </c>
      <c r="T125" s="1432">
        <f t="shared" si="11"/>
        <v>35414</v>
      </c>
      <c r="U125" s="1432">
        <f t="shared" si="12"/>
        <v>30757.333333333332</v>
      </c>
      <c r="V125" s="1432">
        <f t="shared" si="13"/>
        <v>29677</v>
      </c>
    </row>
    <row r="126" spans="1:22" s="1389" customFormat="1" ht="15">
      <c r="A126" s="1388"/>
      <c r="B126" s="1388"/>
      <c r="C126" s="1388" t="s">
        <v>173</v>
      </c>
      <c r="R126" s="1405">
        <f t="shared" si="9"/>
        <v>0</v>
      </c>
      <c r="S126" s="1405">
        <f t="shared" si="10"/>
        <v>0</v>
      </c>
      <c r="T126" s="1405">
        <f t="shared" si="11"/>
        <v>0</v>
      </c>
      <c r="U126" s="1405">
        <f t="shared" si="12"/>
        <v>0</v>
      </c>
      <c r="V126" s="1405">
        <f t="shared" si="13"/>
        <v>0</v>
      </c>
    </row>
    <row r="127" spans="1:22" s="1395" customFormat="1" ht="15">
      <c r="A127" s="1393"/>
      <c r="B127" s="1393"/>
      <c r="C127" s="1393" t="s">
        <v>1230</v>
      </c>
      <c r="D127" s="1394">
        <v>0</v>
      </c>
      <c r="E127" s="1394">
        <v>0</v>
      </c>
      <c r="F127" s="1394">
        <v>0</v>
      </c>
      <c r="G127" s="1394">
        <v>0</v>
      </c>
      <c r="H127" s="1394">
        <v>950</v>
      </c>
      <c r="I127" s="1394">
        <v>0</v>
      </c>
      <c r="J127" s="1394">
        <v>0</v>
      </c>
      <c r="K127" s="1394">
        <v>0</v>
      </c>
      <c r="L127" s="1394">
        <v>0</v>
      </c>
      <c r="M127" s="1394">
        <v>0</v>
      </c>
      <c r="N127" s="1394">
        <v>1049</v>
      </c>
      <c r="O127" s="1394">
        <v>0</v>
      </c>
      <c r="R127" s="1432">
        <f t="shared" si="9"/>
        <v>0</v>
      </c>
      <c r="S127" s="1432">
        <f t="shared" si="10"/>
        <v>4196</v>
      </c>
      <c r="T127" s="1432">
        <f t="shared" si="11"/>
        <v>2098</v>
      </c>
      <c r="U127" s="1432">
        <f t="shared" si="12"/>
        <v>2665.3333333333335</v>
      </c>
      <c r="V127" s="1432">
        <f t="shared" si="13"/>
        <v>1999</v>
      </c>
    </row>
    <row r="128" spans="1:22" s="1395" customFormat="1" ht="15">
      <c r="A128" s="1393"/>
      <c r="B128" s="1393"/>
      <c r="C128" s="1393" t="s">
        <v>1231</v>
      </c>
      <c r="D128" s="1394">
        <v>0</v>
      </c>
      <c r="E128" s="1394">
        <v>0</v>
      </c>
      <c r="F128" s="1394">
        <v>0</v>
      </c>
      <c r="G128" s="1394">
        <v>646</v>
      </c>
      <c r="H128" s="1394">
        <v>0</v>
      </c>
      <c r="I128" s="1394">
        <v>0</v>
      </c>
      <c r="J128" s="1394">
        <v>0</v>
      </c>
      <c r="K128" s="1394">
        <v>0</v>
      </c>
      <c r="L128" s="1394">
        <v>659</v>
      </c>
      <c r="M128" s="1394">
        <v>0</v>
      </c>
      <c r="N128" s="1394">
        <v>0</v>
      </c>
      <c r="O128" s="1394">
        <v>0</v>
      </c>
      <c r="R128" s="1432">
        <f t="shared" si="9"/>
        <v>0</v>
      </c>
      <c r="S128" s="1432">
        <f t="shared" si="10"/>
        <v>0</v>
      </c>
      <c r="T128" s="1432">
        <f t="shared" si="11"/>
        <v>1318</v>
      </c>
      <c r="U128" s="1432">
        <f t="shared" si="12"/>
        <v>1740</v>
      </c>
      <c r="V128" s="1432">
        <f t="shared" si="13"/>
        <v>1305</v>
      </c>
    </row>
    <row r="129" spans="1:31" s="1395" customFormat="1" ht="15">
      <c r="A129" s="1393"/>
      <c r="B129" s="1393"/>
      <c r="C129" s="1393" t="s">
        <v>1232</v>
      </c>
      <c r="D129" s="1394">
        <v>0</v>
      </c>
      <c r="E129" s="1394">
        <v>0</v>
      </c>
      <c r="F129" s="1394">
        <v>0</v>
      </c>
      <c r="G129" s="1394">
        <v>0</v>
      </c>
      <c r="H129" s="1394">
        <v>1102</v>
      </c>
      <c r="I129" s="1394">
        <v>0</v>
      </c>
      <c r="J129" s="1394">
        <v>3150</v>
      </c>
      <c r="K129" s="1394">
        <v>0</v>
      </c>
      <c r="L129" s="1394">
        <v>4762</v>
      </c>
      <c r="M129" s="1394">
        <v>0</v>
      </c>
      <c r="N129" s="1394">
        <v>1310</v>
      </c>
      <c r="O129" s="1394">
        <v>0</v>
      </c>
      <c r="R129" s="1432">
        <f t="shared" si="9"/>
        <v>0</v>
      </c>
      <c r="S129" s="1432">
        <f t="shared" si="10"/>
        <v>5240</v>
      </c>
      <c r="T129" s="1432">
        <f t="shared" si="11"/>
        <v>18444</v>
      </c>
      <c r="U129" s="1432">
        <f t="shared" si="12"/>
        <v>13765.333333333334</v>
      </c>
      <c r="V129" s="1432">
        <f t="shared" si="13"/>
        <v>10324</v>
      </c>
    </row>
    <row r="130" spans="1:31" s="1395" customFormat="1" ht="15">
      <c r="A130" s="1393"/>
      <c r="B130" s="1393"/>
      <c r="C130" s="1393" t="s">
        <v>1233</v>
      </c>
      <c r="D130" s="1394">
        <v>0</v>
      </c>
      <c r="E130" s="1394">
        <v>0</v>
      </c>
      <c r="F130" s="1394">
        <v>4181</v>
      </c>
      <c r="G130" s="1394">
        <v>0</v>
      </c>
      <c r="H130" s="1394">
        <v>0</v>
      </c>
      <c r="I130" s="1394">
        <v>0</v>
      </c>
      <c r="J130" s="1394">
        <v>0</v>
      </c>
      <c r="K130" s="1394">
        <v>0</v>
      </c>
      <c r="L130" s="1394">
        <v>2112</v>
      </c>
      <c r="M130" s="1394">
        <v>0</v>
      </c>
      <c r="N130" s="1394">
        <v>2089</v>
      </c>
      <c r="O130" s="1394">
        <v>0</v>
      </c>
      <c r="R130" s="1432">
        <f t="shared" si="9"/>
        <v>0</v>
      </c>
      <c r="S130" s="1432">
        <f t="shared" si="10"/>
        <v>8356</v>
      </c>
      <c r="T130" s="1432">
        <f t="shared" si="11"/>
        <v>8402</v>
      </c>
      <c r="U130" s="1432">
        <f t="shared" si="12"/>
        <v>5601.333333333333</v>
      </c>
      <c r="V130" s="1432">
        <f t="shared" si="13"/>
        <v>8382</v>
      </c>
    </row>
    <row r="131" spans="1:31" s="1395" customFormat="1" ht="15">
      <c r="A131" s="1393"/>
      <c r="B131" s="1393"/>
      <c r="C131" s="1393" t="s">
        <v>1234</v>
      </c>
      <c r="D131" s="1394">
        <v>0</v>
      </c>
      <c r="E131" s="1394">
        <v>0</v>
      </c>
      <c r="F131" s="1394">
        <v>0</v>
      </c>
      <c r="G131" s="1394">
        <v>0</v>
      </c>
      <c r="H131" s="1394">
        <v>0</v>
      </c>
      <c r="I131" s="1394">
        <v>0</v>
      </c>
      <c r="J131" s="1394">
        <v>0</v>
      </c>
      <c r="K131" s="1394">
        <v>0</v>
      </c>
      <c r="L131" s="1394">
        <v>3800</v>
      </c>
      <c r="M131" s="1394">
        <v>0</v>
      </c>
      <c r="N131" s="1394">
        <v>0</v>
      </c>
      <c r="O131" s="1394">
        <v>0</v>
      </c>
      <c r="R131" s="1432">
        <f t="shared" si="9"/>
        <v>0</v>
      </c>
      <c r="S131" s="1432">
        <f t="shared" si="10"/>
        <v>0</v>
      </c>
      <c r="T131" s="1432">
        <f t="shared" si="11"/>
        <v>7600</v>
      </c>
      <c r="U131" s="1432">
        <f t="shared" si="12"/>
        <v>5066.666666666667</v>
      </c>
      <c r="V131" s="1432">
        <f t="shared" si="13"/>
        <v>3800</v>
      </c>
    </row>
    <row r="132" spans="1:31" s="1395" customFormat="1" ht="15">
      <c r="A132" s="1393"/>
      <c r="B132" s="1393"/>
      <c r="C132" s="1393" t="s">
        <v>1235</v>
      </c>
      <c r="D132" s="1394">
        <v>0</v>
      </c>
      <c r="E132" s="1394">
        <v>0</v>
      </c>
      <c r="F132" s="1394">
        <v>0</v>
      </c>
      <c r="G132" s="1394">
        <v>0</v>
      </c>
      <c r="H132" s="1394">
        <v>0</v>
      </c>
      <c r="I132" s="1394">
        <v>0</v>
      </c>
      <c r="J132" s="1394">
        <v>0</v>
      </c>
      <c r="K132" s="1394">
        <v>0</v>
      </c>
      <c r="L132" s="1394">
        <v>2234</v>
      </c>
      <c r="M132" s="1394">
        <v>0</v>
      </c>
      <c r="N132" s="1394">
        <v>449</v>
      </c>
      <c r="O132" s="1394">
        <v>0</v>
      </c>
      <c r="R132" s="1432">
        <f t="shared" si="9"/>
        <v>0</v>
      </c>
      <c r="S132" s="1432">
        <f t="shared" si="10"/>
        <v>1796</v>
      </c>
      <c r="T132" s="1432">
        <f t="shared" si="11"/>
        <v>5366</v>
      </c>
      <c r="U132" s="1432">
        <f t="shared" si="12"/>
        <v>3577.3333333333335</v>
      </c>
      <c r="V132" s="1432">
        <f t="shared" si="13"/>
        <v>2683</v>
      </c>
    </row>
    <row r="133" spans="1:31" s="1395" customFormat="1" ht="15">
      <c r="A133" s="1393"/>
      <c r="B133" s="1393"/>
      <c r="C133" s="1393" t="s">
        <v>1236</v>
      </c>
      <c r="D133" s="1394">
        <v>0</v>
      </c>
      <c r="E133" s="1394">
        <v>0</v>
      </c>
      <c r="F133" s="1394">
        <v>4852</v>
      </c>
      <c r="G133" s="1394">
        <v>1598</v>
      </c>
      <c r="H133" s="1394">
        <v>420</v>
      </c>
      <c r="I133" s="1394">
        <v>0</v>
      </c>
      <c r="J133" s="1394">
        <v>6254</v>
      </c>
      <c r="K133" s="1394">
        <v>0</v>
      </c>
      <c r="L133" s="1394">
        <v>0</v>
      </c>
      <c r="M133" s="1394">
        <v>6088</v>
      </c>
      <c r="N133" s="1394">
        <v>956</v>
      </c>
      <c r="O133" s="1394">
        <v>0</v>
      </c>
      <c r="R133" s="1432">
        <f t="shared" si="9"/>
        <v>0</v>
      </c>
      <c r="S133" s="1432">
        <f t="shared" si="10"/>
        <v>28176</v>
      </c>
      <c r="T133" s="1432">
        <f t="shared" si="11"/>
        <v>26596</v>
      </c>
      <c r="U133" s="1432">
        <f t="shared" si="12"/>
        <v>20421.333333333332</v>
      </c>
      <c r="V133" s="1432">
        <f t="shared" si="13"/>
        <v>20168</v>
      </c>
    </row>
    <row r="134" spans="1:31" s="1395" customFormat="1" ht="15">
      <c r="A134" s="1393"/>
      <c r="B134" s="1393"/>
      <c r="C134" s="1393" t="s">
        <v>245</v>
      </c>
      <c r="D134" s="1394">
        <v>0</v>
      </c>
      <c r="E134" s="1394">
        <v>0</v>
      </c>
      <c r="F134" s="1394">
        <v>9033</v>
      </c>
      <c r="G134" s="1394">
        <v>2244</v>
      </c>
      <c r="H134" s="1394">
        <v>2472</v>
      </c>
      <c r="I134" s="1394">
        <v>0</v>
      </c>
      <c r="J134" s="1394">
        <v>9404</v>
      </c>
      <c r="K134" s="1394">
        <v>0</v>
      </c>
      <c r="L134" s="1394">
        <v>13567</v>
      </c>
      <c r="M134" s="1394">
        <v>6088</v>
      </c>
      <c r="N134" s="1394">
        <v>5853</v>
      </c>
      <c r="O134" s="1394">
        <v>0</v>
      </c>
      <c r="R134" s="1432">
        <f t="shared" si="9"/>
        <v>0</v>
      </c>
      <c r="S134" s="1432">
        <f t="shared" si="10"/>
        <v>47764</v>
      </c>
      <c r="T134" s="1432">
        <f t="shared" si="11"/>
        <v>69824</v>
      </c>
      <c r="U134" s="1432">
        <f t="shared" si="12"/>
        <v>52837.333333333336</v>
      </c>
      <c r="V134" s="1432">
        <f t="shared" si="13"/>
        <v>48661</v>
      </c>
    </row>
    <row r="135" spans="1:31" s="1395" customFormat="1" ht="15">
      <c r="A135" s="1393"/>
      <c r="B135" s="1393"/>
      <c r="C135" s="1393" t="s">
        <v>1237</v>
      </c>
      <c r="D135" s="1394">
        <v>107043</v>
      </c>
      <c r="E135" s="1394">
        <v>107771</v>
      </c>
      <c r="F135" s="1394">
        <v>107689</v>
      </c>
      <c r="G135" s="1394">
        <v>98779</v>
      </c>
      <c r="H135" s="1394">
        <v>109423</v>
      </c>
      <c r="I135" s="1394">
        <v>106906</v>
      </c>
      <c r="J135" s="1394">
        <v>118522</v>
      </c>
      <c r="K135" s="1394">
        <v>112245</v>
      </c>
      <c r="L135" s="1394">
        <v>126577</v>
      </c>
      <c r="M135" s="1394">
        <v>110225</v>
      </c>
      <c r="N135" s="1394">
        <v>118115</v>
      </c>
      <c r="O135" s="1394">
        <v>112258</v>
      </c>
      <c r="R135" s="1432">
        <f t="shared" si="9"/>
        <v>1347096</v>
      </c>
      <c r="S135" s="1432">
        <f t="shared" si="10"/>
        <v>1362392</v>
      </c>
      <c r="T135" s="1432">
        <f t="shared" si="11"/>
        <v>1395884</v>
      </c>
      <c r="U135" s="1432">
        <f t="shared" si="12"/>
        <v>1350733.3333333333</v>
      </c>
      <c r="V135" s="1432">
        <f t="shared" si="13"/>
        <v>1335553</v>
      </c>
    </row>
    <row r="136" spans="1:31" s="1395" customFormat="1" ht="15">
      <c r="A136" s="1393"/>
      <c r="B136" s="1393"/>
      <c r="C136" s="1393" t="s">
        <v>1238</v>
      </c>
      <c r="D136" s="1394">
        <v>-100580</v>
      </c>
      <c r="E136" s="1394">
        <v>-46993</v>
      </c>
      <c r="F136" s="1394">
        <v>-24678</v>
      </c>
      <c r="G136" s="1394">
        <v>-26598</v>
      </c>
      <c r="H136" s="1394">
        <v>-33361</v>
      </c>
      <c r="I136" s="1394">
        <v>-30529</v>
      </c>
      <c r="J136" s="1394">
        <v>-53559</v>
      </c>
      <c r="K136" s="1394">
        <v>-56226</v>
      </c>
      <c r="L136" s="1394">
        <v>-67348</v>
      </c>
      <c r="M136" s="1394">
        <v>-73841</v>
      </c>
      <c r="N136" s="1394">
        <v>-66046</v>
      </c>
      <c r="O136" s="1394">
        <v>-40277</v>
      </c>
      <c r="R136" s="1432">
        <f t="shared" si="9"/>
        <v>-483324</v>
      </c>
      <c r="S136" s="1432">
        <f t="shared" si="10"/>
        <v>-720656</v>
      </c>
      <c r="T136" s="1432">
        <f t="shared" si="11"/>
        <v>-714594</v>
      </c>
      <c r="U136" s="1432">
        <f t="shared" si="12"/>
        <v>-597046.66666666663</v>
      </c>
      <c r="V136" s="1432">
        <f t="shared" si="13"/>
        <v>-620036</v>
      </c>
    </row>
    <row r="139" spans="1:31" ht="15">
      <c r="C139" s="1407" t="s">
        <v>1254</v>
      </c>
      <c r="D139" s="1408"/>
      <c r="E139" s="1408"/>
      <c r="F139" s="1408"/>
      <c r="G139" s="1408"/>
      <c r="H139" s="1408"/>
      <c r="I139" s="1408"/>
      <c r="J139" s="1408"/>
      <c r="K139" s="1408"/>
      <c r="L139" s="1408"/>
      <c r="M139" s="1408"/>
      <c r="N139" s="1408"/>
      <c r="O139" s="1408"/>
      <c r="P139" s="1408"/>
      <c r="Q139" s="1408"/>
      <c r="R139" s="1408"/>
      <c r="S139" s="1408"/>
      <c r="T139" s="1408"/>
      <c r="U139" s="1408"/>
      <c r="V139" s="1408"/>
    </row>
    <row r="141" spans="1:31" ht="14.25">
      <c r="B141" s="1434" t="s">
        <v>1255</v>
      </c>
      <c r="C141" s="1435"/>
      <c r="D141" s="1442">
        <v>45597</v>
      </c>
      <c r="E141" s="1442">
        <v>45627</v>
      </c>
      <c r="F141" s="1442">
        <v>45658</v>
      </c>
      <c r="G141" s="1442">
        <v>45689</v>
      </c>
      <c r="H141" s="1442">
        <v>45717</v>
      </c>
      <c r="I141" s="1442">
        <v>45748</v>
      </c>
      <c r="J141" s="1442">
        <v>45778</v>
      </c>
      <c r="K141" s="1442">
        <v>45809</v>
      </c>
      <c r="L141" s="1442">
        <v>45839</v>
      </c>
      <c r="M141" s="1442">
        <v>45870</v>
      </c>
      <c r="N141" s="1442">
        <v>45901</v>
      </c>
      <c r="O141" s="1442">
        <v>45931</v>
      </c>
      <c r="P141" s="1443"/>
      <c r="Q141" s="1443"/>
      <c r="R141" s="1444" t="s">
        <v>1256</v>
      </c>
      <c r="S141" s="1444" t="s">
        <v>1257</v>
      </c>
      <c r="T141" s="1444" t="s">
        <v>1258</v>
      </c>
      <c r="U141" s="1444" t="s">
        <v>1259</v>
      </c>
      <c r="V141" s="1444" t="s">
        <v>1249</v>
      </c>
      <c r="W141" s="902"/>
      <c r="X141" s="1421" t="s">
        <v>1274</v>
      </c>
      <c r="Y141" s="1421" t="s">
        <v>1275</v>
      </c>
      <c r="Z141" s="1421" t="s">
        <v>1276</v>
      </c>
      <c r="AA141" s="1421" t="s">
        <v>1277</v>
      </c>
      <c r="AB141" s="1421" t="s">
        <v>1278</v>
      </c>
      <c r="AC141" s="1445" t="s">
        <v>1279</v>
      </c>
      <c r="AD141" s="1421" t="s">
        <v>1280</v>
      </c>
      <c r="AE141" s="1421" t="s">
        <v>1286</v>
      </c>
    </row>
    <row r="142" spans="1:31">
      <c r="B142" s="1435"/>
      <c r="C142" s="1435"/>
      <c r="D142" s="1443"/>
      <c r="E142" s="1443"/>
      <c r="F142" s="1443"/>
      <c r="G142" s="1443"/>
      <c r="H142" s="1443"/>
      <c r="I142" s="1443"/>
      <c r="J142" s="1443"/>
      <c r="K142" s="1443"/>
      <c r="L142" s="1443"/>
      <c r="M142" s="1443"/>
      <c r="N142" s="1443"/>
      <c r="O142" s="1443"/>
      <c r="P142" s="1443"/>
      <c r="Q142" s="1443"/>
      <c r="R142" s="1443"/>
      <c r="S142" s="1443"/>
      <c r="T142" s="1443"/>
      <c r="U142" s="1443"/>
      <c r="V142" s="1443"/>
      <c r="W142" s="902"/>
      <c r="X142" s="902"/>
      <c r="Y142" s="902"/>
      <c r="Z142" s="902"/>
      <c r="AA142" s="902"/>
      <c r="AB142" s="902"/>
      <c r="AC142" s="902"/>
      <c r="AD142" s="902"/>
      <c r="AE142" s="902"/>
    </row>
    <row r="143" spans="1:31">
      <c r="B143" s="1437" t="s">
        <v>1077</v>
      </c>
      <c r="C143" s="1438">
        <v>42220</v>
      </c>
      <c r="D143" s="1446">
        <f>D29</f>
        <v>4781</v>
      </c>
      <c r="E143" s="1446">
        <f t="shared" ref="E143:O143" si="14">E29</f>
        <v>4736</v>
      </c>
      <c r="F143" s="1446">
        <f t="shared" si="14"/>
        <v>4786</v>
      </c>
      <c r="G143" s="1446">
        <f t="shared" si="14"/>
        <v>4870</v>
      </c>
      <c r="H143" s="1446">
        <f t="shared" si="14"/>
        <v>4907</v>
      </c>
      <c r="I143" s="1446">
        <f t="shared" si="14"/>
        <v>4900</v>
      </c>
      <c r="J143" s="1446">
        <f t="shared" si="14"/>
        <v>4852</v>
      </c>
      <c r="K143" s="1446">
        <f t="shared" si="14"/>
        <v>4728</v>
      </c>
      <c r="L143" s="1446">
        <f t="shared" si="14"/>
        <v>4719</v>
      </c>
      <c r="M143" s="1446">
        <f t="shared" si="14"/>
        <v>4911</v>
      </c>
      <c r="N143" s="1446">
        <f t="shared" si="14"/>
        <v>4868</v>
      </c>
      <c r="O143" s="1446">
        <f t="shared" si="14"/>
        <v>4936</v>
      </c>
      <c r="P143" s="902"/>
      <c r="Q143" s="902"/>
      <c r="R143" s="1446">
        <f>O143*12</f>
        <v>59232</v>
      </c>
      <c r="S143" s="1446">
        <f>SUM(M143:O143)*4</f>
        <v>58860</v>
      </c>
      <c r="T143" s="1446">
        <f>SUM(J143:O143)*2</f>
        <v>58028</v>
      </c>
      <c r="U143" s="1446">
        <f>SUM(G143:O143)*12/9</f>
        <v>58254.666666666664</v>
      </c>
      <c r="V143" s="1446">
        <f>SUM(D143:O143)</f>
        <v>57994</v>
      </c>
      <c r="W143" s="902"/>
      <c r="X143" s="1447" t="s">
        <v>1281</v>
      </c>
      <c r="Y143" s="1448" t="s">
        <v>1282</v>
      </c>
      <c r="Z143" s="1449">
        <f>V143/12/Input!$H$56/(1-Input!$G$90-Input!$G$91)</f>
        <v>64.426884991983854</v>
      </c>
      <c r="AA143" s="1449">
        <f>SUM(M143:O143)/3/Input!$H$56/(1-Input!$G$90-Input!$G$91)</f>
        <v>65.388944556819155</v>
      </c>
      <c r="AB143" s="1450">
        <f>ROUND(Input!$H$56*(1-Input!$G$90-Input!$G$91),0)</f>
        <v>75</v>
      </c>
      <c r="AC143" s="1451">
        <f>Input!$G$108*AB143*12</f>
        <v>63000</v>
      </c>
      <c r="AD143" s="1446">
        <f>AC143-AE143</f>
        <v>0</v>
      </c>
      <c r="AE143" s="1450">
        <f>Input!$G$108*AB143*12</f>
        <v>63000</v>
      </c>
    </row>
    <row r="144" spans="1:31">
      <c r="B144" s="1439" t="s">
        <v>1260</v>
      </c>
      <c r="C144" s="1438">
        <v>42240</v>
      </c>
      <c r="D144" s="1452">
        <f>D30</f>
        <v>443</v>
      </c>
      <c r="E144" s="1452">
        <f t="shared" ref="E144:O144" si="15">E30</f>
        <v>443</v>
      </c>
      <c r="F144" s="1452">
        <f t="shared" si="15"/>
        <v>450</v>
      </c>
      <c r="G144" s="1452">
        <f t="shared" si="15"/>
        <v>461</v>
      </c>
      <c r="H144" s="1452">
        <f t="shared" si="15"/>
        <v>471</v>
      </c>
      <c r="I144" s="1452">
        <f t="shared" si="15"/>
        <v>468</v>
      </c>
      <c r="J144" s="1452">
        <f t="shared" si="15"/>
        <v>469</v>
      </c>
      <c r="K144" s="1452">
        <f t="shared" si="15"/>
        <v>454</v>
      </c>
      <c r="L144" s="1452">
        <f t="shared" si="15"/>
        <v>452</v>
      </c>
      <c r="M144" s="1452">
        <f t="shared" si="15"/>
        <v>474</v>
      </c>
      <c r="N144" s="1452">
        <f t="shared" si="15"/>
        <v>482</v>
      </c>
      <c r="O144" s="1452">
        <f t="shared" si="15"/>
        <v>489</v>
      </c>
      <c r="P144" s="902"/>
      <c r="Q144" s="902"/>
      <c r="R144" s="1446">
        <f t="shared" ref="R144:R156" si="16">O144*12</f>
        <v>5868</v>
      </c>
      <c r="S144" s="1446">
        <f t="shared" ref="S144:S156" si="17">SUM(M144:O144)*4</f>
        <v>5780</v>
      </c>
      <c r="T144" s="1446">
        <f t="shared" ref="T144:T156" si="18">SUM(J144:O144)*2</f>
        <v>5640</v>
      </c>
      <c r="U144" s="1446">
        <f t="shared" ref="U144:U156" si="19">SUM(G144:O144)*12/9</f>
        <v>5626.666666666667</v>
      </c>
      <c r="V144" s="1446">
        <f t="shared" ref="V144:V156" si="20">SUM(D144:O144)</f>
        <v>5556</v>
      </c>
      <c r="W144" s="902"/>
      <c r="X144" s="1453" t="s">
        <v>1281</v>
      </c>
      <c r="Y144" s="1454" t="s">
        <v>1282</v>
      </c>
      <c r="Z144" s="1455">
        <f>V144/12/Input!$H$56/(1-Input!$G$90-Input!$G$91)</f>
        <v>6.1722897716222764</v>
      </c>
      <c r="AA144" s="1455">
        <f>SUM(M144:O144)/3/Input!$H$56/(1-Input!$G$90-Input!$G$91)</f>
        <v>6.42113658746882</v>
      </c>
      <c r="AB144" s="1456">
        <f>ROUND(Input!$H$56*(1-Input!$G$90-Input!$G$91),0)</f>
        <v>75</v>
      </c>
      <c r="AC144" s="1451">
        <f>Input!$G$109*AB144*12</f>
        <v>6300</v>
      </c>
      <c r="AD144" s="1452">
        <f>AC144-AE144</f>
        <v>0</v>
      </c>
      <c r="AE144" s="1456">
        <f>Input!$G$109*AB144*12</f>
        <v>6300</v>
      </c>
    </row>
    <row r="145" spans="2:31">
      <c r="B145" s="1437" t="s">
        <v>1261</v>
      </c>
      <c r="C145" s="1438">
        <v>42120</v>
      </c>
      <c r="D145" s="1446">
        <f>D26</f>
        <v>0</v>
      </c>
      <c r="E145" s="1446">
        <f t="shared" ref="E145:O145" si="21">E26</f>
        <v>0</v>
      </c>
      <c r="F145" s="1446">
        <f t="shared" si="21"/>
        <v>350</v>
      </c>
      <c r="G145" s="1446">
        <f t="shared" si="21"/>
        <v>0</v>
      </c>
      <c r="H145" s="1446">
        <f t="shared" si="21"/>
        <v>700</v>
      </c>
      <c r="I145" s="1446">
        <f t="shared" si="21"/>
        <v>-350</v>
      </c>
      <c r="J145" s="1446">
        <f t="shared" si="21"/>
        <v>650</v>
      </c>
      <c r="K145" s="1446">
        <f t="shared" si="21"/>
        <v>350</v>
      </c>
      <c r="L145" s="1446">
        <f t="shared" si="21"/>
        <v>350</v>
      </c>
      <c r="M145" s="1446">
        <f t="shared" si="21"/>
        <v>950</v>
      </c>
      <c r="N145" s="1446">
        <f t="shared" si="21"/>
        <v>500</v>
      </c>
      <c r="O145" s="1446">
        <f t="shared" si="21"/>
        <v>-200</v>
      </c>
      <c r="P145" s="902"/>
      <c r="Q145" s="902"/>
      <c r="R145" s="1446">
        <f t="shared" si="16"/>
        <v>-2400</v>
      </c>
      <c r="S145" s="1446">
        <f t="shared" si="17"/>
        <v>5000</v>
      </c>
      <c r="T145" s="1446">
        <f t="shared" si="18"/>
        <v>5200</v>
      </c>
      <c r="U145" s="1446">
        <f t="shared" si="19"/>
        <v>3933.3333333333335</v>
      </c>
      <c r="V145" s="1446">
        <f t="shared" si="20"/>
        <v>3300</v>
      </c>
      <c r="W145" s="902"/>
      <c r="X145" s="1457" t="s">
        <v>759</v>
      </c>
      <c r="Y145" s="1448" t="s">
        <v>1283</v>
      </c>
      <c r="Z145" s="1449">
        <f>V145/12/Input!$H$56/(1-Input!$G$90-Input!$G$91)</f>
        <v>3.6660468405963846</v>
      </c>
      <c r="AA145" s="1449">
        <f>SUM(M145:O145)/3/Input!$H$56/(1-Input!$G$90-Input!$G$91)</f>
        <v>5.5546164251460377</v>
      </c>
      <c r="AB145" s="1458"/>
      <c r="AC145" s="1451">
        <f>SUM(M145:O145)*4</f>
        <v>5000</v>
      </c>
      <c r="AD145" s="1446">
        <f>AC145-AE145</f>
        <v>5000</v>
      </c>
      <c r="AE145" s="1450">
        <v>0</v>
      </c>
    </row>
    <row r="146" spans="2:31">
      <c r="B146" s="1439" t="s">
        <v>1262</v>
      </c>
      <c r="C146" s="1438">
        <v>42130</v>
      </c>
      <c r="D146" s="1452">
        <f>D27</f>
        <v>376</v>
      </c>
      <c r="E146" s="1452">
        <f t="shared" ref="E146:O146" si="22">E27</f>
        <v>346</v>
      </c>
      <c r="F146" s="1452">
        <f t="shared" si="22"/>
        <v>344</v>
      </c>
      <c r="G146" s="1452">
        <f t="shared" si="22"/>
        <v>343</v>
      </c>
      <c r="H146" s="1452">
        <f t="shared" si="22"/>
        <v>336</v>
      </c>
      <c r="I146" s="1452">
        <f t="shared" si="22"/>
        <v>320</v>
      </c>
      <c r="J146" s="1452">
        <f t="shared" si="22"/>
        <v>320</v>
      </c>
      <c r="K146" s="1452">
        <f t="shared" si="22"/>
        <v>349</v>
      </c>
      <c r="L146" s="1452">
        <f t="shared" si="22"/>
        <v>368</v>
      </c>
      <c r="M146" s="1452">
        <f t="shared" si="22"/>
        <v>396</v>
      </c>
      <c r="N146" s="1452">
        <f t="shared" si="22"/>
        <v>441</v>
      </c>
      <c r="O146" s="1452">
        <f t="shared" si="22"/>
        <v>427</v>
      </c>
      <c r="P146" s="902"/>
      <c r="Q146" s="902"/>
      <c r="R146" s="1446">
        <f t="shared" si="16"/>
        <v>5124</v>
      </c>
      <c r="S146" s="1446">
        <f t="shared" si="17"/>
        <v>5056</v>
      </c>
      <c r="T146" s="1446">
        <f t="shared" si="18"/>
        <v>4602</v>
      </c>
      <c r="U146" s="1446">
        <f t="shared" si="19"/>
        <v>4400</v>
      </c>
      <c r="V146" s="1446">
        <f t="shared" si="20"/>
        <v>4366</v>
      </c>
      <c r="W146" s="902"/>
      <c r="X146" s="1453" t="s">
        <v>1281</v>
      </c>
      <c r="Y146" s="1454" t="s">
        <v>1284</v>
      </c>
      <c r="Z146" s="1455">
        <f>V146/12/Input!$H$56/(1-Input!$G$90-Input!$G$91)</f>
        <v>4.8502910624375195</v>
      </c>
      <c r="AA146" s="1455">
        <f>SUM(M146:O146)/3/Input!$H$56/(1-Input!$G$90-Input!$G$91)</f>
        <v>5.6168281291076729</v>
      </c>
      <c r="AB146" s="1456">
        <f>ROUND(Input!$H$56*(1-Input!$G$90-Input!$G$91),0)</f>
        <v>75</v>
      </c>
      <c r="AC146" s="1451">
        <f>SUM(M146:O146)*4</f>
        <v>5056</v>
      </c>
      <c r="AD146" s="1452">
        <f>AC146-AE146</f>
        <v>-1784</v>
      </c>
      <c r="AE146" s="1456">
        <f>Input!$G$111</f>
        <v>6840</v>
      </c>
    </row>
    <row r="147" spans="2:31">
      <c r="B147" s="1437" t="s">
        <v>1079</v>
      </c>
      <c r="C147" s="1438">
        <v>44500</v>
      </c>
      <c r="D147" s="1446">
        <f>D34</f>
        <v>2291</v>
      </c>
      <c r="E147" s="1446">
        <f t="shared" ref="E147:O147" si="23">E34</f>
        <v>2278</v>
      </c>
      <c r="F147" s="1446">
        <f t="shared" si="23"/>
        <v>2318</v>
      </c>
      <c r="G147" s="1446">
        <f t="shared" si="23"/>
        <v>2372</v>
      </c>
      <c r="H147" s="1446">
        <f t="shared" si="23"/>
        <v>2424</v>
      </c>
      <c r="I147" s="1446">
        <f t="shared" si="23"/>
        <v>2362</v>
      </c>
      <c r="J147" s="1446">
        <f t="shared" si="23"/>
        <v>2366</v>
      </c>
      <c r="K147" s="1446">
        <f t="shared" si="23"/>
        <v>2281</v>
      </c>
      <c r="L147" s="1446">
        <f t="shared" si="23"/>
        <v>2274</v>
      </c>
      <c r="M147" s="1446">
        <f t="shared" si="23"/>
        <v>2383</v>
      </c>
      <c r="N147" s="1446">
        <f t="shared" si="23"/>
        <v>2410</v>
      </c>
      <c r="O147" s="1446">
        <f t="shared" si="23"/>
        <v>2445</v>
      </c>
      <c r="P147" s="902"/>
      <c r="Q147" s="902"/>
      <c r="R147" s="1446">
        <f t="shared" si="16"/>
        <v>29340</v>
      </c>
      <c r="S147" s="1446">
        <f t="shared" si="17"/>
        <v>28952</v>
      </c>
      <c r="T147" s="1446">
        <f t="shared" si="18"/>
        <v>28318</v>
      </c>
      <c r="U147" s="1446">
        <f t="shared" si="19"/>
        <v>28422.666666666668</v>
      </c>
      <c r="V147" s="1446">
        <f t="shared" si="20"/>
        <v>28204</v>
      </c>
      <c r="W147" s="902"/>
      <c r="X147" s="1447" t="s">
        <v>1281</v>
      </c>
      <c r="Y147" s="1448" t="s">
        <v>1282</v>
      </c>
      <c r="Z147" s="1449">
        <f>V147/12/Input!$H$56/(1-Input!$G$90-Input!$G$91)</f>
        <v>31.332480330963772</v>
      </c>
      <c r="AA147" s="1449">
        <f>SUM(M147:O147)/3/Input!$H$56/(1-Input!$G$90-Input!$G$91)</f>
        <v>32.163450948165611</v>
      </c>
      <c r="AB147" s="1450">
        <f>ROUND(Input!$H$56*(1-Input!$G$90-Input!$G$91),0)</f>
        <v>75</v>
      </c>
      <c r="AC147" s="1451">
        <f>Input!$G$110*AB147*12</f>
        <v>31500</v>
      </c>
      <c r="AD147" s="1446">
        <f>AC147-AE147</f>
        <v>0</v>
      </c>
      <c r="AE147" s="1450">
        <f>Input!$G$110*AB147*12</f>
        <v>31500</v>
      </c>
    </row>
    <row r="148" spans="2:31">
      <c r="B148" s="1439" t="s">
        <v>1263</v>
      </c>
      <c r="C148" s="1438">
        <v>44100</v>
      </c>
      <c r="D148" s="1452">
        <f>D33</f>
        <v>150</v>
      </c>
      <c r="E148" s="1452">
        <f t="shared" ref="E148:O148" si="24">E33</f>
        <v>150</v>
      </c>
      <c r="F148" s="1452">
        <f t="shared" si="24"/>
        <v>150</v>
      </c>
      <c r="G148" s="1452">
        <f t="shared" si="24"/>
        <v>150</v>
      </c>
      <c r="H148" s="1452">
        <f t="shared" si="24"/>
        <v>150</v>
      </c>
      <c r="I148" s="1452">
        <f t="shared" si="24"/>
        <v>150</v>
      </c>
      <c r="J148" s="1452">
        <f t="shared" si="24"/>
        <v>150</v>
      </c>
      <c r="K148" s="1452">
        <f t="shared" si="24"/>
        <v>150</v>
      </c>
      <c r="L148" s="1452">
        <f t="shared" si="24"/>
        <v>150</v>
      </c>
      <c r="M148" s="1452">
        <f t="shared" si="24"/>
        <v>150</v>
      </c>
      <c r="N148" s="1452">
        <f t="shared" si="24"/>
        <v>150</v>
      </c>
      <c r="O148" s="1452">
        <f t="shared" si="24"/>
        <v>150</v>
      </c>
      <c r="P148" s="902"/>
      <c r="Q148" s="902"/>
      <c r="R148" s="1446">
        <f t="shared" si="16"/>
        <v>1800</v>
      </c>
      <c r="S148" s="1446">
        <f t="shared" si="17"/>
        <v>1800</v>
      </c>
      <c r="T148" s="1446">
        <f t="shared" si="18"/>
        <v>1800</v>
      </c>
      <c r="U148" s="1446">
        <f t="shared" si="19"/>
        <v>1800</v>
      </c>
      <c r="V148" s="1446">
        <f t="shared" si="20"/>
        <v>1800</v>
      </c>
      <c r="W148" s="902"/>
      <c r="X148" s="1453" t="s">
        <v>1281</v>
      </c>
      <c r="Y148" s="1454" t="s">
        <v>1285</v>
      </c>
      <c r="Z148" s="1455">
        <f>V148/12/Input!$H$56/(1-Input!$G$90-Input!$G$91)</f>
        <v>1.9996619130525735</v>
      </c>
      <c r="AA148" s="1455">
        <f>SUM(M148:O148)/3/Input!$H$56/(1-Input!$G$90-Input!$G$91)</f>
        <v>1.9996619130525735</v>
      </c>
      <c r="AB148" s="1459"/>
      <c r="AC148" s="1451">
        <f>SUM(M148:O148)*4</f>
        <v>1800</v>
      </c>
      <c r="AD148" s="1452">
        <f>AC148-AE148</f>
        <v>1800</v>
      </c>
      <c r="AE148" s="1456">
        <v>0</v>
      </c>
    </row>
    <row r="149" spans="2:31">
      <c r="B149" s="1437" t="s">
        <v>1264</v>
      </c>
      <c r="C149" s="1438" t="s">
        <v>1270</v>
      </c>
      <c r="D149" s="1446">
        <f>D18+D19+D20</f>
        <v>618</v>
      </c>
      <c r="E149" s="1446">
        <f t="shared" ref="E149:O149" si="25">E18+E19+E20</f>
        <v>870</v>
      </c>
      <c r="F149" s="1446">
        <f t="shared" si="25"/>
        <v>473</v>
      </c>
      <c r="G149" s="1446">
        <f t="shared" si="25"/>
        <v>-25</v>
      </c>
      <c r="H149" s="1446">
        <f t="shared" si="25"/>
        <v>423</v>
      </c>
      <c r="I149" s="1446">
        <f t="shared" si="25"/>
        <v>481</v>
      </c>
      <c r="J149" s="1446">
        <f t="shared" si="25"/>
        <v>787</v>
      </c>
      <c r="K149" s="1446">
        <f t="shared" si="25"/>
        <v>348</v>
      </c>
      <c r="L149" s="1446">
        <f t="shared" si="25"/>
        <v>696</v>
      </c>
      <c r="M149" s="1446">
        <f t="shared" si="25"/>
        <v>87</v>
      </c>
      <c r="N149" s="1446">
        <f t="shared" si="25"/>
        <v>719</v>
      </c>
      <c r="O149" s="1446">
        <f t="shared" si="25"/>
        <v>1201</v>
      </c>
      <c r="P149" s="902"/>
      <c r="Q149" s="902"/>
      <c r="R149" s="1446">
        <f t="shared" si="16"/>
        <v>14412</v>
      </c>
      <c r="S149" s="1446">
        <f t="shared" si="17"/>
        <v>8028</v>
      </c>
      <c r="T149" s="1446">
        <f t="shared" si="18"/>
        <v>7676</v>
      </c>
      <c r="U149" s="1446">
        <f t="shared" si="19"/>
        <v>6289.333333333333</v>
      </c>
      <c r="V149" s="1446">
        <f t="shared" si="20"/>
        <v>6678</v>
      </c>
      <c r="W149" s="902"/>
      <c r="X149" s="1460" t="s">
        <v>759</v>
      </c>
      <c r="Y149" s="1448" t="s">
        <v>1283</v>
      </c>
      <c r="Z149" s="1449">
        <f>V149/12/Input!$H$56/(1-Input!$G$90-Input!$G$91)</f>
        <v>7.4187456974250479</v>
      </c>
      <c r="AA149" s="1449">
        <f>SUM(M149:O149)/3/Input!$H$56/(1-Input!$G$90-Input!$G$91)</f>
        <v>8.9184921322144781</v>
      </c>
      <c r="AB149" s="1458"/>
      <c r="AC149" s="1451">
        <f>SUM(M149:O149)*4</f>
        <v>8028</v>
      </c>
      <c r="AD149" s="1446">
        <f>AC149-AE149</f>
        <v>8028</v>
      </c>
      <c r="AE149" s="1450">
        <v>0</v>
      </c>
    </row>
    <row r="150" spans="2:31">
      <c r="B150" s="1439" t="s">
        <v>1265</v>
      </c>
      <c r="C150" s="1438" t="s">
        <v>1271</v>
      </c>
      <c r="D150" s="1452">
        <f>D21+D22</f>
        <v>1470</v>
      </c>
      <c r="E150" s="1452">
        <f t="shared" ref="E150:O150" si="26">E21+E22</f>
        <v>2479</v>
      </c>
      <c r="F150" s="1452">
        <f t="shared" si="26"/>
        <v>2158</v>
      </c>
      <c r="G150" s="1452">
        <f t="shared" si="26"/>
        <v>2529</v>
      </c>
      <c r="H150" s="1452">
        <f t="shared" si="26"/>
        <v>2298</v>
      </c>
      <c r="I150" s="1452">
        <f t="shared" si="26"/>
        <v>2855</v>
      </c>
      <c r="J150" s="1452">
        <f t="shared" si="26"/>
        <v>3209</v>
      </c>
      <c r="K150" s="1452">
        <f t="shared" si="26"/>
        <v>2652</v>
      </c>
      <c r="L150" s="1452">
        <f t="shared" si="26"/>
        <v>2397</v>
      </c>
      <c r="M150" s="1452">
        <f t="shared" si="26"/>
        <v>1167</v>
      </c>
      <c r="N150" s="1452">
        <f t="shared" si="26"/>
        <v>1819</v>
      </c>
      <c r="O150" s="1452">
        <f t="shared" si="26"/>
        <v>1826</v>
      </c>
      <c r="P150" s="902"/>
      <c r="Q150" s="902"/>
      <c r="R150" s="1446">
        <f t="shared" si="16"/>
        <v>21912</v>
      </c>
      <c r="S150" s="1446">
        <f t="shared" si="17"/>
        <v>19248</v>
      </c>
      <c r="T150" s="1446">
        <f t="shared" si="18"/>
        <v>26140</v>
      </c>
      <c r="U150" s="1446">
        <f t="shared" si="19"/>
        <v>27669.333333333332</v>
      </c>
      <c r="V150" s="1446">
        <f t="shared" si="20"/>
        <v>26859</v>
      </c>
      <c r="W150" s="902"/>
      <c r="X150" s="1460" t="s">
        <v>759</v>
      </c>
      <c r="Y150" s="1454" t="s">
        <v>1283</v>
      </c>
      <c r="Z150" s="1455">
        <f>V150/12/Input!$H$56/(1-Input!$G$90-Input!$G$91)</f>
        <v>29.838288512599483</v>
      </c>
      <c r="AA150" s="1455">
        <f>SUM(M150:O150)/3/Input!$H$56/(1-Input!$G$90-Input!$G$91)</f>
        <v>21.383051390242187</v>
      </c>
      <c r="AB150" s="1459"/>
      <c r="AC150" s="1451">
        <f>SUM(M150:O150)*4</f>
        <v>19248</v>
      </c>
      <c r="AD150" s="1452">
        <f>AC150-AE150</f>
        <v>19248</v>
      </c>
      <c r="AE150" s="1456">
        <v>0</v>
      </c>
    </row>
    <row r="151" spans="2:31">
      <c r="B151" s="1437" t="s">
        <v>1266</v>
      </c>
      <c r="C151" s="1438" t="s">
        <v>1272</v>
      </c>
      <c r="D151" s="1446">
        <f>D23+D24</f>
        <v>0</v>
      </c>
      <c r="E151" s="1446">
        <f t="shared" ref="E151:O151" si="27">E23+E24</f>
        <v>0</v>
      </c>
      <c r="F151" s="1446">
        <f t="shared" si="27"/>
        <v>0</v>
      </c>
      <c r="G151" s="1446">
        <f t="shared" si="27"/>
        <v>2598</v>
      </c>
      <c r="H151" s="1446">
        <f t="shared" si="27"/>
        <v>2980</v>
      </c>
      <c r="I151" s="1446">
        <f t="shared" si="27"/>
        <v>0</v>
      </c>
      <c r="J151" s="1446">
        <f t="shared" si="27"/>
        <v>8096</v>
      </c>
      <c r="K151" s="1446">
        <f t="shared" si="27"/>
        <v>8597</v>
      </c>
      <c r="L151" s="1446">
        <f t="shared" si="27"/>
        <v>250</v>
      </c>
      <c r="M151" s="1446">
        <f t="shared" si="27"/>
        <v>2062</v>
      </c>
      <c r="N151" s="1446">
        <f t="shared" si="27"/>
        <v>4699</v>
      </c>
      <c r="O151" s="1446">
        <f t="shared" si="27"/>
        <v>0</v>
      </c>
      <c r="P151" s="902"/>
      <c r="Q151" s="902"/>
      <c r="R151" s="1446">
        <f t="shared" si="16"/>
        <v>0</v>
      </c>
      <c r="S151" s="1446">
        <f t="shared" si="17"/>
        <v>27044</v>
      </c>
      <c r="T151" s="1446">
        <f t="shared" si="18"/>
        <v>47408</v>
      </c>
      <c r="U151" s="1446">
        <f t="shared" si="19"/>
        <v>39042.666666666664</v>
      </c>
      <c r="V151" s="1446">
        <f t="shared" si="20"/>
        <v>29282</v>
      </c>
      <c r="W151" s="902"/>
      <c r="X151" s="1457" t="s">
        <v>759</v>
      </c>
      <c r="Y151" s="1448" t="s">
        <v>1283</v>
      </c>
      <c r="Z151" s="1449">
        <f>V151/12/Input!$H$56/(1-Input!$G$90-Input!$G$91)</f>
        <v>32.530055632225249</v>
      </c>
      <c r="AA151" s="1449">
        <f>SUM(M151:O151)/3/Input!$H$56/(1-Input!$G$90-Input!$G$91)</f>
        <v>30.043809320329885</v>
      </c>
      <c r="AB151" s="1458"/>
      <c r="AC151" s="1451">
        <f>SUM(M151:O151)*4</f>
        <v>27044</v>
      </c>
      <c r="AD151" s="1446">
        <f>AC151-AE151</f>
        <v>27044</v>
      </c>
      <c r="AE151" s="1450">
        <v>0</v>
      </c>
    </row>
    <row r="152" spans="2:31">
      <c r="B152" s="1439" t="s">
        <v>1267</v>
      </c>
      <c r="C152" s="1438" t="s">
        <v>1273</v>
      </c>
      <c r="D152" s="1452">
        <f>D25+D28</f>
        <v>2875</v>
      </c>
      <c r="E152" s="1452">
        <f t="shared" ref="E152:O152" si="28">E25+E28</f>
        <v>0</v>
      </c>
      <c r="F152" s="1452">
        <f t="shared" si="28"/>
        <v>0</v>
      </c>
      <c r="G152" s="1452">
        <f t="shared" si="28"/>
        <v>0</v>
      </c>
      <c r="H152" s="1452">
        <f t="shared" si="28"/>
        <v>2610</v>
      </c>
      <c r="I152" s="1452">
        <f t="shared" si="28"/>
        <v>0</v>
      </c>
      <c r="J152" s="1452">
        <f t="shared" si="28"/>
        <v>4255</v>
      </c>
      <c r="K152" s="1452">
        <f t="shared" si="28"/>
        <v>0</v>
      </c>
      <c r="L152" s="1452">
        <f t="shared" si="28"/>
        <v>6825</v>
      </c>
      <c r="M152" s="1452">
        <f t="shared" si="28"/>
        <v>7775</v>
      </c>
      <c r="N152" s="1452">
        <f t="shared" si="28"/>
        <v>-1651</v>
      </c>
      <c r="O152" s="1452">
        <f t="shared" si="28"/>
        <v>792</v>
      </c>
      <c r="P152" s="902"/>
      <c r="Q152" s="902"/>
      <c r="R152" s="1446">
        <f t="shared" si="16"/>
        <v>9504</v>
      </c>
      <c r="S152" s="1446">
        <f t="shared" si="17"/>
        <v>27664</v>
      </c>
      <c r="T152" s="1446">
        <f t="shared" si="18"/>
        <v>35992</v>
      </c>
      <c r="U152" s="1446">
        <f t="shared" si="19"/>
        <v>27474.666666666668</v>
      </c>
      <c r="V152" s="1446">
        <f t="shared" si="20"/>
        <v>23481</v>
      </c>
      <c r="W152" s="902"/>
      <c r="X152" s="1460" t="s">
        <v>759</v>
      </c>
      <c r="Y152" s="1454" t="s">
        <v>1283</v>
      </c>
      <c r="Z152" s="1455">
        <f>V152/12/Input!$H$56/(1-Input!$G$90-Input!$G$91)</f>
        <v>26.085589655770821</v>
      </c>
      <c r="AA152" s="1455">
        <f>SUM(M152:O152)/3/Input!$H$56/(1-Input!$G$90-Input!$G$91)</f>
        <v>30.732581757047999</v>
      </c>
      <c r="AB152" s="1459"/>
      <c r="AC152" s="1451">
        <f>SUM(M152:O152)*4</f>
        <v>27664</v>
      </c>
      <c r="AD152" s="1452">
        <f>AC152-AE152</f>
        <v>27664</v>
      </c>
      <c r="AE152" s="1456">
        <v>0</v>
      </c>
    </row>
    <row r="153" spans="2:31">
      <c r="B153" s="1437" t="s">
        <v>1268</v>
      </c>
      <c r="C153" s="1438">
        <v>42260</v>
      </c>
      <c r="D153" s="1446">
        <f>D31</f>
        <v>20</v>
      </c>
      <c r="E153" s="1446">
        <f t="shared" ref="E153:O153" si="29">E31</f>
        <v>20</v>
      </c>
      <c r="F153" s="1446">
        <f t="shared" si="29"/>
        <v>20</v>
      </c>
      <c r="G153" s="1446">
        <f t="shared" si="29"/>
        <v>20</v>
      </c>
      <c r="H153" s="1446">
        <f t="shared" si="29"/>
        <v>20</v>
      </c>
      <c r="I153" s="1446">
        <f t="shared" si="29"/>
        <v>20</v>
      </c>
      <c r="J153" s="1446">
        <f t="shared" si="29"/>
        <v>20</v>
      </c>
      <c r="K153" s="1446">
        <f t="shared" si="29"/>
        <v>20</v>
      </c>
      <c r="L153" s="1446">
        <f t="shared" si="29"/>
        <v>20</v>
      </c>
      <c r="M153" s="1446">
        <f t="shared" si="29"/>
        <v>20</v>
      </c>
      <c r="N153" s="1446">
        <f t="shared" si="29"/>
        <v>20</v>
      </c>
      <c r="O153" s="1446">
        <f t="shared" si="29"/>
        <v>20</v>
      </c>
      <c r="P153" s="902"/>
      <c r="Q153" s="902"/>
      <c r="R153" s="1446">
        <f t="shared" si="16"/>
        <v>240</v>
      </c>
      <c r="S153" s="1446">
        <f t="shared" si="17"/>
        <v>240</v>
      </c>
      <c r="T153" s="1446">
        <f t="shared" si="18"/>
        <v>240</v>
      </c>
      <c r="U153" s="1446">
        <f t="shared" si="19"/>
        <v>240</v>
      </c>
      <c r="V153" s="1446">
        <f t="shared" si="20"/>
        <v>240</v>
      </c>
      <c r="W153" s="902"/>
      <c r="X153" s="1453" t="s">
        <v>1281</v>
      </c>
      <c r="Y153" s="1448" t="s">
        <v>1285</v>
      </c>
      <c r="Z153" s="1449">
        <f>V153/12/Input!$H$56/(1-Input!$G$90-Input!$G$91)</f>
        <v>0.26662158840700978</v>
      </c>
      <c r="AA153" s="1449">
        <f>SUM(M153:O153)/3/Input!$H$56/(1-Input!$G$90-Input!$G$91)</f>
        <v>0.26662158840700978</v>
      </c>
      <c r="AB153" s="1458"/>
      <c r="AC153" s="1451">
        <f>SUM(M153:O153)*4</f>
        <v>240</v>
      </c>
      <c r="AD153" s="1446">
        <f>AC153-AE153</f>
        <v>240</v>
      </c>
      <c r="AE153" s="1450">
        <v>0</v>
      </c>
    </row>
    <row r="154" spans="2:31">
      <c r="B154" s="1439" t="s">
        <v>1269</v>
      </c>
      <c r="C154" s="1438">
        <v>42999</v>
      </c>
      <c r="D154" s="1452">
        <f>D32</f>
        <v>880</v>
      </c>
      <c r="E154" s="1452">
        <f t="shared" ref="E154:O154" si="30">E32</f>
        <v>0</v>
      </c>
      <c r="F154" s="1452">
        <f t="shared" si="30"/>
        <v>880</v>
      </c>
      <c r="G154" s="1452">
        <f t="shared" si="30"/>
        <v>0</v>
      </c>
      <c r="H154" s="1452">
        <f t="shared" si="30"/>
        <v>-1699</v>
      </c>
      <c r="I154" s="1452">
        <f t="shared" si="30"/>
        <v>2859</v>
      </c>
      <c r="J154" s="1452">
        <f t="shared" si="30"/>
        <v>3720</v>
      </c>
      <c r="K154" s="1452">
        <f t="shared" si="30"/>
        <v>880</v>
      </c>
      <c r="L154" s="1452">
        <f t="shared" si="30"/>
        <v>1440</v>
      </c>
      <c r="M154" s="1452">
        <f t="shared" si="30"/>
        <v>-270</v>
      </c>
      <c r="N154" s="1452">
        <f t="shared" si="30"/>
        <v>0</v>
      </c>
      <c r="O154" s="1452">
        <f t="shared" si="30"/>
        <v>0</v>
      </c>
      <c r="P154" s="902"/>
      <c r="Q154" s="902"/>
      <c r="R154" s="1446">
        <f t="shared" si="16"/>
        <v>0</v>
      </c>
      <c r="S154" s="1446">
        <f t="shared" si="17"/>
        <v>-1080</v>
      </c>
      <c r="T154" s="1446">
        <f t="shared" si="18"/>
        <v>11540</v>
      </c>
      <c r="U154" s="1446">
        <f t="shared" si="19"/>
        <v>9240</v>
      </c>
      <c r="V154" s="1446">
        <f t="shared" si="20"/>
        <v>8690</v>
      </c>
      <c r="W154" s="902"/>
      <c r="X154" s="1460" t="s">
        <v>759</v>
      </c>
      <c r="Y154" s="1454" t="s">
        <v>1283</v>
      </c>
      <c r="Z154" s="1455">
        <f>V154/12/Input!$H$56/(1-Input!$G$90-Input!$G$91)</f>
        <v>9.6539233469038113</v>
      </c>
      <c r="AA154" s="1455">
        <f>SUM(M154:O154)/3/Input!$H$56/(1-Input!$G$90-Input!$G$91)</f>
        <v>-1.1997971478315441</v>
      </c>
      <c r="AB154" s="1459"/>
      <c r="AC154" s="1451">
        <f>SUM(M154:O154)*4</f>
        <v>-1080</v>
      </c>
      <c r="AD154" s="1452">
        <f>AC154-AE154</f>
        <v>-85896.000000000029</v>
      </c>
      <c r="AE154" s="1456">
        <f>Input!$G$112</f>
        <v>84816.000000000029</v>
      </c>
    </row>
    <row r="155" spans="2:31">
      <c r="B155" s="1437"/>
      <c r="C155" s="1436"/>
      <c r="D155" s="1461"/>
      <c r="E155" s="1461"/>
      <c r="F155" s="1461"/>
      <c r="G155" s="1461"/>
      <c r="H155" s="1461"/>
      <c r="I155" s="1461"/>
      <c r="J155" s="1461"/>
      <c r="K155" s="1461"/>
      <c r="L155" s="1461"/>
      <c r="M155" s="1461"/>
      <c r="N155" s="1461"/>
      <c r="O155" s="1461"/>
      <c r="P155" s="902"/>
      <c r="Q155" s="902"/>
      <c r="R155" s="1446">
        <f t="shared" si="16"/>
        <v>0</v>
      </c>
      <c r="S155" s="1446">
        <f t="shared" si="17"/>
        <v>0</v>
      </c>
      <c r="T155" s="1446">
        <f t="shared" si="18"/>
        <v>0</v>
      </c>
      <c r="U155" s="1446">
        <f t="shared" si="19"/>
        <v>0</v>
      </c>
      <c r="V155" s="1446">
        <f t="shared" si="20"/>
        <v>0</v>
      </c>
      <c r="W155" s="902"/>
      <c r="X155" s="902"/>
      <c r="Y155" s="902"/>
      <c r="Z155" s="902"/>
      <c r="AA155" s="902"/>
      <c r="AB155" s="902"/>
      <c r="AC155" s="902"/>
      <c r="AD155" s="902"/>
      <c r="AE155" s="902"/>
    </row>
    <row r="156" spans="2:31">
      <c r="B156" s="1440" t="s">
        <v>575</v>
      </c>
      <c r="C156" s="1436"/>
      <c r="D156" s="1462">
        <f>SUM(D143:D154)</f>
        <v>13904</v>
      </c>
      <c r="E156" s="1462">
        <f t="shared" ref="E156:O156" si="31">SUM(E143:E154)</f>
        <v>11322</v>
      </c>
      <c r="F156" s="1462">
        <f t="shared" si="31"/>
        <v>11929</v>
      </c>
      <c r="G156" s="1462">
        <f t="shared" si="31"/>
        <v>13318</v>
      </c>
      <c r="H156" s="1462">
        <f t="shared" si="31"/>
        <v>15620</v>
      </c>
      <c r="I156" s="1462">
        <f t="shared" si="31"/>
        <v>14065</v>
      </c>
      <c r="J156" s="1462">
        <f t="shared" si="31"/>
        <v>28894</v>
      </c>
      <c r="K156" s="1462">
        <f t="shared" si="31"/>
        <v>20809</v>
      </c>
      <c r="L156" s="1462">
        <f t="shared" si="31"/>
        <v>19941</v>
      </c>
      <c r="M156" s="1462">
        <f t="shared" si="31"/>
        <v>20105</v>
      </c>
      <c r="N156" s="1462">
        <f t="shared" si="31"/>
        <v>14457</v>
      </c>
      <c r="O156" s="1462">
        <f t="shared" si="31"/>
        <v>12086</v>
      </c>
      <c r="P156" s="902"/>
      <c r="Q156" s="902"/>
      <c r="R156" s="1463">
        <f t="shared" si="16"/>
        <v>145032</v>
      </c>
      <c r="S156" s="1463">
        <f t="shared" si="17"/>
        <v>186592</v>
      </c>
      <c r="T156" s="1463">
        <f t="shared" si="18"/>
        <v>232584</v>
      </c>
      <c r="U156" s="1463">
        <f t="shared" si="19"/>
        <v>212393.33333333334</v>
      </c>
      <c r="V156" s="1463">
        <f t="shared" si="20"/>
        <v>196450</v>
      </c>
      <c r="W156" s="902"/>
      <c r="X156" s="1464"/>
      <c r="Y156" s="1464"/>
      <c r="Z156" s="1464"/>
      <c r="AA156" s="1464"/>
      <c r="AB156" s="1464"/>
      <c r="AC156" s="1465">
        <f>SUM(AC143:AC154)</f>
        <v>193800</v>
      </c>
      <c r="AD156" s="1462">
        <f>AC156-AE156</f>
        <v>1343.9999999999709</v>
      </c>
      <c r="AE156" s="1466">
        <f>SUM(AE143:AE154)</f>
        <v>192456.00000000003</v>
      </c>
    </row>
    <row r="159" spans="2:31" ht="15">
      <c r="C159" s="1407" t="s">
        <v>1295</v>
      </c>
      <c r="D159" s="1408"/>
      <c r="E159" s="1408"/>
      <c r="F159" s="1408"/>
      <c r="G159" s="1408"/>
      <c r="H159" s="1408"/>
      <c r="I159" s="1408"/>
      <c r="J159" s="1408"/>
      <c r="K159" s="1408"/>
      <c r="L159" s="1408"/>
      <c r="M159" s="1408"/>
      <c r="N159" s="1408"/>
      <c r="O159" s="1408"/>
      <c r="P159" s="1408"/>
      <c r="Q159" s="1408"/>
      <c r="R159" s="1408"/>
      <c r="S159" s="1408"/>
      <c r="T159" s="1408"/>
      <c r="U159" s="1408"/>
      <c r="V159" s="1408"/>
    </row>
    <row r="161" spans="2:30" ht="14.25">
      <c r="B161" s="1409" t="s">
        <v>380</v>
      </c>
      <c r="C161" s="1467" t="s">
        <v>1296</v>
      </c>
      <c r="D161" s="1410">
        <v>45597</v>
      </c>
      <c r="E161" s="1410">
        <v>45627</v>
      </c>
      <c r="F161" s="1410">
        <v>45658</v>
      </c>
      <c r="G161" s="1410">
        <v>45689</v>
      </c>
      <c r="H161" s="1410">
        <v>45717</v>
      </c>
      <c r="I161" s="1410">
        <v>45748</v>
      </c>
      <c r="J161" s="1410">
        <v>45778</v>
      </c>
      <c r="K161" s="1410">
        <v>45809</v>
      </c>
      <c r="L161" s="1410">
        <v>45839</v>
      </c>
      <c r="M161" s="1410">
        <v>45870</v>
      </c>
      <c r="N161" s="1410">
        <v>45901</v>
      </c>
      <c r="O161" s="1410">
        <v>45931</v>
      </c>
      <c r="P161" s="734"/>
      <c r="Q161" s="734"/>
      <c r="R161" s="1412" t="s">
        <v>1256</v>
      </c>
      <c r="S161" s="1412" t="s">
        <v>1257</v>
      </c>
      <c r="T161" s="1412" t="s">
        <v>1258</v>
      </c>
      <c r="U161" s="1412" t="s">
        <v>1259</v>
      </c>
      <c r="V161" s="1412" t="s">
        <v>1249</v>
      </c>
      <c r="X161" s="1420" t="s">
        <v>1311</v>
      </c>
      <c r="Y161" s="1420" t="s">
        <v>1312</v>
      </c>
      <c r="Z161" s="1420" t="s">
        <v>1313</v>
      </c>
      <c r="AA161" s="1421" t="s">
        <v>1275</v>
      </c>
      <c r="AB161" s="1422" t="s">
        <v>1279</v>
      </c>
      <c r="AC161" s="1422" t="s">
        <v>1314</v>
      </c>
      <c r="AD161" s="1420" t="s">
        <v>1286</v>
      </c>
    </row>
    <row r="163" spans="2:30">
      <c r="B163" s="1411" t="s">
        <v>385</v>
      </c>
      <c r="C163" s="1415" t="s">
        <v>1297</v>
      </c>
      <c r="D163" s="1416">
        <f>D110</f>
        <v>998</v>
      </c>
      <c r="E163" s="1416">
        <f t="shared" ref="E163:O163" si="32">E110</f>
        <v>0</v>
      </c>
      <c r="F163" s="1416">
        <f t="shared" si="32"/>
        <v>21665</v>
      </c>
      <c r="G163" s="1416">
        <f t="shared" si="32"/>
        <v>813</v>
      </c>
      <c r="H163" s="1416">
        <f t="shared" si="32"/>
        <v>5663</v>
      </c>
      <c r="I163" s="1416">
        <f t="shared" si="32"/>
        <v>3270</v>
      </c>
      <c r="J163" s="1416">
        <f t="shared" si="32"/>
        <v>2799</v>
      </c>
      <c r="K163" s="1416">
        <f t="shared" si="32"/>
        <v>6752</v>
      </c>
      <c r="L163" s="1416">
        <f t="shared" si="32"/>
        <v>13591</v>
      </c>
      <c r="M163" s="1416">
        <f t="shared" si="32"/>
        <v>8904</v>
      </c>
      <c r="N163" s="1416">
        <f t="shared" si="32"/>
        <v>10941</v>
      </c>
      <c r="O163" s="1416">
        <f t="shared" si="32"/>
        <v>3952</v>
      </c>
      <c r="R163" s="1416">
        <f>O163*12</f>
        <v>47424</v>
      </c>
      <c r="S163" s="1416">
        <f>SUM(M163:O163)*4</f>
        <v>95188</v>
      </c>
      <c r="T163" s="1416">
        <f>SUM(J163:O163)*2</f>
        <v>93878</v>
      </c>
      <c r="U163" s="1416">
        <f>SUM(G163:O163)*12/9</f>
        <v>75580</v>
      </c>
      <c r="V163" s="1416">
        <f>SUM(D163:O163)</f>
        <v>79348</v>
      </c>
      <c r="X163" s="1423">
        <f>V163/Input!$H$56</f>
        <v>991.85</v>
      </c>
      <c r="Y163" s="1423">
        <f>S163/Input!$H$56</f>
        <v>1189.8499999999999</v>
      </c>
      <c r="Z163" s="1423">
        <f>T163/Input!$H$56</f>
        <v>1173.4749999999999</v>
      </c>
      <c r="AA163" s="1448" t="s">
        <v>1258</v>
      </c>
      <c r="AB163" s="1424">
        <f>T163</f>
        <v>93878</v>
      </c>
      <c r="AC163" s="1423">
        <f>AB163/Input!$H$56</f>
        <v>1173.4749999999999</v>
      </c>
      <c r="AD163" s="1423">
        <f>Input!G129</f>
        <v>94000</v>
      </c>
    </row>
    <row r="164" spans="2:30">
      <c r="B164" s="1413" t="s">
        <v>387</v>
      </c>
      <c r="C164" s="1425" t="s">
        <v>1298</v>
      </c>
      <c r="D164" s="1417">
        <f>D56</f>
        <v>7766</v>
      </c>
      <c r="E164" s="1417">
        <f t="shared" ref="E164:O164" si="33">E56</f>
        <v>7766</v>
      </c>
      <c r="F164" s="1417">
        <f t="shared" si="33"/>
        <v>-3687</v>
      </c>
      <c r="G164" s="1417">
        <f t="shared" si="33"/>
        <v>7632</v>
      </c>
      <c r="H164" s="1417">
        <f t="shared" si="33"/>
        <v>7038</v>
      </c>
      <c r="I164" s="1417">
        <f t="shared" si="33"/>
        <v>5632</v>
      </c>
      <c r="J164" s="1417">
        <f t="shared" si="33"/>
        <v>7781</v>
      </c>
      <c r="K164" s="1417">
        <f t="shared" si="33"/>
        <v>7625</v>
      </c>
      <c r="L164" s="1417">
        <f t="shared" si="33"/>
        <v>5901</v>
      </c>
      <c r="M164" s="1417">
        <f t="shared" si="33"/>
        <v>8842</v>
      </c>
      <c r="N164" s="1417">
        <f t="shared" si="33"/>
        <v>11503</v>
      </c>
      <c r="O164" s="1417">
        <f t="shared" si="33"/>
        <v>7408</v>
      </c>
      <c r="R164" s="1417">
        <f t="shared" ref="R164:R179" si="34">O164*12</f>
        <v>88896</v>
      </c>
      <c r="S164" s="1417">
        <f t="shared" ref="S164:S179" si="35">SUM(M164:O164)*4</f>
        <v>111012</v>
      </c>
      <c r="T164" s="1417">
        <f t="shared" ref="T164:T179" si="36">SUM(J164:O164)*2</f>
        <v>98120</v>
      </c>
      <c r="U164" s="1417">
        <f t="shared" ref="U164:U179" si="37">SUM(G164:O164)*12/9</f>
        <v>92482.666666666672</v>
      </c>
      <c r="V164" s="1417">
        <f t="shared" ref="V164:V179" si="38">SUM(D164:O164)</f>
        <v>81207</v>
      </c>
      <c r="X164" s="1426">
        <f>V164/Input!$H$56</f>
        <v>1015.0875</v>
      </c>
      <c r="Y164" s="1426">
        <f>S164/Input!$H$56</f>
        <v>1387.65</v>
      </c>
      <c r="Z164" s="1426">
        <f>T164/Input!$H$56</f>
        <v>1226.5</v>
      </c>
      <c r="AA164" s="1454" t="s">
        <v>1258</v>
      </c>
      <c r="AB164" s="1424">
        <f>T164</f>
        <v>98120</v>
      </c>
      <c r="AC164" s="1423">
        <f>AB164/Input!$H$56</f>
        <v>1226.5</v>
      </c>
      <c r="AD164" s="1426">
        <f>Input!G130</f>
        <v>0</v>
      </c>
    </row>
    <row r="165" spans="2:30">
      <c r="B165" s="1411" t="s">
        <v>390</v>
      </c>
      <c r="C165" s="1415" t="s">
        <v>1299</v>
      </c>
      <c r="D165" s="1416">
        <f>D45</f>
        <v>7574</v>
      </c>
      <c r="E165" s="1416">
        <f t="shared" ref="E165:O165" si="39">E45</f>
        <v>9391</v>
      </c>
      <c r="F165" s="1416">
        <f t="shared" si="39"/>
        <v>3653</v>
      </c>
      <c r="G165" s="1416">
        <f t="shared" si="39"/>
        <v>3975</v>
      </c>
      <c r="H165" s="1416">
        <f t="shared" si="39"/>
        <v>2472</v>
      </c>
      <c r="I165" s="1416">
        <f t="shared" si="39"/>
        <v>13319</v>
      </c>
      <c r="J165" s="1416">
        <f t="shared" si="39"/>
        <v>6380</v>
      </c>
      <c r="K165" s="1416">
        <f t="shared" si="39"/>
        <v>4095</v>
      </c>
      <c r="L165" s="1416">
        <f t="shared" si="39"/>
        <v>5334</v>
      </c>
      <c r="M165" s="1416">
        <f t="shared" si="39"/>
        <v>9223</v>
      </c>
      <c r="N165" s="1416">
        <f t="shared" si="39"/>
        <v>9597</v>
      </c>
      <c r="O165" s="1416">
        <f t="shared" si="39"/>
        <v>3711</v>
      </c>
      <c r="R165" s="1416">
        <f t="shared" si="34"/>
        <v>44532</v>
      </c>
      <c r="S165" s="1416">
        <f t="shared" si="35"/>
        <v>90124</v>
      </c>
      <c r="T165" s="1416">
        <f t="shared" si="36"/>
        <v>76680</v>
      </c>
      <c r="U165" s="1416">
        <f t="shared" si="37"/>
        <v>77474.666666666672</v>
      </c>
      <c r="V165" s="1416">
        <f t="shared" si="38"/>
        <v>78724</v>
      </c>
      <c r="X165" s="1423">
        <f>V165/Input!$H$56</f>
        <v>984.05</v>
      </c>
      <c r="Y165" s="1423">
        <f>S165/Input!$H$56</f>
        <v>1126.55</v>
      </c>
      <c r="Z165" s="1423">
        <f>T165/Input!$H$56</f>
        <v>958.5</v>
      </c>
      <c r="AA165" s="1448" t="s">
        <v>1336</v>
      </c>
      <c r="AB165" s="1424">
        <v>146700</v>
      </c>
      <c r="AC165" s="1423">
        <f>AB165/Input!$H$56</f>
        <v>1833.75</v>
      </c>
      <c r="AD165" s="1423">
        <f>Input!G133</f>
        <v>146700</v>
      </c>
    </row>
    <row r="166" spans="2:30">
      <c r="B166" s="1413" t="s">
        <v>391</v>
      </c>
      <c r="C166" s="1425" t="s">
        <v>1300</v>
      </c>
      <c r="D166" s="1417">
        <f>D85</f>
        <v>1958</v>
      </c>
      <c r="E166" s="1417">
        <f t="shared" ref="E166:O166" si="40">E85</f>
        <v>5449</v>
      </c>
      <c r="F166" s="1417">
        <f t="shared" si="40"/>
        <v>2296</v>
      </c>
      <c r="G166" s="1417">
        <f t="shared" si="40"/>
        <v>2663</v>
      </c>
      <c r="H166" s="1417">
        <f t="shared" si="40"/>
        <v>2159</v>
      </c>
      <c r="I166" s="1417">
        <f t="shared" si="40"/>
        <v>135</v>
      </c>
      <c r="J166" s="1417">
        <f t="shared" si="40"/>
        <v>964</v>
      </c>
      <c r="K166" s="1417">
        <f t="shared" si="40"/>
        <v>0</v>
      </c>
      <c r="L166" s="1417">
        <f t="shared" si="40"/>
        <v>194</v>
      </c>
      <c r="M166" s="1417">
        <f t="shared" si="40"/>
        <v>-3192</v>
      </c>
      <c r="N166" s="1417">
        <f t="shared" si="40"/>
        <v>825</v>
      </c>
      <c r="O166" s="1417">
        <f t="shared" si="40"/>
        <v>0</v>
      </c>
      <c r="R166" s="1417">
        <f t="shared" si="34"/>
        <v>0</v>
      </c>
      <c r="S166" s="1417">
        <f t="shared" si="35"/>
        <v>-9468</v>
      </c>
      <c r="T166" s="1417">
        <f t="shared" si="36"/>
        <v>-2418</v>
      </c>
      <c r="U166" s="1417">
        <f t="shared" si="37"/>
        <v>4997.333333333333</v>
      </c>
      <c r="V166" s="1417">
        <f t="shared" si="38"/>
        <v>13451</v>
      </c>
      <c r="X166" s="1426">
        <f>V166/Input!$H$56</f>
        <v>168.13749999999999</v>
      </c>
      <c r="Y166" s="1426">
        <f>S166/Input!$H$56</f>
        <v>-118.35</v>
      </c>
      <c r="Z166" s="1426">
        <f>T166/Input!$H$56</f>
        <v>-30.225000000000001</v>
      </c>
      <c r="AA166" s="1454" t="s">
        <v>1258</v>
      </c>
      <c r="AB166" s="1424">
        <f>T166</f>
        <v>-2418</v>
      </c>
      <c r="AC166" s="1423">
        <f>AB166/Input!$H$56</f>
        <v>-30.225000000000001</v>
      </c>
      <c r="AD166" s="1426">
        <f>Input!G134</f>
        <v>0</v>
      </c>
    </row>
    <row r="167" spans="2:30">
      <c r="B167" s="1411" t="s">
        <v>394</v>
      </c>
      <c r="C167" s="1415" t="s">
        <v>1301</v>
      </c>
      <c r="D167" s="1416">
        <f>D77</f>
        <v>8891</v>
      </c>
      <c r="E167" s="1416">
        <f t="shared" ref="E167:O167" si="41">E77</f>
        <v>1651</v>
      </c>
      <c r="F167" s="1416">
        <f t="shared" si="41"/>
        <v>3856</v>
      </c>
      <c r="G167" s="1416">
        <f t="shared" si="41"/>
        <v>3018</v>
      </c>
      <c r="H167" s="1416">
        <f t="shared" si="41"/>
        <v>1708</v>
      </c>
      <c r="I167" s="1416">
        <f t="shared" si="41"/>
        <v>1806</v>
      </c>
      <c r="J167" s="1416">
        <f t="shared" si="41"/>
        <v>2157</v>
      </c>
      <c r="K167" s="1416">
        <f t="shared" si="41"/>
        <v>1335</v>
      </c>
      <c r="L167" s="1416">
        <f t="shared" si="41"/>
        <v>3103</v>
      </c>
      <c r="M167" s="1416">
        <f t="shared" si="41"/>
        <v>1941</v>
      </c>
      <c r="N167" s="1416">
        <f t="shared" si="41"/>
        <v>4687</v>
      </c>
      <c r="O167" s="1416">
        <f t="shared" si="41"/>
        <v>966</v>
      </c>
      <c r="R167" s="1416">
        <f t="shared" si="34"/>
        <v>11592</v>
      </c>
      <c r="S167" s="1416">
        <f t="shared" si="35"/>
        <v>30376</v>
      </c>
      <c r="T167" s="1416">
        <f t="shared" si="36"/>
        <v>28378</v>
      </c>
      <c r="U167" s="1416">
        <f t="shared" si="37"/>
        <v>27628</v>
      </c>
      <c r="V167" s="1416">
        <f t="shared" si="38"/>
        <v>35119</v>
      </c>
      <c r="X167" s="1423">
        <f>V167/Input!$H$56</f>
        <v>438.98750000000001</v>
      </c>
      <c r="Y167" s="1423">
        <f>S167/Input!$H$56</f>
        <v>379.7</v>
      </c>
      <c r="Z167" s="1423">
        <f>T167/Input!$H$56</f>
        <v>354.72500000000002</v>
      </c>
      <c r="AA167" s="1448" t="s">
        <v>1258</v>
      </c>
      <c r="AB167" s="1424">
        <f>T167</f>
        <v>28378</v>
      </c>
      <c r="AC167" s="1423">
        <f>AB167/Input!$H$56</f>
        <v>354.72500000000002</v>
      </c>
      <c r="AD167" s="1423">
        <f>Input!G136</f>
        <v>0</v>
      </c>
    </row>
    <row r="168" spans="2:30">
      <c r="B168" s="1413" t="s">
        <v>397</v>
      </c>
      <c r="C168" s="1425" t="s">
        <v>1302</v>
      </c>
      <c r="D168" s="1417">
        <f>D87</f>
        <v>1676</v>
      </c>
      <c r="E168" s="1417">
        <f t="shared" ref="E168:O168" si="42">E87</f>
        <v>2049</v>
      </c>
      <c r="F168" s="1417">
        <f t="shared" si="42"/>
        <v>2368</v>
      </c>
      <c r="G168" s="1417">
        <f t="shared" si="42"/>
        <v>2410</v>
      </c>
      <c r="H168" s="1417">
        <f t="shared" si="42"/>
        <v>2377</v>
      </c>
      <c r="I168" s="1417">
        <f t="shared" si="42"/>
        <v>1798</v>
      </c>
      <c r="J168" s="1417">
        <f t="shared" si="42"/>
        <v>1354</v>
      </c>
      <c r="K168" s="1417">
        <f t="shared" si="42"/>
        <v>1824</v>
      </c>
      <c r="L168" s="1417">
        <f t="shared" si="42"/>
        <v>2675</v>
      </c>
      <c r="M168" s="1417">
        <f t="shared" si="42"/>
        <v>3241</v>
      </c>
      <c r="N168" s="1417">
        <f t="shared" si="42"/>
        <v>4758</v>
      </c>
      <c r="O168" s="1417">
        <f t="shared" si="42"/>
        <v>417</v>
      </c>
      <c r="R168" s="1417">
        <f t="shared" si="34"/>
        <v>5004</v>
      </c>
      <c r="S168" s="1417">
        <f t="shared" si="35"/>
        <v>33664</v>
      </c>
      <c r="T168" s="1417">
        <f t="shared" si="36"/>
        <v>28538</v>
      </c>
      <c r="U168" s="1417">
        <f t="shared" si="37"/>
        <v>27805.333333333332</v>
      </c>
      <c r="V168" s="1417">
        <f t="shared" si="38"/>
        <v>26947</v>
      </c>
      <c r="X168" s="1426">
        <f>V168/Input!$H$56</f>
        <v>336.83749999999998</v>
      </c>
      <c r="Y168" s="1426">
        <f>S168/Input!$H$56</f>
        <v>420.8</v>
      </c>
      <c r="Z168" s="1426">
        <f>T168/Input!$H$56</f>
        <v>356.72500000000002</v>
      </c>
      <c r="AA168" s="1454" t="s">
        <v>1258</v>
      </c>
      <c r="AB168" s="1424">
        <f>T168</f>
        <v>28538</v>
      </c>
      <c r="AC168" s="1423">
        <f>AB168/Input!$H$56</f>
        <v>356.72500000000002</v>
      </c>
      <c r="AD168" s="1426">
        <f>Input!G138</f>
        <v>0</v>
      </c>
    </row>
    <row r="169" spans="2:30">
      <c r="B169" s="1411" t="s">
        <v>1303</v>
      </c>
      <c r="C169" s="1415" t="s">
        <v>1304</v>
      </c>
      <c r="D169" s="1416">
        <f>D88</f>
        <v>1000</v>
      </c>
      <c r="E169" s="1416">
        <f t="shared" ref="E169:O169" si="43">E88</f>
        <v>1000</v>
      </c>
      <c r="F169" s="1416">
        <f t="shared" si="43"/>
        <v>-331</v>
      </c>
      <c r="G169" s="1416">
        <f t="shared" si="43"/>
        <v>0</v>
      </c>
      <c r="H169" s="1416">
        <f t="shared" si="43"/>
        <v>0</v>
      </c>
      <c r="I169" s="1416">
        <f t="shared" si="43"/>
        <v>0</v>
      </c>
      <c r="J169" s="1416">
        <f t="shared" si="43"/>
        <v>0</v>
      </c>
      <c r="K169" s="1416">
        <f t="shared" si="43"/>
        <v>1385</v>
      </c>
      <c r="L169" s="1416">
        <f t="shared" si="43"/>
        <v>0</v>
      </c>
      <c r="M169" s="1416">
        <f t="shared" si="43"/>
        <v>1385</v>
      </c>
      <c r="N169" s="1416">
        <f t="shared" si="43"/>
        <v>1300</v>
      </c>
      <c r="O169" s="1416">
        <f t="shared" si="43"/>
        <v>1300</v>
      </c>
      <c r="R169" s="1416">
        <f t="shared" si="34"/>
        <v>15600</v>
      </c>
      <c r="S169" s="1416">
        <f t="shared" si="35"/>
        <v>15940</v>
      </c>
      <c r="T169" s="1416">
        <f t="shared" si="36"/>
        <v>10740</v>
      </c>
      <c r="U169" s="1416">
        <f t="shared" si="37"/>
        <v>7160</v>
      </c>
      <c r="V169" s="1416">
        <f t="shared" si="38"/>
        <v>7039</v>
      </c>
      <c r="X169" s="1423">
        <f>V169/Input!$H$56</f>
        <v>87.987499999999997</v>
      </c>
      <c r="Y169" s="1423">
        <f>S169/Input!$H$56</f>
        <v>199.25</v>
      </c>
      <c r="Z169" s="1423">
        <f>T169/Input!$H$56</f>
        <v>134.25</v>
      </c>
      <c r="AA169" s="1448" t="s">
        <v>1258</v>
      </c>
      <c r="AB169" s="1424">
        <f>T169</f>
        <v>10740</v>
      </c>
      <c r="AC169" s="1423">
        <f>AB169/Input!$H$56</f>
        <v>134.25</v>
      </c>
      <c r="AD169" s="1423">
        <f>Input!G141</f>
        <v>0</v>
      </c>
    </row>
    <row r="170" spans="2:30">
      <c r="B170" s="1413" t="s">
        <v>402</v>
      </c>
      <c r="C170" s="1425" t="s">
        <v>1305</v>
      </c>
      <c r="D170" s="1417">
        <f>D112</f>
        <v>4463</v>
      </c>
      <c r="E170" s="1417">
        <f t="shared" ref="E170:O170" si="44">E112</f>
        <v>12017</v>
      </c>
      <c r="F170" s="1417">
        <f t="shared" si="44"/>
        <v>-23079</v>
      </c>
      <c r="G170" s="1417">
        <f t="shared" si="44"/>
        <v>5239</v>
      </c>
      <c r="H170" s="1417">
        <f t="shared" si="44"/>
        <v>5238</v>
      </c>
      <c r="I170" s="1417">
        <f t="shared" si="44"/>
        <v>906</v>
      </c>
      <c r="J170" s="1417">
        <f t="shared" si="44"/>
        <v>5238</v>
      </c>
      <c r="K170" s="1417">
        <f t="shared" si="44"/>
        <v>5238</v>
      </c>
      <c r="L170" s="1417">
        <f t="shared" si="44"/>
        <v>5238</v>
      </c>
      <c r="M170" s="1417">
        <f t="shared" si="44"/>
        <v>5239</v>
      </c>
      <c r="N170" s="1417">
        <f t="shared" si="44"/>
        <v>5238</v>
      </c>
      <c r="O170" s="1417">
        <f t="shared" si="44"/>
        <v>10959</v>
      </c>
      <c r="R170" s="1417">
        <f t="shared" si="34"/>
        <v>131508</v>
      </c>
      <c r="S170" s="1417">
        <f t="shared" si="35"/>
        <v>85744</v>
      </c>
      <c r="T170" s="1417">
        <f t="shared" si="36"/>
        <v>74300</v>
      </c>
      <c r="U170" s="1417">
        <f t="shared" si="37"/>
        <v>64710.666666666664</v>
      </c>
      <c r="V170" s="1417">
        <f t="shared" si="38"/>
        <v>41934</v>
      </c>
      <c r="X170" s="1426">
        <f>V170/Input!$H$56</f>
        <v>524.17499999999995</v>
      </c>
      <c r="Y170" s="1426">
        <f>S170/Input!$H$56</f>
        <v>1071.8</v>
      </c>
      <c r="Z170" s="1426">
        <f>T170/Input!$H$56</f>
        <v>928.75</v>
      </c>
      <c r="AA170" s="1454" t="s">
        <v>1257</v>
      </c>
      <c r="AB170" s="1424">
        <f>S170</f>
        <v>85744</v>
      </c>
      <c r="AC170" s="1423">
        <f>AB170/Input!$H$56</f>
        <v>1071.8</v>
      </c>
      <c r="AD170" s="1426">
        <f>Input!G142</f>
        <v>0</v>
      </c>
    </row>
    <row r="171" spans="2:30">
      <c r="B171" s="1411" t="s">
        <v>403</v>
      </c>
      <c r="C171" s="1415" t="s">
        <v>1306</v>
      </c>
      <c r="D171" s="1416">
        <f>D113</f>
        <v>45809</v>
      </c>
      <c r="E171" s="1416">
        <f t="shared" ref="E171:O171" si="45">E113</f>
        <v>0</v>
      </c>
      <c r="F171" s="1416">
        <f t="shared" si="45"/>
        <v>13686</v>
      </c>
      <c r="G171" s="1416">
        <f t="shared" si="45"/>
        <v>13685</v>
      </c>
      <c r="H171" s="1416">
        <f t="shared" si="45"/>
        <v>13686</v>
      </c>
      <c r="I171" s="1416">
        <f t="shared" si="45"/>
        <v>13686</v>
      </c>
      <c r="J171" s="1416">
        <f t="shared" si="45"/>
        <v>13686</v>
      </c>
      <c r="K171" s="1416">
        <f t="shared" si="45"/>
        <v>13686</v>
      </c>
      <c r="L171" s="1416">
        <f t="shared" si="45"/>
        <v>13686</v>
      </c>
      <c r="M171" s="1416">
        <f t="shared" si="45"/>
        <v>13685</v>
      </c>
      <c r="N171" s="1416">
        <f t="shared" si="45"/>
        <v>13686</v>
      </c>
      <c r="O171" s="1416">
        <f t="shared" si="45"/>
        <v>13686</v>
      </c>
      <c r="R171" s="1416">
        <f t="shared" si="34"/>
        <v>164232</v>
      </c>
      <c r="S171" s="1416">
        <f t="shared" si="35"/>
        <v>164228</v>
      </c>
      <c r="T171" s="1416">
        <f t="shared" si="36"/>
        <v>164230</v>
      </c>
      <c r="U171" s="1416">
        <f t="shared" si="37"/>
        <v>164229.33333333334</v>
      </c>
      <c r="V171" s="1416">
        <f t="shared" si="38"/>
        <v>182667</v>
      </c>
      <c r="X171" s="1423">
        <f>V171/Input!$H$56</f>
        <v>2283.3375000000001</v>
      </c>
      <c r="Y171" s="1423">
        <f>S171/Input!$H$56</f>
        <v>2052.85</v>
      </c>
      <c r="Z171" s="1423">
        <f>T171/Input!$H$56</f>
        <v>2052.875</v>
      </c>
      <c r="AA171" s="1448" t="s">
        <v>1315</v>
      </c>
      <c r="AB171" s="1424">
        <f>V171</f>
        <v>182667</v>
      </c>
      <c r="AC171" s="1423">
        <f>AB171/Input!$H$56</f>
        <v>2283.3375000000001</v>
      </c>
      <c r="AD171" s="1423">
        <f>Input!G143</f>
        <v>182667</v>
      </c>
    </row>
    <row r="172" spans="2:30">
      <c r="B172" s="1413" t="s">
        <v>405</v>
      </c>
      <c r="C172" s="1425" t="s">
        <v>1307</v>
      </c>
      <c r="D172" s="1417">
        <f>D48</f>
        <v>3141</v>
      </c>
      <c r="E172" s="1417">
        <f t="shared" ref="E172:O172" si="46">E48</f>
        <v>3631</v>
      </c>
      <c r="F172" s="1417">
        <f t="shared" si="46"/>
        <v>3752</v>
      </c>
      <c r="G172" s="1417">
        <f t="shared" si="46"/>
        <v>4049</v>
      </c>
      <c r="H172" s="1417">
        <f t="shared" si="46"/>
        <v>4222</v>
      </c>
      <c r="I172" s="1417">
        <f t="shared" si="46"/>
        <v>4241</v>
      </c>
      <c r="J172" s="1417">
        <f t="shared" si="46"/>
        <v>3820</v>
      </c>
      <c r="K172" s="1417">
        <f t="shared" si="46"/>
        <v>3553</v>
      </c>
      <c r="L172" s="1417">
        <f t="shared" si="46"/>
        <v>3951</v>
      </c>
      <c r="M172" s="1417">
        <f t="shared" si="46"/>
        <v>3107</v>
      </c>
      <c r="N172" s="1417">
        <f t="shared" si="46"/>
        <v>4157</v>
      </c>
      <c r="O172" s="1417">
        <f t="shared" si="46"/>
        <v>4148</v>
      </c>
      <c r="R172" s="1417">
        <f t="shared" si="34"/>
        <v>49776</v>
      </c>
      <c r="S172" s="1417">
        <f t="shared" si="35"/>
        <v>45648</v>
      </c>
      <c r="T172" s="1417">
        <f t="shared" si="36"/>
        <v>45472</v>
      </c>
      <c r="U172" s="1417">
        <f t="shared" si="37"/>
        <v>46997.333333333336</v>
      </c>
      <c r="V172" s="1417">
        <f t="shared" si="38"/>
        <v>45772</v>
      </c>
      <c r="X172" s="1426">
        <f>V172/Input!$H$56</f>
        <v>572.15</v>
      </c>
      <c r="Y172" s="1426">
        <f>S172/Input!$H$56</f>
        <v>570.6</v>
      </c>
      <c r="Z172" s="1426">
        <f>T172/Input!$H$56</f>
        <v>568.4</v>
      </c>
      <c r="AA172" s="1454" t="s">
        <v>1316</v>
      </c>
      <c r="AB172" s="1424">
        <f>T172</f>
        <v>45472</v>
      </c>
      <c r="AC172" s="1423">
        <f>AB172/Input!$H$56</f>
        <v>568.4</v>
      </c>
      <c r="AD172" s="1426">
        <f>Input!G145</f>
        <v>0</v>
      </c>
    </row>
    <row r="173" spans="2:30">
      <c r="R173" s="1416">
        <f t="shared" si="34"/>
        <v>0</v>
      </c>
      <c r="S173" s="1416">
        <f t="shared" si="35"/>
        <v>0</v>
      </c>
      <c r="T173" s="1416">
        <f t="shared" si="36"/>
        <v>0</v>
      </c>
      <c r="U173" s="1416">
        <f t="shared" si="37"/>
        <v>0</v>
      </c>
      <c r="V173" s="1416">
        <f t="shared" si="38"/>
        <v>0</v>
      </c>
    </row>
    <row r="174" spans="2:30">
      <c r="B174" s="1414" t="s">
        <v>1308</v>
      </c>
      <c r="D174" s="1419">
        <f>SUM(D163:D169,D172)</f>
        <v>33004</v>
      </c>
      <c r="E174" s="1419">
        <f t="shared" ref="E174:O174" si="47">SUM(E163:E169,E172)</f>
        <v>30937</v>
      </c>
      <c r="F174" s="1419">
        <f t="shared" si="47"/>
        <v>33572</v>
      </c>
      <c r="G174" s="1419">
        <f t="shared" si="47"/>
        <v>24560</v>
      </c>
      <c r="H174" s="1419">
        <f t="shared" si="47"/>
        <v>25639</v>
      </c>
      <c r="I174" s="1419">
        <f t="shared" si="47"/>
        <v>30201</v>
      </c>
      <c r="J174" s="1419">
        <f t="shared" si="47"/>
        <v>25255</v>
      </c>
      <c r="K174" s="1419">
        <f t="shared" si="47"/>
        <v>26569</v>
      </c>
      <c r="L174" s="1419">
        <f t="shared" si="47"/>
        <v>34749</v>
      </c>
      <c r="M174" s="1419">
        <f t="shared" si="47"/>
        <v>33451</v>
      </c>
      <c r="N174" s="1419">
        <f t="shared" si="47"/>
        <v>47768</v>
      </c>
      <c r="O174" s="1419">
        <f t="shared" si="47"/>
        <v>21902</v>
      </c>
      <c r="R174" s="1418">
        <f t="shared" si="34"/>
        <v>262824</v>
      </c>
      <c r="S174" s="1418">
        <f t="shared" si="35"/>
        <v>412484</v>
      </c>
      <c r="T174" s="1418">
        <f t="shared" si="36"/>
        <v>379388</v>
      </c>
      <c r="U174" s="1418">
        <f t="shared" si="37"/>
        <v>360125.33333333331</v>
      </c>
      <c r="V174" s="1418">
        <f t="shared" si="38"/>
        <v>367607</v>
      </c>
      <c r="X174" s="1427">
        <f>SUM(AB163:AB169,AB172)/Input!$H$56</f>
        <v>5617.6</v>
      </c>
      <c r="Y174" s="1427">
        <f>SUM(Y163:Y169,Y172)</f>
        <v>5156.05</v>
      </c>
      <c r="Z174" s="1427">
        <f>SUM(Z163:Z169,Z172)</f>
        <v>4742.3499999999995</v>
      </c>
      <c r="AB174" s="1471">
        <f>SUM(AB163:AB169,AB172)</f>
        <v>449408</v>
      </c>
      <c r="AC174" s="1427">
        <f>AB174/Input!$H$56</f>
        <v>5617.6</v>
      </c>
      <c r="AD174" s="1427">
        <f>SUM(AD163:AD169,AD172)</f>
        <v>240700</v>
      </c>
    </row>
    <row r="175" spans="2:30">
      <c r="B175" s="1414" t="s">
        <v>1309</v>
      </c>
      <c r="D175" s="1469">
        <f>D170+D171</f>
        <v>50272</v>
      </c>
      <c r="E175" s="1469">
        <f t="shared" ref="E175:O175" si="48">E170+E171</f>
        <v>12017</v>
      </c>
      <c r="F175" s="1469">
        <f t="shared" si="48"/>
        <v>-9393</v>
      </c>
      <c r="G175" s="1469">
        <f t="shared" si="48"/>
        <v>18924</v>
      </c>
      <c r="H175" s="1469">
        <f t="shared" si="48"/>
        <v>18924</v>
      </c>
      <c r="I175" s="1469">
        <f t="shared" si="48"/>
        <v>14592</v>
      </c>
      <c r="J175" s="1469">
        <f t="shared" si="48"/>
        <v>18924</v>
      </c>
      <c r="K175" s="1469">
        <f t="shared" si="48"/>
        <v>18924</v>
      </c>
      <c r="L175" s="1469">
        <f t="shared" si="48"/>
        <v>18924</v>
      </c>
      <c r="M175" s="1469">
        <f t="shared" si="48"/>
        <v>18924</v>
      </c>
      <c r="N175" s="1469">
        <f t="shared" si="48"/>
        <v>18924</v>
      </c>
      <c r="O175" s="1469">
        <f t="shared" si="48"/>
        <v>24645</v>
      </c>
      <c r="R175" s="1469">
        <f t="shared" si="34"/>
        <v>295740</v>
      </c>
      <c r="S175" s="1469">
        <f t="shared" si="35"/>
        <v>249972</v>
      </c>
      <c r="T175" s="1469">
        <f t="shared" si="36"/>
        <v>238530</v>
      </c>
      <c r="U175" s="1469">
        <f t="shared" si="37"/>
        <v>228940</v>
      </c>
      <c r="V175" s="1469">
        <f t="shared" si="38"/>
        <v>224601</v>
      </c>
      <c r="X175" s="1472">
        <f>SUM(AB170:AB171)/Input!$H$56</f>
        <v>3355.1374999999998</v>
      </c>
      <c r="Y175" s="1472">
        <f>SUM(Y170:Y171)</f>
        <v>3124.6499999999996</v>
      </c>
      <c r="Z175" s="1472">
        <f>SUM(Z170:Z171)</f>
        <v>2981.625</v>
      </c>
      <c r="AB175" s="1424">
        <f>AB170+AB171</f>
        <v>268411</v>
      </c>
      <c r="AC175" s="1427">
        <f>AB175/Input!$H$56</f>
        <v>3355.1374999999998</v>
      </c>
      <c r="AD175" s="1472">
        <f>AD170+AD171</f>
        <v>182667</v>
      </c>
    </row>
    <row r="176" spans="2:30">
      <c r="R176" s="1416">
        <f t="shared" si="34"/>
        <v>0</v>
      </c>
      <c r="S176" s="1416">
        <f t="shared" si="35"/>
        <v>0</v>
      </c>
      <c r="T176" s="1416">
        <f t="shared" si="36"/>
        <v>0</v>
      </c>
      <c r="U176" s="1416">
        <f t="shared" si="37"/>
        <v>0</v>
      </c>
      <c r="V176" s="1416">
        <f t="shared" si="38"/>
        <v>0</v>
      </c>
    </row>
    <row r="177" spans="2:30">
      <c r="B177" s="202" t="s">
        <v>1219</v>
      </c>
      <c r="D177" s="1419">
        <f>D174+D175</f>
        <v>83276</v>
      </c>
      <c r="E177" s="1419">
        <f t="shared" ref="E177:O177" si="49">E174+E175</f>
        <v>42954</v>
      </c>
      <c r="F177" s="1419">
        <f t="shared" si="49"/>
        <v>24179</v>
      </c>
      <c r="G177" s="1419">
        <f t="shared" si="49"/>
        <v>43484</v>
      </c>
      <c r="H177" s="1419">
        <f t="shared" si="49"/>
        <v>44563</v>
      </c>
      <c r="I177" s="1419">
        <f t="shared" si="49"/>
        <v>44793</v>
      </c>
      <c r="J177" s="1419">
        <f t="shared" si="49"/>
        <v>44179</v>
      </c>
      <c r="K177" s="1419">
        <f t="shared" si="49"/>
        <v>45493</v>
      </c>
      <c r="L177" s="1419">
        <f t="shared" si="49"/>
        <v>53673</v>
      </c>
      <c r="M177" s="1419">
        <f t="shared" si="49"/>
        <v>52375</v>
      </c>
      <c r="N177" s="1419">
        <f t="shared" si="49"/>
        <v>66692</v>
      </c>
      <c r="O177" s="1419">
        <f t="shared" si="49"/>
        <v>46547</v>
      </c>
      <c r="R177" s="1418">
        <f t="shared" si="34"/>
        <v>558564</v>
      </c>
      <c r="S177" s="1418">
        <f t="shared" si="35"/>
        <v>662456</v>
      </c>
      <c r="T177" s="1418">
        <f t="shared" si="36"/>
        <v>617918</v>
      </c>
      <c r="U177" s="1418">
        <f t="shared" si="37"/>
        <v>589065.33333333337</v>
      </c>
      <c r="V177" s="1418">
        <f t="shared" si="38"/>
        <v>592208</v>
      </c>
      <c r="X177" s="1427">
        <f>AB177/Input!$H$56</f>
        <v>8972.7374999999993</v>
      </c>
      <c r="AB177" s="1471">
        <f>AB174+AB175</f>
        <v>717819</v>
      </c>
      <c r="AC177" s="1427">
        <f>AB177/Input!$H$56</f>
        <v>8972.7374999999993</v>
      </c>
      <c r="AD177" s="1428">
        <f>AD174+AD175</f>
        <v>423367</v>
      </c>
    </row>
    <row r="178" spans="2:30">
      <c r="R178" s="1416">
        <f t="shared" si="34"/>
        <v>0</v>
      </c>
      <c r="S178" s="1416">
        <f t="shared" si="35"/>
        <v>0</v>
      </c>
      <c r="T178" s="1416">
        <f t="shared" si="36"/>
        <v>0</v>
      </c>
      <c r="U178" s="1416">
        <f t="shared" si="37"/>
        <v>0</v>
      </c>
      <c r="V178" s="1416">
        <f t="shared" si="38"/>
        <v>0</v>
      </c>
    </row>
    <row r="179" spans="2:30">
      <c r="B179" s="1468" t="s">
        <v>1310</v>
      </c>
      <c r="D179" s="1470">
        <f>D36-D177</f>
        <v>6463</v>
      </c>
      <c r="E179" s="1470">
        <f t="shared" ref="E179:O179" si="50">E36-E177</f>
        <v>60778</v>
      </c>
      <c r="F179" s="1470">
        <f t="shared" si="50"/>
        <v>83011</v>
      </c>
      <c r="G179" s="1470">
        <f t="shared" si="50"/>
        <v>72181</v>
      </c>
      <c r="H179" s="1470">
        <f t="shared" si="50"/>
        <v>76062</v>
      </c>
      <c r="I179" s="1470">
        <f t="shared" si="50"/>
        <v>76377</v>
      </c>
      <c r="J179" s="1470">
        <f t="shared" si="50"/>
        <v>64963</v>
      </c>
      <c r="K179" s="1470">
        <f t="shared" si="50"/>
        <v>56019</v>
      </c>
      <c r="L179" s="1470">
        <f t="shared" si="50"/>
        <v>59229</v>
      </c>
      <c r="M179" s="1470">
        <f t="shared" si="50"/>
        <v>36384</v>
      </c>
      <c r="N179" s="1470">
        <f t="shared" si="50"/>
        <v>52069</v>
      </c>
      <c r="O179" s="1470">
        <f t="shared" si="50"/>
        <v>71981</v>
      </c>
      <c r="R179" s="1470">
        <f t="shared" si="34"/>
        <v>863772</v>
      </c>
      <c r="S179" s="1470">
        <f t="shared" si="35"/>
        <v>641736</v>
      </c>
      <c r="T179" s="1470">
        <f t="shared" si="36"/>
        <v>681290</v>
      </c>
      <c r="U179" s="1470">
        <f t="shared" si="37"/>
        <v>753686.66666666663</v>
      </c>
      <c r="V179" s="1470">
        <f t="shared" si="38"/>
        <v>715517</v>
      </c>
      <c r="AB179" s="1473">
        <f>T36-AB177</f>
        <v>581389</v>
      </c>
      <c r="AC179" s="1474">
        <f>AB179/Input!$H$56</f>
        <v>7267.3625000000002</v>
      </c>
    </row>
    <row r="181" spans="2:30">
      <c r="D181" t="b">
        <f>D179=D116</f>
        <v>1</v>
      </c>
      <c r="E181" t="b">
        <f t="shared" ref="E181:O181" si="51">E179=E116</f>
        <v>1</v>
      </c>
      <c r="F181" t="b">
        <f t="shared" si="51"/>
        <v>1</v>
      </c>
      <c r="G181" t="b">
        <f t="shared" si="51"/>
        <v>1</v>
      </c>
      <c r="H181" t="b">
        <f t="shared" si="51"/>
        <v>1</v>
      </c>
      <c r="I181" t="b">
        <f t="shared" si="51"/>
        <v>1</v>
      </c>
      <c r="J181" t="b">
        <f t="shared" si="51"/>
        <v>1</v>
      </c>
      <c r="K181" t="b">
        <f t="shared" si="51"/>
        <v>1</v>
      </c>
      <c r="L181" t="b">
        <f t="shared" si="51"/>
        <v>1</v>
      </c>
      <c r="M181" t="b">
        <f t="shared" si="51"/>
        <v>1</v>
      </c>
      <c r="N181" t="b">
        <f t="shared" si="51"/>
        <v>1</v>
      </c>
      <c r="O181" t="b">
        <f t="shared" si="51"/>
        <v>1</v>
      </c>
    </row>
  </sheetData>
  <pageMargins left="0.7" right="0.7" top="0.75" bottom="0.75" header="0.3" footer="0.3"/>
  <legacy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DF6AFF-1578-4CDC-8F1A-671776BF56DC}">
  <dimension ref="A1:F9"/>
  <sheetViews>
    <sheetView workbookViewId="0">
      <selection activeCell="C8" sqref="C8"/>
    </sheetView>
  </sheetViews>
  <sheetFormatPr defaultRowHeight="12.75"/>
  <cols>
    <col min="1" max="1" width="9.5703125" style="1441" customWidth="1"/>
    <col min="2" max="2" width="15.28515625" style="1441" customWidth="1"/>
    <col min="3" max="6" width="57.140625" style="1441" customWidth="1"/>
    <col min="7" max="16384" width="9.140625" style="1441"/>
  </cols>
  <sheetData>
    <row r="1" spans="1:6">
      <c r="A1" s="1475" t="s">
        <v>1321</v>
      </c>
      <c r="B1" s="1475" t="s">
        <v>1024</v>
      </c>
      <c r="C1" s="1475" t="s">
        <v>1322</v>
      </c>
      <c r="D1" s="1475" t="s">
        <v>1323</v>
      </c>
      <c r="E1" s="1475" t="s">
        <v>1324</v>
      </c>
      <c r="F1" s="1475" t="s">
        <v>1325</v>
      </c>
    </row>
    <row r="2" spans="1:6">
      <c r="A2" s="1399">
        <v>1</v>
      </c>
      <c r="B2" s="1476" t="s">
        <v>1335</v>
      </c>
      <c r="C2" s="1399" t="s">
        <v>1239</v>
      </c>
      <c r="D2" s="1399" t="s">
        <v>1240</v>
      </c>
      <c r="E2" s="1399" t="s">
        <v>1241</v>
      </c>
      <c r="F2" s="1399" t="s">
        <v>1242</v>
      </c>
    </row>
    <row r="3" spans="1:6">
      <c r="A3" s="1441">
        <v>2</v>
      </c>
      <c r="B3" s="1477" t="s">
        <v>1335</v>
      </c>
      <c r="C3" s="1441" t="s">
        <v>1287</v>
      </c>
      <c r="D3" s="1441" t="s">
        <v>1288</v>
      </c>
      <c r="E3" s="1441" t="s">
        <v>1289</v>
      </c>
      <c r="F3" s="1441" t="s">
        <v>1290</v>
      </c>
    </row>
    <row r="4" spans="1:6">
      <c r="A4" s="1441">
        <v>3</v>
      </c>
      <c r="B4" s="1477" t="s">
        <v>1335</v>
      </c>
      <c r="C4" s="1441" t="s">
        <v>1291</v>
      </c>
      <c r="D4" s="1441" t="s">
        <v>1292</v>
      </c>
      <c r="E4" s="1441" t="s">
        <v>1293</v>
      </c>
      <c r="F4" s="1441" t="s">
        <v>1294</v>
      </c>
    </row>
    <row r="5" spans="1:6">
      <c r="A5" s="1441">
        <v>4</v>
      </c>
      <c r="B5" s="1477" t="s">
        <v>1335</v>
      </c>
      <c r="C5" s="1441" t="s">
        <v>1317</v>
      </c>
      <c r="D5" s="1441" t="s">
        <v>1318</v>
      </c>
      <c r="E5" s="1441" t="s">
        <v>1319</v>
      </c>
      <c r="F5" s="1441" t="s">
        <v>1320</v>
      </c>
    </row>
    <row r="6" spans="1:6">
      <c r="A6" s="1441" t="s">
        <v>1326</v>
      </c>
      <c r="B6" s="1477" t="s">
        <v>1335</v>
      </c>
      <c r="C6" s="1441" t="s">
        <v>1327</v>
      </c>
      <c r="D6" s="1441" t="s">
        <v>1328</v>
      </c>
      <c r="E6" s="1441" t="s">
        <v>1329</v>
      </c>
      <c r="F6" s="1441" t="s">
        <v>1330</v>
      </c>
    </row>
    <row r="7" spans="1:6">
      <c r="A7" s="1441">
        <v>5</v>
      </c>
      <c r="B7" s="1477" t="s">
        <v>1335</v>
      </c>
      <c r="C7" s="1441" t="s">
        <v>1331</v>
      </c>
      <c r="D7" s="1441" t="s">
        <v>1332</v>
      </c>
      <c r="E7" s="1441" t="s">
        <v>1333</v>
      </c>
      <c r="F7" s="1441" t="s">
        <v>1334</v>
      </c>
    </row>
    <row r="8" spans="1:6">
      <c r="A8" s="1441">
        <v>6</v>
      </c>
      <c r="B8" s="1477">
        <v>46090</v>
      </c>
      <c r="C8" s="1441" t="s">
        <v>1337</v>
      </c>
      <c r="D8" s="1441" t="s">
        <v>1338</v>
      </c>
      <c r="E8" s="1441" t="s">
        <v>1339</v>
      </c>
      <c r="F8" s="1441" t="s">
        <v>1340</v>
      </c>
    </row>
    <row r="9" spans="1:6">
      <c r="A9" s="1441">
        <v>7</v>
      </c>
      <c r="B9" s="1477">
        <v>46090</v>
      </c>
      <c r="C9" s="1441" t="s">
        <v>1341</v>
      </c>
      <c r="D9" s="1441" t="s">
        <v>1342</v>
      </c>
      <c r="E9" s="1441" t="s">
        <v>1343</v>
      </c>
      <c r="F9" s="1441" t="s">
        <v>1344</v>
      </c>
    </row>
  </sheetData>
  <pageMargins left="0.7" right="0.7" top="0.75" bottom="0.75" header="0.3" footer="0.3"/>
</worksheet>
</file>

<file path=customUI/customUI14.xml><?xml version="1.0" encoding="utf-8"?>
<customUI xmlns="http://schemas.microsoft.com/office/2009/07/customui" onLoad="rxIRibbonUI_OnLoad">
  <ribbon startFromScratch="false">
    <tabs>
      <tab id="rxtabResMod" label="redIQ" keytip="Q" getVisible="rxtabResMod_getVisible" insertBeforeMso="TabHome">
        <group id="rxgrpGen" label="General" imageMso="FileManageMenu">
          <!--<separator id="rxsepGeneral"/>-->
          <!--"Sync to Cloud" button control-->
          <button id="rxbtnDwnldHistRent" imageMso="DatabaseServerCompatibilityCheckClientObjects" size="large" screentip="Sync" supertip="Enables you to download latest or revised historicals and rent roll summaries.&#13;Enables you to sync your underwriting model with cloud." label="Sync with Cloud" onAction="rxbtnDwnldHistRent_Click"/>
          <separator id="rxsepGeneral2"/>
          <!--"Show Model" button control-->
          <button id="rxbtnShowModel" label="Show Model" imageMso="Chart3DColumnChart" size="large" supertip="Reveals output and calculation tabs" getVisible="rxbtnShowModel_getVisible" onAction="rxbtnShowModel_Click"/>
          <dynamicMenu id="rxmnuNavigateModel" getLabel="rxmnuNavigateModel_getLabel" size="large" keytip="D" getVisible="rxmnuNavigateModel_getVisible" imageMso="NavigationPaneFind" supertip="Quickly navigate between model tabs.&#13;&#13;Print certain pages or the entire model with one click." invalidateContentOnDrop="true" getContent="GetMyContent"/>
          <!--<menuSeparator id="myMenuSep11" title="Output Tabs"/>-->
          <!--					<button
						id="rxbtnSync"
						label="Upload to Account"
						imageMso="DatabaseSqlServer"
						size="large"
						screentip="Upload"
						supertip="Enables you to upload file and database your assumptions"
						onAction="rxbtnSync_Click"/>-->
          <!--"Sync From Cloud" button control-->
          <!--							<menu id="rxmnuOneWaySync" itemSize="large">
								<button id="rxbtnDwnldHist" 
									imageMso="DatabaseServerCompatibilityCheckClientObjects"
									label="Historicals"
									onAction="rxbtnDwnldHist_Click"
									description="Get latest/revised historicals for this deal"/>
								<button id="rxbtnDwnldRent"
									imageMso="DatabaseServerCompatibilityCheckClientObjects"
									label="Rent Roll"
									onAction="MyButton3CallbackOnAction"
									description="Get latest/revised rent roll for this deal"/>
								<button id="rxbtnDwnldBoth"
									imageMso="DatabaseServerCompatibilityCheckClientObjects"
									label="Both"
									onAction="MyButton4CallbackOnAction"
									description="Get latest/revised historicals and rent roll for this deal"/>
								<toggleButton id="rxbtnAskToLogin" 
									label="Download Reminder" imageMso="DataAutomaticallyLink"
									description="Ask me to log in and download latest financials each time I open this file"
									onAction="MyToggleButtonCallbackOnAction"/>
							</menu>-->
          <!--					</Button>-->
        </group>
        <!--Group containing Revenue controls-->
        <group id="rxbgrpRevenue" label="Revenue" imageMso="TableSharePointListsModifyColumnsAndSettings">
          <box id="rxlblboxNumOfFlPl" boxStyle="horizontal">
            <button id="rxbtnDeleteFlPl" imageMso="OutlineCollapse" screentip="Remove" supertip="Delete one row from Floor Plans table. Alternatively, you can enter the number of floor plans in the box to the right.&#13;&#13;Note: if a rent roll as been added for this deal on the web click on the Update Floor Plans button to automatically adjust the number of rows." onAction="rxbtnDeleteFlPl_Click" showLabel="false"/>
            <editBox id="rxtxtNumOfFlPl" showLabel="false" screentip="Floor Plans" supertip="Enter the number of floor plans for this property.&#13;&#13;Note: the input must be an integer between 2 and 100." sizeString="xxxx" maxLength="3" getText="rxtxtNumOfFlPl_getCurrentNumOfFloorPlans" onChange="rxtxtNumOfFlPl_onChange"/>
            <button id="rxbtnAddFlPl" imageMso="OutlineExpand" screentip="Add" supertip="Add one row to Floor Plans table. Alternatively, you can enter the number of floor plans in the box to the left.&#13;&#13;Note: if a rent roll as been added for this deal on the web click on the Update Floor Plans button to automatically adjust the number of rows." onAction="rxbtnAddFlPl_Click" showLabel="false"/>
          </box>
          <labelControl id="rxlblNumOfFlPl1" label="  Number of "/>
          <labelControl id="rxlblNumOfFlPl2" label="  Floor Plans   "/>
          <!--					<labelControl
						id="rxlblNumOfFlPl2"
						label="Floor Plans"/>-->
          <!--"Floor Plans from Rent Roll" button, only enabled under certain conditions-->
          <button id="rxbtnTrnsfrRentRoll" size="large" getImage="rxbtnTrnsfrRentRoll_getImage" getLabel="rxbtnTrnsfrRentRoll_getLabel" screentip="Update / Restore" supertip="Update Floor Plans table based on latest Rent Roll" getVisible="rxbtnTrnsfrRentRoll_getEnabled" onAction="rxbtnTrnsfrRentRoll_Click"/>
          <!--"Unit Renovation" checkbox control, removed getEnabled attribute for 'always on' functionality-->
          <separator id="rxsepGeneral3"/>
          <button id="rxchkUnitReno" getImage="rxchkUnitReno_getImage" size="large" getLabel="rxchkUnitReno_getLabel" screentip="Renovations" supertip="Show /Hide unit renovation assumptions for value-add properties" onAction="rxchkUnitReno_Click"/>
          <!--<separator id="rxsepRevenue" getVisible="rxsepRevenueSeparator_getVisible"/>-->
        </group>
        <group id="rxgrpExpenses" label="Expenses" getVisible="rxgrpExpenses_getVisible" imageMso="CreateQueryFromWizard">
          <!--<separator id="rxsepAutoPop" getVisible="rxsepAutoPop_getVisible"/>	-->
          <!--"Expenses from Historic" button, only enabled under certain conditions-->
          <button id="rxbtnHistoricExp" size="large" getImage="rxbtnHistoricExp_getImage" getLabel="rxbtnHistoricExp_getLabel" screentip="Update / Restore" supertip="Update or Restore Historical data in the model." onAction="rxbtnHistoricExp_Click"/>
          <!--getVisible="rxbtnHistoricExp_getEnabled"-->
        </group>
        <group id="rxgrpOtherSettings" label="Model Settings" imageMso="DataRefreshAll">
          <labelControl id="rxlblIRRTypeDropdown" label="     IRR Type"/>
          <!--Select IRR type drop-down control-->
          <dropDown id="rxddIrrType" sizeString="xxxxxxxxx" screentip="IRR Type" supertip="In addition to IRRs, also impacts how required equity and waterfall are calculated" getSelectedItemIndex="rxddIrrType_getSelectedItemIndex" onAction="rxddIrrType_Click">
            <!--"Annual" IRR type-->
            <item id="rxitemAnnual" label="Annual"/>
            <!--"Monthly" IRR type-->
            <item id="rxitemMonthly" label="Monthly"/>
          </dropDown>
          <menu id="rxmnuOtherModelSettings" label="  Other      " screentip="Model Settings">
            <!--"Commercial Component" checkbox control-->
            <checkBox id="rxchkCommercial" label="Commercial Component" screentip="Commercial" supertip="Show commercial tab to enter NOI and Tis/LCs for minor office/retail components" getPressed="rxchkCommercial_getPressed" onAction="rxchkCommercial_Click"/>
            <checkBox id="rxchkMAL" label="Multiple Assumable Loans" screentip="Multiple Assumable Loans" supertip="Use Multiple Assumable Loans feature" getPressed="rxchkMAL_getPressed" onAction="rxchkMAL_Click"/>
            <checkBox id="rxchkAdjHistNOI" label="Use Adjusted Historical NOI" screentip="NOI" supertip="Calculations based on Historical NOI including adjustments" getPressed="rxchkAdjHistNOI_getPressed" onAction="rxchkAdjHistNOI_Click"/>
            <checkBox id="rxchkAdjHistNOIwTaxes" label="Use Adjusted Historical NOI (with reassessed taxes)" screentip="NOI" supertip="Calculations based on Historical NOI including adjustments.&#13;&#13;Note: Histoical Real Estate Tax expense will be equal to Reassessed Real Estate Tax expense.&#13;&#13;This feature should be selected when Taxes are assumed to be reassessed based on Purchase Price." getPressed="rxchkAdjHistNOIwTaxes_getPressed" onAction="rxchkAdjHistNOIwTaxes_Click"/>
            <checkBox id="rxbtnAskToLogin" label="Download Reminder" screentip="Reminder" supertip="Ask me to log in and download latest financials each time I open this file" getPressed="rxchkDwnReminder_getPressed" onAction="rxchkDwnReminder"/>
          </menu>
          <!--<separator id="rxsepCalculate" getVisible="rxsepCalculate_getVisible"/>-->
          <!--"Detailed Assumptions" checkbox control-->
          <separator id="rxsepGeneral4"/>
          <!--'Section Added for Bridge Refi Button-->
          <button id="rxbtnBridgeRefi" label="Advanced   Loan Calcs" size="large" screentip="Advanced Loan Sizing Calculations" supertip="The 1st Click will add the Bridge Sizer with Draw Functionality and a Future Value Refi Sizing to the model. The 2nd Click will link the assumptions from the sizers to your primary loan inputs." imageMso="Calculator" onAction="rxbtnBridgeRefi_Click"/>
          <separator id="rxsepGeneral5"/>
          <!--End: Section Added for Bridge Refi Button-->
          <button id="rxbtnDetailAssumption" size="large" screentip="Detail Assumptions" supertip="Show / Hide monthly and other more granular assumptions" getLabel="rxbtnDetailAssumption_getLabel" getImage="rxbtnDetailAssumption_getImage" getEnabled="rxbtnDetailAssumption_getEnabled" onAction="rxbtnDetailAssumption_Click"/>
          <!--"Recalculate Purchase Price" button, only enabled under certain conditions-->
          <button id="rxbtnRecalcPurchase" label="Purchase Price" imageMso="RecurrenceEdit" size="large" screentip="Recalculate" supertip="Recalculate Purchase Price to achieve Target Leveraged IRR.&#13;&#13;Note: this feature is only available when Valuation Method in Acquisitions section is set as Target Leveraged IRR." getVisible="rxbtnRecalcPurchase_getEnabled" onAction="rxbtnRecalcPurchase_Click"/>
        </group>
        <group id="rxgrpSensitivity" label="Sensitivity Table Settings" imageMso="DataRefreshAll">
          <!--"Update Sensitivity Tables" button control-->
          <button id="rxbtnSensitivity" label="Update   Sensitivities " imageMso="RecurrenceEdit" size="large" screentip="Update" supertip="Update all sensitivity tables" onAction="rxbtnSensitivity_Click"/>
          <separator id="rxsepGeneral6"/>
          <labelControl id="rxlblCapRateDropdown" label=" Cap Rate based on"/>
          <!--Select Hist or PF cap rate type drop-down control-->
          <dropDown id="rxddGoingInCapRate" getEnabled="rxddGoingInCapRate_getEnabled" sizeString="xxxxxxxxxxxxxxxx" screentip="NOI" supertip="Select which NOI to use in Going-in Cap Rate sensitivity analysis.&#13;&#13;Note: the selection does not alter the actual calculations in the model." getSelectedItemIndex="rxddGoingInCapRate_getSelectedItemIndex" onAction="rxddGoingInCapRate_Click">
            <!--"Annual" IRR type-->
            <item id="rxitemProforma" label="Pro Forma NOI"/>
            <!--"Monthly" IRR type-->
            <item id="rxitemHistorical" label="Historical NOI"/>
          </dropDown>
          <menu id="rxmnuOtherSensitivitySettings" label=" Other Settings   " screentip="Other Settings">
            <checkBox id="rxchkLeveredIRRType" getVisible="rxchkLeveredIRRType_getVisible" label="Use Partnership IRR" screentip="Partnership" supertip="Use Partnership IRR and Equity Multiple in all Leveraged Sensitivities" getPressed="rxchkLeveredIRRType_getPressed" onAction="rxchkLeveredIRRType_Click"/>
            <checkBox id="rxchkShowSensitivityPopup" label="Show Reminder Pop-up" screentip="Reminder" supertip="Show the reminder when current tab is selected." getPressed="rxchkShowSensitivityPopup_getPressed" onAction="rxchkShowSensitivityPopup_Click"/>
            <!--getVisible="rxchkShowSensitivityPopup_getVisible"-->
            <!--<separator id="rxsepSensitivity" getVisible="rxsepSensitivity_getVisible"/>-->
          </menu>
        </group>
        <!--ResMod Tab "Dash Board" group-->
        <group id="rxgrpPricingSummary" label="Summary of Results" getSupertip="getDashboardSupertip" getVisible="rxgrpPricingSummary_getVisible" imageMso="FileManageMenu">
          <dropDown id="rxddSummaryOne" screentip="Select From Dropdown" getSupertip="getDashboardSupertip" sizeString="Going-In Cap Rate (Trail.) " getItemCount="rxddSummaryOne_GetItemCount" getItemLabel="rxddSummaryOne_getItemLabel" getSelectedItemIndex="rxddSummaryOne_getSelectedItemIndex" onAction="rxddSummaryOne_Click">
					</dropDown>
          <dropDown id="rxddSummaryaTwo" screentip="Select From Dropdown" getSupertip="getDashboardSupertip" sizeString="Going-In Cap Rate (Trail.) " getItemCount="rxddSummaryTwo_GetItemCount" getItemLabel="rxddSummaryTwo_getItemLabel" getSelectedItemIndex="rxddSummaryTwo_getSelectedItemIndex" onAction="rxddSummaryTwo_Click">
					</dropDown>
          <dropDown id="rxddSummaryaThree" screentip="Select From Dropdown" getSupertip="getDashboardSupertip" sizeString="Going-In Cap Rate (Trail.) " getItemCount="rxddSummaryThree_GetItemCount" getItemLabel="rxddSummaryThree_getItemLabel" getSelectedItemIndex="rxddSummaryThree_getSelectedItemIndex" onAction="rxddSummaryThree_Click">
					</dropDown>
          <labelControl id="rxlblPurchasePriceValue" getLabel="rxlblPurchasePriceValue_getLabel"/>
          <labelControl id="rxlblReqEquityValue" getLabel="rxlblReqEquityValue_getLabel"/>
          <labelControl id="rxlblSalesPriceValue" getLabel="rxlblSalesPriceValue_getLabel"/>
          <separator id="rxsepGeneral"/>
          <dropDown id="rxddSummaryFour" screentip="Select From Dropdown" getSupertip="getDashboardSupertip" sizeString="Going-In Cap Rate (Trail.) " getItemCount="rxddSummaryFour_GetItemCount" getItemLabel="rxddSummaryFour_getItemLabel" getSelectedItemIndex="rxddSummaryFour_getSelectedItemIndex" onAction="rxddSummaryFour_Click">
					</dropDown>
          <dropDown id="rxddSummaryaFive" screentip="Select From Dropdown" getSupertip="getDashboardSupertip" sizeString="Going-In Cap Rate (Trail.) " getItemCount="rxddSummaryFive_GetItemCount" getItemLabel="rxddSummaryFive_getItemLabel" getSelectedItemIndex="rxddSummaryFive_getSelectedItemIndex" onAction="rxddSummaryFive_Click">
					</dropDown>
          <dropDown id="rxddSummaryaSix" screentip="Select From Dropdown" getSupertip="getDashboardSupertip" sizeString="Going-In Cap Rate (Trail.) " getItemCount="rxddSummarySix_GetItemCount" getItemLabel="rxddSummarySix_getItemLabel" getSelectedItemIndex="rxddSummarySix_getSelectedItemIndex" onAction="rxddSummarySix_Click">
					</dropDown>
          <labelControl id="rxlblHistCapRateValue" getLabel="rxlblHistCapRateValue_getLabel"/>
          <labelControl id="rxlblPFCapRateValue" getLabel="rxlblPFCapRateValue_getLabel"/>
          <labelControl id="rxlblExitCapRateValue" getLabel="rxlblExitCapRateValue_getLabel"/>
        </group>
        <!--ResMod Tab "Renovation Metrics" group-->
        <group id="rxgrpRenovationSummary" label="Renovation Metrics" getSupertip="getRenovationSupertip" getVisible="rxgrpRenovationSummary_getVisible" imageMso="FileManageMenu">
          <dropDown id="rxddRenovOne" screentip="Select From Dropdown" getSupertip="getRenovationSupertip" sizeString="Going-In Cap Rate (Trail.) " getItemCount="rxddRenovOne_GetItemCount" getItemLabel="rxddRenovOne_getItemLabel" getSelectedItemIndex="rxddRenovOne_getSelectedItemIndex" onAction="rxddRenovOne_Click">
					</dropDown>
          <dropDown id="rxddRenovTwo" screentip="Select From Dropdown" getSupertip="getRenovationSupertip" sizeString="Going-In Cap Rate (Trail.) " getItemCount="rxddRenovTwo_GetItemCount" getItemLabel="rxddRenovTwo_getItemLabel" getSelectedItemIndex="rxddRenovTwo_getSelectedItemIndex" onAction="rxddRenovTwo_Click">
					</dropDown>
          <dropDown id="rxddRenovThree" screentip="Select From Dropdown" getSupertip="getRenovationSupertip" sizeString="Going-In Cap Rate (Trail.) " getItemCount="rxddRenovThree_GetItemCount" getItemLabel="rxddRenovThree_getItemLabel" getSelectedItemIndex="rxddRenovThree_getSelectedItemIndex" onAction="rxddRenovThree_Click">
					</dropDown>
          <labelControl id="rxlblRenovMetricOne" getLabel="rxlblRenovMetricOne_getLabel"/>
          <labelControl id="rxlblRenovMetricTwo" getLabel="rxlblRenovMetricTwo_getLabel"/>
          <labelControl id="rxlblRenovMetricThree" getLabel="rxlblRenovMetricThree_getLabel"/>
        </group>
      </tab>
    </tabs>
  </ribbon>
  <backstage>
    <!--onHide="OnPrintPreviewClose">-->
    <tab idMso="TabPrint">
      <firstColumn>
        <group id="CustomLogo" label="Custom Logo" style="warning" helperText="Adjust image size for SELECTED tabs" insertBeforeMso="GroupPrintSettings">
          <primaryItem>
            <button id="rxbtnAddCustomLogo" label="Add Your Company Logo" imageMso="PictureChange" screentip="Logo" supertip="Click to add your company logo.&#13;&#13;Note: All pages in this document will be updated with selected image." onAction="rxbtnAddCustomLogo_Click"/>
          </primaryItem>
          <topItems>
            <editBox id="rxtxtLogoHeight" label="Set Image Height:" sizeString="xxxxxxx" getText="rxtxtLogoHeight_getCurrentHeight" onChange="rxtxtLogoHeight_onChange"/>
            <editBox id="rxtxtLogoWidth" label="Set Image Width: " sizeString="xxxxxxx" getText="rxtxtLogoWidth_getCurrentWidth" onChange="rxtxtLogoWidth_onChange"/>
            <labelControl id="emptyspace"/>
            <labelControl id="emptyspace2"/>
          </topItems>
          <bottomItems>
            <layoutContainer id="lay1" layoutChildren="horizontal">
              <checkBox id="rxchkFormatPrintBS" description="Printer-friendly Formatting" label="Clear Color-Coding" screentip="Input Cell Format" supertip="Remove all color-coding from input cells." getPressed="rxchkFormatPrint_GetPressed" onAction="rxchkFormatPrint_Click"/>
            </layoutContainer>
          </bottomItems>
        </group>
      </firstColumn>
    </tab>
  </backstage>
</customUI>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26</vt:i4>
      </vt:variant>
      <vt:variant>
        <vt:lpstr>Named Ranges</vt:lpstr>
      </vt:variant>
      <vt:variant>
        <vt:i4>31</vt:i4>
      </vt:variant>
    </vt:vector>
  </HeadingPairs>
  <TitlesOfParts>
    <vt:vector size="57" baseType="lpstr">
      <vt:lpstr>OUTPUT TABS ==&gt;</vt:lpstr>
      <vt:lpstr>Summary </vt:lpstr>
      <vt:lpstr>Assumptions </vt:lpstr>
      <vt:lpstr>Income Build </vt:lpstr>
      <vt:lpstr>Summary</vt:lpstr>
      <vt:lpstr>Renovations</vt:lpstr>
      <vt:lpstr>Historical CF</vt:lpstr>
      <vt:lpstr>Historical CF </vt:lpstr>
      <vt:lpstr>Property CF</vt:lpstr>
      <vt:lpstr>Cash Flow</vt:lpstr>
      <vt:lpstr>Sensitivity Analysis</vt:lpstr>
      <vt:lpstr>Sources &amp; Uses</vt:lpstr>
      <vt:lpstr>INPUT TABS ==&gt; </vt:lpstr>
      <vt:lpstr>Input</vt:lpstr>
      <vt:lpstr>Select Historicals</vt:lpstr>
      <vt:lpstr>Adjustments &amp; Notes</vt:lpstr>
      <vt:lpstr>Commercial CF</vt:lpstr>
      <vt:lpstr>CALCULATION TABS ==&gt;</vt:lpstr>
      <vt:lpstr>Operating Calculations</vt:lpstr>
      <vt:lpstr>CF Calculations</vt:lpstr>
      <vt:lpstr>Waterfall</vt:lpstr>
      <vt:lpstr>GenValidation</vt:lpstr>
      <vt:lpstr>Sheet2</vt:lpstr>
      <vt:lpstr>Sheet3</vt:lpstr>
      <vt:lpstr>T12</vt:lpstr>
      <vt:lpstr>Claude Log</vt:lpstr>
      <vt:lpstr>'Adjustments &amp; Notes'!Print_Area</vt:lpstr>
      <vt:lpstr>'CALCULATION TABS ==&gt;'!Print_Area</vt:lpstr>
      <vt:lpstr>'Cash Flow'!Print_Area</vt:lpstr>
      <vt:lpstr>'CF Calculations'!Print_Area</vt:lpstr>
      <vt:lpstr>'Commercial CF'!Print_Area</vt:lpstr>
      <vt:lpstr>'Historical CF'!Print_Area</vt:lpstr>
      <vt:lpstr>'Historical CF '!Print_Area</vt:lpstr>
      <vt:lpstr>Input!Print_Area</vt:lpstr>
      <vt:lpstr>'INPUT TABS ==&gt; '!Print_Area</vt:lpstr>
      <vt:lpstr>'Multiple Assumable Loans'!Print_Area</vt:lpstr>
      <vt:lpstr>'Operating Calculations'!Print_Area</vt:lpstr>
      <vt:lpstr>'OUTPUT TABS ==&gt;'!Print_Area</vt:lpstr>
      <vt:lpstr>'Property CF'!Print_Area</vt:lpstr>
      <vt:lpstr>Renovations!Print_Area</vt:lpstr>
      <vt:lpstr>'Select Historicals'!Print_Area</vt:lpstr>
      <vt:lpstr>'Sensitivity Analysis'!Print_Area</vt:lpstr>
      <vt:lpstr>'Sources &amp; Uses'!Print_Area</vt:lpstr>
      <vt:lpstr>Summary!Print_Area</vt:lpstr>
      <vt:lpstr>'Adjustments &amp; Notes'!Print_Titles</vt:lpstr>
      <vt:lpstr>'Assumptions '!Print_Titles</vt:lpstr>
      <vt:lpstr>'Cash Flow'!Print_Titles</vt:lpstr>
      <vt:lpstr>'CF Calculations'!Print_Titles</vt:lpstr>
      <vt:lpstr>'Historical CF'!Print_Titles</vt:lpstr>
      <vt:lpstr>'Historical CF '!Print_Titles</vt:lpstr>
      <vt:lpstr>Input!Print_Titles</vt:lpstr>
      <vt:lpstr>'Operating Calculations'!Print_Titles</vt:lpstr>
      <vt:lpstr>'Property CF'!Print_Titles</vt:lpstr>
      <vt:lpstr>Renovations!Print_Titles</vt:lpstr>
      <vt:lpstr>'Select Historicals'!Print_Titles</vt:lpstr>
      <vt:lpstr>'Summary '!Print_Titles</vt:lpstr>
      <vt:lpstr>Waterfall!Print_Titles</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Michael Oshman</dc:creator>
  <cp:keywords/>
  <dc:description/>
  <cp:lastModifiedBy>Peter Chacon</cp:lastModifiedBy>
  <cp:lastPrinted>2019-03-10T21:45:04Z</cp:lastPrinted>
  <dcterms:created xsi:type="dcterms:W3CDTF">2019-03-10T20:31:05Z</dcterms:created>
  <dcterms:modified xsi:type="dcterms:W3CDTF">2026-03-09T21:01:35Z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MVersion">
    <vt:lpwstr>4.0</vt:lpwstr>
  </property>
</Properties>
</file>